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olors3.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3.xml" ContentType="application/vnd.openxmlformats-officedocument.drawing+xml"/>
  <Override PartName="/xl/charts/chart4.xml" ContentType="application/vnd.openxmlformats-officedocument.drawingml.chart+xml"/>
  <Override PartName="/xl/charts/style3.xml" ContentType="application/vnd.ms-office.chartstyle+xml"/>
  <Override PartName="/xl/drawings/drawing4.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ables/table1.xml" ContentType="application/vnd.openxmlformats-officedocument.spreadsheetml.table+xml"/>
  <Override PartName="/xl/comments1.xml" ContentType="application/vnd.openxmlformats-officedocument.spreadsheetml.comment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codeName="ThisWorkbook" hidePivotFieldList="1"/>
  <mc:AlternateContent xmlns:mc="http://schemas.openxmlformats.org/markup-compatibility/2006">
    <mc:Choice Requires="x15">
      <x15ac:absPath xmlns:x15ac="http://schemas.microsoft.com/office/spreadsheetml/2010/11/ac" url="https://corporateroot.sharepoint.com/sites/Project-BK4713/Team/WIP/GDCC bouw- en woonrijp maken/Referentie/"/>
    </mc:Choice>
  </mc:AlternateContent>
  <xr:revisionPtr revIDLastSave="1359" documentId="8_{53F03752-008B-4344-BC42-97CE69A1FED2}" xr6:coauthVersionLast="47" xr6:coauthVersionMax="47" xr10:uidLastSave="{403BEBE6-48FC-4905-9F31-B815C51F9D89}"/>
  <bookViews>
    <workbookView xWindow="-28920" yWindow="-120" windowWidth="29040" windowHeight="15720" firstSheet="3" activeTab="9" xr2:uid="{00000000-000D-0000-FFFF-FFFF00000000}"/>
  </bookViews>
  <sheets>
    <sheet name="Review CA &amp; WD" sheetId="23" state="hidden" r:id="rId1"/>
    <sheet name="Voorblad" sheetId="8" r:id="rId2"/>
    <sheet name="1. Totaaloverzicht" sheetId="4" r:id="rId3"/>
    <sheet name="2. Berekening" sheetId="2" r:id="rId4"/>
    <sheet name="Per datacategorie" sheetId="15" state="hidden" r:id="rId5"/>
    <sheet name="Per werkzaamheid" sheetId="14" state="hidden" r:id="rId6"/>
    <sheet name="Per onderdeel" sheetId="12" state="hidden" r:id="rId7"/>
    <sheet name="Totaal" sheetId="9" state="hidden" r:id="rId8"/>
    <sheet name="3. Kengetallen (DC-uitdraai)" sheetId="1" r:id="rId9"/>
    <sheet name="Eigen database" sheetId="20" r:id="rId10"/>
    <sheet name="Review" sheetId="11" state="veryHidden" r:id="rId11"/>
    <sheet name="Plafondwaarden asfalt" sheetId="17" r:id="rId12"/>
    <sheet name="Verdere verduurzaming" sheetId="18" state="hidden" r:id="rId13"/>
    <sheet name="fasen" sheetId="24" state="hidden" r:id="rId14"/>
    <sheet name="MKI-berekening" sheetId="21" state="hidden" r:id="rId15"/>
  </sheets>
  <externalReferences>
    <externalReference r:id="rId16"/>
    <externalReference r:id="rId17"/>
  </externalReferences>
  <definedNames>
    <definedName name="_xlnm._FilterDatabase" localSheetId="8" hidden="1">'3. Kengetallen (DC-uitdraai)'!$B$11:$AM$11</definedName>
    <definedName name="_xlnm._FilterDatabase" localSheetId="9" hidden="1">'Eigen database'!$B$11:$AM$11</definedName>
    <definedName name="code">[1]Postenboek!$B:$B</definedName>
    <definedName name="omschrijving">[1]Postenboek!$C:$C</definedName>
    <definedName name="PB_Codes">[2]Postenboek!$B$5:$B$10321</definedName>
    <definedName name="PB_Descriptions">[2]Postenboek!$C$5:$C$10321</definedName>
    <definedName name="_xlnm.Print_Area" localSheetId="3">'2. Berekening'!$C$1:$AA$2</definedName>
    <definedName name="_xlnm.Print_Area" localSheetId="8">'3. Kengetallen (DC-uitdraai)'!$A$1:$N$82</definedName>
    <definedName name="_xlnm.Print_Area" localSheetId="9">'Eigen database'!$A$1:$N$89</definedName>
    <definedName name="_xlnm.Print_Area" localSheetId="11">'Plafondwaarden asfalt'!$A$1:$F$19</definedName>
    <definedName name="_xlnm.Print_Area" localSheetId="10">Review!$B$1:$F$22</definedName>
    <definedName name="_xlnm.Print_Titles" localSheetId="3">'2. Berekening'!$2:$2</definedName>
    <definedName name="_xlnm.Print_Titles" localSheetId="8">'3. Kengetallen (DC-uitdraai)'!$10:$11</definedName>
    <definedName name="_xlnm.Print_Titles" localSheetId="9">'Eigen database'!$10:$11</definedName>
  </definedNames>
  <calcPr calcId="191028" iterateCount="1" calcOnSave="0" concurrentCalc="0" forceFullCalc="1"/>
  <pivotCaches>
    <pivotCache cacheId="6711"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7" i="1" l="1"/>
  <c r="V161" i="2"/>
  <c r="X120" i="2"/>
  <c r="L120" i="2"/>
  <c r="M120" i="2"/>
  <c r="P120" i="2"/>
  <c r="L159" i="2"/>
  <c r="L160" i="2"/>
  <c r="L135" i="2"/>
  <c r="L173" i="2"/>
  <c r="L168" i="2"/>
  <c r="L167" i="2"/>
  <c r="L165" i="2"/>
  <c r="L164" i="2"/>
  <c r="L148" i="2"/>
  <c r="H148" i="2"/>
  <c r="K148" i="2"/>
  <c r="M148" i="2"/>
  <c r="N148" i="2"/>
  <c r="O148" i="2"/>
  <c r="P113" i="1"/>
  <c r="P148" i="2"/>
  <c r="Q148" i="2"/>
  <c r="R148" i="2"/>
  <c r="S148" i="2"/>
  <c r="T148" i="2"/>
  <c r="X148" i="2"/>
  <c r="Y148" i="2"/>
  <c r="AA148" i="2"/>
  <c r="AB148" i="2"/>
  <c r="L146" i="2"/>
  <c r="H146" i="2"/>
  <c r="K146" i="2"/>
  <c r="M146" i="2"/>
  <c r="N146" i="2"/>
  <c r="O146" i="2"/>
  <c r="P146" i="2"/>
  <c r="Q146" i="2"/>
  <c r="R146" i="2"/>
  <c r="S146" i="2"/>
  <c r="T146" i="2"/>
  <c r="X146" i="2"/>
  <c r="Y146" i="2"/>
  <c r="AA146" i="2"/>
  <c r="AB146" i="2"/>
  <c r="L145" i="2"/>
  <c r="H145" i="2"/>
  <c r="K145" i="2"/>
  <c r="M145" i="2"/>
  <c r="N145" i="2"/>
  <c r="O145" i="2"/>
  <c r="P145" i="2"/>
  <c r="Q145" i="2"/>
  <c r="R145" i="2"/>
  <c r="S145" i="2"/>
  <c r="T145" i="2"/>
  <c r="X145" i="2"/>
  <c r="Y145" i="2"/>
  <c r="AA145" i="2"/>
  <c r="AB145" i="2"/>
  <c r="L143" i="2"/>
  <c r="H143" i="2"/>
  <c r="K143" i="2"/>
  <c r="M143" i="2"/>
  <c r="N143" i="2"/>
  <c r="O143" i="2"/>
  <c r="P143" i="2"/>
  <c r="Q143" i="2"/>
  <c r="R143" i="2"/>
  <c r="S143" i="2"/>
  <c r="T143" i="2"/>
  <c r="X143" i="2"/>
  <c r="Y143" i="2"/>
  <c r="AA143" i="2"/>
  <c r="AB143" i="2"/>
  <c r="L142" i="2"/>
  <c r="H142" i="2"/>
  <c r="K142" i="2"/>
  <c r="M142" i="2"/>
  <c r="N142" i="2"/>
  <c r="O142" i="2"/>
  <c r="P142" i="2"/>
  <c r="Q142" i="2"/>
  <c r="R142" i="2"/>
  <c r="S142" i="2"/>
  <c r="T142" i="2"/>
  <c r="X142" i="2"/>
  <c r="Y142" i="2"/>
  <c r="AA142" i="2"/>
  <c r="AB142" i="2"/>
  <c r="L141" i="2"/>
  <c r="H141" i="2"/>
  <c r="K141" i="2"/>
  <c r="M141" i="2"/>
  <c r="N141" i="2"/>
  <c r="O141" i="2"/>
  <c r="P141" i="2"/>
  <c r="Q141" i="2"/>
  <c r="R141" i="2"/>
  <c r="S141" i="2"/>
  <c r="T141" i="2"/>
  <c r="X141" i="2"/>
  <c r="Y141" i="2"/>
  <c r="AA141" i="2"/>
  <c r="AB141" i="2"/>
  <c r="L140" i="2"/>
  <c r="H140" i="2"/>
  <c r="K140" i="2"/>
  <c r="M140" i="2"/>
  <c r="N140" i="2"/>
  <c r="O140" i="2"/>
  <c r="P140" i="2"/>
  <c r="Q140" i="2"/>
  <c r="R140" i="2"/>
  <c r="S140" i="2"/>
  <c r="T140" i="2"/>
  <c r="X140" i="2"/>
  <c r="Y140" i="2"/>
  <c r="AA140" i="2"/>
  <c r="AB140" i="2"/>
  <c r="L139" i="2"/>
  <c r="L138" i="2"/>
  <c r="L137" i="2"/>
  <c r="H137" i="2"/>
  <c r="K137" i="2"/>
  <c r="M137" i="2"/>
  <c r="N137" i="2"/>
  <c r="O137" i="2"/>
  <c r="P137" i="2"/>
  <c r="Q137" i="2"/>
  <c r="R137" i="2"/>
  <c r="S137" i="2"/>
  <c r="T137" i="2"/>
  <c r="X137" i="2"/>
  <c r="Y137" i="2"/>
  <c r="AA137" i="2"/>
  <c r="AB137" i="2"/>
  <c r="L136" i="2"/>
  <c r="H136" i="2"/>
  <c r="K136" i="2"/>
  <c r="M136" i="2"/>
  <c r="N136" i="2"/>
  <c r="O136" i="2"/>
  <c r="P136" i="2"/>
  <c r="Q136" i="2"/>
  <c r="R136" i="2"/>
  <c r="S136" i="2"/>
  <c r="T136" i="2"/>
  <c r="X136" i="2"/>
  <c r="Y136" i="2"/>
  <c r="AA136" i="2"/>
  <c r="AB136" i="2"/>
  <c r="H135" i="2"/>
  <c r="K135" i="2"/>
  <c r="M135" i="2"/>
  <c r="N135" i="2"/>
  <c r="O135" i="2"/>
  <c r="P135" i="2"/>
  <c r="Q135" i="2"/>
  <c r="R135" i="2"/>
  <c r="S135" i="2"/>
  <c r="T135" i="2"/>
  <c r="X135" i="2"/>
  <c r="Y135" i="2"/>
  <c r="AA135" i="2"/>
  <c r="AB135" i="2"/>
  <c r="L134" i="2"/>
  <c r="H134" i="2"/>
  <c r="K134" i="2"/>
  <c r="M134" i="2"/>
  <c r="N134" i="2"/>
  <c r="O134" i="2"/>
  <c r="P134" i="2"/>
  <c r="Q134" i="2"/>
  <c r="R134" i="2"/>
  <c r="S134" i="2"/>
  <c r="T134" i="2"/>
  <c r="X134" i="2"/>
  <c r="Y134" i="2"/>
  <c r="AA134" i="2"/>
  <c r="AB134" i="2"/>
  <c r="L133" i="2"/>
  <c r="H133" i="2"/>
  <c r="K133" i="2"/>
  <c r="M133" i="2"/>
  <c r="N133" i="2"/>
  <c r="O133" i="2"/>
  <c r="P133" i="2"/>
  <c r="Q133" i="2"/>
  <c r="R133" i="2"/>
  <c r="S133" i="2"/>
  <c r="T133" i="2"/>
  <c r="X133" i="2"/>
  <c r="Y133" i="2"/>
  <c r="AA133" i="2"/>
  <c r="AB133" i="2"/>
  <c r="P114" i="1"/>
  <c r="P115" i="1"/>
  <c r="P116" i="1"/>
  <c r="L132" i="2"/>
  <c r="X39" i="20"/>
  <c r="W39" i="20"/>
  <c r="V39" i="20"/>
  <c r="U39" i="20"/>
  <c r="S39" i="20"/>
  <c r="Q39" i="20"/>
  <c r="R39" i="20"/>
  <c r="Z39" i="20"/>
  <c r="H132" i="2"/>
  <c r="K132" i="2"/>
  <c r="M132" i="2"/>
  <c r="N132" i="2"/>
  <c r="O132" i="2"/>
  <c r="P132" i="2"/>
  <c r="Q132" i="2"/>
  <c r="R132" i="2"/>
  <c r="S132" i="2"/>
  <c r="T132" i="2"/>
  <c r="X132" i="2"/>
  <c r="Y132" i="2"/>
  <c r="AA132" i="2"/>
  <c r="AB132" i="2"/>
  <c r="H161" i="2"/>
  <c r="K161" i="2"/>
  <c r="M161" i="2"/>
  <c r="P161" i="2"/>
  <c r="N161" i="2"/>
  <c r="O161" i="2"/>
  <c r="P22" i="20"/>
  <c r="K22" i="20"/>
  <c r="X161" i="2"/>
  <c r="L129" i="2"/>
  <c r="M129" i="2"/>
  <c r="P129" i="2"/>
  <c r="H129" i="2"/>
  <c r="K129" i="2"/>
  <c r="N129" i="2"/>
  <c r="O129" i="2"/>
  <c r="X129" i="2"/>
  <c r="L128" i="2"/>
  <c r="U128" i="2"/>
  <c r="V128" i="2"/>
  <c r="X128" i="2"/>
  <c r="H128" i="2"/>
  <c r="K128" i="2"/>
  <c r="N128" i="2"/>
  <c r="W128" i="2"/>
  <c r="O128" i="2"/>
  <c r="U127" i="2"/>
  <c r="V127" i="2"/>
  <c r="X127" i="2"/>
  <c r="H127" i="2"/>
  <c r="K127" i="2"/>
  <c r="M127" i="2"/>
  <c r="P127" i="2"/>
  <c r="N127" i="2"/>
  <c r="O127" i="2"/>
  <c r="W52" i="2"/>
  <c r="W53" i="2"/>
  <c r="W49" i="2"/>
  <c r="U49" i="2"/>
  <c r="V49" i="2"/>
  <c r="X49" i="2"/>
  <c r="W58" i="2"/>
  <c r="U58" i="2"/>
  <c r="V58" i="2"/>
  <c r="X58" i="2"/>
  <c r="H58" i="2"/>
  <c r="K58" i="2"/>
  <c r="M58" i="2"/>
  <c r="P58" i="2"/>
  <c r="N58" i="2"/>
  <c r="O58" i="2"/>
  <c r="L53" i="2"/>
  <c r="M53" i="2"/>
  <c r="H53" i="2"/>
  <c r="K53" i="2"/>
  <c r="N53" i="2"/>
  <c r="O53" i="2"/>
  <c r="L52" i="2"/>
  <c r="M52" i="2"/>
  <c r="H52" i="2"/>
  <c r="K52" i="2"/>
  <c r="N52" i="2"/>
  <c r="O52" i="2"/>
  <c r="H49" i="2"/>
  <c r="K49" i="2"/>
  <c r="M49" i="2"/>
  <c r="S49" i="2"/>
  <c r="N49" i="2"/>
  <c r="O49" i="2"/>
  <c r="AB161" i="2"/>
  <c r="AA161" i="2"/>
  <c r="T161" i="2"/>
  <c r="S161" i="2"/>
  <c r="R161" i="2"/>
  <c r="Q161" i="2"/>
  <c r="Y161" i="2"/>
  <c r="AB129" i="2"/>
  <c r="AA129" i="2"/>
  <c r="T129" i="2"/>
  <c r="S129" i="2"/>
  <c r="R129" i="2"/>
  <c r="Q129" i="2"/>
  <c r="Y129" i="2"/>
  <c r="M128" i="2"/>
  <c r="T128" i="2"/>
  <c r="Y128" i="2"/>
  <c r="AB127" i="2"/>
  <c r="AA127" i="2"/>
  <c r="T127" i="2"/>
  <c r="Q127" i="2"/>
  <c r="Y127" i="2"/>
  <c r="S127" i="2"/>
  <c r="R127" i="2"/>
  <c r="U52" i="2"/>
  <c r="V52" i="2"/>
  <c r="X52" i="2"/>
  <c r="U53" i="2"/>
  <c r="V53" i="2"/>
  <c r="X53" i="2"/>
  <c r="Q58" i="2"/>
  <c r="R58" i="2"/>
  <c r="T58" i="2"/>
  <c r="S58" i="2"/>
  <c r="AB58" i="2"/>
  <c r="AA58" i="2"/>
  <c r="Y58" i="2"/>
  <c r="P53" i="2"/>
  <c r="R53" i="2"/>
  <c r="T53" i="2"/>
  <c r="AB53" i="2"/>
  <c r="AA53" i="2"/>
  <c r="S53" i="2"/>
  <c r="Q53" i="2"/>
  <c r="Q49" i="2"/>
  <c r="P49" i="2"/>
  <c r="Y49" i="2"/>
  <c r="P52" i="2"/>
  <c r="Q52" i="2"/>
  <c r="R52" i="2"/>
  <c r="AB52" i="2"/>
  <c r="AA52" i="2"/>
  <c r="T52" i="2"/>
  <c r="S52" i="2"/>
  <c r="R49" i="2"/>
  <c r="AB49" i="2"/>
  <c r="AA49" i="2"/>
  <c r="T49" i="2"/>
  <c r="Q128" i="2"/>
  <c r="S128" i="2"/>
  <c r="R128" i="2"/>
  <c r="AA128" i="2"/>
  <c r="AB128" i="2"/>
  <c r="P128" i="2"/>
  <c r="Y52" i="2"/>
  <c r="Y53" i="2"/>
  <c r="U166" i="2"/>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50" i="2"/>
  <c r="O51" i="2"/>
  <c r="O54" i="2"/>
  <c r="O55" i="2"/>
  <c r="O56" i="2"/>
  <c r="O57"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30" i="2"/>
  <c r="O131" i="2"/>
  <c r="O138" i="2"/>
  <c r="O139" i="2"/>
  <c r="O144" i="2"/>
  <c r="O147" i="2"/>
  <c r="O149" i="2"/>
  <c r="O150" i="2"/>
  <c r="O151" i="2"/>
  <c r="O152" i="2"/>
  <c r="O153" i="2"/>
  <c r="O154" i="2"/>
  <c r="O155" i="2"/>
  <c r="O156" i="2"/>
  <c r="O157" i="2"/>
  <c r="O158" i="2"/>
  <c r="O159" i="2"/>
  <c r="O160"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L24" i="2"/>
  <c r="L191" i="2"/>
  <c r="H188" i="2"/>
  <c r="K188" i="2"/>
  <c r="M188" i="2"/>
  <c r="P188" i="2"/>
  <c r="N188" i="2"/>
  <c r="X188" i="2"/>
  <c r="Y188" i="2"/>
  <c r="Q188" i="2"/>
  <c r="R188" i="2"/>
  <c r="S188" i="2"/>
  <c r="T188" i="2"/>
  <c r="AB188" i="2"/>
  <c r="AA188" i="2"/>
  <c r="L154" i="2"/>
  <c r="L15" i="2"/>
  <c r="L14" i="2"/>
  <c r="L13" i="2"/>
  <c r="U139" i="2"/>
  <c r="V139" i="2"/>
  <c r="L70" i="2"/>
  <c r="L20" i="2"/>
  <c r="L19" i="2"/>
  <c r="L18" i="2"/>
  <c r="L12" i="2"/>
  <c r="U12" i="2"/>
  <c r="L11" i="2"/>
  <c r="U11" i="2"/>
  <c r="L185" i="2"/>
  <c r="L25" i="2"/>
  <c r="X8" i="2"/>
  <c r="X10" i="2"/>
  <c r="BI118" i="1"/>
  <c r="BH118" i="1"/>
  <c r="BG118" i="1"/>
  <c r="BF118" i="1"/>
  <c r="BE118" i="1"/>
  <c r="BC118" i="1"/>
  <c r="BB118" i="1"/>
  <c r="BA118" i="1"/>
  <c r="AZ118" i="1"/>
  <c r="AY118" i="1"/>
  <c r="AW118" i="1"/>
  <c r="AV118" i="1"/>
  <c r="AU118" i="1"/>
  <c r="AS118" i="1"/>
  <c r="AR118" i="1"/>
  <c r="AQ118" i="1"/>
  <c r="AP118" i="1"/>
  <c r="AN118" i="1"/>
  <c r="AM118" i="1"/>
  <c r="AL118" i="1"/>
  <c r="AK118" i="1"/>
  <c r="AJ118" i="1"/>
  <c r="AH118" i="1"/>
  <c r="AG118" i="1"/>
  <c r="AF118" i="1"/>
  <c r="AE118" i="1"/>
  <c r="AD118" i="1"/>
  <c r="AB118" i="1"/>
  <c r="AA118" i="1"/>
  <c r="Z118" i="1"/>
  <c r="X118" i="1"/>
  <c r="W118" i="1"/>
  <c r="V118" i="1"/>
  <c r="U118" i="1"/>
  <c r="S118" i="1"/>
  <c r="R118" i="1"/>
  <c r="Q118" i="1"/>
  <c r="P118" i="1"/>
  <c r="O118" i="1"/>
  <c r="N118" i="1"/>
  <c r="L8" i="2"/>
  <c r="M8" i="2"/>
  <c r="L10" i="2"/>
  <c r="M10" i="2"/>
  <c r="L17" i="2"/>
  <c r="U17" i="2"/>
  <c r="V17" i="2"/>
  <c r="L16" i="2"/>
  <c r="U16" i="2"/>
  <c r="V16" i="2"/>
  <c r="W3" i="2"/>
  <c r="W4" i="2"/>
  <c r="W5" i="2"/>
  <c r="W6" i="2"/>
  <c r="W7" i="2"/>
  <c r="W8" i="2"/>
  <c r="W9" i="2"/>
  <c r="W10" i="2"/>
  <c r="W11" i="2"/>
  <c r="W12" i="2"/>
  <c r="W13" i="2"/>
  <c r="W14" i="2"/>
  <c r="W15" i="2"/>
  <c r="W16" i="2"/>
  <c r="W17" i="2"/>
  <c r="W18" i="2"/>
  <c r="W19" i="2"/>
  <c r="W20" i="2"/>
  <c r="W21" i="2"/>
  <c r="W22" i="2"/>
  <c r="W23" i="2"/>
  <c r="W24" i="2"/>
  <c r="W25" i="2"/>
  <c r="W26" i="2"/>
  <c r="W27" i="2"/>
  <c r="H10" i="2"/>
  <c r="K10" i="2"/>
  <c r="N10" i="2"/>
  <c r="H8" i="2"/>
  <c r="K8" i="2"/>
  <c r="N8" i="2"/>
  <c r="L147" i="2"/>
  <c r="W157" i="2"/>
  <c r="V157" i="2"/>
  <c r="W147" i="2"/>
  <c r="U147" i="2"/>
  <c r="V147" i="2"/>
  <c r="U131" i="2"/>
  <c r="V131" i="2"/>
  <c r="W131" i="2"/>
  <c r="W139" i="2"/>
  <c r="L131" i="2"/>
  <c r="L156" i="2"/>
  <c r="W166" i="2"/>
  <c r="W165" i="2"/>
  <c r="W164" i="2"/>
  <c r="W163" i="2"/>
  <c r="W162" i="2"/>
  <c r="V163" i="2"/>
  <c r="V162" i="2"/>
  <c r="V166" i="2"/>
  <c r="U165" i="2"/>
  <c r="V165" i="2"/>
  <c r="U164" i="2"/>
  <c r="V164" i="2"/>
  <c r="L166" i="2"/>
  <c r="Q10" i="2"/>
  <c r="P10" i="2"/>
  <c r="Y10" i="2"/>
  <c r="R10" i="2"/>
  <c r="S10" i="2"/>
  <c r="T10" i="2"/>
  <c r="P8" i="2"/>
  <c r="Y8" i="2"/>
  <c r="R8" i="2"/>
  <c r="T8" i="2"/>
  <c r="S8" i="2"/>
  <c r="Q8" i="2"/>
  <c r="AA10" i="2"/>
  <c r="AB10" i="2"/>
  <c r="AB8" i="2"/>
  <c r="AA8" i="2"/>
  <c r="W169" i="2"/>
  <c r="U169" i="2"/>
  <c r="V169" i="2"/>
  <c r="L169" i="2"/>
  <c r="W170" i="2"/>
  <c r="V170" i="2"/>
  <c r="U13" i="2"/>
  <c r="V13" i="2"/>
  <c r="U15" i="2"/>
  <c r="V15" i="2"/>
  <c r="U14" i="2"/>
  <c r="V14" i="2"/>
  <c r="H191" i="2"/>
  <c r="K191" i="2"/>
  <c r="M191" i="2"/>
  <c r="N191" i="2"/>
  <c r="X191" i="2"/>
  <c r="H190" i="2"/>
  <c r="K190" i="2"/>
  <c r="M190" i="2"/>
  <c r="N190" i="2"/>
  <c r="X190" i="2"/>
  <c r="H187" i="2"/>
  <c r="K187" i="2"/>
  <c r="M187" i="2"/>
  <c r="N187" i="2"/>
  <c r="X187" i="2"/>
  <c r="H186" i="2"/>
  <c r="K186" i="2"/>
  <c r="M186" i="2"/>
  <c r="N186" i="2"/>
  <c r="X186" i="2"/>
  <c r="H185" i="2"/>
  <c r="K185" i="2"/>
  <c r="M185" i="2"/>
  <c r="N185" i="2"/>
  <c r="X185" i="2"/>
  <c r="H170" i="2"/>
  <c r="K170" i="2"/>
  <c r="M170" i="2"/>
  <c r="N170" i="2"/>
  <c r="H169" i="2"/>
  <c r="K169" i="2"/>
  <c r="M169" i="2"/>
  <c r="N169" i="2"/>
  <c r="H166" i="2"/>
  <c r="K166" i="2"/>
  <c r="M166" i="2"/>
  <c r="N166" i="2"/>
  <c r="N165" i="2"/>
  <c r="M165" i="2"/>
  <c r="K165" i="2"/>
  <c r="H165" i="2"/>
  <c r="N164" i="2"/>
  <c r="M164" i="2"/>
  <c r="K164" i="2"/>
  <c r="H164" i="2"/>
  <c r="N163" i="2"/>
  <c r="M163" i="2"/>
  <c r="K163" i="2"/>
  <c r="H163" i="2"/>
  <c r="H162" i="2"/>
  <c r="K162" i="2"/>
  <c r="M162" i="2"/>
  <c r="N162" i="2"/>
  <c r="H160" i="2"/>
  <c r="K160" i="2"/>
  <c r="M160" i="2"/>
  <c r="N160" i="2"/>
  <c r="X160" i="2"/>
  <c r="H158" i="2"/>
  <c r="K158" i="2"/>
  <c r="M158" i="2"/>
  <c r="N158" i="2"/>
  <c r="X158" i="2"/>
  <c r="H154" i="2"/>
  <c r="K154" i="2"/>
  <c r="M154" i="2"/>
  <c r="N154" i="2"/>
  <c r="X154" i="2"/>
  <c r="H155" i="2"/>
  <c r="K155" i="2"/>
  <c r="M155" i="2"/>
  <c r="N155" i="2"/>
  <c r="X155" i="2"/>
  <c r="H156" i="2"/>
  <c r="K156" i="2"/>
  <c r="M156" i="2"/>
  <c r="N156" i="2"/>
  <c r="X156" i="2"/>
  <c r="H157" i="2"/>
  <c r="K157" i="2"/>
  <c r="M157" i="2"/>
  <c r="N157" i="2"/>
  <c r="H147" i="2"/>
  <c r="K147" i="2"/>
  <c r="M147" i="2"/>
  <c r="N147" i="2"/>
  <c r="H131" i="2"/>
  <c r="K131" i="2"/>
  <c r="M131" i="2"/>
  <c r="N131" i="2"/>
  <c r="H139" i="2"/>
  <c r="K139" i="2"/>
  <c r="M139" i="2"/>
  <c r="N139" i="2"/>
  <c r="H121" i="2"/>
  <c r="K121" i="2"/>
  <c r="M121" i="2"/>
  <c r="N121" i="2"/>
  <c r="X121" i="2"/>
  <c r="H71" i="2"/>
  <c r="K71" i="2"/>
  <c r="M71" i="2"/>
  <c r="N71" i="2"/>
  <c r="X71" i="2"/>
  <c r="H70" i="2"/>
  <c r="K70" i="2"/>
  <c r="M70" i="2"/>
  <c r="N70" i="2"/>
  <c r="X70" i="2"/>
  <c r="H24" i="2"/>
  <c r="K24" i="2"/>
  <c r="M24" i="2"/>
  <c r="N24" i="2"/>
  <c r="X24" i="2"/>
  <c r="H25" i="2"/>
  <c r="K25" i="2"/>
  <c r="M25" i="2"/>
  <c r="N25" i="2"/>
  <c r="X25" i="2"/>
  <c r="H26" i="2"/>
  <c r="K26" i="2"/>
  <c r="M26" i="2"/>
  <c r="N26" i="2"/>
  <c r="X26" i="2"/>
  <c r="H27" i="2"/>
  <c r="K27" i="2"/>
  <c r="M27" i="2"/>
  <c r="N27" i="2"/>
  <c r="X27" i="2"/>
  <c r="H21" i="2"/>
  <c r="K21" i="2"/>
  <c r="M21" i="2"/>
  <c r="N21" i="2"/>
  <c r="X21" i="2"/>
  <c r="H22" i="2"/>
  <c r="K22" i="2"/>
  <c r="M22" i="2"/>
  <c r="N22" i="2"/>
  <c r="X22" i="2"/>
  <c r="H23" i="2"/>
  <c r="K23" i="2"/>
  <c r="M23" i="2"/>
  <c r="N23" i="2"/>
  <c r="X23" i="2"/>
  <c r="H17" i="2"/>
  <c r="K17" i="2"/>
  <c r="M17" i="2"/>
  <c r="N17" i="2"/>
  <c r="X17" i="2"/>
  <c r="Y17" i="2"/>
  <c r="H14" i="2"/>
  <c r="K14" i="2"/>
  <c r="M14" i="2"/>
  <c r="N14" i="2"/>
  <c r="X14" i="2"/>
  <c r="Y14" i="2"/>
  <c r="H15" i="2"/>
  <c r="K15" i="2"/>
  <c r="M15" i="2"/>
  <c r="N15" i="2"/>
  <c r="X15" i="2"/>
  <c r="Y15" i="2"/>
  <c r="H13" i="2"/>
  <c r="K13" i="2"/>
  <c r="M13" i="2"/>
  <c r="N13" i="2"/>
  <c r="X13" i="2"/>
  <c r="Y13" i="2"/>
  <c r="H16" i="2"/>
  <c r="K16" i="2"/>
  <c r="M16" i="2"/>
  <c r="N16" i="2"/>
  <c r="X16" i="2"/>
  <c r="Y16" i="2"/>
  <c r="H9" i="2"/>
  <c r="K9" i="2"/>
  <c r="M9" i="2"/>
  <c r="N9" i="2"/>
  <c r="X9" i="2"/>
  <c r="H7" i="2"/>
  <c r="K7" i="2"/>
  <c r="M7" i="2"/>
  <c r="N7" i="2"/>
  <c r="X7" i="2"/>
  <c r="H118" i="2"/>
  <c r="K118" i="2"/>
  <c r="M118" i="2"/>
  <c r="N118" i="2"/>
  <c r="X118" i="2"/>
  <c r="H116" i="2"/>
  <c r="K116" i="2"/>
  <c r="M116" i="2"/>
  <c r="N116" i="2"/>
  <c r="X116" i="2"/>
  <c r="H115" i="2"/>
  <c r="K115" i="2"/>
  <c r="M115" i="2"/>
  <c r="N115" i="2"/>
  <c r="X115" i="2"/>
  <c r="H96" i="2"/>
  <c r="K96" i="2"/>
  <c r="M96" i="2"/>
  <c r="N96" i="2"/>
  <c r="X96" i="2"/>
  <c r="H88" i="2"/>
  <c r="K88" i="2"/>
  <c r="M88" i="2"/>
  <c r="N88" i="2"/>
  <c r="X88" i="2"/>
  <c r="H86" i="2"/>
  <c r="K86" i="2"/>
  <c r="M86" i="2"/>
  <c r="N86" i="2"/>
  <c r="X86" i="2"/>
  <c r="W61" i="2"/>
  <c r="U61" i="2"/>
  <c r="V61" i="2"/>
  <c r="N61" i="2"/>
  <c r="M61" i="2"/>
  <c r="K61" i="2"/>
  <c r="H61" i="2"/>
  <c r="W60" i="2"/>
  <c r="U60" i="2"/>
  <c r="V60" i="2"/>
  <c r="N60" i="2"/>
  <c r="M60" i="2"/>
  <c r="K60" i="2"/>
  <c r="H60" i="2"/>
  <c r="W48" i="2"/>
  <c r="U48" i="2"/>
  <c r="V48" i="2"/>
  <c r="N48" i="2"/>
  <c r="M48" i="2"/>
  <c r="K48" i="2"/>
  <c r="H48" i="2"/>
  <c r="W47" i="2"/>
  <c r="U47" i="2"/>
  <c r="V47" i="2"/>
  <c r="N47" i="2"/>
  <c r="M47" i="2"/>
  <c r="K47" i="2"/>
  <c r="H47" i="2"/>
  <c r="W46" i="2"/>
  <c r="U46" i="2"/>
  <c r="V46" i="2"/>
  <c r="N46" i="2"/>
  <c r="M46" i="2"/>
  <c r="K46" i="2"/>
  <c r="H46" i="2"/>
  <c r="W43" i="2"/>
  <c r="U43" i="2"/>
  <c r="V43" i="2"/>
  <c r="N43" i="2"/>
  <c r="M43" i="2"/>
  <c r="K43" i="2"/>
  <c r="H43" i="2"/>
  <c r="W42" i="2"/>
  <c r="U42" i="2"/>
  <c r="V42" i="2"/>
  <c r="N42" i="2"/>
  <c r="M42" i="2"/>
  <c r="K42" i="2"/>
  <c r="H42" i="2"/>
  <c r="W41" i="2"/>
  <c r="U41" i="2"/>
  <c r="V41" i="2"/>
  <c r="N41" i="2"/>
  <c r="M41" i="2"/>
  <c r="K41" i="2"/>
  <c r="H41" i="2"/>
  <c r="W40" i="2"/>
  <c r="U40" i="2"/>
  <c r="V40" i="2"/>
  <c r="N40" i="2"/>
  <c r="M40" i="2"/>
  <c r="K40" i="2"/>
  <c r="H40" i="2"/>
  <c r="W39" i="2"/>
  <c r="U39" i="2"/>
  <c r="V39" i="2"/>
  <c r="N39" i="2"/>
  <c r="M39" i="2"/>
  <c r="K39" i="2"/>
  <c r="H39" i="2"/>
  <c r="X6" i="2"/>
  <c r="N6" i="2"/>
  <c r="L6" i="2"/>
  <c r="M6" i="2"/>
  <c r="K6" i="2"/>
  <c r="H6" i="2"/>
  <c r="Q41" i="2"/>
  <c r="R41" i="2"/>
  <c r="P41" i="2"/>
  <c r="T41" i="2"/>
  <c r="S41" i="2"/>
  <c r="P9" i="2"/>
  <c r="Y9" i="2"/>
  <c r="R9" i="2"/>
  <c r="T9" i="2"/>
  <c r="S9" i="2"/>
  <c r="Q9" i="2"/>
  <c r="P27" i="2"/>
  <c r="Y27" i="2"/>
  <c r="Q27" i="2"/>
  <c r="S27" i="2"/>
  <c r="T27" i="2"/>
  <c r="R27" i="2"/>
  <c r="P158" i="2"/>
  <c r="Y158" i="2"/>
  <c r="S158" i="2"/>
  <c r="T158" i="2"/>
  <c r="R158" i="2"/>
  <c r="Q158" i="2"/>
  <c r="R165" i="2"/>
  <c r="Q165" i="2"/>
  <c r="P165" i="2"/>
  <c r="T165" i="2"/>
  <c r="S165" i="2"/>
  <c r="R47" i="2"/>
  <c r="P47" i="2"/>
  <c r="Q47" i="2"/>
  <c r="S47" i="2"/>
  <c r="T47" i="2"/>
  <c r="P116" i="2"/>
  <c r="Y116" i="2"/>
  <c r="T116" i="2"/>
  <c r="R116" i="2"/>
  <c r="Q116" i="2"/>
  <c r="S116" i="2"/>
  <c r="T17" i="2"/>
  <c r="P17" i="2"/>
  <c r="R17" i="2"/>
  <c r="S17" i="2"/>
  <c r="Q17" i="2"/>
  <c r="P157" i="2"/>
  <c r="Q157" i="2"/>
  <c r="T157" i="2"/>
  <c r="S157" i="2"/>
  <c r="R157" i="2"/>
  <c r="T86" i="2"/>
  <c r="R86" i="2"/>
  <c r="P86" i="2"/>
  <c r="Y86" i="2"/>
  <c r="S86" i="2"/>
  <c r="Q86" i="2"/>
  <c r="P71" i="2"/>
  <c r="Y71" i="2"/>
  <c r="R71" i="2"/>
  <c r="Q71" i="2"/>
  <c r="S71" i="2"/>
  <c r="T71" i="2"/>
  <c r="S166" i="2"/>
  <c r="Q166" i="2"/>
  <c r="R166" i="2"/>
  <c r="P166" i="2"/>
  <c r="T166" i="2"/>
  <c r="R186" i="2"/>
  <c r="Q186" i="2"/>
  <c r="P186" i="2"/>
  <c r="Y186" i="2"/>
  <c r="S186" i="2"/>
  <c r="T186" i="2"/>
  <c r="P6" i="2"/>
  <c r="Y6" i="2"/>
  <c r="T6" i="2"/>
  <c r="S6" i="2"/>
  <c r="R6" i="2"/>
  <c r="Q6" i="2"/>
  <c r="T16" i="2"/>
  <c r="R16" i="2"/>
  <c r="P16" i="2"/>
  <c r="S16" i="2"/>
  <c r="Q16" i="2"/>
  <c r="T42" i="2"/>
  <c r="R42" i="2"/>
  <c r="P42" i="2"/>
  <c r="Q42" i="2"/>
  <c r="S42" i="2"/>
  <c r="Q26" i="2"/>
  <c r="S26" i="2"/>
  <c r="P26" i="2"/>
  <c r="Y26" i="2"/>
  <c r="T26" i="2"/>
  <c r="R26" i="2"/>
  <c r="P160" i="2"/>
  <c r="Y160" i="2"/>
  <c r="T160" i="2"/>
  <c r="S160" i="2"/>
  <c r="R160" i="2"/>
  <c r="Q160" i="2"/>
  <c r="P23" i="2"/>
  <c r="Y23" i="2"/>
  <c r="S23" i="2"/>
  <c r="Q23" i="2"/>
  <c r="R23" i="2"/>
  <c r="T23" i="2"/>
  <c r="T169" i="2"/>
  <c r="P169" i="2"/>
  <c r="R169" i="2"/>
  <c r="S169" i="2"/>
  <c r="Q169" i="2"/>
  <c r="R13" i="2"/>
  <c r="Q13" i="2"/>
  <c r="P13" i="2"/>
  <c r="T13" i="2"/>
  <c r="S13" i="2"/>
  <c r="S170" i="2"/>
  <c r="Q170" i="2"/>
  <c r="P170" i="2"/>
  <c r="R170" i="2"/>
  <c r="T170" i="2"/>
  <c r="T139" i="2"/>
  <c r="P139" i="2"/>
  <c r="S139" i="2"/>
  <c r="Q139" i="2"/>
  <c r="R139" i="2"/>
  <c r="S15" i="2"/>
  <c r="P15" i="2"/>
  <c r="R15" i="2"/>
  <c r="Q15" i="2"/>
  <c r="T15" i="2"/>
  <c r="T155" i="2"/>
  <c r="P155" i="2"/>
  <c r="Y155" i="2"/>
  <c r="Q155" i="2"/>
  <c r="S155" i="2"/>
  <c r="R155" i="2"/>
  <c r="R96" i="2"/>
  <c r="Q96" i="2"/>
  <c r="P96" i="2"/>
  <c r="Y96" i="2"/>
  <c r="S96" i="2"/>
  <c r="T96" i="2"/>
  <c r="Q163" i="2"/>
  <c r="P163" i="2"/>
  <c r="R163" i="2"/>
  <c r="S163" i="2"/>
  <c r="T163" i="2"/>
  <c r="S40" i="2"/>
  <c r="Q40" i="2"/>
  <c r="R40" i="2"/>
  <c r="P40" i="2"/>
  <c r="T40" i="2"/>
  <c r="P24" i="2"/>
  <c r="Y24" i="2"/>
  <c r="Q24" i="2"/>
  <c r="T24" i="2"/>
  <c r="S24" i="2"/>
  <c r="R24" i="2"/>
  <c r="P7" i="2"/>
  <c r="Y7" i="2"/>
  <c r="T7" i="2"/>
  <c r="R7" i="2"/>
  <c r="Q7" i="2"/>
  <c r="S7" i="2"/>
  <c r="P46" i="2"/>
  <c r="R46" i="2"/>
  <c r="Q46" i="2"/>
  <c r="T46" i="2"/>
  <c r="S46" i="2"/>
  <c r="R21" i="2"/>
  <c r="P21" i="2"/>
  <c r="Y21" i="2"/>
  <c r="S21" i="2"/>
  <c r="Q21" i="2"/>
  <c r="T21" i="2"/>
  <c r="T154" i="2"/>
  <c r="S154" i="2"/>
  <c r="P154" i="2"/>
  <c r="Y154" i="2"/>
  <c r="Q154" i="2"/>
  <c r="R154" i="2"/>
  <c r="R118" i="2"/>
  <c r="Q118" i="2"/>
  <c r="T118" i="2"/>
  <c r="P118" i="2"/>
  <c r="Y118" i="2"/>
  <c r="S118" i="2"/>
  <c r="R48" i="2"/>
  <c r="P48" i="2"/>
  <c r="Q48" i="2"/>
  <c r="T48" i="2"/>
  <c r="S48" i="2"/>
  <c r="Q162" i="2"/>
  <c r="P162" i="2"/>
  <c r="T162" i="2"/>
  <c r="R162" i="2"/>
  <c r="S162" i="2"/>
  <c r="Q25" i="2"/>
  <c r="S25" i="2"/>
  <c r="P25" i="2"/>
  <c r="Y25" i="2"/>
  <c r="T25" i="2"/>
  <c r="R25" i="2"/>
  <c r="P43" i="2"/>
  <c r="R43" i="2"/>
  <c r="Q43" i="2"/>
  <c r="T43" i="2"/>
  <c r="S43" i="2"/>
  <c r="S131" i="2"/>
  <c r="Q131" i="2"/>
  <c r="R131" i="2"/>
  <c r="P131" i="2"/>
  <c r="T131" i="2"/>
  <c r="P115" i="2"/>
  <c r="Y115" i="2"/>
  <c r="T115" i="2"/>
  <c r="R115" i="2"/>
  <c r="S115" i="2"/>
  <c r="Q115" i="2"/>
  <c r="R164" i="2"/>
  <c r="Q164" i="2"/>
  <c r="P164" i="2"/>
  <c r="S164" i="2"/>
  <c r="T164" i="2"/>
  <c r="R191" i="2"/>
  <c r="Q191" i="2"/>
  <c r="T191" i="2"/>
  <c r="S191" i="2"/>
  <c r="P191" i="2"/>
  <c r="Y191" i="2"/>
  <c r="P156" i="2"/>
  <c r="Y156" i="2"/>
  <c r="T156" i="2"/>
  <c r="Q156" i="2"/>
  <c r="S156" i="2"/>
  <c r="R156" i="2"/>
  <c r="S88" i="2"/>
  <c r="Q88" i="2"/>
  <c r="P88" i="2"/>
  <c r="Y88" i="2"/>
  <c r="T88" i="2"/>
  <c r="R88" i="2"/>
  <c r="P121" i="2"/>
  <c r="Y121" i="2"/>
  <c r="R121" i="2"/>
  <c r="Q121" i="2"/>
  <c r="S121" i="2"/>
  <c r="T121" i="2"/>
  <c r="S187" i="2"/>
  <c r="Q187" i="2"/>
  <c r="P187" i="2"/>
  <c r="Y187" i="2"/>
  <c r="T187" i="2"/>
  <c r="R187" i="2"/>
  <c r="T39" i="2"/>
  <c r="P39" i="2"/>
  <c r="R39" i="2"/>
  <c r="Q39" i="2"/>
  <c r="S39" i="2"/>
  <c r="S22" i="2"/>
  <c r="Q22" i="2"/>
  <c r="P22" i="2"/>
  <c r="Y22" i="2"/>
  <c r="T22" i="2"/>
  <c r="R22" i="2"/>
  <c r="R60" i="2"/>
  <c r="Q60" i="2"/>
  <c r="P60" i="2"/>
  <c r="T60" i="2"/>
  <c r="S60" i="2"/>
  <c r="P190" i="2"/>
  <c r="Y190" i="2"/>
  <c r="R190" i="2"/>
  <c r="Q190" i="2"/>
  <c r="T190" i="2"/>
  <c r="S190" i="2"/>
  <c r="R61" i="2"/>
  <c r="Q61" i="2"/>
  <c r="P61" i="2"/>
  <c r="T61" i="2"/>
  <c r="S61" i="2"/>
  <c r="S14" i="2"/>
  <c r="Q14" i="2"/>
  <c r="P14" i="2"/>
  <c r="R14" i="2"/>
  <c r="T14" i="2"/>
  <c r="R70" i="2"/>
  <c r="Q70" i="2"/>
  <c r="T70" i="2"/>
  <c r="S70" i="2"/>
  <c r="P70" i="2"/>
  <c r="Y70" i="2"/>
  <c r="Q147" i="2"/>
  <c r="S147" i="2"/>
  <c r="R147" i="2"/>
  <c r="T147" i="2"/>
  <c r="P147" i="2"/>
  <c r="R185" i="2"/>
  <c r="P185" i="2"/>
  <c r="Y185" i="2"/>
  <c r="T185" i="2"/>
  <c r="S185" i="2"/>
  <c r="Q185" i="2"/>
  <c r="X41" i="2"/>
  <c r="Y41" i="2"/>
  <c r="X61" i="2"/>
  <c r="Y61" i="2"/>
  <c r="X47" i="2"/>
  <c r="Y47" i="2"/>
  <c r="X42" i="2"/>
  <c r="Y42" i="2"/>
  <c r="X39" i="2"/>
  <c r="Y39" i="2"/>
  <c r="X60" i="2"/>
  <c r="Y60" i="2"/>
  <c r="AA191" i="2"/>
  <c r="X40" i="2"/>
  <c r="Y40" i="2"/>
  <c r="X46" i="2"/>
  <c r="Y46" i="2"/>
  <c r="X48" i="2"/>
  <c r="Y48" i="2"/>
  <c r="X43" i="2"/>
  <c r="Y43" i="2"/>
  <c r="AB121" i="2"/>
  <c r="AB41" i="2"/>
  <c r="AB165" i="2"/>
  <c r="AA139" i="2"/>
  <c r="AA48" i="2"/>
  <c r="AA86" i="2"/>
  <c r="AA71" i="2"/>
  <c r="AB163" i="2"/>
  <c r="AB43" i="2"/>
  <c r="AA156" i="2"/>
  <c r="AB118" i="2"/>
  <c r="AB164" i="2"/>
  <c r="AB158" i="2"/>
  <c r="AB60" i="2"/>
  <c r="AB61" i="2"/>
  <c r="AA185" i="2"/>
  <c r="AA160" i="2"/>
  <c r="AB47" i="2"/>
  <c r="AB70" i="2"/>
  <c r="AB42" i="2"/>
  <c r="AB39" i="2"/>
  <c r="AB187" i="2"/>
  <c r="AB190" i="2"/>
  <c r="AA190" i="2"/>
  <c r="AB191" i="2"/>
  <c r="AA187" i="2"/>
  <c r="AB186" i="2"/>
  <c r="AA186" i="2"/>
  <c r="AB185" i="2"/>
  <c r="AB169" i="2"/>
  <c r="AA169" i="2"/>
  <c r="AB170" i="2"/>
  <c r="AA170" i="2"/>
  <c r="AB166" i="2"/>
  <c r="AA166" i="2"/>
  <c r="AA165" i="2"/>
  <c r="AA164" i="2"/>
  <c r="AA163" i="2"/>
  <c r="AB162" i="2"/>
  <c r="AB160" i="2"/>
  <c r="AA162" i="2"/>
  <c r="AA158" i="2"/>
  <c r="AA154" i="2"/>
  <c r="AB154" i="2"/>
  <c r="AA155" i="2"/>
  <c r="AB156" i="2"/>
  <c r="AB155" i="2"/>
  <c r="AB157" i="2"/>
  <c r="AA157" i="2"/>
  <c r="AB147" i="2"/>
  <c r="AA147" i="2"/>
  <c r="AA131" i="2"/>
  <c r="AB131" i="2"/>
  <c r="AA121" i="2"/>
  <c r="AB139" i="2"/>
  <c r="AB71" i="2"/>
  <c r="AA70" i="2"/>
  <c r="AA24" i="2"/>
  <c r="AB25" i="2"/>
  <c r="AA25" i="2"/>
  <c r="AB24" i="2"/>
  <c r="AB26" i="2"/>
  <c r="AA27" i="2"/>
  <c r="AB27" i="2"/>
  <c r="AA26" i="2"/>
  <c r="AA21" i="2"/>
  <c r="AB22" i="2"/>
  <c r="AA22" i="2"/>
  <c r="AB21" i="2"/>
  <c r="AA23" i="2"/>
  <c r="AB23" i="2"/>
  <c r="AB17" i="2"/>
  <c r="AA17" i="2"/>
  <c r="AB15" i="2"/>
  <c r="AA15" i="2"/>
  <c r="AB14" i="2"/>
  <c r="AA14" i="2"/>
  <c r="AB13" i="2"/>
  <c r="AA13" i="2"/>
  <c r="AB16" i="2"/>
  <c r="AA16" i="2"/>
  <c r="AB9" i="2"/>
  <c r="AA9" i="2"/>
  <c r="AB7" i="2"/>
  <c r="AA7" i="2"/>
  <c r="AA115" i="2"/>
  <c r="AA118" i="2"/>
  <c r="AB115" i="2"/>
  <c r="AB116" i="2"/>
  <c r="AA116" i="2"/>
  <c r="AB96" i="2"/>
  <c r="AA96" i="2"/>
  <c r="AB88" i="2"/>
  <c r="AA88" i="2"/>
  <c r="AB86" i="2"/>
  <c r="AA61" i="2"/>
  <c r="AA60" i="2"/>
  <c r="AB48" i="2"/>
  <c r="AA47" i="2"/>
  <c r="AA46" i="2"/>
  <c r="AB46" i="2"/>
  <c r="AA40" i="2"/>
  <c r="AB40" i="2"/>
  <c r="AA39" i="2"/>
  <c r="AA42" i="2"/>
  <c r="AA41" i="2"/>
  <c r="AA43" i="2"/>
  <c r="AB6" i="2"/>
  <c r="AA6" i="2"/>
  <c r="U144" i="2"/>
  <c r="V144" i="2"/>
  <c r="W175" i="2"/>
  <c r="W176" i="2"/>
  <c r="W177" i="2"/>
  <c r="W178" i="2"/>
  <c r="W179" i="2"/>
  <c r="W180" i="2"/>
  <c r="W167" i="2"/>
  <c r="W168" i="2"/>
  <c r="W171" i="2"/>
  <c r="W172" i="2"/>
  <c r="W173" i="2"/>
  <c r="W174" i="2"/>
  <c r="W152" i="2"/>
  <c r="W153" i="2"/>
  <c r="W159" i="2"/>
  <c r="W138" i="2"/>
  <c r="W144" i="2"/>
  <c r="W149" i="2"/>
  <c r="W150" i="2"/>
  <c r="W151" i="2"/>
  <c r="W130" i="2"/>
  <c r="V151" i="2"/>
  <c r="M159" i="2"/>
  <c r="L5" i="2"/>
  <c r="M5" i="2"/>
  <c r="L4" i="2"/>
  <c r="M4" i="2"/>
  <c r="H5" i="2"/>
  <c r="K5" i="2"/>
  <c r="N5" i="2"/>
  <c r="X5" i="2"/>
  <c r="H4" i="2"/>
  <c r="K4" i="2"/>
  <c r="N4" i="2"/>
  <c r="X4" i="2"/>
  <c r="L176" i="2"/>
  <c r="M176" i="2"/>
  <c r="U174" i="2"/>
  <c r="V174" i="2"/>
  <c r="M174" i="2"/>
  <c r="M173" i="2"/>
  <c r="U172" i="2"/>
  <c r="V172" i="2"/>
  <c r="M172" i="2"/>
  <c r="U171" i="2"/>
  <c r="V171" i="2"/>
  <c r="M171" i="2"/>
  <c r="H171" i="2"/>
  <c r="H172" i="2"/>
  <c r="H173" i="2"/>
  <c r="H174" i="2"/>
  <c r="H175" i="2"/>
  <c r="H176" i="2"/>
  <c r="H177" i="2"/>
  <c r="K171" i="2"/>
  <c r="K172" i="2"/>
  <c r="K173" i="2"/>
  <c r="K174" i="2"/>
  <c r="K175" i="2"/>
  <c r="K176" i="2"/>
  <c r="K177" i="2"/>
  <c r="M175" i="2"/>
  <c r="M177" i="2"/>
  <c r="N171" i="2"/>
  <c r="N172" i="2"/>
  <c r="N173" i="2"/>
  <c r="N174" i="2"/>
  <c r="N175" i="2"/>
  <c r="N176" i="2"/>
  <c r="N177" i="2"/>
  <c r="P20" i="20"/>
  <c r="K20" i="20"/>
  <c r="X173" i="2"/>
  <c r="P21" i="20"/>
  <c r="X175" i="2"/>
  <c r="X176" i="2"/>
  <c r="X177" i="2"/>
  <c r="M168" i="2"/>
  <c r="M167" i="2"/>
  <c r="H167" i="2"/>
  <c r="H168" i="2"/>
  <c r="K167" i="2"/>
  <c r="K168" i="2"/>
  <c r="N167" i="2"/>
  <c r="N168" i="2"/>
  <c r="X167" i="2"/>
  <c r="X168" i="2"/>
  <c r="L153" i="2"/>
  <c r="M153" i="2"/>
  <c r="V150" i="2"/>
  <c r="V149" i="2"/>
  <c r="H149" i="2"/>
  <c r="H150" i="2"/>
  <c r="H151" i="2"/>
  <c r="H152" i="2"/>
  <c r="H153" i="2"/>
  <c r="K149" i="2"/>
  <c r="K150" i="2"/>
  <c r="K151" i="2"/>
  <c r="K152" i="2"/>
  <c r="K153" i="2"/>
  <c r="M149" i="2"/>
  <c r="P149" i="2"/>
  <c r="M150" i="2"/>
  <c r="M151" i="2"/>
  <c r="M152" i="2"/>
  <c r="N149" i="2"/>
  <c r="N150" i="2"/>
  <c r="N151" i="2"/>
  <c r="N152" i="2"/>
  <c r="N153" i="2"/>
  <c r="N14" i="20"/>
  <c r="K14" i="20"/>
  <c r="N13" i="20"/>
  <c r="P13" i="20"/>
  <c r="K13" i="20"/>
  <c r="X152" i="2"/>
  <c r="X153" i="2"/>
  <c r="L144" i="2"/>
  <c r="M144" i="2"/>
  <c r="U138" i="2"/>
  <c r="V138" i="2"/>
  <c r="U130" i="2"/>
  <c r="V130" i="2"/>
  <c r="L130" i="2"/>
  <c r="M130" i="2"/>
  <c r="L125" i="2"/>
  <c r="M125" i="2"/>
  <c r="L124" i="2"/>
  <c r="M124" i="2"/>
  <c r="H119" i="2"/>
  <c r="H120" i="2"/>
  <c r="H122" i="2"/>
  <c r="H123" i="2"/>
  <c r="H124" i="2"/>
  <c r="H125" i="2"/>
  <c r="H126" i="2"/>
  <c r="H130" i="2"/>
  <c r="H138" i="2"/>
  <c r="H144" i="2"/>
  <c r="H159" i="2"/>
  <c r="K119" i="2"/>
  <c r="K120" i="2"/>
  <c r="K122" i="2"/>
  <c r="K123" i="2"/>
  <c r="K124" i="2"/>
  <c r="K125" i="2"/>
  <c r="K126" i="2"/>
  <c r="K130" i="2"/>
  <c r="K138" i="2"/>
  <c r="K144" i="2"/>
  <c r="K159" i="2"/>
  <c r="M119" i="2"/>
  <c r="M122" i="2"/>
  <c r="M123" i="2"/>
  <c r="M126" i="2"/>
  <c r="M138" i="2"/>
  <c r="N119" i="2"/>
  <c r="N120" i="2"/>
  <c r="N122" i="2"/>
  <c r="N123" i="2"/>
  <c r="N124" i="2"/>
  <c r="N125" i="2"/>
  <c r="N126" i="2"/>
  <c r="N130" i="2"/>
  <c r="N138" i="2"/>
  <c r="N144" i="2"/>
  <c r="N159" i="2"/>
  <c r="X119" i="2"/>
  <c r="X122" i="2"/>
  <c r="X123" i="2"/>
  <c r="X124" i="2"/>
  <c r="X125" i="2"/>
  <c r="X126" i="2"/>
  <c r="P23" i="20"/>
  <c r="X147" i="2"/>
  <c r="Y147" i="2"/>
  <c r="X159" i="2"/>
  <c r="H117" i="2"/>
  <c r="K117" i="2"/>
  <c r="M117" i="2"/>
  <c r="N117" i="2"/>
  <c r="X117" i="2"/>
  <c r="H111" i="2"/>
  <c r="H112" i="2"/>
  <c r="H113" i="2"/>
  <c r="H114" i="2"/>
  <c r="K111" i="2"/>
  <c r="K112" i="2"/>
  <c r="K113" i="2"/>
  <c r="K114" i="2"/>
  <c r="M111" i="2"/>
  <c r="M112" i="2"/>
  <c r="M113" i="2"/>
  <c r="M114" i="2"/>
  <c r="N111" i="2"/>
  <c r="N112" i="2"/>
  <c r="N113" i="2"/>
  <c r="N114" i="2"/>
  <c r="X111" i="2"/>
  <c r="X112" i="2"/>
  <c r="X113" i="2"/>
  <c r="X114" i="2"/>
  <c r="H109" i="2"/>
  <c r="H110" i="2"/>
  <c r="K109" i="2"/>
  <c r="K110" i="2"/>
  <c r="M109" i="2"/>
  <c r="M110" i="2"/>
  <c r="N109" i="2"/>
  <c r="N110" i="2"/>
  <c r="X109" i="2"/>
  <c r="X110" i="2"/>
  <c r="H105" i="2"/>
  <c r="H106" i="2"/>
  <c r="K105" i="2"/>
  <c r="K106" i="2"/>
  <c r="M105" i="2"/>
  <c r="M106" i="2"/>
  <c r="N105" i="2"/>
  <c r="N106" i="2"/>
  <c r="X105" i="2"/>
  <c r="X106" i="2"/>
  <c r="H107" i="2"/>
  <c r="K107" i="2"/>
  <c r="M107" i="2"/>
  <c r="N107" i="2"/>
  <c r="X107" i="2"/>
  <c r="H108" i="2"/>
  <c r="K108" i="2"/>
  <c r="M108" i="2"/>
  <c r="N108" i="2"/>
  <c r="X108" i="2"/>
  <c r="H97" i="2"/>
  <c r="H98" i="2"/>
  <c r="H99" i="2"/>
  <c r="H100" i="2"/>
  <c r="K97" i="2"/>
  <c r="K98" i="2"/>
  <c r="K99" i="2"/>
  <c r="K100" i="2"/>
  <c r="M97" i="2"/>
  <c r="M98" i="2"/>
  <c r="M99" i="2"/>
  <c r="M100" i="2"/>
  <c r="N97" i="2"/>
  <c r="N98" i="2"/>
  <c r="N99" i="2"/>
  <c r="N100" i="2"/>
  <c r="X97" i="2"/>
  <c r="X98" i="2"/>
  <c r="X99" i="2"/>
  <c r="X100" i="2"/>
  <c r="H101" i="2"/>
  <c r="H102" i="2"/>
  <c r="K101" i="2"/>
  <c r="K102" i="2"/>
  <c r="M101" i="2"/>
  <c r="M102" i="2"/>
  <c r="N101" i="2"/>
  <c r="N102" i="2"/>
  <c r="X101" i="2"/>
  <c r="X102" i="2"/>
  <c r="H103" i="2"/>
  <c r="K103" i="2"/>
  <c r="M103" i="2"/>
  <c r="N103" i="2"/>
  <c r="X103" i="2"/>
  <c r="H104" i="2"/>
  <c r="K104" i="2"/>
  <c r="M104" i="2"/>
  <c r="N104" i="2"/>
  <c r="X104" i="2"/>
  <c r="L184" i="2"/>
  <c r="M184" i="2"/>
  <c r="L183" i="2"/>
  <c r="M183" i="2"/>
  <c r="L182" i="2"/>
  <c r="M182" i="2"/>
  <c r="L181" i="2"/>
  <c r="M181" i="2"/>
  <c r="W66" i="2"/>
  <c r="L66" i="2"/>
  <c r="M66" i="2"/>
  <c r="W65" i="2"/>
  <c r="W64" i="2"/>
  <c r="U65" i="2"/>
  <c r="V65" i="2"/>
  <c r="U64" i="2"/>
  <c r="V64" i="2"/>
  <c r="U55" i="2"/>
  <c r="V55" i="2"/>
  <c r="U56" i="2"/>
  <c r="V56" i="2"/>
  <c r="U57" i="2"/>
  <c r="V57" i="2"/>
  <c r="U59" i="2"/>
  <c r="V59" i="2"/>
  <c r="U62" i="2"/>
  <c r="V62" i="2"/>
  <c r="U63" i="2"/>
  <c r="V63" i="2"/>
  <c r="U54" i="2"/>
  <c r="V54" i="2"/>
  <c r="W54" i="2"/>
  <c r="W55" i="2"/>
  <c r="W56" i="2"/>
  <c r="W57" i="2"/>
  <c r="W59" i="2"/>
  <c r="W62" i="2"/>
  <c r="W63" i="2"/>
  <c r="W50" i="2"/>
  <c r="W51" i="2"/>
  <c r="L51" i="2"/>
  <c r="U51" i="2"/>
  <c r="V51" i="2"/>
  <c r="L50" i="2"/>
  <c r="M50" i="2"/>
  <c r="W31" i="2"/>
  <c r="W32" i="2"/>
  <c r="W33" i="2"/>
  <c r="W34" i="2"/>
  <c r="W35" i="2"/>
  <c r="W36" i="2"/>
  <c r="W37" i="2"/>
  <c r="W38" i="2"/>
  <c r="W44" i="2"/>
  <c r="W45" i="2"/>
  <c r="U31" i="2"/>
  <c r="V31" i="2"/>
  <c r="U32" i="2"/>
  <c r="V32" i="2"/>
  <c r="U33" i="2"/>
  <c r="V33" i="2"/>
  <c r="U34" i="2"/>
  <c r="V34" i="2"/>
  <c r="U35" i="2"/>
  <c r="V35" i="2"/>
  <c r="U36" i="2"/>
  <c r="V36" i="2"/>
  <c r="U37" i="2"/>
  <c r="V37" i="2"/>
  <c r="U38" i="2"/>
  <c r="V38" i="2"/>
  <c r="U44" i="2"/>
  <c r="V44" i="2"/>
  <c r="U45" i="2"/>
  <c r="V45" i="2"/>
  <c r="U30" i="2"/>
  <c r="V30" i="2"/>
  <c r="W30" i="2"/>
  <c r="W29" i="2"/>
  <c r="W28" i="2"/>
  <c r="M30" i="2"/>
  <c r="L178" i="2"/>
  <c r="M178" i="2"/>
  <c r="V180" i="2"/>
  <c r="H179" i="2"/>
  <c r="K179" i="2"/>
  <c r="M179" i="2"/>
  <c r="N179" i="2"/>
  <c r="X179" i="2"/>
  <c r="H178" i="2"/>
  <c r="H180" i="2"/>
  <c r="H181" i="2"/>
  <c r="H182" i="2"/>
  <c r="H183" i="2"/>
  <c r="H184" i="2"/>
  <c r="K178" i="2"/>
  <c r="K180" i="2"/>
  <c r="K181" i="2"/>
  <c r="K182" i="2"/>
  <c r="K183" i="2"/>
  <c r="K184" i="2"/>
  <c r="M180" i="2"/>
  <c r="N178" i="2"/>
  <c r="N180" i="2"/>
  <c r="N181" i="2"/>
  <c r="N182" i="2"/>
  <c r="N183" i="2"/>
  <c r="N184" i="2"/>
  <c r="X178" i="2"/>
  <c r="X181" i="2"/>
  <c r="X182" i="2"/>
  <c r="X183" i="2"/>
  <c r="X184" i="2"/>
  <c r="X94" i="2"/>
  <c r="N94" i="2"/>
  <c r="L94" i="2"/>
  <c r="M94" i="2"/>
  <c r="K94" i="2"/>
  <c r="H94" i="2"/>
  <c r="X82" i="2"/>
  <c r="N82" i="2"/>
  <c r="M82" i="2"/>
  <c r="K82" i="2"/>
  <c r="H82" i="2"/>
  <c r="W73" i="2"/>
  <c r="W72" i="2"/>
  <c r="U73" i="2"/>
  <c r="V73" i="2"/>
  <c r="U72" i="2"/>
  <c r="V72" i="2"/>
  <c r="H72" i="2"/>
  <c r="K72" i="2"/>
  <c r="M72" i="2"/>
  <c r="N72" i="2"/>
  <c r="H73" i="2"/>
  <c r="K73" i="2"/>
  <c r="M73" i="2"/>
  <c r="N73" i="2"/>
  <c r="H69" i="2"/>
  <c r="K69" i="2"/>
  <c r="M69" i="2"/>
  <c r="N69" i="2"/>
  <c r="X69" i="2"/>
  <c r="H65" i="2"/>
  <c r="H66" i="2"/>
  <c r="K65" i="2"/>
  <c r="K66" i="2"/>
  <c r="M65" i="2"/>
  <c r="N65" i="2"/>
  <c r="N66" i="2"/>
  <c r="H68" i="2"/>
  <c r="K68" i="2"/>
  <c r="M68" i="2"/>
  <c r="N68" i="2"/>
  <c r="X68" i="2"/>
  <c r="H64" i="2"/>
  <c r="K64" i="2"/>
  <c r="M64" i="2"/>
  <c r="N64" i="2"/>
  <c r="H67" i="2"/>
  <c r="K67" i="2"/>
  <c r="M67" i="2"/>
  <c r="N67" i="2"/>
  <c r="X67" i="2"/>
  <c r="H189" i="2"/>
  <c r="K189" i="2"/>
  <c r="M189" i="2"/>
  <c r="N189" i="2"/>
  <c r="X189" i="2"/>
  <c r="X95" i="2"/>
  <c r="W95" i="2"/>
  <c r="N95" i="2"/>
  <c r="M95" i="2"/>
  <c r="K95" i="2"/>
  <c r="H95" i="2"/>
  <c r="X93" i="2"/>
  <c r="W93" i="2"/>
  <c r="N93" i="2"/>
  <c r="L93" i="2"/>
  <c r="M93" i="2"/>
  <c r="K93" i="2"/>
  <c r="H93" i="2"/>
  <c r="W92" i="2"/>
  <c r="U92" i="2"/>
  <c r="V92" i="2"/>
  <c r="N92" i="2"/>
  <c r="M92" i="2"/>
  <c r="K92" i="2"/>
  <c r="H92" i="2"/>
  <c r="W91" i="2"/>
  <c r="U91" i="2"/>
  <c r="V91" i="2"/>
  <c r="N91" i="2"/>
  <c r="L91" i="2"/>
  <c r="M91" i="2"/>
  <c r="K91" i="2"/>
  <c r="H91" i="2"/>
  <c r="W90" i="2"/>
  <c r="U90" i="2"/>
  <c r="V90" i="2"/>
  <c r="N90" i="2"/>
  <c r="L90" i="2"/>
  <c r="M90" i="2"/>
  <c r="K90" i="2"/>
  <c r="H90" i="2"/>
  <c r="W89" i="2"/>
  <c r="U89" i="2"/>
  <c r="V89" i="2"/>
  <c r="N89" i="2"/>
  <c r="M89" i="2"/>
  <c r="K89" i="2"/>
  <c r="H89" i="2"/>
  <c r="X87" i="2"/>
  <c r="N87" i="2"/>
  <c r="M87" i="2"/>
  <c r="K87" i="2"/>
  <c r="H87" i="2"/>
  <c r="X85" i="2"/>
  <c r="N85" i="2"/>
  <c r="M85" i="2"/>
  <c r="K85" i="2"/>
  <c r="H85" i="2"/>
  <c r="X84" i="2"/>
  <c r="N84" i="2"/>
  <c r="M84" i="2"/>
  <c r="K84" i="2"/>
  <c r="H84" i="2"/>
  <c r="X83" i="2"/>
  <c r="N83" i="2"/>
  <c r="M83" i="2"/>
  <c r="K83" i="2"/>
  <c r="H83" i="2"/>
  <c r="X81" i="2"/>
  <c r="N81" i="2"/>
  <c r="M81" i="2"/>
  <c r="K81" i="2"/>
  <c r="H81" i="2"/>
  <c r="X80" i="2"/>
  <c r="N80" i="2"/>
  <c r="M80" i="2"/>
  <c r="K80" i="2"/>
  <c r="H80" i="2"/>
  <c r="X79" i="2"/>
  <c r="N79" i="2"/>
  <c r="L79" i="2"/>
  <c r="M79" i="2"/>
  <c r="K79" i="2"/>
  <c r="H79" i="2"/>
  <c r="X78" i="2"/>
  <c r="N78" i="2"/>
  <c r="M78" i="2"/>
  <c r="K78" i="2"/>
  <c r="H78" i="2"/>
  <c r="X77" i="2"/>
  <c r="W77" i="2"/>
  <c r="N77" i="2"/>
  <c r="M77" i="2"/>
  <c r="K77" i="2"/>
  <c r="H77" i="2"/>
  <c r="W76" i="2"/>
  <c r="U76" i="2"/>
  <c r="V76" i="2"/>
  <c r="N76" i="2"/>
  <c r="L76" i="2"/>
  <c r="M76" i="2"/>
  <c r="K76" i="2"/>
  <c r="H76" i="2"/>
  <c r="W75" i="2"/>
  <c r="U75" i="2"/>
  <c r="V75" i="2"/>
  <c r="N75" i="2"/>
  <c r="L75" i="2"/>
  <c r="M75" i="2"/>
  <c r="K75" i="2"/>
  <c r="H75" i="2"/>
  <c r="X74" i="2"/>
  <c r="W74" i="2"/>
  <c r="N74" i="2"/>
  <c r="M74" i="2"/>
  <c r="K74" i="2"/>
  <c r="H74" i="2"/>
  <c r="V29" i="2"/>
  <c r="V28" i="2"/>
  <c r="L3" i="2"/>
  <c r="M3" i="2"/>
  <c r="H28" i="2"/>
  <c r="H29" i="2"/>
  <c r="H30" i="2"/>
  <c r="H31" i="2"/>
  <c r="H32" i="2"/>
  <c r="H33" i="2"/>
  <c r="H34" i="2"/>
  <c r="H35" i="2"/>
  <c r="H36" i="2"/>
  <c r="H37" i="2"/>
  <c r="H38" i="2"/>
  <c r="H44" i="2"/>
  <c r="H45" i="2"/>
  <c r="H50" i="2"/>
  <c r="K28" i="2"/>
  <c r="K29" i="2"/>
  <c r="K30" i="2"/>
  <c r="K31" i="2"/>
  <c r="K32" i="2"/>
  <c r="K33" i="2"/>
  <c r="K34" i="2"/>
  <c r="K35" i="2"/>
  <c r="K36" i="2"/>
  <c r="K37" i="2"/>
  <c r="K38" i="2"/>
  <c r="K44" i="2"/>
  <c r="K45" i="2"/>
  <c r="K50" i="2"/>
  <c r="M28" i="2"/>
  <c r="M29" i="2"/>
  <c r="M31" i="2"/>
  <c r="M32" i="2"/>
  <c r="M33" i="2"/>
  <c r="M34" i="2"/>
  <c r="M35" i="2"/>
  <c r="M36" i="2"/>
  <c r="M37" i="2"/>
  <c r="M38" i="2"/>
  <c r="M44" i="2"/>
  <c r="M45" i="2"/>
  <c r="N28" i="2"/>
  <c r="N29" i="2"/>
  <c r="N30" i="2"/>
  <c r="N31" i="2"/>
  <c r="N32" i="2"/>
  <c r="N33" i="2"/>
  <c r="N34" i="2"/>
  <c r="N35" i="2"/>
  <c r="N36" i="2"/>
  <c r="N37" i="2"/>
  <c r="N38" i="2"/>
  <c r="N44" i="2"/>
  <c r="N45" i="2"/>
  <c r="N50" i="2"/>
  <c r="H51" i="2"/>
  <c r="H54" i="2"/>
  <c r="H55" i="2"/>
  <c r="H56" i="2"/>
  <c r="H57" i="2"/>
  <c r="H59" i="2"/>
  <c r="H62" i="2"/>
  <c r="K51" i="2"/>
  <c r="K54" i="2"/>
  <c r="K55" i="2"/>
  <c r="K56" i="2"/>
  <c r="K57" i="2"/>
  <c r="K59" i="2"/>
  <c r="K62" i="2"/>
  <c r="M54" i="2"/>
  <c r="M55" i="2"/>
  <c r="M56" i="2"/>
  <c r="M57" i="2"/>
  <c r="M59" i="2"/>
  <c r="M62" i="2"/>
  <c r="N51" i="2"/>
  <c r="N54" i="2"/>
  <c r="N55" i="2"/>
  <c r="N56" i="2"/>
  <c r="N57" i="2"/>
  <c r="N59" i="2"/>
  <c r="N62" i="2"/>
  <c r="H63" i="2"/>
  <c r="K63" i="2"/>
  <c r="M63" i="2"/>
  <c r="N63" i="2"/>
  <c r="O5" i="24"/>
  <c r="O4" i="24"/>
  <c r="O3" i="24"/>
  <c r="N5" i="24"/>
  <c r="N4" i="24"/>
  <c r="N3" i="24"/>
  <c r="E76" i="24"/>
  <c r="F76" i="24"/>
  <c r="D4" i="24"/>
  <c r="D5" i="24"/>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3" i="24"/>
  <c r="J44" i="21"/>
  <c r="K44" i="21"/>
  <c r="X18" i="2"/>
  <c r="X19" i="2"/>
  <c r="X20" i="2"/>
  <c r="P26" i="20"/>
  <c r="O26" i="20"/>
  <c r="P24" i="20"/>
  <c r="O22" i="20"/>
  <c r="K26" i="20"/>
  <c r="K24" i="20"/>
  <c r="G26" i="18"/>
  <c r="G21" i="18"/>
  <c r="B22" i="18"/>
  <c r="B27" i="18"/>
  <c r="G40" i="18"/>
  <c r="B40" i="18"/>
  <c r="G41" i="18"/>
  <c r="F10" i="18"/>
  <c r="F12" i="18"/>
  <c r="B41" i="18"/>
  <c r="A12" i="18"/>
  <c r="M19" i="2"/>
  <c r="M18" i="2"/>
  <c r="M20" i="2"/>
  <c r="H20" i="2"/>
  <c r="K20" i="2"/>
  <c r="N20" i="2"/>
  <c r="H3" i="2"/>
  <c r="H11" i="2"/>
  <c r="H12" i="2"/>
  <c r="K3" i="2"/>
  <c r="K11" i="2"/>
  <c r="K12" i="2"/>
  <c r="N3" i="2"/>
  <c r="N11" i="2"/>
  <c r="N12" i="2"/>
  <c r="H18" i="2"/>
  <c r="H19" i="2"/>
  <c r="K18" i="2"/>
  <c r="K19" i="2"/>
  <c r="N18" i="2"/>
  <c r="N19" i="2"/>
  <c r="BI39" i="20"/>
  <c r="BH39" i="20"/>
  <c r="BG39" i="20"/>
  <c r="BF39" i="20"/>
  <c r="BE39" i="20"/>
  <c r="BC39" i="20"/>
  <c r="BB39" i="20"/>
  <c r="BA39" i="20"/>
  <c r="AZ39" i="20"/>
  <c r="AY39" i="20"/>
  <c r="AW39" i="20"/>
  <c r="AV39" i="20"/>
  <c r="AU39" i="20"/>
  <c r="AS39" i="20"/>
  <c r="AR39" i="20"/>
  <c r="AQ39" i="20"/>
  <c r="AP39" i="20"/>
  <c r="AN39" i="20"/>
  <c r="AM39" i="20"/>
  <c r="AL39" i="20"/>
  <c r="AK39" i="20"/>
  <c r="AJ39" i="20"/>
  <c r="AH39" i="20"/>
  <c r="AG39" i="20"/>
  <c r="AF39" i="20"/>
  <c r="AE39" i="20"/>
  <c r="AD39" i="20"/>
  <c r="AB39" i="20"/>
  <c r="AA39" i="20"/>
  <c r="D5" i="17"/>
  <c r="AD192" i="2"/>
  <c r="I195" i="2"/>
  <c r="J195" i="2"/>
  <c r="P22" i="4"/>
  <c r="P24" i="4"/>
  <c r="P26" i="4"/>
  <c r="O24" i="4"/>
  <c r="O22" i="4"/>
  <c r="O26" i="4"/>
  <c r="P181" i="2"/>
  <c r="Y181" i="2"/>
  <c r="T181" i="2"/>
  <c r="R181" i="2"/>
  <c r="Q181" i="2"/>
  <c r="S181" i="2"/>
  <c r="S144" i="2"/>
  <c r="Q144" i="2"/>
  <c r="T144" i="2"/>
  <c r="P144" i="2"/>
  <c r="R144" i="2"/>
  <c r="Q89" i="2"/>
  <c r="P89" i="2"/>
  <c r="T89" i="2"/>
  <c r="R89" i="2"/>
  <c r="S89" i="2"/>
  <c r="T109" i="2"/>
  <c r="P109" i="2"/>
  <c r="Y109" i="2"/>
  <c r="S109" i="2"/>
  <c r="Q109" i="2"/>
  <c r="R109" i="2"/>
  <c r="T172" i="2"/>
  <c r="R172" i="2"/>
  <c r="P172" i="2"/>
  <c r="S172" i="2"/>
  <c r="Q172" i="2"/>
  <c r="R73" i="2"/>
  <c r="T73" i="2"/>
  <c r="S73" i="2"/>
  <c r="P73" i="2"/>
  <c r="Q73" i="2"/>
  <c r="S63" i="2"/>
  <c r="Q63" i="2"/>
  <c r="T63" i="2"/>
  <c r="P63" i="2"/>
  <c r="R63" i="2"/>
  <c r="P45" i="2"/>
  <c r="R45" i="2"/>
  <c r="Q45" i="2"/>
  <c r="S45" i="2"/>
  <c r="T45" i="2"/>
  <c r="R83" i="2"/>
  <c r="Q83" i="2"/>
  <c r="P83" i="2"/>
  <c r="Y83" i="2"/>
  <c r="T83" i="2"/>
  <c r="S83" i="2"/>
  <c r="P93" i="2"/>
  <c r="Y93" i="2"/>
  <c r="S93" i="2"/>
  <c r="R93" i="2"/>
  <c r="Q93" i="2"/>
  <c r="T93" i="2"/>
  <c r="Q183" i="2"/>
  <c r="P183" i="2"/>
  <c r="Y183" i="2"/>
  <c r="S183" i="2"/>
  <c r="R183" i="2"/>
  <c r="T183" i="2"/>
  <c r="P72" i="2"/>
  <c r="R72" i="2"/>
  <c r="T72" i="2"/>
  <c r="S72" i="2"/>
  <c r="Q72" i="2"/>
  <c r="Q184" i="2"/>
  <c r="P184" i="2"/>
  <c r="Y184" i="2"/>
  <c r="S184" i="2"/>
  <c r="T184" i="2"/>
  <c r="R184" i="2"/>
  <c r="S36" i="2"/>
  <c r="Q36" i="2"/>
  <c r="P36" i="2"/>
  <c r="R36" i="2"/>
  <c r="T36" i="2"/>
  <c r="R35" i="2"/>
  <c r="Q35" i="2"/>
  <c r="P35" i="2"/>
  <c r="T35" i="2"/>
  <c r="S35" i="2"/>
  <c r="T20" i="2"/>
  <c r="R20" i="2"/>
  <c r="P20" i="2"/>
  <c r="Y20" i="2"/>
  <c r="S20" i="2"/>
  <c r="Q20" i="2"/>
  <c r="R34" i="2"/>
  <c r="Q34" i="2"/>
  <c r="P34" i="2"/>
  <c r="T34" i="2"/>
  <c r="S34" i="2"/>
  <c r="P100" i="2"/>
  <c r="Y100" i="2"/>
  <c r="R100" i="2"/>
  <c r="Q100" i="2"/>
  <c r="T100" i="2"/>
  <c r="S100" i="2"/>
  <c r="R126" i="2"/>
  <c r="Q126" i="2"/>
  <c r="P126" i="2"/>
  <c r="Y126" i="2"/>
  <c r="S126" i="2"/>
  <c r="T126" i="2"/>
  <c r="P152" i="2"/>
  <c r="Y152" i="2"/>
  <c r="T152" i="2"/>
  <c r="S152" i="2"/>
  <c r="Q152" i="2"/>
  <c r="R152" i="2"/>
  <c r="Q103" i="2"/>
  <c r="P103" i="2"/>
  <c r="Y103" i="2"/>
  <c r="T103" i="2"/>
  <c r="S103" i="2"/>
  <c r="R103" i="2"/>
  <c r="Q123" i="2"/>
  <c r="P123" i="2"/>
  <c r="Y123" i="2"/>
  <c r="R123" i="2"/>
  <c r="S123" i="2"/>
  <c r="T123" i="2"/>
  <c r="Q57" i="2"/>
  <c r="P57" i="2"/>
  <c r="T57" i="2"/>
  <c r="S57" i="2"/>
  <c r="R57" i="2"/>
  <c r="T38" i="2"/>
  <c r="R38" i="2"/>
  <c r="P38" i="2"/>
  <c r="Q38" i="2"/>
  <c r="S38" i="2"/>
  <c r="T108" i="2"/>
  <c r="R108" i="2"/>
  <c r="P108" i="2"/>
  <c r="Y108" i="2"/>
  <c r="S108" i="2"/>
  <c r="Q108" i="2"/>
  <c r="S110" i="2"/>
  <c r="Q110" i="2"/>
  <c r="T110" i="2"/>
  <c r="P110" i="2"/>
  <c r="Y110" i="2"/>
  <c r="R110" i="2"/>
  <c r="P78" i="2"/>
  <c r="Y78" i="2"/>
  <c r="Q78" i="2"/>
  <c r="T78" i="2"/>
  <c r="R78" i="2"/>
  <c r="S78" i="2"/>
  <c r="P153" i="2"/>
  <c r="Y153" i="2"/>
  <c r="T153" i="2"/>
  <c r="Q153" i="2"/>
  <c r="S153" i="2"/>
  <c r="R153" i="2"/>
  <c r="T68" i="2"/>
  <c r="R68" i="2"/>
  <c r="P68" i="2"/>
  <c r="Y68" i="2"/>
  <c r="Q68" i="2"/>
  <c r="S68" i="2"/>
  <c r="P173" i="2"/>
  <c r="Y173" i="2"/>
  <c r="S173" i="2"/>
  <c r="R173" i="2"/>
  <c r="T173" i="2"/>
  <c r="Q173" i="2"/>
  <c r="R104" i="2"/>
  <c r="Q104" i="2"/>
  <c r="P104" i="2"/>
  <c r="Y104" i="2"/>
  <c r="S104" i="2"/>
  <c r="T104" i="2"/>
  <c r="S174" i="2"/>
  <c r="P174" i="2"/>
  <c r="R174" i="2"/>
  <c r="T174" i="2"/>
  <c r="Q174" i="2"/>
  <c r="R117" i="2"/>
  <c r="S117" i="2"/>
  <c r="Q117" i="2"/>
  <c r="P117" i="2"/>
  <c r="Y117" i="2"/>
  <c r="T117" i="2"/>
  <c r="T138" i="2"/>
  <c r="R138" i="2"/>
  <c r="P138" i="2"/>
  <c r="Q138" i="2"/>
  <c r="S138" i="2"/>
  <c r="T189" i="2"/>
  <c r="R189" i="2"/>
  <c r="P189" i="2"/>
  <c r="Y189" i="2"/>
  <c r="S189" i="2"/>
  <c r="Q189" i="2"/>
  <c r="P54" i="2"/>
  <c r="S54" i="2"/>
  <c r="T54" i="2"/>
  <c r="Q54" i="2"/>
  <c r="R54" i="2"/>
  <c r="P178" i="2"/>
  <c r="Y178" i="2"/>
  <c r="T178" i="2"/>
  <c r="Q178" i="2"/>
  <c r="R178" i="2"/>
  <c r="S178" i="2"/>
  <c r="R105" i="2"/>
  <c r="Q105" i="2"/>
  <c r="P105" i="2"/>
  <c r="Y105" i="2"/>
  <c r="S105" i="2"/>
  <c r="T105" i="2"/>
  <c r="Q124" i="2"/>
  <c r="P124" i="2"/>
  <c r="Y124" i="2"/>
  <c r="R124" i="2"/>
  <c r="S124" i="2"/>
  <c r="T124" i="2"/>
  <c r="P75" i="2"/>
  <c r="R75" i="2"/>
  <c r="T75" i="2"/>
  <c r="Q75" i="2"/>
  <c r="S75" i="2"/>
  <c r="T65" i="2"/>
  <c r="P65" i="2"/>
  <c r="Q65" i="2"/>
  <c r="S65" i="2"/>
  <c r="R65" i="2"/>
  <c r="R82" i="2"/>
  <c r="Q82" i="2"/>
  <c r="P82" i="2"/>
  <c r="Y82" i="2"/>
  <c r="S82" i="2"/>
  <c r="T82" i="2"/>
  <c r="P98" i="2"/>
  <c r="Y98" i="2"/>
  <c r="R98" i="2"/>
  <c r="Q98" i="2"/>
  <c r="S98" i="2"/>
  <c r="T98" i="2"/>
  <c r="S167" i="2"/>
  <c r="R167" i="2"/>
  <c r="P167" i="2"/>
  <c r="Y167" i="2"/>
  <c r="Q167" i="2"/>
  <c r="T167" i="2"/>
  <c r="S106" i="2"/>
  <c r="Q106" i="2"/>
  <c r="P106" i="2"/>
  <c r="Y106" i="2"/>
  <c r="T106" i="2"/>
  <c r="R106" i="2"/>
  <c r="Y120" i="2"/>
  <c r="R120" i="2"/>
  <c r="Q120" i="2"/>
  <c r="S120" i="2"/>
  <c r="T120" i="2"/>
  <c r="T87" i="2"/>
  <c r="P87" i="2"/>
  <c r="Y87" i="2"/>
  <c r="S87" i="2"/>
  <c r="R87" i="2"/>
  <c r="Q87" i="2"/>
  <c r="P180" i="2"/>
  <c r="T180" i="2"/>
  <c r="Q180" i="2"/>
  <c r="R180" i="2"/>
  <c r="S180" i="2"/>
  <c r="P30" i="2"/>
  <c r="T30" i="2"/>
  <c r="Q30" i="2"/>
  <c r="S30" i="2"/>
  <c r="R30" i="2"/>
  <c r="T114" i="2"/>
  <c r="R114" i="2"/>
  <c r="Q114" i="2"/>
  <c r="S114" i="2"/>
  <c r="P114" i="2"/>
  <c r="Y114" i="2"/>
  <c r="R125" i="2"/>
  <c r="Q125" i="2"/>
  <c r="P125" i="2"/>
  <c r="Y125" i="2"/>
  <c r="S125" i="2"/>
  <c r="T125" i="2"/>
  <c r="Q19" i="2"/>
  <c r="P19" i="2"/>
  <c r="Y19" i="2"/>
  <c r="S19" i="2"/>
  <c r="R19" i="2"/>
  <c r="T19" i="2"/>
  <c r="T176" i="2"/>
  <c r="Q176" i="2"/>
  <c r="P176" i="2"/>
  <c r="Y176" i="2"/>
  <c r="S176" i="2"/>
  <c r="R176" i="2"/>
  <c r="P31" i="2"/>
  <c r="Q31" i="2"/>
  <c r="S31" i="2"/>
  <c r="T31" i="2"/>
  <c r="R31" i="2"/>
  <c r="S62" i="2"/>
  <c r="Q62" i="2"/>
  <c r="T62" i="2"/>
  <c r="P62" i="2"/>
  <c r="R62" i="2"/>
  <c r="P29" i="2"/>
  <c r="T29" i="2"/>
  <c r="Q29" i="2"/>
  <c r="S29" i="2"/>
  <c r="R29" i="2"/>
  <c r="P122" i="2"/>
  <c r="Y122" i="2"/>
  <c r="Q122" i="2"/>
  <c r="R122" i="2"/>
  <c r="S122" i="2"/>
  <c r="T122" i="2"/>
  <c r="P150" i="2"/>
  <c r="Q150" i="2"/>
  <c r="S150" i="2"/>
  <c r="R150" i="2"/>
  <c r="T150" i="2"/>
  <c r="P97" i="2"/>
  <c r="Y97" i="2"/>
  <c r="R97" i="2"/>
  <c r="Q97" i="2"/>
  <c r="S97" i="2"/>
  <c r="T97" i="2"/>
  <c r="P119" i="2"/>
  <c r="Y119" i="2"/>
  <c r="R119" i="2"/>
  <c r="Q119" i="2"/>
  <c r="T119" i="2"/>
  <c r="S119" i="2"/>
  <c r="T149" i="2"/>
  <c r="R149" i="2"/>
  <c r="S149" i="2"/>
  <c r="Q149" i="2"/>
  <c r="P55" i="2"/>
  <c r="S55" i="2"/>
  <c r="T55" i="2"/>
  <c r="Q55" i="2"/>
  <c r="R55" i="2"/>
  <c r="T168" i="2"/>
  <c r="R168" i="2"/>
  <c r="P168" i="2"/>
  <c r="Y168" i="2"/>
  <c r="S168" i="2"/>
  <c r="Q168" i="2"/>
  <c r="P92" i="2"/>
  <c r="Q92" i="2"/>
  <c r="R92" i="2"/>
  <c r="T92" i="2"/>
  <c r="S92" i="2"/>
  <c r="P69" i="2"/>
  <c r="Y69" i="2"/>
  <c r="R69" i="2"/>
  <c r="Q69" i="2"/>
  <c r="S69" i="2"/>
  <c r="T69" i="2"/>
  <c r="P94" i="2"/>
  <c r="Y94" i="2"/>
  <c r="Q94" i="2"/>
  <c r="S94" i="2"/>
  <c r="R94" i="2"/>
  <c r="T94" i="2"/>
  <c r="P113" i="2"/>
  <c r="Y113" i="2"/>
  <c r="T113" i="2"/>
  <c r="S113" i="2"/>
  <c r="Q113" i="2"/>
  <c r="R113" i="2"/>
  <c r="S130" i="2"/>
  <c r="Q130" i="2"/>
  <c r="R130" i="2"/>
  <c r="T130" i="2"/>
  <c r="P130" i="2"/>
  <c r="Q4" i="2"/>
  <c r="T4" i="2"/>
  <c r="S4" i="2"/>
  <c r="R4" i="2"/>
  <c r="P4" i="2"/>
  <c r="Y4" i="2"/>
  <c r="T64" i="2"/>
  <c r="R64" i="2"/>
  <c r="P64" i="2"/>
  <c r="Q64" i="2"/>
  <c r="S64" i="2"/>
  <c r="R44" i="2"/>
  <c r="P44" i="2"/>
  <c r="Q44" i="2"/>
  <c r="S44" i="2"/>
  <c r="T44" i="2"/>
  <c r="R74" i="2"/>
  <c r="T74" i="2"/>
  <c r="Q74" i="2"/>
  <c r="S74" i="2"/>
  <c r="P74" i="2"/>
  <c r="Y74" i="2"/>
  <c r="P182" i="2"/>
  <c r="Y182" i="2"/>
  <c r="R182" i="2"/>
  <c r="Q182" i="2"/>
  <c r="T182" i="2"/>
  <c r="S182" i="2"/>
  <c r="Q171" i="2"/>
  <c r="P171" i="2"/>
  <c r="R171" i="2"/>
  <c r="S171" i="2"/>
  <c r="T171" i="2"/>
  <c r="S37" i="2"/>
  <c r="R37" i="2"/>
  <c r="P37" i="2"/>
  <c r="Q37" i="2"/>
  <c r="T37" i="2"/>
  <c r="T90" i="2"/>
  <c r="R90" i="2"/>
  <c r="P90" i="2"/>
  <c r="Q90" i="2"/>
  <c r="S90" i="2"/>
  <c r="S84" i="2"/>
  <c r="Q84" i="2"/>
  <c r="T84" i="2"/>
  <c r="R84" i="2"/>
  <c r="P84" i="2"/>
  <c r="Y84" i="2"/>
  <c r="T177" i="2"/>
  <c r="S177" i="2"/>
  <c r="Q177" i="2"/>
  <c r="P177" i="2"/>
  <c r="Y177" i="2"/>
  <c r="R177" i="2"/>
  <c r="P79" i="2"/>
  <c r="Y79" i="2"/>
  <c r="S79" i="2"/>
  <c r="Q79" i="2"/>
  <c r="R79" i="2"/>
  <c r="T79" i="2"/>
  <c r="P175" i="2"/>
  <c r="Y175" i="2"/>
  <c r="Q175" i="2"/>
  <c r="S175" i="2"/>
  <c r="T175" i="2"/>
  <c r="R175" i="2"/>
  <c r="S85" i="2"/>
  <c r="P85" i="2"/>
  <c r="Y85" i="2"/>
  <c r="T85" i="2"/>
  <c r="R85" i="2"/>
  <c r="Q85" i="2"/>
  <c r="P99" i="2"/>
  <c r="Y99" i="2"/>
  <c r="R99" i="2"/>
  <c r="Q99" i="2"/>
  <c r="T99" i="2"/>
  <c r="S99" i="2"/>
  <c r="Q80" i="2"/>
  <c r="P80" i="2"/>
  <c r="Y80" i="2"/>
  <c r="S80" i="2"/>
  <c r="R80" i="2"/>
  <c r="T80" i="2"/>
  <c r="S18" i="2"/>
  <c r="Q18" i="2"/>
  <c r="P18" i="2"/>
  <c r="Y18" i="2"/>
  <c r="R18" i="2"/>
  <c r="T18" i="2"/>
  <c r="Q33" i="2"/>
  <c r="P33" i="2"/>
  <c r="T33" i="2"/>
  <c r="S33" i="2"/>
  <c r="R33" i="2"/>
  <c r="R95" i="2"/>
  <c r="Q95" i="2"/>
  <c r="P95" i="2"/>
  <c r="Y95" i="2"/>
  <c r="S95" i="2"/>
  <c r="T95" i="2"/>
  <c r="S107" i="2"/>
  <c r="Q107" i="2"/>
  <c r="R107" i="2"/>
  <c r="T107" i="2"/>
  <c r="P107" i="2"/>
  <c r="Y107" i="2"/>
  <c r="Q32" i="2"/>
  <c r="P32" i="2"/>
  <c r="T32" i="2"/>
  <c r="R32" i="2"/>
  <c r="S32" i="2"/>
  <c r="Q59" i="2"/>
  <c r="P59" i="2"/>
  <c r="T59" i="2"/>
  <c r="S59" i="2"/>
  <c r="R59" i="2"/>
  <c r="P28" i="2"/>
  <c r="Q28" i="2"/>
  <c r="S28" i="2"/>
  <c r="T28" i="2"/>
  <c r="R28" i="2"/>
  <c r="P91" i="2"/>
  <c r="T91" i="2"/>
  <c r="R91" i="2"/>
  <c r="Q91" i="2"/>
  <c r="S91" i="2"/>
  <c r="P179" i="2"/>
  <c r="Y179" i="2"/>
  <c r="T179" i="2"/>
  <c r="Q179" i="2"/>
  <c r="R179" i="2"/>
  <c r="S179" i="2"/>
  <c r="T151" i="2"/>
  <c r="Q151" i="2"/>
  <c r="S151" i="2"/>
  <c r="P151" i="2"/>
  <c r="R151" i="2"/>
  <c r="P56" i="2"/>
  <c r="S56" i="2"/>
  <c r="T56" i="2"/>
  <c r="Q56" i="2"/>
  <c r="R56" i="2"/>
  <c r="P76" i="2"/>
  <c r="Q76" i="2"/>
  <c r="S76" i="2"/>
  <c r="T76" i="2"/>
  <c r="R76" i="2"/>
  <c r="Q3" i="2"/>
  <c r="S3" i="2"/>
  <c r="R3" i="2"/>
  <c r="T3" i="2"/>
  <c r="P3" i="2"/>
  <c r="Q81" i="2"/>
  <c r="P81" i="2"/>
  <c r="Y81" i="2"/>
  <c r="S81" i="2"/>
  <c r="R81" i="2"/>
  <c r="T81" i="2"/>
  <c r="Q67" i="2"/>
  <c r="T67" i="2"/>
  <c r="S67" i="2"/>
  <c r="P67" i="2"/>
  <c r="Y67" i="2"/>
  <c r="R67" i="2"/>
  <c r="Q102" i="2"/>
  <c r="P102" i="2"/>
  <c r="Y102" i="2"/>
  <c r="T102" i="2"/>
  <c r="S102" i="2"/>
  <c r="R102" i="2"/>
  <c r="T112" i="2"/>
  <c r="R112" i="2"/>
  <c r="P112" i="2"/>
  <c r="Y112" i="2"/>
  <c r="S112" i="2"/>
  <c r="Q112" i="2"/>
  <c r="P5" i="2"/>
  <c r="Y5" i="2"/>
  <c r="D5" i="21"/>
  <c r="T5" i="2"/>
  <c r="S5" i="2"/>
  <c r="R5" i="2"/>
  <c r="Q5" i="2"/>
  <c r="P77" i="2"/>
  <c r="Y77" i="2"/>
  <c r="S77" i="2"/>
  <c r="T77" i="2"/>
  <c r="R77" i="2"/>
  <c r="Q77" i="2"/>
  <c r="P50" i="2"/>
  <c r="R50" i="2"/>
  <c r="S50" i="2"/>
  <c r="Q50" i="2"/>
  <c r="T50" i="2"/>
  <c r="S66" i="2"/>
  <c r="Q66" i="2"/>
  <c r="P66" i="2"/>
  <c r="T66" i="2"/>
  <c r="R66" i="2"/>
  <c r="P101" i="2"/>
  <c r="Y101" i="2"/>
  <c r="R101" i="2"/>
  <c r="T101" i="2"/>
  <c r="S101" i="2"/>
  <c r="Q101" i="2"/>
  <c r="Q111" i="2"/>
  <c r="T111" i="2"/>
  <c r="S111" i="2"/>
  <c r="R111" i="2"/>
  <c r="P111" i="2"/>
  <c r="Y111" i="2"/>
  <c r="P159" i="2"/>
  <c r="Y159" i="2"/>
  <c r="S159" i="2"/>
  <c r="T159" i="2"/>
  <c r="Q159" i="2"/>
  <c r="R159" i="2"/>
  <c r="X57" i="2"/>
  <c r="Y57" i="2"/>
  <c r="X59" i="2"/>
  <c r="Y59" i="2"/>
  <c r="X56" i="2"/>
  <c r="Y56" i="2"/>
  <c r="X180" i="2"/>
  <c r="Y180" i="2"/>
  <c r="X55" i="2"/>
  <c r="Y55" i="2"/>
  <c r="X64" i="2"/>
  <c r="Y64" i="2"/>
  <c r="X65" i="2"/>
  <c r="Y65" i="2"/>
  <c r="X31" i="2"/>
  <c r="Y31" i="2"/>
  <c r="X62" i="2"/>
  <c r="Y62" i="2"/>
  <c r="X28" i="2"/>
  <c r="Y28" i="2"/>
  <c r="X92" i="2"/>
  <c r="Y92" i="2"/>
  <c r="X76" i="2"/>
  <c r="Y76" i="2"/>
  <c r="X29" i="2"/>
  <c r="Y29" i="2"/>
  <c r="D29" i="21"/>
  <c r="X30" i="2"/>
  <c r="Y30" i="2"/>
  <c r="X51" i="2"/>
  <c r="Y51" i="2"/>
  <c r="X45" i="2"/>
  <c r="Y45" i="2"/>
  <c r="X73" i="2"/>
  <c r="Y73" i="2"/>
  <c r="X32" i="2"/>
  <c r="Y32" i="2"/>
  <c r="D32" i="21"/>
  <c r="X44" i="2"/>
  <c r="Y44" i="2"/>
  <c r="X72" i="2"/>
  <c r="Y72" i="2"/>
  <c r="X33" i="2"/>
  <c r="Y33" i="2"/>
  <c r="X38" i="2"/>
  <c r="Y38" i="2"/>
  <c r="X54" i="2"/>
  <c r="Y54" i="2"/>
  <c r="X75" i="2"/>
  <c r="Y75" i="2"/>
  <c r="X63" i="2"/>
  <c r="Y63" i="2"/>
  <c r="X37" i="2"/>
  <c r="Y37" i="2"/>
  <c r="X36" i="2"/>
  <c r="Y36" i="2"/>
  <c r="D36" i="21"/>
  <c r="X34" i="2"/>
  <c r="Y34" i="2"/>
  <c r="D34" i="21"/>
  <c r="X35" i="2"/>
  <c r="Y35" i="2"/>
  <c r="D35" i="21"/>
  <c r="AB183" i="2"/>
  <c r="AB151" i="2"/>
  <c r="AA59" i="2"/>
  <c r="AA80" i="2"/>
  <c r="AA172" i="2"/>
  <c r="AB82" i="2"/>
  <c r="AB64" i="2"/>
  <c r="AA173" i="2"/>
  <c r="AB54" i="2"/>
  <c r="AA74" i="2"/>
  <c r="AB37" i="2"/>
  <c r="AA73" i="2"/>
  <c r="AA114" i="2"/>
  <c r="AB112" i="2"/>
  <c r="AB83" i="2"/>
  <c r="AB111" i="2"/>
  <c r="AA113" i="2"/>
  <c r="AA110" i="2"/>
  <c r="AA28" i="2"/>
  <c r="AA107" i="2"/>
  <c r="AB109" i="2"/>
  <c r="AA153" i="2"/>
  <c r="AA79" i="2"/>
  <c r="AB98" i="2"/>
  <c r="AA97" i="2"/>
  <c r="AA123" i="2"/>
  <c r="AA67" i="2"/>
  <c r="AA152" i="2"/>
  <c r="M12" i="2"/>
  <c r="V12" i="2"/>
  <c r="M11" i="2"/>
  <c r="V11" i="2"/>
  <c r="X139" i="2"/>
  <c r="Y139" i="2"/>
  <c r="X131" i="2"/>
  <c r="Y131" i="2"/>
  <c r="X166" i="2"/>
  <c r="Y166" i="2"/>
  <c r="X165" i="2"/>
  <c r="Y165" i="2"/>
  <c r="X164" i="2"/>
  <c r="Y164" i="2"/>
  <c r="X163" i="2"/>
  <c r="Y163" i="2"/>
  <c r="X162" i="2"/>
  <c r="Y162" i="2"/>
  <c r="X169" i="2"/>
  <c r="Y169" i="2"/>
  <c r="X170" i="2"/>
  <c r="Y170" i="2"/>
  <c r="O21" i="20"/>
  <c r="N21" i="20"/>
  <c r="AB150" i="2"/>
  <c r="AB123" i="2"/>
  <c r="AA189" i="2"/>
  <c r="U66" i="2"/>
  <c r="V66" i="2"/>
  <c r="AA36" i="2"/>
  <c r="AA83" i="2"/>
  <c r="AB126" i="2"/>
  <c r="AB113" i="2"/>
  <c r="AA44" i="2"/>
  <c r="AA105" i="2"/>
  <c r="AA84" i="2"/>
  <c r="AA32" i="2"/>
  <c r="AB149" i="2"/>
  <c r="AA150" i="2"/>
  <c r="AB182" i="2"/>
  <c r="AA62" i="2"/>
  <c r="AA45" i="2"/>
  <c r="AA92" i="2"/>
  <c r="G44" i="18"/>
  <c r="AA54" i="2"/>
  <c r="AB84" i="2"/>
  <c r="AB92" i="2"/>
  <c r="AB87" i="2"/>
  <c r="R26" i="4"/>
  <c r="AA87" i="2"/>
  <c r="AA180" i="2"/>
  <c r="R24" i="4"/>
  <c r="AA78" i="2"/>
  <c r="AB108" i="2"/>
  <c r="AB95" i="2"/>
  <c r="N6" i="24"/>
  <c r="AA33" i="2"/>
  <c r="AB65" i="2"/>
  <c r="U50" i="2"/>
  <c r="V50" i="2"/>
  <c r="AB33" i="2"/>
  <c r="AB44" i="2"/>
  <c r="AB34" i="2"/>
  <c r="AB80" i="2"/>
  <c r="AB94" i="2"/>
  <c r="AA94" i="2"/>
  <c r="AA125" i="2"/>
  <c r="AB36" i="2"/>
  <c r="M51" i="2"/>
  <c r="D22" i="21"/>
  <c r="AB105" i="2"/>
  <c r="AB85" i="2"/>
  <c r="AB59" i="2"/>
  <c r="D27" i="21"/>
  <c r="AB30" i="2"/>
  <c r="AA68" i="2"/>
  <c r="G16" i="18"/>
  <c r="AB122" i="2"/>
  <c r="AA151" i="2"/>
  <c r="AB68" i="2"/>
  <c r="AB119" i="2"/>
  <c r="AA119" i="2"/>
  <c r="AA149" i="2"/>
  <c r="AA31" i="2"/>
  <c r="AA34" i="2"/>
  <c r="AA38" i="2"/>
  <c r="AA56" i="2"/>
  <c r="B44" i="18"/>
  <c r="AA37" i="2"/>
  <c r="X138" i="2"/>
  <c r="Y138" i="2"/>
  <c r="AA76" i="2"/>
  <c r="AB75" i="2"/>
  <c r="AB144" i="2"/>
  <c r="AA109" i="2"/>
  <c r="X89" i="2"/>
  <c r="Y89" i="2"/>
  <c r="AB125" i="2"/>
  <c r="AA85" i="2"/>
  <c r="AB69" i="2"/>
  <c r="AB35" i="2"/>
  <c r="AA69" i="2"/>
  <c r="B16" i="18"/>
  <c r="B17" i="18"/>
  <c r="B26" i="18"/>
  <c r="B29" i="18"/>
  <c r="B30" i="18"/>
  <c r="M3" i="24"/>
  <c r="D76" i="24"/>
  <c r="AA177" i="2"/>
  <c r="M4" i="24"/>
  <c r="X91" i="2"/>
  <c r="Y91" i="2"/>
  <c r="AA111" i="2"/>
  <c r="B43" i="18"/>
  <c r="G43" i="18"/>
  <c r="AB177" i="2"/>
  <c r="AB62" i="2"/>
  <c r="AA63" i="2"/>
  <c r="AB72" i="2"/>
  <c r="M5" i="24"/>
  <c r="AB67" i="2"/>
  <c r="Q26" i="4"/>
  <c r="AB184" i="2"/>
  <c r="O6" i="24"/>
  <c r="AB55" i="2"/>
  <c r="AA65" i="2"/>
  <c r="X174" i="2"/>
  <c r="Y174" i="2"/>
  <c r="AA103" i="2"/>
  <c r="X144" i="2"/>
  <c r="Y144" i="2"/>
  <c r="Q24" i="4"/>
  <c r="AB110" i="2"/>
  <c r="X130" i="2"/>
  <c r="O23" i="20"/>
  <c r="N23" i="20"/>
  <c r="AA72" i="2"/>
  <c r="AA175" i="2"/>
  <c r="AA30" i="2"/>
  <c r="AA18" i="2"/>
  <c r="AB107" i="2"/>
  <c r="AB73" i="2"/>
  <c r="AA90" i="2"/>
  <c r="AB32" i="2"/>
  <c r="AA171" i="2"/>
  <c r="AB171" i="2"/>
  <c r="AA176" i="2"/>
  <c r="AB176" i="2"/>
  <c r="AA3" i="2"/>
  <c r="AB3" i="2"/>
  <c r="AA19" i="2"/>
  <c r="AB19" i="2"/>
  <c r="AB50" i="2"/>
  <c r="AA50" i="2"/>
  <c r="AA181" i="2"/>
  <c r="AB181" i="2"/>
  <c r="AA91" i="2"/>
  <c r="AB91" i="2"/>
  <c r="AB20" i="2"/>
  <c r="AA20" i="2"/>
  <c r="AB178" i="2"/>
  <c r="AA178" i="2"/>
  <c r="AA174" i="2"/>
  <c r="AB174" i="2"/>
  <c r="AA168" i="2"/>
  <c r="AB168" i="2"/>
  <c r="AB66" i="2"/>
  <c r="AA66" i="2"/>
  <c r="AA120" i="2"/>
  <c r="AB120" i="2"/>
  <c r="AA124" i="2"/>
  <c r="AB124" i="2"/>
  <c r="AA4" i="2"/>
  <c r="AB4" i="2"/>
  <c r="AB90" i="2"/>
  <c r="AB74" i="2"/>
  <c r="AA82" i="2"/>
  <c r="AA112" i="2"/>
  <c r="AB159" i="2"/>
  <c r="AB114" i="2"/>
  <c r="AA57" i="2"/>
  <c r="AA93" i="2"/>
  <c r="AA55" i="2"/>
  <c r="AB31" i="2"/>
  <c r="AB93" i="2"/>
  <c r="AA81" i="2"/>
  <c r="AB189" i="2"/>
  <c r="O20" i="20"/>
  <c r="AA183" i="2"/>
  <c r="AB106" i="2"/>
  <c r="AB138" i="2"/>
  <c r="AB167" i="2"/>
  <c r="AB29" i="2"/>
  <c r="AB45" i="2"/>
  <c r="AB180" i="2"/>
  <c r="AB103" i="2"/>
  <c r="AA106" i="2"/>
  <c r="AB130" i="2"/>
  <c r="AA108" i="2"/>
  <c r="AB18" i="2"/>
  <c r="AB63" i="2"/>
  <c r="AA35" i="2"/>
  <c r="AB77" i="2"/>
  <c r="AB76" i="2"/>
  <c r="AA179" i="2"/>
  <c r="AA159" i="2"/>
  <c r="AB179" i="2"/>
  <c r="AA144" i="2"/>
  <c r="X171" i="2"/>
  <c r="Y171" i="2"/>
  <c r="X172" i="2"/>
  <c r="Y172" i="2"/>
  <c r="AB79" i="2"/>
  <c r="AB100" i="2"/>
  <c r="X151" i="2"/>
  <c r="AB99" i="2"/>
  <c r="AA138" i="2"/>
  <c r="AB5" i="2"/>
  <c r="X90" i="2"/>
  <c r="Y90" i="2"/>
  <c r="AA182" i="2"/>
  <c r="AA130" i="2"/>
  <c r="AA5" i="2"/>
  <c r="AA77" i="2"/>
  <c r="N22" i="20"/>
  <c r="AB81" i="2"/>
  <c r="AB102" i="2"/>
  <c r="AA100" i="2"/>
  <c r="AB117" i="2"/>
  <c r="AA29" i="2"/>
  <c r="AB97" i="2"/>
  <c r="AA126" i="2"/>
  <c r="AB89" i="2"/>
  <c r="AB101" i="2"/>
  <c r="AA99" i="2"/>
  <c r="AA117" i="2"/>
  <c r="AB175" i="2"/>
  <c r="AB78" i="2"/>
  <c r="AA102" i="2"/>
  <c r="AA98" i="2"/>
  <c r="AB28" i="2"/>
  <c r="AA95" i="2"/>
  <c r="AA89" i="2"/>
  <c r="AA101" i="2"/>
  <c r="AA122" i="2"/>
  <c r="P14" i="20"/>
  <c r="AB173" i="2"/>
  <c r="AB104" i="2"/>
  <c r="AB172" i="2"/>
  <c r="AA167" i="2"/>
  <c r="AA104" i="2"/>
  <c r="AB153" i="2"/>
  <c r="O24" i="20"/>
  <c r="N24" i="20"/>
  <c r="AB152" i="2"/>
  <c r="N26" i="20"/>
  <c r="AB56" i="2"/>
  <c r="AB57" i="2"/>
  <c r="AA64" i="2"/>
  <c r="AB38" i="2"/>
  <c r="AA75" i="2"/>
  <c r="AA184" i="2"/>
  <c r="Y130" i="2"/>
  <c r="D24" i="21"/>
  <c r="D23" i="21"/>
  <c r="D21" i="21"/>
  <c r="Y151" i="2"/>
  <c r="Q11" i="2"/>
  <c r="P11" i="2"/>
  <c r="C11" i="21"/>
  <c r="R11" i="2"/>
  <c r="T11" i="2"/>
  <c r="S11" i="2"/>
  <c r="R12" i="2"/>
  <c r="Q12" i="2"/>
  <c r="P12" i="2"/>
  <c r="C12" i="21"/>
  <c r="S12" i="2"/>
  <c r="T12" i="2"/>
  <c r="P51" i="2"/>
  <c r="C39" i="21"/>
  <c r="S51" i="2"/>
  <c r="R51" i="2"/>
  <c r="T51" i="2"/>
  <c r="Q51" i="2"/>
  <c r="X12" i="2"/>
  <c r="Y12" i="2"/>
  <c r="X66" i="2"/>
  <c r="Y66" i="2"/>
  <c r="D51" i="21"/>
  <c r="X50" i="2"/>
  <c r="Y50" i="2"/>
  <c r="C5" i="21"/>
  <c r="AB11" i="2"/>
  <c r="AA51" i="2"/>
  <c r="X3" i="2"/>
  <c r="Y3" i="2"/>
  <c r="X11" i="2"/>
  <c r="Y11" i="2"/>
  <c r="AA11" i="2"/>
  <c r="AA12" i="2"/>
  <c r="AB12" i="2"/>
  <c r="P39" i="20"/>
  <c r="X157" i="2"/>
  <c r="Y157" i="2"/>
  <c r="C13" i="21"/>
  <c r="C21" i="21"/>
  <c r="C20" i="21"/>
  <c r="C52" i="21"/>
  <c r="D33" i="21"/>
  <c r="C75" i="21"/>
  <c r="D31" i="21"/>
  <c r="D30" i="21"/>
  <c r="C60" i="21"/>
  <c r="C46" i="21"/>
  <c r="C74" i="21"/>
  <c r="C58" i="21"/>
  <c r="C61" i="21"/>
  <c r="D28" i="21"/>
  <c r="C54" i="21"/>
  <c r="AB51" i="2"/>
  <c r="C32" i="21"/>
  <c r="C72" i="21"/>
  <c r="C36" i="21"/>
  <c r="D37" i="21"/>
  <c r="C24" i="21"/>
  <c r="C63" i="21"/>
  <c r="C17" i="21"/>
  <c r="C23" i="21"/>
  <c r="C18" i="21"/>
  <c r="C29" i="21"/>
  <c r="C42" i="21"/>
  <c r="H27" i="21"/>
  <c r="G45" i="18"/>
  <c r="G46" i="18"/>
  <c r="B45" i="18"/>
  <c r="B46" i="18"/>
  <c r="C9" i="21"/>
  <c r="C56" i="21"/>
  <c r="C43" i="21"/>
  <c r="C14" i="21"/>
  <c r="C65" i="21"/>
  <c r="D26" i="21"/>
  <c r="C53" i="21"/>
  <c r="C25" i="21"/>
  <c r="C64" i="21"/>
  <c r="C69" i="21"/>
  <c r="C44" i="21"/>
  <c r="C7" i="21"/>
  <c r="C22" i="21"/>
  <c r="C28" i="21"/>
  <c r="C55" i="21"/>
  <c r="G17" i="18"/>
  <c r="G29" i="18"/>
  <c r="G27" i="18"/>
  <c r="G30" i="18"/>
  <c r="C8" i="21"/>
  <c r="C10" i="21"/>
  <c r="C34" i="21"/>
  <c r="C19" i="21"/>
  <c r="C15" i="21"/>
  <c r="C16" i="21"/>
  <c r="M6" i="24"/>
  <c r="C57" i="21"/>
  <c r="C62" i="21"/>
  <c r="C59" i="21"/>
  <c r="C66" i="21"/>
  <c r="O39" i="20"/>
  <c r="D41" i="21"/>
  <c r="C68" i="21"/>
  <c r="C6" i="21"/>
  <c r="C67" i="21"/>
  <c r="C73" i="21"/>
  <c r="N20" i="20"/>
  <c r="N39" i="20"/>
  <c r="X149" i="2"/>
  <c r="Y149" i="2"/>
  <c r="X150" i="2"/>
  <c r="Y150" i="2"/>
  <c r="C70" i="21"/>
  <c r="D38" i="21"/>
  <c r="C4" i="21"/>
  <c r="D4" i="21"/>
  <c r="C3" i="21"/>
  <c r="C71" i="21"/>
  <c r="C51" i="21"/>
  <c r="D25" i="21"/>
  <c r="J21" i="21"/>
  <c r="R192" i="2"/>
  <c r="D6" i="21"/>
  <c r="P192" i="2"/>
  <c r="C76" i="21"/>
  <c r="D19" i="21"/>
  <c r="D20" i="21"/>
  <c r="D73" i="21"/>
  <c r="C50" i="21"/>
  <c r="C49" i="21"/>
  <c r="C48" i="21"/>
  <c r="C47" i="21"/>
  <c r="C45" i="21"/>
  <c r="D17" i="21"/>
  <c r="D18" i="21"/>
  <c r="C41" i="21"/>
  <c r="H26" i="21"/>
  <c r="C40" i="21"/>
  <c r="D15" i="21"/>
  <c r="D16" i="21"/>
  <c r="C38" i="21"/>
  <c r="D66" i="21"/>
  <c r="D13" i="21"/>
  <c r="D14" i="21"/>
  <c r="C37" i="21"/>
  <c r="D58" i="21"/>
  <c r="D50" i="21"/>
  <c r="C35" i="21"/>
  <c r="D9" i="21"/>
  <c r="D52" i="21"/>
  <c r="D56" i="21"/>
  <c r="D60" i="21"/>
  <c r="D46" i="21"/>
  <c r="D53" i="21"/>
  <c r="C33" i="21"/>
  <c r="D61" i="21"/>
  <c r="D45" i="21"/>
  <c r="J24" i="21"/>
  <c r="C31" i="21"/>
  <c r="D57" i="21"/>
  <c r="D44" i="21"/>
  <c r="D59" i="21"/>
  <c r="C30" i="21"/>
  <c r="D65" i="21"/>
  <c r="D64" i="21"/>
  <c r="D48" i="21"/>
  <c r="D75" i="21"/>
  <c r="D63" i="21"/>
  <c r="D71" i="21"/>
  <c r="H30" i="21"/>
  <c r="H31" i="21"/>
  <c r="H29" i="21"/>
  <c r="D67" i="21"/>
  <c r="D10" i="21"/>
  <c r="D70" i="21"/>
  <c r="H23" i="21"/>
  <c r="D7" i="21"/>
  <c r="D62" i="21"/>
  <c r="D39" i="21"/>
  <c r="D40" i="21"/>
  <c r="D54" i="21"/>
  <c r="D55" i="21"/>
  <c r="D8" i="21"/>
  <c r="D42" i="21"/>
  <c r="J27" i="21"/>
  <c r="D43" i="21"/>
  <c r="J26" i="21"/>
  <c r="D68" i="21"/>
  <c r="D12" i="21"/>
  <c r="G31" i="18"/>
  <c r="G32" i="18"/>
  <c r="D74" i="21"/>
  <c r="D69" i="21"/>
  <c r="H22" i="21"/>
  <c r="C26" i="21"/>
  <c r="H21" i="21"/>
  <c r="C27" i="21"/>
  <c r="D49" i="21"/>
  <c r="D72" i="21"/>
  <c r="D47" i="21"/>
  <c r="H20" i="21"/>
  <c r="D3" i="21"/>
  <c r="I3" i="21"/>
  <c r="J3" i="21"/>
  <c r="H32" i="21"/>
  <c r="D11" i="21"/>
  <c r="J23" i="21"/>
  <c r="Y192" i="2"/>
  <c r="Y194" i="2"/>
  <c r="I196" i="2"/>
  <c r="J196" i="2"/>
  <c r="H28" i="21"/>
  <c r="I2" i="21"/>
  <c r="J2" i="21"/>
  <c r="J22" i="21"/>
  <c r="H25" i="21"/>
  <c r="J30" i="21"/>
  <c r="J29" i="21"/>
  <c r="J25" i="21"/>
  <c r="H24" i="21"/>
  <c r="J31" i="21"/>
  <c r="J28" i="21"/>
  <c r="J32" i="21"/>
  <c r="J20" i="21"/>
  <c r="I1" i="21"/>
  <c r="J1" i="21"/>
  <c r="P195" i="2"/>
  <c r="P196" i="2"/>
  <c r="D76" i="21"/>
  <c r="H33" i="21"/>
  <c r="I32" i="21"/>
  <c r="J33" i="21"/>
  <c r="K20" i="21"/>
  <c r="I4" i="21"/>
  <c r="I28" i="21"/>
  <c r="I30" i="21"/>
  <c r="I22" i="21"/>
  <c r="I31" i="21"/>
  <c r="I23" i="21"/>
  <c r="I25" i="21"/>
  <c r="I27" i="21"/>
  <c r="I29" i="21"/>
  <c r="I21" i="21"/>
  <c r="I24" i="21"/>
  <c r="I26" i="21"/>
  <c r="I20" i="21"/>
  <c r="K27" i="21"/>
  <c r="K23" i="21"/>
  <c r="K25" i="21"/>
  <c r="K32" i="21"/>
  <c r="K22" i="21"/>
  <c r="K24" i="21"/>
  <c r="K30" i="21"/>
  <c r="K28" i="21"/>
  <c r="K29" i="21"/>
  <c r="K31" i="21"/>
  <c r="K21" i="21"/>
  <c r="K26" i="21"/>
  <c r="K33" i="21"/>
  <c r="I3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tc={BA90FD61-E2BB-4108-A1AE-11F5E2DF0878}</author>
    <author>tc={59532285-E7BB-48BA-B8CC-B022D8F5C547}</author>
    <author>tc={75AB9733-EDC0-4650-AF03-974757417FD7}</author>
    <author>tc={27724CE8-5DA1-4EDE-BA26-4468E5E0E401}</author>
    <author>tc={E816E2E9-7443-4ED5-A71B-71DABF025D61}</author>
    <author>tc={190B472E-23FE-4B3B-BC85-341A0E51E86D}</author>
    <author>tc={1A6E82B8-8FAD-425E-8108-FA737601B5E5}</author>
    <author>tc={F4C4C8E3-874F-43AB-B764-180A67E4DE3D}</author>
    <author>tc={817EBA5A-47A5-48F1-B904-717D33A6C1E9}</author>
    <author>tc={06C03985-04A6-47F0-939C-2E7CD61E5136}</author>
    <author>tc={5D5AA228-3753-495E-8097-1CA41851DEE4}</author>
    <author>tc={0251CFD8-C025-420D-8739-D69C19C03EA1}</author>
    <author>tc={FFC98D3A-AC9D-4186-A6DD-5793EEB1D282}</author>
    <author>tc={85D3DB98-8D66-42B7-99AE-ACECF838C776}</author>
    <author>tc={58718EC4-B6A5-402D-A80C-0FC74F747656}</author>
    <author>tc={B6CBFFD9-D287-4293-9205-7D041F2293DD}</author>
    <author>tc={2C0DA070-3682-49D7-BAAC-43275E243655}</author>
    <author>tc={34C1B981-190D-4950-BAE7-F926D360CEFB}</author>
    <author>tc={B67E84A9-02B2-4272-8969-F2AC071B5D12}</author>
    <author>tc={CCCC09DF-FAA1-424C-A1C1-53E501A1B0F7}</author>
    <author>tc={AA55FFDC-DCF1-4D45-8553-F7D70BEBA81F}</author>
    <author>tc={65EA44E5-4A6E-40B7-B057-98FDC36BD4CE}</author>
    <author>tc={3A3B5668-81C3-448A-A060-80C807FFD88A}</author>
    <author>tc={65829395-3AA6-44C5-BD9E-6978541CE37F}</author>
  </authors>
  <commentList>
    <comment ref="L3" authorId="0" shapeId="0" xr:uid="{BA90FD61-E2BB-4108-A1AE-11F5E2DF0878}">
      <text>
        <t xml:space="preserve">[Threaded comment]
Your version of Excel allows you to read this threaded comment; however, any edits to it will get removed if the file is opened in a newer version of Excel. Learn more: https://go.microsoft.com/fwlink/?linkid=870924
Comment:
    NMD: Stalen rijplaten van 1,5 m breed. </t>
      </text>
    </comment>
    <comment ref="L8" authorId="1" shapeId="0" xr:uid="{59532285-E7BB-48BA-B8CC-B022D8F5C547}">
      <text>
        <t>[Threaded comment]
Your version of Excel allows you to read this threaded comment; however, any edits to it will get removed if the file is opened in a newer version of Excel. Learn more: https://go.microsoft.com/fwlink/?linkid=870924
Comment:
    NMD H25
Tabel 23 proces c1</t>
      </text>
    </comment>
    <comment ref="L10" authorId="2" shapeId="0" xr:uid="{75AB9733-EDC0-4650-AF03-974757417FD7}">
      <text>
        <t>[Threaded comment]
Your version of Excel allows you to read this threaded comment; however, any edits to it will get removed if the file is opened in a newer version of Excel. Learn more: https://go.microsoft.com/fwlink/?linkid=870924
Comment:
    NMD H25
Tabel 24 proces c1</t>
      </text>
    </comment>
    <comment ref="L18" authorId="3" shapeId="0" xr:uid="{27724CE8-5DA1-4EDE-BA26-4468E5E0E401}">
      <text>
        <t>[Threaded comment]
Your version of Excel allows you to read this threaded comment; however, any edits to it will get removed if the file is opened in a newer version of Excel. Learn more: https://go.microsoft.com/fwlink/?linkid=870924
Comment:
    NMD H82:
Tabel 4:
Per m2: 654 kg</t>
      </text>
    </comment>
    <comment ref="L20" authorId="4" shapeId="0" xr:uid="{E816E2E9-7443-4ED5-A71B-71DABF025D61}">
      <text>
        <t>[Threaded comment]
Your version of Excel allows you to read this threaded comment; however, any edits to it will get removed if the file is opened in a newer version of Excel. Learn more: https://go.microsoft.com/fwlink/?linkid=870924
Comment:
    NMD H83:
Tabel 27
C3: 
per m: 126.3 kg</t>
      </text>
    </comment>
    <comment ref="E21" authorId="5" shapeId="0" xr:uid="{190B472E-23FE-4B3B-BC85-341A0E51E86D}">
      <text>
        <t>[Threaded comment]
Your version of Excel allows you to read this threaded comment; however, any edits to it will get removed if the file is opened in a newer version of Excel. Learn more: https://go.microsoft.com/fwlink/?linkid=870924
Comment:
    Buiten scope gehouden, geen impact</t>
      </text>
    </comment>
    <comment ref="E22" authorId="6" shapeId="0" xr:uid="{1A6E82B8-8FAD-425E-8108-FA737601B5E5}">
      <text>
        <t>[Threaded comment]
Your version of Excel allows you to read this threaded comment; however, any edits to it will get removed if the file is opened in a newer version of Excel. Learn more: https://go.microsoft.com/fwlink/?linkid=870924
Comment:
    NMD rapportage staat niks over sloop
Buiten scope gehouden
Reply:
    Waarschijnlijk omdat het grotendeels met arbeid wordt gedaan. Ik zou dit dan ook verwaarlozen.</t>
      </text>
    </comment>
    <comment ref="E23" authorId="7" shapeId="0" xr:uid="{F4C4C8E3-874F-43AB-B764-180A67E4DE3D}">
      <text>
        <t>[Threaded comment]
Your version of Excel allows you to read this threaded comment; however, any edits to it will get removed if the file is opened in a newer version of Excel. Learn more: https://go.microsoft.com/fwlink/?linkid=870924
Comment:
    Buiten scope gehouden, geen impact</t>
      </text>
    </comment>
    <comment ref="L25" authorId="8" shapeId="0" xr:uid="{817EBA5A-47A5-48F1-B904-717D33A6C1E9}">
      <text>
        <t>[Threaded comment]
Your version of Excel allows you to read this threaded comment; however, any edits to it will get removed if the file is opened in a newer version of Excel. Learn more: https://go.microsoft.com/fwlink/?linkid=870924
Comment:
    NMD H32 Tabel 4 C1</t>
      </text>
    </comment>
    <comment ref="E26" authorId="9" shapeId="0" xr:uid="{06C03985-04A6-47F0-939C-2E7CD61E5136}">
      <text>
        <t>[Threaded comment]
Your version of Excel allows you to read this threaded comment; however, any edits to it will get removed if the file is opened in a newer version of Excel. Learn more: https://go.microsoft.com/fwlink/?linkid=870924
Comment:
    Buiten scope, geen impact</t>
      </text>
    </comment>
    <comment ref="E27" authorId="10" shapeId="0" xr:uid="{5D5AA228-3753-495E-8097-1CA41851DEE4}">
      <text>
        <t>[Threaded comment]
Your version of Excel allows you to read this threaded comment; however, any edits to it will get removed if the file is opened in a newer version of Excel. Learn more: https://go.microsoft.com/fwlink/?linkid=870924
Comment:
    Geen impact, pion. Buiten scope gelaten</t>
      </text>
    </comment>
    <comment ref="L28" authorId="11" shapeId="0" xr:uid="{0251CFD8-C025-420D-8739-D69C19C03EA1}">
      <text>
        <t>[Threaded comment]
Your version of Excel allows you to read this threaded comment; however, any edits to it will get removed if the file is opened in a newer version of Excel. Learn more: https://go.microsoft.com/fwlink/?linkid=870924
Comment:
    Maaien 0.003 uur/m2 
Per are is 0.3 uur/are 
factor is 0.3</t>
      </text>
    </comment>
    <comment ref="L31" authorId="12" shapeId="0" xr:uid="{FFC98D3A-AC9D-4186-A6DD-5793EEB1D282}">
      <text>
        <t>[Threaded comment]
Your version of Excel allows you to read this threaded comment; however, any edits to it will get removed if the file is opened in a newer version of Excel. Learn more: https://go.microsoft.com/fwlink/?linkid=870924
Comment:
    Graafmachine, 50kW, categorie IIIB, diesel
60m3/uur
Factor is 1/60 = 0.0167 u/m3</t>
      </text>
    </comment>
    <comment ref="L66" authorId="13" shapeId="0" xr:uid="{85D3DB98-8D66-42B7-99AE-ACECF838C776}">
      <text>
        <t xml:space="preserve">[Threaded comment]
Your version of Excel allows you to read this threaded comment; however, any edits to it will get removed if the file is opened in a newer version of Excel. Learn more: https://go.microsoft.com/fwlink/?linkid=870924
Comment:
    Graafmachine, 50kW, categorie IIIB, diesel
Diepte is 1 m
60m3/uur
Factor is 1/60 = 0.0167 u/m3
</t>
      </text>
    </comment>
    <comment ref="L67" authorId="14" shapeId="0" xr:uid="{58718EC4-B6A5-402D-A80C-0FC74F747656}">
      <text>
        <t>[Threaded comment]
Your version of Excel allows you to read this threaded comment; however, any edits to it will get removed if the file is opened in a newer version of Excel. Learn more: https://go.microsoft.com/fwlink/?linkid=870924
Comment:
    Hoogte is 25 cm
Hoeveelheid in m2
Factor is 1/0.25 = 4</t>
      </text>
    </comment>
    <comment ref="L74" authorId="15" shapeId="0" xr:uid="{B6CBFFD9-D287-4293-9205-7D041F2293DD}">
      <text>
        <t xml:space="preserve">[Threaded comment]
Your version of Excel allows you to read this threaded comment; however, any edits to it will get removed if the file is opened in a newer version of Excel. Learn more: https://go.microsoft.com/fwlink/?linkid=870924
Comment:
    NMD data: PVC buis 200 mm, dikte 5,9 mm, 5,37 kg/m
Volume = pi*(0.1^2-0.094^2)= 0.0036 m3
dichtheid is 5.37/0.0036=1492 kg/m3 
PVC buis 250 mm, dikte 7,33 mm 
Volume = pi*(0.125^2-0.118^2)=0.0056 m3
gewicht is 1492*0.0056=8.3552 
factor is 8.35/5.37=1.55
</t>
      </text>
    </comment>
    <comment ref="L77" authorId="16" shapeId="0" xr:uid="{2C0DA070-3682-49D7-BAAC-43275E243655}">
      <text>
        <t xml:space="preserve">[Threaded comment]
Your version of Excel allows you to read this threaded comment; however, any edits to it will get removed if the file is opened in a newer version of Excel. Learn more: https://go.microsoft.com/fwlink/?linkid=870924
Comment:
    NMD data: PVC buis 63 mm, dikte 1,9 mm, 0.56 kg/m
Volume = pi*(0.0315^2-0.0296^2)=0.0003647 m3
dichtheid is 0.56/0.0003647=1535 kg/m3 
PVC buis 125 mm, dikte 3.57 mm 
Volume = pi*(0.0625^2-0.059^2)=0.00136 m3
gewicht is 1535*0.00136=2.0876 
factor is 2.0876 /0.56=3.73
</t>
      </text>
    </comment>
    <comment ref="L78" authorId="17" shapeId="0" xr:uid="{34C1B981-190D-4950-BAE7-F926D360CEFB}">
      <text>
        <t xml:space="preserve">[Threaded comment]
Your version of Excel allows you to read this threaded comment; however, any edits to it will get removed if the file is opened in a newer version of Excel. Learn more: https://go.microsoft.com/fwlink/?linkid=870924
Comment:
    NMD data: PVC buis 200 mm, dikte 5,9 mm, 5,37 kg/m
Volume = pi*(0.1^2-0.094^2)= 0.0036 m3
dichtheid is 5.37/0.0036=1492 kg/m3 
PVC buis 160 mm, dikte 4.7 mm 
Volume = pi*(0.08^2-0.0753^2)=0.00229  m3
gewicht is 1492*0.00229=3.42 
factor is 3.42/5.37=0.64
</t>
      </text>
    </comment>
    <comment ref="L79" authorId="18" shapeId="0" xr:uid="{B67E84A9-02B2-4272-8969-F2AC071B5D12}">
      <text>
        <t>[Threaded comment]
Your version of Excel allows you to read this threaded comment; however, any edits to it will get removed if the file is opened in a newer version of Excel. Learn more: https://go.microsoft.com/fwlink/?linkid=870924
Comment:
    NMD H25:
H3.3.8
Gewicht 160 mm: 3.44 kg/m
Gewicht 125 mm: 2.13 kg/m</t>
      </text>
    </comment>
    <comment ref="L85" authorId="19" shapeId="0" xr:uid="{CCCC09DF-FAA1-424C-A1C1-53E501A1B0F7}">
      <text>
        <t>[Threaded comment]
Your version of Excel allows you to read this threaded comment; however, any edits to it will get removed if the file is opened in a newer version of Excel. Learn more: https://go.microsoft.com/fwlink/?linkid=870924
Comment:
    Standpijp Kopen? 150cm, 175cm - Direct Leverbaar | Indutrade 
Standpijp lengte 1.75 m
Reply:
    Super!</t>
      </text>
    </comment>
    <comment ref="F126" authorId="20" shapeId="0" xr:uid="{AA55FFDC-DCF1-4D45-8553-F7D70BEBA81F}">
      <text>
        <t>[Threaded comment]
Your version of Excel allows you to read this threaded comment; however, any edits to it will get removed if the file is opened in a newer version of Excel. Learn more: https://go.microsoft.com/fwlink/?linkid=870924
Comment:
    Dit moet betongranulaat zijn</t>
      </text>
    </comment>
    <comment ref="E186" authorId="21" shapeId="0" xr:uid="{65EA44E5-4A6E-40B7-B057-98FDC36BD4CE}">
      <text>
        <t>[Threaded comment]
Your version of Excel allows you to read this threaded comment; however, any edits to it will get removed if the file is opened in a newer version of Excel. Learn more: https://go.microsoft.com/fwlink/?linkid=870924
Comment:
    Niet in NMD, buiten scope gelaten</t>
      </text>
    </comment>
    <comment ref="E190" authorId="22" shapeId="0" xr:uid="{3A3B5668-81C3-448A-A060-80C807FFD88A}">
      <text>
        <t>[Threaded comment]
Your version of Excel allows you to read this threaded comment; however, any edits to it will get removed if the file is opened in a newer version of Excel. Learn more: https://go.microsoft.com/fwlink/?linkid=870924
Comment:
    Staat niet in de NMD database, gaat om 1 stuk, buiten scope gelaten</t>
      </text>
    </comment>
    <comment ref="L191" authorId="23" shapeId="0" xr:uid="{65829395-3AA6-44C5-BD9E-6978541CE37F}">
      <text>
        <t>[Threaded comment]
Your version of Excel allows you to read this threaded comment; however, any edits to it will get removed if the file is opened in a newer version of Excel. Learn more: https://go.microsoft.com/fwlink/?linkid=870924
Comment:
    Lxbxh gemiddelde aanname
50 cm x 30 cm x 30 cm
Dichtheid 2700 kg/m3</t>
      </text>
    </comment>
  </commentList>
</comments>
</file>

<file path=xl/sharedStrings.xml><?xml version="1.0" encoding="utf-8"?>
<sst xmlns="http://schemas.openxmlformats.org/spreadsheetml/2006/main" count="4349" uniqueCount="794">
  <si>
    <t>#</t>
  </si>
  <si>
    <t>Opmerking</t>
  </si>
  <si>
    <t>Verwerking</t>
  </si>
  <si>
    <t>Let op de geel gearceerde omrekenfactoren. Daar mag je transparanter zijn over hoe je tot deze waardes komt.</t>
  </si>
  <si>
    <t>via opmerkingen duidelijk gemaakt</t>
  </si>
  <si>
    <t>Voor de sleuven en de open bemaling kun je ook het dieselverbruik op HVO als alternatief berekenen.</t>
  </si>
  <si>
    <t>verwerkt</t>
  </si>
  <si>
    <t>Voor zagen van asfalt bestaat het profiel: Asfalt-betonzaag (diesel).</t>
  </si>
  <si>
    <t>In moederbestek.nl staan nog veel meer betonproducten. Die kun je als alternatief toevoegen.</t>
  </si>
  <si>
    <t>Review WD 17 oktober 2025</t>
  </si>
  <si>
    <t>Let op, in sloopproces asfalt zit al een asfaltfrees. De items frezen onder kunnen dus weg, zijn dubbelop.</t>
  </si>
  <si>
    <t>Bij sloop steenachtig materiaal kan je ook C1-C2 uit de items nemen die gesloopt zijn, dat is waarschijnlijk makkelijker dan dat je nu hebt gedaan. Of met vinkje 'vrijkomend materiaal' aan in DuboCalc, dat doet hetzelfde</t>
  </si>
  <si>
    <t>Leveren grond 'zand voor zandbed'is een apart soort zand, staat als 'zand voor zandbed lementenverhardingen'in DuboCalc (zag dat je bij fietspad e.d. wel dat item hebt gekozen)</t>
  </si>
  <si>
    <t>Brekerzand is ook  zand, maar een gebroken fijne fractie. Is item 'brekerzand' in Dubocalc</t>
  </si>
  <si>
    <t>DDD boring, inzet machine toevoegen via item 'sleufloos, aanleg van leidingwerk per m1'</t>
  </si>
  <si>
    <t>De hoeveelheden van asfalt en beton zijn veranderd in het bestek t.o.v. de vorige versie, heb je die gecontroleerd en aangepast waar nodig?</t>
  </si>
  <si>
    <t>Kloppen de omrekenfactoren? Bij markering 1-1 en 0,5-0,5 streep is de markering steeds net zo lang als het gat tussen de markering, dus netto kom je dan op de helft van de lengte markering. Daarnaast heb je ook nog de dikte van d elijn, in het standaard item is dat 20 cm, bij STP 10 cm. Ik zou dan zeggen dat je omrekenfactor 0,5*0,5*1000 is om om te rekenen van lange naar breedte en van km naar m. Bij 1-3 heb je één stuk markering en dan 3 m geen markering, dus heb je netto op 25% van de lengte markering staan. En ook nog correctie voor de breedte.</t>
  </si>
  <si>
    <t>Review CA 31 oktober</t>
  </si>
  <si>
    <t>Let goed op bij de markeringen. Het is het meest overzichtelijk als je uitgaat van het doorlopende profiel.</t>
  </si>
  <si>
    <t>Ik hanteer eigenlijk nooit vrijkomend materiaal, omdat de berekening dan snel in de min kan komen te staan. Vaak zonder dat er extra stappen worden gezet voor verduurzaming. Je kunt het beste alleen materieelinzet meenemen.</t>
  </si>
  <si>
    <t>Heb je nog gekeken naar het verlagen van de MKI A5 van kleiner materieel bij bijv. betontegels en betonstraatstenen. Daar kun je A5 verlagen door naar het kleine elektrische materieel voor graafmachine te kijken.</t>
  </si>
  <si>
    <t>Mocht je tijd overhebben, mag je de profielen voor de brandstof-machinecombinaties omrekenen naar dieselverbruik in liters.</t>
  </si>
  <si>
    <t>Zie de opmerkingen in de tabel onder de oranje gekleurde velden.</t>
  </si>
  <si>
    <t xml:space="preserve">MKI-berekening                                              </t>
  </si>
  <si>
    <t>Projectnummer:</t>
  </si>
  <si>
    <t>BK4713</t>
  </si>
  <si>
    <t>Datum:</t>
  </si>
  <si>
    <t>Klant:</t>
  </si>
  <si>
    <t>STP</t>
  </si>
  <si>
    <t>Richtlijn/Standaard:</t>
  </si>
  <si>
    <t>Bepalingsmethode Milieuprestatie Bouwwerken v1.2 december 2024</t>
  </si>
  <si>
    <t xml:space="preserve">Database Toegepast: </t>
  </si>
  <si>
    <t>Nationale Milieu Database, d.d. 18-08-2025</t>
  </si>
  <si>
    <t xml:space="preserve">Opgesteld door: </t>
  </si>
  <si>
    <t>T. Lee-On</t>
  </si>
  <si>
    <t xml:space="preserve">Impactmethode: </t>
  </si>
  <si>
    <t>Milieu Kosten Indicator (MKI)</t>
  </si>
  <si>
    <t>e-mailadres: tahira.lee-on@haskoning.com</t>
  </si>
  <si>
    <t>Projectscope:</t>
  </si>
  <si>
    <t>Productie, transport, aanleg, onderhoud, sloop en verwerking (A-D)</t>
  </si>
  <si>
    <t>Projectlevensduur:</t>
  </si>
  <si>
    <t>50 jaar</t>
  </si>
  <si>
    <t>Inhoud</t>
  </si>
  <si>
    <t>Werkblad</t>
  </si>
  <si>
    <t>Inhoud werkblad</t>
  </si>
  <si>
    <t>1. Totaaloverzicht</t>
  </si>
  <si>
    <t>Totaaloverzicht van de analyse.</t>
  </si>
  <si>
    <t>2. Berekening</t>
  </si>
  <si>
    <t>Uiteenzetting van de MKI-berekening.</t>
  </si>
  <si>
    <t>3. Kengetallen (DC-uitdraai)</t>
  </si>
  <si>
    <t>Overzicht van de brondata voor de MKI-waarden uit de Nationale Milieudatabe.</t>
  </si>
  <si>
    <t>Projectomschrijving</t>
  </si>
  <si>
    <t>Projectgebied</t>
  </si>
  <si>
    <t>Dashboard: Totaaloverzicht MKI-waarden</t>
  </si>
  <si>
    <t>MKI-referentiewaarde</t>
  </si>
  <si>
    <t>Bovengrens</t>
  </si>
  <si>
    <t>Ondergrens</t>
  </si>
  <si>
    <t>bestek#</t>
  </si>
  <si>
    <t>code</t>
  </si>
  <si>
    <t>Post</t>
  </si>
  <si>
    <t xml:space="preserve">Onderdeel </t>
  </si>
  <si>
    <t>Omschrijving</t>
  </si>
  <si>
    <t>Milieuprofiel</t>
  </si>
  <si>
    <t>Potentieel alternatief</t>
  </si>
  <si>
    <t>Categorie milieuprofiel</t>
  </si>
  <si>
    <t>Volume</t>
  </si>
  <si>
    <t>Ehd bestek</t>
  </si>
  <si>
    <t>In scope</t>
  </si>
  <si>
    <t>Factor</t>
  </si>
  <si>
    <t>Hvd</t>
  </si>
  <si>
    <t>Ehd profiel</t>
  </si>
  <si>
    <t>Levensduur</t>
  </si>
  <si>
    <t>MKI A-D</t>
  </si>
  <si>
    <t>Productie</t>
  </si>
  <si>
    <t xml:space="preserve"> Bouw</t>
  </si>
  <si>
    <t>Gebruik en onderhoud</t>
  </si>
  <si>
    <t>Sloop- en verwerking</t>
  </si>
  <si>
    <t>omrekenfactor</t>
  </si>
  <si>
    <t>Hoeveelheid</t>
  </si>
  <si>
    <t>Eenheid</t>
  </si>
  <si>
    <t>MKI A-D nieuw</t>
  </si>
  <si>
    <t>Totaal nieuw</t>
  </si>
  <si>
    <t>Column1</t>
  </si>
  <si>
    <t>CO2 A</t>
  </si>
  <si>
    <t>CO2 A alt</t>
  </si>
  <si>
    <t>Toelichting</t>
  </si>
  <si>
    <t>Bron</t>
  </si>
  <si>
    <t>111310 &amp; 111370</t>
  </si>
  <si>
    <t>101412 &amp; 101432</t>
  </si>
  <si>
    <t>Aanvangswerken</t>
  </si>
  <si>
    <t>Voorbereidende werkzaamheden</t>
  </si>
  <si>
    <t>Aanbrengen en verwijderen rijplatenbaan.</t>
  </si>
  <si>
    <t>Stalen rijplaten</t>
  </si>
  <si>
    <t>m</t>
  </si>
  <si>
    <t>133010</t>
  </si>
  <si>
    <t>Verwijderen drainagebuis ø80 mm</t>
  </si>
  <si>
    <t>Sleuf, aanleg van leidingwerk of duiker per m1</t>
  </si>
  <si>
    <t>Graafmachine, cat. IV, diesel</t>
  </si>
  <si>
    <t>135010</t>
  </si>
  <si>
    <t>Verwijderen kunststofbuis ø250 mm</t>
  </si>
  <si>
    <t>153110</t>
  </si>
  <si>
    <t>810501</t>
  </si>
  <si>
    <t>Opruimen verharding</t>
  </si>
  <si>
    <t>Zagen van bitumineuze verharding, 230-280 mm.</t>
  </si>
  <si>
    <t>Asfaltbetonzaag diesel</t>
  </si>
  <si>
    <t>Graafmachine, cat. IV, HVO</t>
  </si>
  <si>
    <t>153120</t>
  </si>
  <si>
    <t>Zagen van bitumineuze verharding, 120-150 mm.</t>
  </si>
  <si>
    <t>153310</t>
  </si>
  <si>
    <t>810203</t>
  </si>
  <si>
    <t>Frezen getrapte aansluiting</t>
  </si>
  <si>
    <t>Asfaltfrees diesel</t>
  </si>
  <si>
    <t>m3</t>
  </si>
  <si>
    <t>153320</t>
  </si>
  <si>
    <t>153330</t>
  </si>
  <si>
    <t>153510</t>
  </si>
  <si>
    <t>810301</t>
  </si>
  <si>
    <t>Opbreken asfalt 230 mm</t>
  </si>
  <si>
    <t>m2</t>
  </si>
  <si>
    <t>153520</t>
  </si>
  <si>
    <t>Opbreken asfalt 120 mm</t>
  </si>
  <si>
    <t>154110</t>
  </si>
  <si>
    <t>827103</t>
  </si>
  <si>
    <t>Opnemen verharding van prefab. betonplaten</t>
  </si>
  <si>
    <t>Sloop steenachtig materiaal groot materieel</t>
  </si>
  <si>
    <t>154120</t>
  </si>
  <si>
    <t>157010</t>
  </si>
  <si>
    <t>831711</t>
  </si>
  <si>
    <t>Opbreken RWS-banden 110/220 x 250 mm.</t>
  </si>
  <si>
    <t>Sloop steenachtig materiaal klein materieel</t>
  </si>
  <si>
    <t>171010</t>
  </si>
  <si>
    <t>Verwijderen schrikhek</t>
  </si>
  <si>
    <t>st</t>
  </si>
  <si>
    <t>172010</t>
  </si>
  <si>
    <t>Verwijderen verkeersbordpaal, incl. bord</t>
  </si>
  <si>
    <t>172020</t>
  </si>
  <si>
    <t>Verwijderen verkeersborden</t>
  </si>
  <si>
    <t>173010</t>
  </si>
  <si>
    <t>Demarkeren gele markering</t>
  </si>
  <si>
    <t>Koudfrees diesel wegmarkering</t>
  </si>
  <si>
    <t>173020</t>
  </si>
  <si>
    <t>Demarkeren van witte markering</t>
  </si>
  <si>
    <t>175010</t>
  </si>
  <si>
    <t>Verwijderen betonnen geleidebarrier</t>
  </si>
  <si>
    <t>177010</t>
  </si>
  <si>
    <t>Verwijderen schildjes</t>
  </si>
  <si>
    <t>510103, 222107</t>
  </si>
  <si>
    <t xml:space="preserve">Grondwerken </t>
  </si>
  <si>
    <t>Maaien en frezen terrein</t>
  </si>
  <si>
    <t>Maaien en frezen van kruidachtige vegetatie</t>
  </si>
  <si>
    <t>Maaien met tractor, diesel</t>
  </si>
  <si>
    <t>Maaien met tractor, elektrisch</t>
  </si>
  <si>
    <t>are</t>
  </si>
  <si>
    <t xml:space="preserve">Ontgraven uit cunet </t>
  </si>
  <si>
    <t>Grond ontgraven uit cunet</t>
  </si>
  <si>
    <t>221020</t>
  </si>
  <si>
    <t>221030</t>
  </si>
  <si>
    <t>221040</t>
  </si>
  <si>
    <t>221050</t>
  </si>
  <si>
    <t>221060</t>
  </si>
  <si>
    <t>221070</t>
  </si>
  <si>
    <t>221080</t>
  </si>
  <si>
    <t>221090</t>
  </si>
  <si>
    <t>221100</t>
  </si>
  <si>
    <t>221110</t>
  </si>
  <si>
    <t>221120</t>
  </si>
  <si>
    <t>221130</t>
  </si>
  <si>
    <t>221140</t>
  </si>
  <si>
    <t>222010</t>
  </si>
  <si>
    <t>222020</t>
  </si>
  <si>
    <t>222030</t>
  </si>
  <si>
    <t>222040</t>
  </si>
  <si>
    <t>222050</t>
  </si>
  <si>
    <t>224010</t>
  </si>
  <si>
    <t>220102</t>
  </si>
  <si>
    <t>241010</t>
  </si>
  <si>
    <t>220201</t>
  </si>
  <si>
    <t>Grond vervoeren</t>
  </si>
  <si>
    <t>Grond vervoeren naar plaats van verwerken</t>
  </si>
  <si>
    <t>Transport met vrachtwagen, EURO 5, diesel</t>
  </si>
  <si>
    <t>Transport met vrachtwagen, EURO 5, 100% HVO</t>
  </si>
  <si>
    <t>241020</t>
  </si>
  <si>
    <t>241030</t>
  </si>
  <si>
    <t>241040</t>
  </si>
  <si>
    <t>220301</t>
  </si>
  <si>
    <t>251110</t>
  </si>
  <si>
    <t xml:space="preserve">Grond verwerken </t>
  </si>
  <si>
    <t>Grond verwerken in cunet</t>
  </si>
  <si>
    <t>251210</t>
  </si>
  <si>
    <t>251220</t>
  </si>
  <si>
    <t>251230</t>
  </si>
  <si>
    <t>251280</t>
  </si>
  <si>
    <t>251240</t>
  </si>
  <si>
    <t>251250</t>
  </si>
  <si>
    <t>251260</t>
  </si>
  <si>
    <t>251270</t>
  </si>
  <si>
    <t>254010</t>
  </si>
  <si>
    <t>Grond verwerken in terrein</t>
  </si>
  <si>
    <t>266010 &amp; 266030</t>
  </si>
  <si>
    <t>222107 &amp; 222111</t>
  </si>
  <si>
    <t>Grondbewerking</t>
  </si>
  <si>
    <t>Frezen en Eggen</t>
  </si>
  <si>
    <t>266020 &amp; 266040</t>
  </si>
  <si>
    <t>266050</t>
  </si>
  <si>
    <t>222104</t>
  </si>
  <si>
    <t>Diepspitten</t>
  </si>
  <si>
    <t>280010</t>
  </si>
  <si>
    <t>220321</t>
  </si>
  <si>
    <t>Leveren grond</t>
  </si>
  <si>
    <t>Leveren zand in zandbed</t>
  </si>
  <si>
    <t>Elementverhardingen, Zandbed</t>
  </si>
  <si>
    <t>280020</t>
  </si>
  <si>
    <t>Leveren brekerzand</t>
  </si>
  <si>
    <t>Brekerzand</t>
  </si>
  <si>
    <t>323010</t>
  </si>
  <si>
    <t>472202</t>
  </si>
  <si>
    <t>Leidingwerken</t>
  </si>
  <si>
    <t>Duiker</t>
  </si>
  <si>
    <t>Betonduiker</t>
  </si>
  <si>
    <t>Betonnen duiker</t>
  </si>
  <si>
    <t>323020</t>
  </si>
  <si>
    <t>Afschuinen bestaande betonnen duikers</t>
  </si>
  <si>
    <t>324010</t>
  </si>
  <si>
    <t>Aanbrengen stalen duiker ø800 mm</t>
  </si>
  <si>
    <t>Duiker, staal</t>
  </si>
  <si>
    <t>332110</t>
  </si>
  <si>
    <t>240102</t>
  </si>
  <si>
    <t>Vrijverval riolering</t>
  </si>
  <si>
    <t>Graven sleuven</t>
  </si>
  <si>
    <t>332130</t>
  </si>
  <si>
    <t>240122</t>
  </si>
  <si>
    <t>Aanvullen sleuven</t>
  </si>
  <si>
    <t>Wiellaadschop diesel</t>
  </si>
  <si>
    <t>Wiellaadschop elektrisch</t>
  </si>
  <si>
    <t>332210</t>
  </si>
  <si>
    <t>252201</t>
  </si>
  <si>
    <t>Aanbrengen PVC-buis dia250 mm, VWA-riool</t>
  </si>
  <si>
    <t>PVC rioleringsbuis, groot</t>
  </si>
  <si>
    <t>335120</t>
  </si>
  <si>
    <t>Grond ontgraven t.b.v. sleuf VWA uitleggers ø160 mm</t>
  </si>
  <si>
    <t>Graafmachine, cat. IIIB, diesel</t>
  </si>
  <si>
    <t>Graafmachine, cat. IIIB, HVO</t>
  </si>
  <si>
    <t>335150</t>
  </si>
  <si>
    <t>Aanvullen sleuf VWA uitleggers ø160 mm.</t>
  </si>
  <si>
    <t>335210</t>
  </si>
  <si>
    <t>Aanbrengen kolkleidingen PVC ø125 mm.</t>
  </si>
  <si>
    <t>PVC rioleringsbuis, klein</t>
  </si>
  <si>
    <t>335220</t>
  </si>
  <si>
    <t>Aanbrengen PVC-buis ø160 mm, VWA uitlegger.</t>
  </si>
  <si>
    <t>335310</t>
  </si>
  <si>
    <t>252202</t>
  </si>
  <si>
    <t>Aanbrengen bochtstuk 45° kolkleidingen PVC ø125 mm</t>
  </si>
  <si>
    <t>Hulpstuk, PVC</t>
  </si>
  <si>
    <t>335340</t>
  </si>
  <si>
    <t>Aanbrengen PVC-hulpstuk, overschuifmof ø160 mm.</t>
  </si>
  <si>
    <t>335350</t>
  </si>
  <si>
    <t>Aanbrengen PVC-hulpstuk, eindkap ø160 mm.</t>
  </si>
  <si>
    <t>335360</t>
  </si>
  <si>
    <t>Aanbrengen bochtstuk 45° kolkleidingen PVC ø160 mm</t>
  </si>
  <si>
    <t>335440</t>
  </si>
  <si>
    <t>252832</t>
  </si>
  <si>
    <t>Maken inlaat IT-riool ø160 mm.</t>
  </si>
  <si>
    <t>335450</t>
  </si>
  <si>
    <t>Aanbrengen knevelinlaat kolkleidingen PVC ø160 mm.</t>
  </si>
  <si>
    <t>Knevelinlaat 400 x 160</t>
  </si>
  <si>
    <t>335460</t>
  </si>
  <si>
    <t>Aanbrengen standpijp PVC ø160 mm.</t>
  </si>
  <si>
    <t>351010</t>
  </si>
  <si>
    <t xml:space="preserve">Putten en kolken </t>
  </si>
  <si>
    <t>Aanbrengen trekput</t>
  </si>
  <si>
    <t>Wavin Tegra 600.</t>
  </si>
  <si>
    <t>352010</t>
  </si>
  <si>
    <t>252604</t>
  </si>
  <si>
    <t>Aanbrengen Tegra 600 inspectieputten</t>
  </si>
  <si>
    <t>352020</t>
  </si>
  <si>
    <t>Aanbrengen PP 315 Inspectieput</t>
  </si>
  <si>
    <t>Wavin Tegra 425.</t>
  </si>
  <si>
    <t/>
  </si>
  <si>
    <t>353030</t>
  </si>
  <si>
    <t>252701</t>
  </si>
  <si>
    <t>Aanbrengen putrand met deksel</t>
  </si>
  <si>
    <t>Inspectieput prefab beton 800x800x1100mm, 15mm wanddikte</t>
  </si>
  <si>
    <t>INSPECTIEPUTTEN</t>
  </si>
  <si>
    <t>355010</t>
  </si>
  <si>
    <t>252613</t>
  </si>
  <si>
    <t>Aanbrengen trottoirkolk 450x300 mm.</t>
  </si>
  <si>
    <t>Kolk PVCGietijzer met deksel</t>
  </si>
  <si>
    <t>KOLKEN</t>
  </si>
  <si>
    <t>355020</t>
  </si>
  <si>
    <t>Aanbrengen straatkolk 450x300 mm.</t>
  </si>
  <si>
    <t>361110</t>
  </si>
  <si>
    <t>240202</t>
  </si>
  <si>
    <t>Persleidingen</t>
  </si>
  <si>
    <t>Graven en aanvullen sleuf (1 m en dieper).</t>
  </si>
  <si>
    <t>361120</t>
  </si>
  <si>
    <t>252211</t>
  </si>
  <si>
    <t>Aanbrengen PE100-buis ø125 mm, persleiding.</t>
  </si>
  <si>
    <t>RObubuis, HDPE, klein</t>
  </si>
  <si>
    <t>361220</t>
  </si>
  <si>
    <t>252212</t>
  </si>
  <si>
    <t>Aanbrengen bochtstuk 45° kolkleidingen PE hulpstuk ø125 mm</t>
  </si>
  <si>
    <t>Hulpstuk, HDPE</t>
  </si>
  <si>
    <t>361240</t>
  </si>
  <si>
    <t>252803</t>
  </si>
  <si>
    <t>Aanbrengen schuifafsluiter persleiding.</t>
  </si>
  <si>
    <t>RVSKunststof Spindelafsluiter, klein 250mm</t>
  </si>
  <si>
    <t>362</t>
  </si>
  <si>
    <t>Gesloten front boring</t>
  </si>
  <si>
    <t>Sleufloos, aanleg van leidingwerk per m1</t>
  </si>
  <si>
    <t>381110</t>
  </si>
  <si>
    <t>262101</t>
  </si>
  <si>
    <t>Mantelbuizenpakket A</t>
  </si>
  <si>
    <t>Aanbrengen kabelbuis</t>
  </si>
  <si>
    <t>Mantelbuis, PVC 120mm</t>
  </si>
  <si>
    <t>381111</t>
  </si>
  <si>
    <t>240201</t>
  </si>
  <si>
    <t>Graven en aanvullen sleuf</t>
  </si>
  <si>
    <t>381120</t>
  </si>
  <si>
    <t>Mantelbuis, PVC 200mm</t>
  </si>
  <si>
    <t>381121</t>
  </si>
  <si>
    <t>381210</t>
  </si>
  <si>
    <t>Mantelbuizenpakket B</t>
  </si>
  <si>
    <t>381221</t>
  </si>
  <si>
    <t>381310</t>
  </si>
  <si>
    <t>Mantelbuizenpakket C</t>
  </si>
  <si>
    <t>381311</t>
  </si>
  <si>
    <t>381320</t>
  </si>
  <si>
    <t>381321</t>
  </si>
  <si>
    <t>381330</t>
  </si>
  <si>
    <t>381331</t>
  </si>
  <si>
    <t>381340</t>
  </si>
  <si>
    <t>381341</t>
  </si>
  <si>
    <t>381410</t>
  </si>
  <si>
    <t>Mantelbuizenpakket D</t>
  </si>
  <si>
    <t>381411</t>
  </si>
  <si>
    <t>381510</t>
  </si>
  <si>
    <t>Overige mantelbuizen</t>
  </si>
  <si>
    <t>381511</t>
  </si>
  <si>
    <t>3816</t>
  </si>
  <si>
    <t>Pneumatische boring</t>
  </si>
  <si>
    <t>382</t>
  </si>
  <si>
    <t>Kokosmat uitleggers</t>
  </si>
  <si>
    <t>Bekleding, krammaterosiemat, kokos</t>
  </si>
  <si>
    <t>383010</t>
  </si>
  <si>
    <t>252699</t>
  </si>
  <si>
    <t>Uitstroomvoorzieningen</t>
  </si>
  <si>
    <t>Aanbrengen uitstroomvoorziening prefab beton.</t>
  </si>
  <si>
    <t>Uitstroombak, klein helling 1:2, diameter 400 mm</t>
  </si>
  <si>
    <t>383020</t>
  </si>
  <si>
    <t>Markeringspalen</t>
  </si>
  <si>
    <t>Bordenpaal 4876mm, verzinkt staal incl bevestigingsmiddelen</t>
  </si>
  <si>
    <t>511010</t>
  </si>
  <si>
    <t>830101</t>
  </si>
  <si>
    <t>Wegenbouwwerken</t>
  </si>
  <si>
    <t xml:space="preserve">Voorbereidende werkzaamheden </t>
  </si>
  <si>
    <t xml:space="preserve">Zandbed </t>
  </si>
  <si>
    <t>512010</t>
  </si>
  <si>
    <t>831101</t>
  </si>
  <si>
    <t>Straatlaag</t>
  </si>
  <si>
    <t>Straatzand</t>
  </si>
  <si>
    <t>515010</t>
  </si>
  <si>
    <t>Schoonmaken verhardingsoppervlak</t>
  </si>
  <si>
    <t>520010</t>
  </si>
  <si>
    <t>800201</t>
  </si>
  <si>
    <t>Fundering steenmengsel</t>
  </si>
  <si>
    <t>Aanbrengen van een wegfundering 100 mm</t>
  </si>
  <si>
    <t>Funderingslaag Menggranulaat</t>
  </si>
  <si>
    <t>520020</t>
  </si>
  <si>
    <t>Aanbrengen van een wegfundering 250 mm</t>
  </si>
  <si>
    <t>Funderingslaag Menggranulaat 250mm</t>
  </si>
  <si>
    <t>520030</t>
  </si>
  <si>
    <t>Aanbrengen van een wegfundering 300 mm</t>
  </si>
  <si>
    <t>520040</t>
  </si>
  <si>
    <t>Aanbrengen van een wegfundering 350 mm</t>
  </si>
  <si>
    <t>520050</t>
  </si>
  <si>
    <t>Funderingslaag Betongranulaat 250mm</t>
  </si>
  <si>
    <t>520060</t>
  </si>
  <si>
    <t>800299</t>
  </si>
  <si>
    <t>Ontgraven menggranulaat uit depot.</t>
  </si>
  <si>
    <t>ur</t>
  </si>
  <si>
    <t>520070</t>
  </si>
  <si>
    <t>Vervoeren menggranulaat naar plaats van verwerking</t>
  </si>
  <si>
    <t>Leveren van ongebonden steenmengsel voor een Leveren van ongebonden steenmengsel voor een wegfundering van steenmengsel.</t>
  </si>
  <si>
    <t>Funderingslaag Menggranulaat 300mm</t>
  </si>
  <si>
    <t>ton</t>
  </si>
  <si>
    <t>531110</t>
  </si>
  <si>
    <t>831305</t>
  </si>
  <si>
    <t xml:space="preserve">Opsluitingen </t>
  </si>
  <si>
    <t>Aanbrengen opsluitbanden</t>
  </si>
  <si>
    <t>Opsluitband 100x200x1000mm  grijs</t>
  </si>
  <si>
    <t>BETONBANDEN</t>
  </si>
  <si>
    <t>531130</t>
  </si>
  <si>
    <t>Aanbrengen opsluitbanden 60 x 150 mm</t>
  </si>
  <si>
    <t>Opsluitband beton 300x150x1000mm grijs</t>
  </si>
  <si>
    <t>531210</t>
  </si>
  <si>
    <t>Leveren rechte opsluitbanden Bio Bound</t>
  </si>
  <si>
    <t xml:space="preserve">Bio Bound Betonband </t>
  </si>
  <si>
    <t>stuks</t>
  </si>
  <si>
    <t>531220</t>
  </si>
  <si>
    <t>531310</t>
  </si>
  <si>
    <t>531410</t>
  </si>
  <si>
    <t>Leveren hulpstukken opsluitbanden Bio Bound</t>
  </si>
  <si>
    <t>531420</t>
  </si>
  <si>
    <t>531430</t>
  </si>
  <si>
    <t>532110</t>
  </si>
  <si>
    <t>831304</t>
  </si>
  <si>
    <t xml:space="preserve">Bio Bound trottoirband 180/200 x 250 </t>
  </si>
  <si>
    <t>532120</t>
  </si>
  <si>
    <t>532210</t>
  </si>
  <si>
    <t>532310</t>
  </si>
  <si>
    <t>532420</t>
  </si>
  <si>
    <t>Bio Bound Leveren hulpstukken troittoirbanden</t>
  </si>
  <si>
    <t>532430</t>
  </si>
  <si>
    <t>534110</t>
  </si>
  <si>
    <t>Geleidebanden / RWS-banden</t>
  </si>
  <si>
    <t>Trottoirband 180 200 x250 x 1000mm grijs</t>
  </si>
  <si>
    <t>534210</t>
  </si>
  <si>
    <t xml:space="preserve">Bio Bound trottoirband 110/220 x 250 </t>
  </si>
  <si>
    <t>534220</t>
  </si>
  <si>
    <t>535110</t>
  </si>
  <si>
    <t>831399</t>
  </si>
  <si>
    <t>Truckbanden 400/600x300</t>
  </si>
  <si>
    <t>535210</t>
  </si>
  <si>
    <t>Bio Bound Truckbanden 400/600x300</t>
  </si>
  <si>
    <t>541010</t>
  </si>
  <si>
    <t>812131</t>
  </si>
  <si>
    <t>Bitumineuze verhardingen</t>
  </si>
  <si>
    <t>Onderlagen AC 22 Base 70 mm</t>
  </si>
  <si>
    <t>AC binbase 50% PR PCR asfalt 2.0</t>
  </si>
  <si>
    <t>AC BIN-BASE * 60%</t>
  </si>
  <si>
    <t>Tussenlagen AC 16 Bin 50 mm</t>
  </si>
  <si>
    <t>543010</t>
  </si>
  <si>
    <t>812111</t>
  </si>
  <si>
    <t>Deklagen AC 16 surf 50 mm</t>
  </si>
  <si>
    <t>AC surf zonder PR PCR asfalt 2.0</t>
  </si>
  <si>
    <t>AC SURF * 30%</t>
  </si>
  <si>
    <t>544010</t>
  </si>
  <si>
    <t>812101</t>
  </si>
  <si>
    <t>Kleeflagen 0,4 kg/m2</t>
  </si>
  <si>
    <t>Bitumen emulsie kleeflaag</t>
  </si>
  <si>
    <t>544020</t>
  </si>
  <si>
    <t>Kleeflagen 0,3 kg/m2</t>
  </si>
  <si>
    <t>545010</t>
  </si>
  <si>
    <t>Bakfrezen asfalt</t>
  </si>
  <si>
    <t>545020</t>
  </si>
  <si>
    <t>Aanbrengen asfaltwapening</t>
  </si>
  <si>
    <t>Geotextiel</t>
  </si>
  <si>
    <t>545030</t>
  </si>
  <si>
    <t>Kleeflaag 0,7 kg/m2</t>
  </si>
  <si>
    <t>545040</t>
  </si>
  <si>
    <t>Tussenlagen AC 16 Bin 50 mm, reparatie</t>
  </si>
  <si>
    <t>562020</t>
  </si>
  <si>
    <t>Elementverhardingen</t>
  </si>
  <si>
    <t>Bio Bound BSS</t>
  </si>
  <si>
    <t>Bio Bound Betonstraatsteen</t>
  </si>
  <si>
    <t>562030</t>
  </si>
  <si>
    <t>831132</t>
  </si>
  <si>
    <t>Bio Bound Betontegels 100 mm, wit</t>
  </si>
  <si>
    <t>Bio Bound Betontegel</t>
  </si>
  <si>
    <t>562040</t>
  </si>
  <si>
    <t>562050</t>
  </si>
  <si>
    <t>831112</t>
  </si>
  <si>
    <t>Aanbrengen betonstraatstenen.</t>
  </si>
  <si>
    <t>Betonstraatsteen 210x105x80mm door en door grijs</t>
  </si>
  <si>
    <t>STRAATSTEEN</t>
  </si>
  <si>
    <t>563110</t>
  </si>
  <si>
    <t>Bio Bound aanbrengen betontegels</t>
  </si>
  <si>
    <t>563120</t>
  </si>
  <si>
    <t>563130</t>
  </si>
  <si>
    <t>563140</t>
  </si>
  <si>
    <t>561350</t>
  </si>
  <si>
    <t>Haaientandtegels 300 x 300 x 60 mm</t>
  </si>
  <si>
    <t>Betontegels 300x300x60mm grijs</t>
  </si>
  <si>
    <t>BETONTEGELS * 15%/C20,5</t>
  </si>
  <si>
    <t>563160</t>
  </si>
  <si>
    <t>831131</t>
  </si>
  <si>
    <t>Bio Bound Betontegels 300 x 300 x 45 mm, wit</t>
  </si>
  <si>
    <t>563170</t>
  </si>
  <si>
    <t>563180</t>
  </si>
  <si>
    <t>Bio Bound Betontegels 300 x 300 x 80 mm, antraciet</t>
  </si>
  <si>
    <t>563190</t>
  </si>
  <si>
    <t>563210</t>
  </si>
  <si>
    <t>831113</t>
  </si>
  <si>
    <t>Bio Bound Betontegels 200 x 200 x 80 mm</t>
  </si>
  <si>
    <t>563220</t>
  </si>
  <si>
    <t>563240</t>
  </si>
  <si>
    <t>Bio Bound Betontegels 200 x 200 x 80 mm, wit</t>
  </si>
  <si>
    <t>564010</t>
  </si>
  <si>
    <t xml:space="preserve">Bio Bound Grasbetontegels 600 x 400 x 100 mm   </t>
  </si>
  <si>
    <t xml:space="preserve">Bio Bound Grasbetontegel </t>
  </si>
  <si>
    <t>570010</t>
  </si>
  <si>
    <t>Halfverharding</t>
  </si>
  <si>
    <t>Menggranulaat 200 mm</t>
  </si>
  <si>
    <t>570020</t>
  </si>
  <si>
    <t xml:space="preserve">30 mm lava tussenlaag </t>
  </si>
  <si>
    <t>Sportvelden fundering lava</t>
  </si>
  <si>
    <t>570030</t>
  </si>
  <si>
    <t>Stabilizer verharding</t>
  </si>
  <si>
    <t>Stabilizer IJssel en Maas mix EcoDynamic</t>
  </si>
  <si>
    <t>710010</t>
  </si>
  <si>
    <t>103105</t>
  </si>
  <si>
    <t>Inrichtingswerken</t>
  </si>
  <si>
    <t>Terreinafscheidingen</t>
  </si>
  <si>
    <t>Aanbrengen hek</t>
  </si>
  <si>
    <t>Balustrades, Staal, gepoedercoat; spijlen</t>
  </si>
  <si>
    <t>721010</t>
  </si>
  <si>
    <t>321301</t>
  </si>
  <si>
    <t>Bebording en bebakening</t>
  </si>
  <si>
    <t>Verkeersborden</t>
  </si>
  <si>
    <t>721020</t>
  </si>
  <si>
    <t>321302</t>
  </si>
  <si>
    <t>Vierkant RVV verkeersbord cat III, coilcoated aluminium</t>
  </si>
  <si>
    <t>Vierkant RVV verkeersbord cat III, 100% secundair coilcoated aluminium</t>
  </si>
  <si>
    <t>732010</t>
  </si>
  <si>
    <t>320102</t>
  </si>
  <si>
    <t>Markering</t>
  </si>
  <si>
    <t>Aanbrengen lengtemarkering</t>
  </si>
  <si>
    <t>Lengtemarkering, doorlopend, thermoplastisch</t>
  </si>
  <si>
    <t>km</t>
  </si>
  <si>
    <t>732020</t>
  </si>
  <si>
    <t>732030</t>
  </si>
  <si>
    <t>732040</t>
  </si>
  <si>
    <t>735010</t>
  </si>
  <si>
    <t>Aanbrengen figuratie markering, driehoeksmarkering</t>
  </si>
  <si>
    <t>740010</t>
  </si>
  <si>
    <t>Plaatsen enkelzits bank</t>
  </si>
  <si>
    <t>740020</t>
  </si>
  <si>
    <t>Aanbrengen uitneembare paal</t>
  </si>
  <si>
    <t>762110</t>
  </si>
  <si>
    <t>Voedingsnet</t>
  </si>
  <si>
    <t xml:space="preserve">Graven en aanvullen sleuf  </t>
  </si>
  <si>
    <t>762210</t>
  </si>
  <si>
    <t>263101</t>
  </si>
  <si>
    <t>Aanbrengen energiegrondkabel</t>
  </si>
  <si>
    <t>Bekabeling, grondkabel</t>
  </si>
  <si>
    <t>763110</t>
  </si>
  <si>
    <t>Aanbrengen schakel- en verdeelinrichting OVL kast</t>
  </si>
  <si>
    <t>780010</t>
  </si>
  <si>
    <t>Aanbrengen zwerfkei</t>
  </si>
  <si>
    <t>Straatwerk elementen, kasseien, natuursteen, Europa</t>
  </si>
  <si>
    <t>Total</t>
  </si>
  <si>
    <t>Row Labels</t>
  </si>
  <si>
    <t>Sum of MKI A-D</t>
  </si>
  <si>
    <t>Grand Total</t>
  </si>
  <si>
    <t>Sum of MKI A-D nieuw</t>
  </si>
  <si>
    <t>(blank)</t>
  </si>
  <si>
    <t>Sum of Totaal nieuw</t>
  </si>
  <si>
    <t>Projectnaam</t>
  </si>
  <si>
    <t>BK4713 - STP GDCC bouw- en woonrijp</t>
  </si>
  <si>
    <t>Gebruikersnaam</t>
  </si>
  <si>
    <t>Tahira</t>
  </si>
  <si>
    <t>DuboCalc versie</t>
  </si>
  <si>
    <t>DuboCalc 6.0.9</t>
  </si>
  <si>
    <t>NMD datum</t>
  </si>
  <si>
    <t>2025-aug.-18</t>
  </si>
  <si>
    <t>Project start datum</t>
  </si>
  <si>
    <t>Levensduur (in jaren)</t>
  </si>
  <si>
    <t>Rapport datum</t>
  </si>
  <si>
    <t>2025-okt.-31</t>
  </si>
  <si>
    <t>Geen omschrijving beschikbaar</t>
  </si>
  <si>
    <t>Project overzicht</t>
  </si>
  <si>
    <t>Product overzicht</t>
  </si>
  <si>
    <t>MKI per fase excl. cat. 3 toeslag</t>
  </si>
  <si>
    <t>MKI Productie &amp; Bouw excl. cat. 3 toeslag</t>
  </si>
  <si>
    <t>MKI Gebruik en onderhoud excl. cat. 3 toeslag</t>
  </si>
  <si>
    <t>MKI Sloop en verwerking excl. cat. 3 toeslag</t>
  </si>
  <si>
    <t>CO2 (kg CO2-eq) per fase excl. cat. 3 toeslag</t>
  </si>
  <si>
    <t>CO2 (kg CO2-eq) Productie &amp; Bouw excl. cat. 3 toeslag</t>
  </si>
  <si>
    <t>CO2 (kg CO2-eq) Gebruik en onderhoud excl. cat. 3 toeslag</t>
  </si>
  <si>
    <t>CO2 (kg CO2-eq) Sloop en verwerking excl. cat. 3 toeslag</t>
  </si>
  <si>
    <t>Meer informatie</t>
  </si>
  <si>
    <t>Variant</t>
  </si>
  <si>
    <t>Element niveau 1</t>
  </si>
  <si>
    <t>Product</t>
  </si>
  <si>
    <t>Datacategorie</t>
  </si>
  <si>
    <t>Hoeveelheid in project</t>
  </si>
  <si>
    <t>Levensduur (in jaren) milieuprofiel</t>
  </si>
  <si>
    <t>Levensduur (in jaren) in project</t>
  </si>
  <si>
    <t>Vervangingen in project</t>
  </si>
  <si>
    <t>Vrijkomend materiaal</t>
  </si>
  <si>
    <t>MKI per primaire eenheid incl. cat. 3 toeslag</t>
  </si>
  <si>
    <t>MKI totaal excl. cat. 3 toeslag</t>
  </si>
  <si>
    <t>MKI cat. 3 toeslag</t>
  </si>
  <si>
    <t>MKI totaal incl. cat. 3 toeslag</t>
  </si>
  <si>
    <t>CO2 (kg CO2-eq) totaal excl. cat. 3 toeslag</t>
  </si>
  <si>
    <t>CO2 (kg CO2-eq) cat. 3 toeslag</t>
  </si>
  <si>
    <t>CO2 (kg CO2-eq) totaal incl. cat. 3 toeslag</t>
  </si>
  <si>
    <t>Bouw</t>
  </si>
  <si>
    <t>Sloop en verwerking</t>
  </si>
  <si>
    <t>A1-A3</t>
  </si>
  <si>
    <t>A4</t>
  </si>
  <si>
    <t>A5</t>
  </si>
  <si>
    <t>B1</t>
  </si>
  <si>
    <t>B2</t>
  </si>
  <si>
    <t>B3</t>
  </si>
  <si>
    <t>B4</t>
  </si>
  <si>
    <t>B5</t>
  </si>
  <si>
    <t>C1</t>
  </si>
  <si>
    <t>C2</t>
  </si>
  <si>
    <t>C3</t>
  </si>
  <si>
    <t>C4</t>
  </si>
  <si>
    <t>D</t>
  </si>
  <si>
    <t>Omschrijving Element niveau 1</t>
  </si>
  <si>
    <t>Variant 1</t>
  </si>
  <si>
    <t>Cat.3 (30%)</t>
  </si>
  <si>
    <t>m1</t>
  </si>
  <si>
    <t>Nee</t>
  </si>
  <si>
    <t>Vrijkomend materiaal Bordenpaal 4876mm, verzinkt staal incl bevestigingsmiddelen</t>
  </si>
  <si>
    <t>p</t>
  </si>
  <si>
    <t>Ja</t>
  </si>
  <si>
    <t>Tijdelijke stalen rijplaat Inzetduur 3 maanden</t>
  </si>
  <si>
    <t>Tijdelijke stalen rijplaat inzetduur 1 week</t>
  </si>
  <si>
    <t>Grondwerken</t>
  </si>
  <si>
    <t>uur</t>
  </si>
  <si>
    <t>Inrichtingswerk</t>
  </si>
  <si>
    <t>Vrijkomend materiaal Vierkant RVV verkeersbord cat III, coilcoated aluminium</t>
  </si>
  <si>
    <t>Open bemaling 58m3 per uur</t>
  </si>
  <si>
    <t>Open bemaling 90m3 per uur</t>
  </si>
  <si>
    <t>Open bemaling 35m3 per uur</t>
  </si>
  <si>
    <t>Vrijkomend materiaal Betonnen barriere als wegafscheiding strekkende m.</t>
  </si>
  <si>
    <t>Vrijkomend materiaal Tijdelijke wegmarkering per m2</t>
  </si>
  <si>
    <t>Sloopproces asfalt</t>
  </si>
  <si>
    <t>t*km</t>
  </si>
  <si>
    <t>Lengtemarkering, onderbroken, thermoplastisch</t>
  </si>
  <si>
    <t>Lichtmast staal schaalbaar</t>
  </si>
  <si>
    <t>Ophoogmateriaal, grond</t>
  </si>
  <si>
    <t>Ophoogmateriaal, zand</t>
  </si>
  <si>
    <t>Cat.3a</t>
  </si>
  <si>
    <t>Cat.1</t>
  </si>
  <si>
    <t>nvt</t>
  </si>
  <si>
    <t>Lamp LED</t>
  </si>
  <si>
    <t>Dieselverbruik, bouwmachine cat. IV, alle vermogens, per l diesel: 35,9 MJliter en 0,832 kgliter</t>
  </si>
  <si>
    <t>liter</t>
  </si>
  <si>
    <t>Funderingslaag Hydraulisch menggranulaat 300mm</t>
  </si>
  <si>
    <t>Betontegels 300x300x45mm grijs</t>
  </si>
  <si>
    <t>Knevelinlaat 250 x 160</t>
  </si>
  <si>
    <t>Grasbetontegels per m2</t>
  </si>
  <si>
    <t>Inspectieput prefab beton 1000x1000x1200mm, 15mm wanddikte</t>
  </si>
  <si>
    <t>Inspectieput prefab beton 2000x2000x2400mm, 20mm  wanddikte</t>
  </si>
  <si>
    <t>Deksel beton en staal inspectieput 520mm</t>
  </si>
  <si>
    <t>Wavin Tegra C250 straatkolk</t>
  </si>
  <si>
    <t>Cat.2</t>
  </si>
  <si>
    <t>kg</t>
  </si>
  <si>
    <t>Bulldozer diesel</t>
  </si>
  <si>
    <t>Alternatief</t>
  </si>
  <si>
    <t>AC surf met 30% PR PCR asfalt 2.0</t>
  </si>
  <si>
    <t>AC surf met gemodificeerd bitumen zonder PR PCR asfalt 2.0</t>
  </si>
  <si>
    <t>AC surf met gemodificeerd bitumen met 30% PR PCR asfalt 2.0</t>
  </si>
  <si>
    <t>AC binbase 50% PR met gemodificeerd bitumen PCR asfalt 2.0</t>
  </si>
  <si>
    <t>Bulldozer hybride</t>
  </si>
  <si>
    <t>RVS Spindelafsluiter, klein 250mm</t>
  </si>
  <si>
    <t>Dieselverbruik, bouwmachine cat. IIIB, kleiner dan 56 kW, per l diesel: 35,9 MJliter en 0,832 kgliter</t>
  </si>
  <si>
    <t>Bio Bound BKK KERA</t>
  </si>
  <si>
    <t>GDCC bouw Schiphol Trade Park</t>
  </si>
  <si>
    <t>MKI per fase excl. Cat. 3 toeslag</t>
  </si>
  <si>
    <t>MKI Productie &amp; Bouw excl. Cat. 3 toeslag</t>
  </si>
  <si>
    <t>MKI Gebruik en onderhoud excl. Cat. 3 toeslag</t>
  </si>
  <si>
    <t>MKI Sloop- en verwerking excl. Cat. 3 toeslag</t>
  </si>
  <si>
    <t>CO2 (kg CO2-eq) per fase excl. Cat. 3 toeslag</t>
  </si>
  <si>
    <t>CO2 (kg CO2-eq) Productie &amp; Bouw excl. Cat. 3 toeslag</t>
  </si>
  <si>
    <t>CO2 (kg CO2-eq) Gebruik en onderhoud excl. Cat. 3 toeslag</t>
  </si>
  <si>
    <t>CO2 (kg CO2-eq) Sloop- en verwerking excl. Cat. 3 toeslag</t>
  </si>
  <si>
    <t>Levensduur (in jaren) Milieuprofiel</t>
  </si>
  <si>
    <t>MKI per primaire eenheid incl. Cat. 3 toeslag</t>
  </si>
  <si>
    <t>MKI totaal excl. Cat. 3 toeslag</t>
  </si>
  <si>
    <t>MKI Cat. 3 toeslag</t>
  </si>
  <si>
    <t>MKI totaal incl. Cat. 3 toeslag</t>
  </si>
  <si>
    <t>CO2 (kg CO2-eq) totaal excl. Cat. 3 toeslag</t>
  </si>
  <si>
    <t>CO2 (kg CO2-eq) Cat. 3 toeslag</t>
  </si>
  <si>
    <t>CO2 (kg CO2-eq) totaal incl. Cat. 3 toeslag</t>
  </si>
  <si>
    <t>Bronvermelding</t>
  </si>
  <si>
    <t xml:space="preserve">Verhardingen Alternatief </t>
  </si>
  <si>
    <t>Moederbestek_asfalt_productblad_ac_surf_30-6.85_01072023.pdf</t>
  </si>
  <si>
    <t>Moederbestek_asfalt_productblad_AC_Bin-Base_60-3.91_01042023.pdf</t>
  </si>
  <si>
    <t>DuboCalc</t>
  </si>
  <si>
    <t>Moederbestek_beton_productblad_betontegels_15-20.5_01102023</t>
  </si>
  <si>
    <t xml:space="preserve"> </t>
  </si>
  <si>
    <t>GRASBETONTEGELS * 15%/€20,5</t>
  </si>
  <si>
    <t>Moederbestek_beton_productblad_grasbetontegels_15-20.5_01102023</t>
  </si>
  <si>
    <t>Moederbestek_biobased_productblad_straatsteen _15-10-21_01072025</t>
  </si>
  <si>
    <t>Moederbestek_beton_productblad_betonbanden_15-25_04042018</t>
  </si>
  <si>
    <t>Beton inspectieputten 0-32 – Moederbestek.nl | BouwCirculair</t>
  </si>
  <si>
    <t>Moederbestek_beton_productblad_kolken_0-32_01102023</t>
  </si>
  <si>
    <t>Datum</t>
  </si>
  <si>
    <t>Reviewer</t>
  </si>
  <si>
    <t>Michiel</t>
  </si>
  <si>
    <t>Zorg bij boven- en ondergrens dat je scherp hebt wat cat 3 en cat 2 data is. Voor beide categorieën kun je een ander boven- en ondergrens hanteren. Bij cat 3 zit ik eerder dan 30% en 60% te denken. Bij cat 2 (vaak asfalt) was het eerst 50% en 100%, maar ondertussen 40% en 80%.</t>
  </si>
  <si>
    <t>Distinctie tussen cat. 3 en cat 2 data doorberekend.</t>
  </si>
  <si>
    <t>Tijdelijke maatregelen en werkzaamheden worden normaal niet meegenomen, conform protocol. Is die van toepassing, en wat is de reden om de maatregelen nu wel mee te nemen?</t>
  </si>
  <si>
    <t>Tijdelijke maatregelen uit scope gehaald.</t>
  </si>
  <si>
    <t>Ik zie dat er geen hoeveelheden zijn voor fietsviaduct. Wil de provincie die dus niet mee nemen in de uitvraag?</t>
  </si>
  <si>
    <t>Het fietsviaduct is komen te vervallen in het definitieve ontwerp.</t>
  </si>
  <si>
    <t>2 km voor grondtransport kan wel reëel zijn. Wat voor stageklasse en brandstof heb je aangenomen? Misschien goed om dat ergens te vermelden.</t>
  </si>
  <si>
    <t>Vermeld op het voorblad.</t>
  </si>
  <si>
    <t>Ik zie dat voor het groen geen B&amp;O is meegenomen. Duidelijk benoemen dat in de leidraad dat voor deze onderdelen module B niet van toepassing is.</t>
  </si>
  <si>
    <t>Opgenomen in notitie voor de leidraad.</t>
  </si>
  <si>
    <t>Wees bij de items "aanleg - planten bomen" erop bedacht dat de impact nu met name komt door de inzet van een wiellaadschop o.b.v. diesel. Hierin kan de aannemer snel optimaliseren, en dit zorgt voor een grote winst qua MKI.</t>
  </si>
  <si>
    <t>Het aantal bomen per vierkante meter berekend op 1. Dit verlaagd de MKI aanzienlijk.</t>
  </si>
  <si>
    <t>Let bij de items "aanleg - planten bomen" erop dat het nog niet de bedoeling is om opvang van CO2 mee te nemen.</t>
  </si>
  <si>
    <t>Klopt de MKI-waarde voor de houten cassettes wel? Want in de LCA zie ik een MKI van € 9,38 per m2 (excl. Toeslag) en in de Excel is die € 28,43 excl toeslag.</t>
  </si>
  <si>
    <t>Milieuprofiel aangepast.</t>
  </si>
  <si>
    <t>Je hebt het over een ander, duurzamer geluidsscherm. Kan dit wel binnen de eisen?</t>
  </si>
  <si>
    <t>Niet meer van toepassing.</t>
  </si>
  <si>
    <t>Ik vind dat er nog veel posten zijn zonder hoeveelheden, terwijl daar wel kansen liggen om op uit te vragen. Denk dus aan het fietsviaduct, maar ook de damwanden. Als er geen referentie is, is het lastig te bepalen hoe groot de MKI is en wat de besparing kan zijn</t>
  </si>
  <si>
    <t>Deze posten zijn komen te vervallen in het definitieve ontwerp.</t>
  </si>
  <si>
    <t>Waarom is gekozen voor ZOAB bij de verharding? ZOAB wordt vaak gebruikt voor de snelwegen, terwijl voor provinciale wegen eerder voor AC Surf of SMA gaan. Geldt dus ook voor vrijkomende materiaal</t>
  </si>
  <si>
    <t>Aangepast.</t>
  </si>
  <si>
    <t>Voor een stille deklaag zou ik eerder uitwijken naar geluidsreducerende SMA deklaag</t>
  </si>
  <si>
    <t>Zijn de lichtmasten met of zonder armatuur? Ook even aangeven bij de aanbesteding</t>
  </si>
  <si>
    <t>Zonder armatuur. Aanbrengen verlichting valt onder een andere aannemer.</t>
  </si>
  <si>
    <t xml:space="preserve">Asfalt </t>
  </si>
  <si>
    <t xml:space="preserve">omschrijving  </t>
  </si>
  <si>
    <t xml:space="preserve">milieuprofiel </t>
  </si>
  <si>
    <t>MKI A1-A3 plafondwaarde</t>
  </si>
  <si>
    <t>MKI-plafondwaarde A-D</t>
  </si>
  <si>
    <t>Eenheid MKI</t>
  </si>
  <si>
    <t>bron</t>
  </si>
  <si>
    <t xml:space="preserve">opmerking </t>
  </si>
  <si>
    <t xml:space="preserve"> AC 16 surf DL-C</t>
  </si>
  <si>
    <t>Milieudatabase AC surf zonder PR (PCR asfalt 2.0)</t>
  </si>
  <si>
    <t>AC 16 bind TL-C</t>
  </si>
  <si>
    <t>AC 22 base OL-C</t>
  </si>
  <si>
    <t>Alternatieven als er %PR in de deklaag gebruikt mag worden</t>
  </si>
  <si>
    <t>MKI A1-A3</t>
  </si>
  <si>
    <t>AC surf met 30% PR (PCR asfalt 2.0)</t>
  </si>
  <si>
    <t>Milieudatabase AC surf met 30% PR (PCR asfalt 2.0)</t>
  </si>
  <si>
    <t xml:space="preserve">Positief effect </t>
  </si>
  <si>
    <t> AC surf met gemodificeerd bitumen zonder PR PCR asfalt 2.0</t>
  </si>
  <si>
    <t>Milieudatabase AC surf met gemodificeerd bitumen zonder PR (PCR asfalt 2.0)</t>
  </si>
  <si>
    <t>Negatief effect: Hogere kosten, hogere MKI-waarde</t>
  </si>
  <si>
    <t>AC surf met gemodificeerd bitumen met 30% PR</t>
  </si>
  <si>
    <t>Milieudatabase AC surf met gemodificeerd bitumen met 30% PR (PCR asfalt 2.0)</t>
  </si>
  <si>
    <t>geen effect MKI-waarde</t>
  </si>
  <si>
    <t>Asfalt – Moederbestek.nl | BouwCirculair</t>
  </si>
  <si>
    <t>AC 16 bind TL-C &amp; AC 22 base OL-C</t>
  </si>
  <si>
    <t>AC bin/base 50% PR met gemodificeerd bitumen (PCR asfalt 2.0)</t>
  </si>
  <si>
    <t>Milieudatabase AC bin/base 50% PR met gemodificeerd bitumen (PCR asfalt 2.0)</t>
  </si>
  <si>
    <t>Asfalt plafondwaardes geregistreerd in het LCA-achtergrondrapport voor Branche representatieve Nederlandse Asfaltmengsels door TNO, versie 2022</t>
  </si>
  <si>
    <t>Naast het toepassen van plafondwaarden zijn er aanvullende maatregelen denkbaar die de milieu-impact verder kunnen verlagen. Mogelijke opties om nader te onderzoeken zijn:</t>
  </si>
  <si>
    <r>
      <t>·</t>
    </r>
    <r>
      <rPr>
        <sz val="7"/>
        <color theme="1"/>
        <rFont val="Times New Roman"/>
        <family val="1"/>
      </rPr>
      <t xml:space="preserve">         </t>
    </r>
    <r>
      <rPr>
        <sz val="10"/>
        <color theme="1"/>
        <rFont val="Arial"/>
        <family val="2"/>
      </rPr>
      <t>Verdunnen van de asfaltlagen van de rijbaan, waardoor het materiaalgebruik en de bijbehorende MKI dalen.</t>
    </r>
  </si>
  <si>
    <r>
      <t>·</t>
    </r>
    <r>
      <rPr>
        <sz val="7"/>
        <color theme="1"/>
        <rFont val="Times New Roman"/>
        <family val="1"/>
      </rPr>
      <t xml:space="preserve">         </t>
    </r>
    <r>
      <rPr>
        <sz val="10"/>
        <color theme="1"/>
        <rFont val="Arial"/>
        <family val="2"/>
      </rPr>
      <t>Verlagen van de hoogte van het zandbed, mits dit constructief verantwoord is, om grondverzet en materiaalverbruik te beperken.</t>
    </r>
  </si>
  <si>
    <r>
      <t>·</t>
    </r>
    <r>
      <rPr>
        <sz val="7"/>
        <color theme="1"/>
        <rFont val="Times New Roman"/>
        <family val="1"/>
      </rPr>
      <t xml:space="preserve">         </t>
    </r>
    <r>
      <rPr>
        <sz val="10"/>
        <color theme="1"/>
        <rFont val="Arial"/>
        <family val="2"/>
      </rPr>
      <t>Inzet van elektrisch transport in plaats van dieselvoertuigen, waarmee emissies tijdens de uitvoeringsfase worden gereduceerd.</t>
    </r>
  </si>
  <si>
    <r>
      <t>·</t>
    </r>
    <r>
      <rPr>
        <sz val="7"/>
        <color theme="1"/>
        <rFont val="Times New Roman"/>
        <family val="1"/>
      </rPr>
      <t xml:space="preserve">         </t>
    </r>
    <r>
      <rPr>
        <sz val="10"/>
        <color theme="1"/>
        <rFont val="Arial"/>
        <family val="2"/>
      </rPr>
      <t>Selecteren van leveranciers in de nabijheid van het projectgebied, zodat de transportafstanden en daarmee de CO</t>
    </r>
    <r>
      <rPr>
        <sz val="10"/>
        <color theme="1"/>
        <rFont val="Cambria Math"/>
        <family val="1"/>
      </rPr>
      <t>₂</t>
    </r>
    <r>
      <rPr>
        <sz val="10"/>
        <color theme="1"/>
        <rFont val="Arial"/>
        <family val="2"/>
      </rPr>
      <t>-uitstoot worden verminderd.</t>
    </r>
  </si>
  <si>
    <t xml:space="preserve">MKI totaal </t>
  </si>
  <si>
    <t>straatzand</t>
  </si>
  <si>
    <t>zandbed</t>
  </si>
  <si>
    <t>mm</t>
  </si>
  <si>
    <t xml:space="preserve">Aanbrengen en verwijderen A5 en C1 </t>
  </si>
  <si>
    <t>MKI diesel eenheid</t>
  </si>
  <si>
    <t xml:space="preserve">diesel wiellaadschop </t>
  </si>
  <si>
    <t>m3/uur</t>
  </si>
  <si>
    <t>uur/m2</t>
  </si>
  <si>
    <t>totaal</t>
  </si>
  <si>
    <t>MKI</t>
  </si>
  <si>
    <t xml:space="preserve">MKI diesel </t>
  </si>
  <si>
    <t xml:space="preserve">electrisch wiellaadschop </t>
  </si>
  <si>
    <t>MKI electrisch wiellaadschop eenheid</t>
  </si>
  <si>
    <t>bulldozer diesel MKI eenheid</t>
  </si>
  <si>
    <t>per uur</t>
  </si>
  <si>
    <t xml:space="preserve">A5 en C1 = 2x wiellaadschop </t>
  </si>
  <si>
    <t>bulldozer hybride MKI eenheid</t>
  </si>
  <si>
    <t xml:space="preserve">MKI </t>
  </si>
  <si>
    <t xml:space="preserve">MKI Diesel </t>
  </si>
  <si>
    <t>bulldozer diesel MKI</t>
  </si>
  <si>
    <t xml:space="preserve">MKI Electrisch </t>
  </si>
  <si>
    <t>bulldozer hybride MKI</t>
  </si>
  <si>
    <t>MKI electrisch zand</t>
  </si>
  <si>
    <t>besparing</t>
  </si>
  <si>
    <t>MKI elektrisch +hybride</t>
  </si>
  <si>
    <t>verschil</t>
  </si>
  <si>
    <t>transport A4 &amp;C2</t>
  </si>
  <si>
    <t>tkm</t>
  </si>
  <si>
    <t xml:space="preserve">diesel </t>
  </si>
  <si>
    <t>MKI per tkm</t>
  </si>
  <si>
    <t>HVO</t>
  </si>
  <si>
    <t xml:space="preserve">totaal MKI diesel </t>
  </si>
  <si>
    <t xml:space="preserve">Totaal HVO </t>
  </si>
  <si>
    <t>(x2 500 mm ipv 250 mm)</t>
  </si>
  <si>
    <t>MKI HVO</t>
  </si>
  <si>
    <t xml:space="preserve">MKI HVO totaal </t>
  </si>
  <si>
    <t>Productie &amp; Bouw</t>
  </si>
  <si>
    <t>Verhardingen</t>
  </si>
  <si>
    <t>Riolering</t>
  </si>
  <si>
    <t>Fietspad</t>
  </si>
  <si>
    <t xml:space="preserve">Voetpad </t>
  </si>
  <si>
    <t>Parkeervakken</t>
  </si>
  <si>
    <t>Fundatie</t>
  </si>
  <si>
    <t xml:space="preserve">Fundatie </t>
  </si>
  <si>
    <t>Voetpad</t>
  </si>
  <si>
    <t>Rijbaan</t>
  </si>
  <si>
    <t>Inritten</t>
  </si>
  <si>
    <t>TB</t>
  </si>
  <si>
    <t>OB</t>
  </si>
  <si>
    <t xml:space="preserve">Inritten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</si>
</sst>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quot;€&quot;\ #,##0;[Red]&quot;€&quot;\ \-#,##0"/>
    <numFmt numFmtId="165" formatCode="_ &quot;€&quot;\ * #,##0.00_ ;_ &quot;€&quot;\ * \-#,##0.00_ ;_ &quot;€&quot;\ * &quot;-&quot;??_ ;_ @_ "/>
    <numFmt numFmtId="166" formatCode="_ * #,##0.00_ ;_ * \-#,##0.00_ ;_ * &quot;-&quot;??_ ;_ @_ "/>
    <numFmt numFmtId="167" formatCode="0.0"/>
    <numFmt numFmtId="168" formatCode="_ &quot;€&quot;\ * #,##0_ ;_ &quot;€&quot;\ * \-#,##0_ ;_ &quot;€&quot;\ * &quot;-&quot;??_ ;_ @_ "/>
    <numFmt numFmtId="169" formatCode="_ * #,##0_ ;_ * \-#,##0_ ;_ * &quot;-&quot;??_ ;_ @_ "/>
    <numFmt numFmtId="170" formatCode="0.00000"/>
    <numFmt numFmtId="171" formatCode="#,##0.00000"/>
    <numFmt numFmtId="172" formatCode="0.000000000"/>
    <numFmt numFmtId="173" formatCode="0.000"/>
    <numFmt numFmtId="174" formatCode="0.0%"/>
    <numFmt numFmtId="175" formatCode="0.0000"/>
    <numFmt numFmtId="176" formatCode="#,##0.0"/>
  </numFmts>
  <fonts count="37">
    <font>
      <sz val="11"/>
      <color theme="1"/>
      <name val="Calibri"/>
      <family val="2"/>
      <charset val="238"/>
      <scheme val="minor"/>
    </font>
    <font>
      <sz val="11"/>
      <color theme="1"/>
      <name val="Calibri"/>
      <family val="2"/>
      <scheme val="minor"/>
    </font>
    <font>
      <sz val="11"/>
      <color theme="1"/>
      <name val="Arial"/>
      <family val="2"/>
      <charset val="238"/>
    </font>
    <font>
      <b/>
      <sz val="11"/>
      <color theme="3"/>
      <name val="Calibri"/>
      <family val="2"/>
      <scheme val="minor"/>
    </font>
    <font>
      <b/>
      <sz val="11"/>
      <color theme="0"/>
      <name val="Calibri"/>
      <family val="2"/>
      <scheme val="minor"/>
    </font>
    <font>
      <b/>
      <sz val="11"/>
      <color theme="1"/>
      <name val="Calibri"/>
      <family val="2"/>
      <scheme val="minor"/>
    </font>
    <font>
      <u/>
      <sz val="11"/>
      <color theme="10"/>
      <name val="Calibri"/>
      <family val="2"/>
      <charset val="238"/>
      <scheme val="minor"/>
    </font>
    <font>
      <sz val="8"/>
      <name val="Calibri"/>
      <family val="2"/>
      <charset val="238"/>
      <scheme val="minor"/>
    </font>
    <font>
      <b/>
      <sz val="14"/>
      <color theme="0"/>
      <name val="Calibri"/>
      <family val="2"/>
      <scheme val="minor"/>
    </font>
    <font>
      <b/>
      <sz val="11"/>
      <color rgb="FF000000"/>
      <name val="Calibri"/>
      <family val="2"/>
    </font>
    <font>
      <b/>
      <sz val="10"/>
      <color rgb="FF000000"/>
      <name val="Arial"/>
      <family val="2"/>
    </font>
    <font>
      <b/>
      <sz val="11"/>
      <color rgb="FF02486F"/>
      <name val="Calibri"/>
      <family val="2"/>
      <scheme val="minor"/>
    </font>
    <font>
      <u/>
      <sz val="11"/>
      <color theme="0"/>
      <name val="Calibri"/>
      <family val="2"/>
      <charset val="238"/>
      <scheme val="minor"/>
    </font>
    <font>
      <sz val="11"/>
      <color theme="0"/>
      <name val="Calibri"/>
      <family val="2"/>
      <charset val="238"/>
      <scheme val="minor"/>
    </font>
    <font>
      <sz val="11"/>
      <color theme="1"/>
      <name val="Calibri"/>
      <family val="2"/>
      <charset val="238"/>
      <scheme val="minor"/>
    </font>
    <font>
      <b/>
      <sz val="13"/>
      <color theme="3"/>
      <name val="Calibri"/>
      <family val="2"/>
      <scheme val="minor"/>
    </font>
    <font>
      <sz val="8"/>
      <color rgb="FF000000"/>
      <name val="Verdana"/>
      <family val="2"/>
    </font>
    <font>
      <i/>
      <sz val="8"/>
      <color rgb="FF000000"/>
      <name val="Verdana"/>
      <family val="2"/>
    </font>
    <font>
      <b/>
      <sz val="8"/>
      <color rgb="FFFFFFFF"/>
      <name val="Verdana"/>
      <family val="2"/>
    </font>
    <font>
      <b/>
      <sz val="8"/>
      <color rgb="FF000000"/>
      <name val="Verdana"/>
      <family val="2"/>
    </font>
    <font>
      <b/>
      <sz val="11"/>
      <color theme="1"/>
      <name val="Calibri"/>
      <family val="2"/>
      <charset val="238"/>
      <scheme val="minor"/>
    </font>
    <font>
      <i/>
      <sz val="11"/>
      <color theme="1"/>
      <name val="Calibri"/>
      <family val="2"/>
      <charset val="238"/>
      <scheme val="minor"/>
    </font>
    <font>
      <sz val="10"/>
      <color rgb="FF000000"/>
      <name val="Arial"/>
      <family val="2"/>
    </font>
    <font>
      <sz val="10"/>
      <color theme="1"/>
      <name val="Arial"/>
      <family val="2"/>
    </font>
    <font>
      <sz val="10"/>
      <color theme="1"/>
      <name val="Symbol"/>
      <family val="1"/>
      <charset val="2"/>
    </font>
    <font>
      <sz val="7"/>
      <color theme="1"/>
      <name val="Times New Roman"/>
      <family val="1"/>
    </font>
    <font>
      <sz val="10"/>
      <color theme="1"/>
      <name val="Cambria Math"/>
      <family val="1"/>
    </font>
    <font>
      <b/>
      <i/>
      <sz val="11"/>
      <color theme="1"/>
      <name val="Calibri"/>
      <family val="2"/>
      <scheme val="minor"/>
    </font>
    <font>
      <sz val="11"/>
      <color rgb="FFFF0000"/>
      <name val="Calibri"/>
      <family val="2"/>
      <charset val="238"/>
      <scheme val="minor"/>
    </font>
    <font>
      <sz val="11"/>
      <color theme="1"/>
      <name val="Arial"/>
      <family val="2"/>
    </font>
    <font>
      <b/>
      <sz val="11"/>
      <color rgb="FF02486F"/>
      <name val="Calibri"/>
      <family val="2"/>
      <charset val="238"/>
      <scheme val="minor"/>
    </font>
    <font>
      <sz val="8"/>
      <color theme="0"/>
      <name val="Verdana"/>
      <family val="2"/>
    </font>
    <font>
      <b/>
      <sz val="10"/>
      <color rgb="FF002E4F"/>
      <name val="Arial"/>
      <family val="2"/>
    </font>
    <font>
      <sz val="10"/>
      <color rgb="FF002E4F"/>
      <name val="Arial"/>
      <family val="2"/>
    </font>
    <font>
      <b/>
      <sz val="11"/>
      <color rgb="FF0070C0"/>
      <name val="Calibri"/>
      <family val="2"/>
      <scheme val="minor"/>
    </font>
    <font>
      <b/>
      <sz val="11"/>
      <color theme="8" tint="-0.249977111117893"/>
      <name val="Calibri"/>
      <family val="2"/>
      <scheme val="minor"/>
    </font>
    <font>
      <sz val="11"/>
      <name val="Calibri"/>
      <family val="2"/>
      <charset val="238"/>
      <scheme val="minor"/>
    </font>
  </fonts>
  <fills count="22">
    <fill>
      <patternFill patternType="none"/>
    </fill>
    <fill>
      <patternFill patternType="gray125"/>
    </fill>
    <fill>
      <patternFill patternType="solid">
        <fgColor theme="0"/>
        <bgColor indexed="64"/>
      </patternFill>
    </fill>
    <fill>
      <patternFill patternType="solid">
        <fgColor rgb="FF02486F"/>
        <bgColor indexed="64"/>
      </patternFill>
    </fill>
    <fill>
      <patternFill patternType="solid">
        <fgColor rgb="FFD2EFFE"/>
        <bgColor indexed="64"/>
      </patternFill>
    </fill>
    <fill>
      <patternFill patternType="solid">
        <fgColor rgb="FFFAFADE"/>
        <bgColor indexed="64"/>
      </patternFill>
    </fill>
    <fill>
      <patternFill patternType="solid">
        <fgColor rgb="FFA3D8E6"/>
        <bgColor rgb="FFFFFFFF"/>
      </patternFill>
    </fill>
    <fill>
      <patternFill patternType="solid">
        <fgColor rgb="FFFFFFFF"/>
        <bgColor rgb="FFFFFFFF"/>
      </patternFill>
    </fill>
    <fill>
      <patternFill patternType="solid">
        <fgColor rgb="FF034859"/>
        <bgColor rgb="FFFFFFFF"/>
      </patternFill>
    </fill>
    <fill>
      <patternFill patternType="solid">
        <fgColor rgb="FF1190B0"/>
        <bgColor rgb="FFFFFFFF"/>
      </patternFill>
    </fill>
    <fill>
      <patternFill patternType="solid">
        <fgColor rgb="FFD9EDF2"/>
        <bgColor rgb="FFFFFFFF"/>
      </patternFill>
    </fill>
    <fill>
      <patternFill patternType="solid">
        <fgColor rgb="FF6BBDD1"/>
        <bgColor rgb="FFFFFFFF"/>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
      <patternFill patternType="solid">
        <fgColor theme="6" tint="0.79998168889431442"/>
        <bgColor theme="6" tint="0.79998168889431442"/>
      </patternFill>
    </fill>
    <fill>
      <patternFill patternType="solid">
        <fgColor theme="8" tint="0.39997558519241921"/>
        <bgColor indexed="64"/>
      </patternFill>
    </fill>
    <fill>
      <patternFill patternType="solid">
        <fgColor rgb="FFFFC000"/>
        <bgColor indexed="64"/>
      </patternFill>
    </fill>
    <fill>
      <patternFill patternType="solid">
        <fgColor rgb="FFFFC000"/>
        <bgColor theme="6" tint="0.79998168889431442"/>
      </patternFill>
    </fill>
    <fill>
      <patternFill patternType="solid">
        <fgColor theme="7"/>
        <bgColor indexed="64"/>
      </patternFill>
    </fill>
    <fill>
      <patternFill patternType="solid">
        <fgColor theme="9" tint="0.39997558519241921"/>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style="medium">
        <color theme="4" tint="0.39997558519241921"/>
      </bottom>
      <diagonal/>
    </border>
    <border>
      <left/>
      <right/>
      <top/>
      <bottom style="thick">
        <color rgb="FF80C2D4"/>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6"/>
      </left>
      <right style="thin">
        <color theme="6"/>
      </right>
      <top style="thin">
        <color theme="6"/>
      </top>
      <bottom style="thin">
        <color theme="6"/>
      </bottom>
      <diagonal/>
    </border>
    <border>
      <left/>
      <right/>
      <top/>
      <bottom style="medium">
        <color rgb="FFFFFFFF"/>
      </bottom>
      <diagonal/>
    </border>
    <border>
      <left style="thin">
        <color theme="6"/>
      </left>
      <right style="thin">
        <color theme="6"/>
      </right>
      <top style="thin">
        <color theme="6"/>
      </top>
      <bottom style="thick">
        <color rgb="FF80C2D4"/>
      </bottom>
      <diagonal/>
    </border>
  </borders>
  <cellStyleXfs count="11">
    <xf numFmtId="0" fontId="0" fillId="0" borderId="0"/>
    <xf numFmtId="0" fontId="3" fillId="0" borderId="2" applyNumberFormat="0" applyFill="0" applyAlignment="0" applyProtection="0"/>
    <xf numFmtId="0" fontId="6" fillId="0" borderId="0" applyNumberFormat="0" applyFill="0" applyBorder="0" applyAlignment="0" applyProtection="0"/>
    <xf numFmtId="0" fontId="4" fillId="3" borderId="3"/>
    <xf numFmtId="0" fontId="11" fillId="0" borderId="3"/>
    <xf numFmtId="0" fontId="1" fillId="4" borderId="0" applyNumberFormat="0" applyBorder="0"/>
    <xf numFmtId="0" fontId="1" fillId="5" borderId="0" applyNumberFormat="0" applyBorder="0"/>
    <xf numFmtId="165" fontId="14" fillId="0" borderId="0" applyFont="0" applyFill="0" applyBorder="0" applyAlignment="0" applyProtection="0"/>
    <xf numFmtId="0" fontId="15" fillId="0" borderId="5" applyNumberFormat="0" applyFill="0" applyAlignment="0" applyProtection="0"/>
    <xf numFmtId="9" fontId="14" fillId="0" borderId="0" applyFont="0" applyFill="0" applyBorder="0" applyAlignment="0" applyProtection="0"/>
    <xf numFmtId="166" fontId="14" fillId="0" borderId="0" applyFont="0" applyFill="0" applyBorder="0" applyAlignment="0" applyProtection="0"/>
  </cellStyleXfs>
  <cellXfs count="145">
    <xf numFmtId="0" fontId="0" fillId="0" borderId="0" xfId="0"/>
    <xf numFmtId="0" fontId="0" fillId="0" borderId="0" xfId="0" pivotButton="1"/>
    <xf numFmtId="0" fontId="0" fillId="0" borderId="0" xfId="0" applyAlignment="1">
      <alignment horizontal="left"/>
    </xf>
    <xf numFmtId="0" fontId="8" fillId="3" borderId="3" xfId="3" applyFont="1"/>
    <xf numFmtId="0" fontId="4" fillId="3" borderId="3" xfId="3"/>
    <xf numFmtId="0" fontId="9" fillId="0" borderId="0" xfId="0" applyFont="1" applyAlignment="1">
      <alignment horizontal="right"/>
    </xf>
    <xf numFmtId="14" fontId="0" fillId="0" borderId="0" xfId="0" applyNumberFormat="1" applyAlignment="1">
      <alignment horizontal="left"/>
    </xf>
    <xf numFmtId="0" fontId="6" fillId="0" borderId="0" xfId="2"/>
    <xf numFmtId="0" fontId="11" fillId="0" borderId="3" xfId="4"/>
    <xf numFmtId="0" fontId="9" fillId="0" borderId="0" xfId="0" applyFont="1"/>
    <xf numFmtId="0" fontId="5" fillId="0" borderId="0" xfId="0" applyFont="1" applyAlignment="1">
      <alignment horizontal="right"/>
    </xf>
    <xf numFmtId="0" fontId="10" fillId="0" borderId="0" xfId="0" applyFont="1" applyAlignment="1">
      <alignment horizontal="right"/>
    </xf>
    <xf numFmtId="0" fontId="13" fillId="0" borderId="0" xfId="0" applyFont="1" applyAlignment="1">
      <alignment horizontal="left"/>
    </xf>
    <xf numFmtId="0" fontId="13" fillId="0" borderId="0" xfId="0" applyFont="1"/>
    <xf numFmtId="0" fontId="0" fillId="0" borderId="4" xfId="0" applyBorder="1"/>
    <xf numFmtId="0" fontId="12" fillId="3" borderId="0" xfId="2" applyFont="1" applyFill="1" applyAlignment="1">
      <alignment vertical="center" wrapText="1"/>
    </xf>
    <xf numFmtId="168" fontId="0" fillId="0" borderId="0" xfId="7" applyNumberFormat="1" applyFont="1"/>
    <xf numFmtId="0" fontId="0" fillId="0" borderId="0" xfId="0" applyAlignment="1">
      <alignment wrapText="1"/>
    </xf>
    <xf numFmtId="16" fontId="0" fillId="0" borderId="4" xfId="0" applyNumberFormat="1" applyBorder="1"/>
    <xf numFmtId="0" fontId="0" fillId="0" borderId="4" xfId="0" applyBorder="1" applyAlignment="1">
      <alignment wrapText="1"/>
    </xf>
    <xf numFmtId="0" fontId="2" fillId="2" borderId="0" xfId="0" applyFont="1" applyFill="1"/>
    <xf numFmtId="0" fontId="15" fillId="0" borderId="5" xfId="8"/>
    <xf numFmtId="0" fontId="3" fillId="0" borderId="2" xfId="1"/>
    <xf numFmtId="165" fontId="15" fillId="0" borderId="5" xfId="7" applyFont="1" applyBorder="1"/>
    <xf numFmtId="165" fontId="3" fillId="0" borderId="2" xfId="7" applyFont="1" applyBorder="1"/>
    <xf numFmtId="9" fontId="0" fillId="0" borderId="0" xfId="9" applyFont="1"/>
    <xf numFmtId="3" fontId="0" fillId="0" borderId="0" xfId="0" applyNumberFormat="1"/>
    <xf numFmtId="167" fontId="0" fillId="0" borderId="0" xfId="0" applyNumberFormat="1"/>
    <xf numFmtId="169" fontId="0" fillId="0" borderId="0" xfId="10" applyNumberFormat="1" applyFont="1"/>
    <xf numFmtId="0" fontId="0" fillId="2" borderId="0" xfId="0" applyFill="1"/>
    <xf numFmtId="0" fontId="16" fillId="6" borderId="1" xfId="0" applyFont="1" applyFill="1" applyBorder="1" applyAlignment="1">
      <alignment horizontal="left" vertical="center"/>
    </xf>
    <xf numFmtId="0" fontId="17" fillId="7" borderId="1" xfId="0" applyFont="1" applyFill="1" applyBorder="1" applyAlignment="1">
      <alignment horizontal="left" vertical="center"/>
    </xf>
    <xf numFmtId="0" fontId="18" fillId="8" borderId="1" xfId="0" applyFont="1" applyFill="1" applyBorder="1" applyAlignment="1">
      <alignment horizontal="center" vertical="center" wrapText="1"/>
    </xf>
    <xf numFmtId="0" fontId="16" fillId="7" borderId="0" xfId="0" applyFont="1" applyFill="1" applyAlignment="1">
      <alignment horizontal="left" vertical="center" wrapText="1"/>
    </xf>
    <xf numFmtId="0" fontId="18" fillId="9" borderId="1" xfId="0" applyFont="1" applyFill="1" applyBorder="1" applyAlignment="1">
      <alignment horizontal="left" wrapText="1"/>
    </xf>
    <xf numFmtId="4" fontId="16" fillId="6" borderId="1" xfId="0" applyNumberFormat="1" applyFont="1" applyFill="1" applyBorder="1" applyAlignment="1">
      <alignment horizontal="right" vertical="center"/>
    </xf>
    <xf numFmtId="0" fontId="16" fillId="6" borderId="1" xfId="0" applyFont="1" applyFill="1" applyBorder="1" applyAlignment="1">
      <alignment horizontal="right" vertical="center"/>
    </xf>
    <xf numFmtId="0" fontId="16" fillId="10" borderId="1" xfId="0" applyFont="1" applyFill="1" applyBorder="1" applyAlignment="1">
      <alignment horizontal="left" vertical="center"/>
    </xf>
    <xf numFmtId="4" fontId="16" fillId="10" borderId="1" xfId="0" applyNumberFormat="1" applyFont="1" applyFill="1" applyBorder="1" applyAlignment="1">
      <alignment horizontal="right" vertical="center"/>
    </xf>
    <xf numFmtId="0" fontId="16" fillId="10" borderId="1" xfId="0" applyFont="1" applyFill="1" applyBorder="1" applyAlignment="1">
      <alignment horizontal="right" vertical="center"/>
    </xf>
    <xf numFmtId="0" fontId="19" fillId="11" borderId="1" xfId="0" applyFont="1" applyFill="1" applyBorder="1" applyAlignment="1">
      <alignment horizontal="left" vertical="center"/>
    </xf>
    <xf numFmtId="4" fontId="19" fillId="11" borderId="1" xfId="0" applyNumberFormat="1" applyFont="1" applyFill="1" applyBorder="1" applyAlignment="1">
      <alignment horizontal="right" vertical="center"/>
    </xf>
    <xf numFmtId="49" fontId="0" fillId="0" borderId="0" xfId="0" applyNumberFormat="1"/>
    <xf numFmtId="2" fontId="0" fillId="0" borderId="0" xfId="0" applyNumberFormat="1"/>
    <xf numFmtId="168" fontId="0" fillId="0" borderId="0" xfId="0" applyNumberFormat="1"/>
    <xf numFmtId="0" fontId="0" fillId="0" borderId="1" xfId="0" applyBorder="1"/>
    <xf numFmtId="0" fontId="20" fillId="0" borderId="0" xfId="0" applyFont="1"/>
    <xf numFmtId="0" fontId="21" fillId="0" borderId="1" xfId="0" applyFont="1" applyBorder="1"/>
    <xf numFmtId="170" fontId="0" fillId="0" borderId="1" xfId="0" applyNumberFormat="1" applyBorder="1"/>
    <xf numFmtId="0" fontId="22" fillId="0" borderId="0" xfId="0" applyFont="1"/>
    <xf numFmtId="0" fontId="21" fillId="0" borderId="0" xfId="0" applyFont="1"/>
    <xf numFmtId="170" fontId="0" fillId="0" borderId="0" xfId="0" applyNumberFormat="1"/>
    <xf numFmtId="0" fontId="0" fillId="0" borderId="6" xfId="0" applyBorder="1"/>
    <xf numFmtId="0" fontId="21" fillId="0" borderId="7" xfId="0" applyFont="1" applyBorder="1"/>
    <xf numFmtId="0" fontId="6" fillId="0" borderId="4" xfId="2" applyBorder="1"/>
    <xf numFmtId="0" fontId="0" fillId="12" borderId="1" xfId="0" applyFill="1" applyBorder="1"/>
    <xf numFmtId="170" fontId="0" fillId="12" borderId="1" xfId="0" applyNumberFormat="1" applyFill="1" applyBorder="1"/>
    <xf numFmtId="0" fontId="6" fillId="12" borderId="0" xfId="2" applyFill="1"/>
    <xf numFmtId="172" fontId="0" fillId="12" borderId="1" xfId="0" applyNumberFormat="1" applyFill="1" applyBorder="1"/>
    <xf numFmtId="170" fontId="0" fillId="12" borderId="6" xfId="0" applyNumberFormat="1" applyFill="1" applyBorder="1"/>
    <xf numFmtId="0" fontId="0" fillId="12" borderId="8" xfId="0" applyFill="1" applyBorder="1"/>
    <xf numFmtId="0" fontId="0" fillId="12" borderId="7" xfId="0" applyFill="1" applyBorder="1"/>
    <xf numFmtId="0" fontId="0" fillId="0" borderId="9" xfId="0" applyBorder="1"/>
    <xf numFmtId="0" fontId="0" fillId="12" borderId="4" xfId="0" applyFill="1" applyBorder="1"/>
    <xf numFmtId="0" fontId="6" fillId="12" borderId="4" xfId="2" applyFill="1" applyBorder="1"/>
    <xf numFmtId="0" fontId="0" fillId="13" borderId="1" xfId="0" applyFill="1" applyBorder="1"/>
    <xf numFmtId="170" fontId="0" fillId="13" borderId="1" xfId="0" applyNumberFormat="1" applyFill="1" applyBorder="1"/>
    <xf numFmtId="0" fontId="6" fillId="13" borderId="0" xfId="2" applyFill="1"/>
    <xf numFmtId="0" fontId="0" fillId="13" borderId="0" xfId="0" applyFill="1"/>
    <xf numFmtId="0" fontId="6" fillId="13" borderId="4" xfId="2" applyFill="1" applyBorder="1"/>
    <xf numFmtId="2" fontId="16" fillId="10" borderId="1" xfId="0" applyNumberFormat="1" applyFont="1" applyFill="1" applyBorder="1" applyAlignment="1">
      <alignment horizontal="right" vertical="center"/>
    </xf>
    <xf numFmtId="9" fontId="0" fillId="0" borderId="0" xfId="0" applyNumberFormat="1"/>
    <xf numFmtId="0" fontId="23" fillId="0" borderId="0" xfId="0" applyFont="1" applyAlignment="1">
      <alignment vertical="center"/>
    </xf>
    <xf numFmtId="0" fontId="24" fillId="0" borderId="0" xfId="0" applyFont="1" applyAlignment="1">
      <alignment horizontal="left" vertical="center" indent="5"/>
    </xf>
    <xf numFmtId="173" fontId="0" fillId="0" borderId="0" xfId="0" applyNumberFormat="1"/>
    <xf numFmtId="3" fontId="0" fillId="0" borderId="10" xfId="0" applyNumberFormat="1" applyBorder="1"/>
    <xf numFmtId="0" fontId="27" fillId="0" borderId="0" xfId="0" applyFont="1"/>
    <xf numFmtId="9" fontId="0" fillId="14" borderId="0" xfId="9" applyFont="1" applyFill="1"/>
    <xf numFmtId="0" fontId="28" fillId="0" borderId="0" xfId="0" applyFont="1"/>
    <xf numFmtId="1" fontId="28" fillId="0" borderId="0" xfId="0" applyNumberFormat="1" applyFont="1"/>
    <xf numFmtId="2" fontId="0" fillId="0" borderId="0" xfId="9" applyNumberFormat="1" applyFont="1"/>
    <xf numFmtId="1" fontId="0" fillId="0" borderId="0" xfId="9" applyNumberFormat="1" applyFont="1"/>
    <xf numFmtId="10" fontId="0" fillId="14" borderId="0" xfId="9" applyNumberFormat="1" applyFont="1" applyFill="1"/>
    <xf numFmtId="174" fontId="0" fillId="14" borderId="0" xfId="9" applyNumberFormat="1" applyFont="1" applyFill="1"/>
    <xf numFmtId="0" fontId="5" fillId="15" borderId="0" xfId="0" applyFont="1" applyFill="1"/>
    <xf numFmtId="2" fontId="0" fillId="0" borderId="0" xfId="9" applyNumberFormat="1" applyFont="1" applyFill="1"/>
    <xf numFmtId="0" fontId="29" fillId="2" borderId="0" xfId="0" applyFont="1" applyFill="1"/>
    <xf numFmtId="0" fontId="30" fillId="0" borderId="3" xfId="4" applyFont="1"/>
    <xf numFmtId="49" fontId="0" fillId="16" borderId="10" xfId="0" applyNumberFormat="1" applyFill="1" applyBorder="1"/>
    <xf numFmtId="49" fontId="0" fillId="0" borderId="10" xfId="0" applyNumberFormat="1" applyBorder="1"/>
    <xf numFmtId="1" fontId="13" fillId="0" borderId="0" xfId="0" applyNumberFormat="1" applyFont="1"/>
    <xf numFmtId="9" fontId="13" fillId="0" borderId="0" xfId="9" applyFont="1"/>
    <xf numFmtId="4" fontId="31" fillId="6" borderId="1" xfId="0" applyNumberFormat="1" applyFont="1" applyFill="1" applyBorder="1" applyAlignment="1">
      <alignment horizontal="right" vertical="center"/>
    </xf>
    <xf numFmtId="4" fontId="31" fillId="10" borderId="1" xfId="0" applyNumberFormat="1" applyFont="1" applyFill="1" applyBorder="1" applyAlignment="1">
      <alignment horizontal="right" vertical="center"/>
    </xf>
    <xf numFmtId="171" fontId="31" fillId="10" borderId="1" xfId="0" applyNumberFormat="1" applyFont="1" applyFill="1" applyBorder="1" applyAlignment="1">
      <alignment horizontal="right" vertical="center"/>
    </xf>
    <xf numFmtId="171" fontId="31" fillId="6" borderId="1" xfId="0" applyNumberFormat="1" applyFont="1" applyFill="1" applyBorder="1" applyAlignment="1">
      <alignment horizontal="right" vertical="center"/>
    </xf>
    <xf numFmtId="164" fontId="0" fillId="0" borderId="0" xfId="0" applyNumberFormat="1"/>
    <xf numFmtId="164" fontId="32" fillId="0" borderId="11" xfId="0" applyNumberFormat="1" applyFont="1" applyBorder="1" applyAlignment="1">
      <alignment horizontal="center" vertical="center" wrapText="1"/>
    </xf>
    <xf numFmtId="164" fontId="33" fillId="0" borderId="0" xfId="0" applyNumberFormat="1" applyFont="1" applyAlignment="1">
      <alignment horizontal="center" vertical="center" wrapText="1"/>
    </xf>
    <xf numFmtId="9" fontId="0" fillId="0" borderId="0" xfId="9" applyFont="1" applyFill="1"/>
    <xf numFmtId="165" fontId="0" fillId="0" borderId="0" xfId="0" applyNumberFormat="1"/>
    <xf numFmtId="168" fontId="13" fillId="0" borderId="0" xfId="0" applyNumberFormat="1" applyFont="1"/>
    <xf numFmtId="9" fontId="13" fillId="0" borderId="0" xfId="0" applyNumberFormat="1" applyFont="1"/>
    <xf numFmtId="0" fontId="0" fillId="0" borderId="0" xfId="7" applyNumberFormat="1" applyFont="1"/>
    <xf numFmtId="4" fontId="0" fillId="0" borderId="0" xfId="0" applyNumberFormat="1"/>
    <xf numFmtId="0" fontId="11" fillId="0" borderId="12" xfId="4" applyBorder="1"/>
    <xf numFmtId="168" fontId="34" fillId="0" borderId="0" xfId="7" applyNumberFormat="1" applyFont="1"/>
    <xf numFmtId="0" fontId="35" fillId="0" borderId="3" xfId="4" applyFont="1"/>
    <xf numFmtId="168" fontId="35" fillId="0" borderId="0" xfId="7" applyNumberFormat="1" applyFont="1"/>
    <xf numFmtId="168" fontId="35" fillId="0" borderId="0" xfId="0" applyNumberFormat="1" applyFont="1"/>
    <xf numFmtId="0" fontId="35" fillId="0" borderId="0" xfId="0" applyFont="1"/>
    <xf numFmtId="175" fontId="0" fillId="0" borderId="0" xfId="7" applyNumberFormat="1" applyFont="1"/>
    <xf numFmtId="1" fontId="0" fillId="0" borderId="0" xfId="0" applyNumberFormat="1"/>
    <xf numFmtId="0" fontId="0" fillId="17" borderId="0" xfId="0" applyFill="1"/>
    <xf numFmtId="168" fontId="35" fillId="0" borderId="0" xfId="7" applyNumberFormat="1" applyFont="1" applyFill="1"/>
    <xf numFmtId="49" fontId="0" fillId="14" borderId="10" xfId="0" applyNumberFormat="1" applyFill="1" applyBorder="1"/>
    <xf numFmtId="49" fontId="0" fillId="14" borderId="0" xfId="0" applyNumberFormat="1" applyFill="1"/>
    <xf numFmtId="0" fontId="0" fillId="14" borderId="0" xfId="0" applyFill="1"/>
    <xf numFmtId="3" fontId="0" fillId="14" borderId="0" xfId="0" applyNumberFormat="1" applyFill="1"/>
    <xf numFmtId="167" fontId="0" fillId="14" borderId="0" xfId="0" applyNumberFormat="1" applyFill="1"/>
    <xf numFmtId="168" fontId="34" fillId="14" borderId="0" xfId="7" applyNumberFormat="1" applyFont="1" applyFill="1"/>
    <xf numFmtId="168" fontId="0" fillId="14" borderId="0" xfId="7" applyNumberFormat="1" applyFont="1" applyFill="1"/>
    <xf numFmtId="168" fontId="35" fillId="14" borderId="0" xfId="7" applyNumberFormat="1" applyFont="1" applyFill="1"/>
    <xf numFmtId="169" fontId="0" fillId="14" borderId="0" xfId="10" applyNumberFormat="1" applyFont="1" applyFill="1"/>
    <xf numFmtId="176" fontId="0" fillId="0" borderId="0" xfId="0" applyNumberFormat="1"/>
    <xf numFmtId="168" fontId="34" fillId="0" borderId="0" xfId="7" applyNumberFormat="1" applyFont="1" applyFill="1"/>
    <xf numFmtId="168" fontId="0" fillId="0" borderId="0" xfId="7" applyNumberFormat="1" applyFont="1" applyFill="1"/>
    <xf numFmtId="169" fontId="0" fillId="0" borderId="0" xfId="10" applyNumberFormat="1" applyFont="1" applyFill="1"/>
    <xf numFmtId="168" fontId="0" fillId="17" borderId="0" xfId="7" applyNumberFormat="1" applyFont="1" applyFill="1"/>
    <xf numFmtId="3" fontId="0" fillId="18" borderId="0" xfId="0" applyNumberFormat="1" applyFill="1"/>
    <xf numFmtId="49" fontId="0" fillId="19" borderId="10" xfId="0" applyNumberFormat="1" applyFill="1" applyBorder="1"/>
    <xf numFmtId="49" fontId="0" fillId="18" borderId="10" xfId="0" applyNumberFormat="1" applyFill="1" applyBorder="1"/>
    <xf numFmtId="49" fontId="0" fillId="18" borderId="0" xfId="0" applyNumberFormat="1" applyFill="1"/>
    <xf numFmtId="0" fontId="0" fillId="18" borderId="0" xfId="0" applyFill="1"/>
    <xf numFmtId="2" fontId="36" fillId="0" borderId="0" xfId="0" applyNumberFormat="1" applyFont="1"/>
    <xf numFmtId="175" fontId="0" fillId="0" borderId="0" xfId="7" applyNumberFormat="1" applyFont="1" applyFill="1"/>
    <xf numFmtId="4" fontId="0" fillId="20" borderId="0" xfId="0" applyNumberFormat="1" applyFill="1"/>
    <xf numFmtId="49" fontId="0" fillId="21" borderId="10" xfId="0" applyNumberFormat="1" applyFill="1" applyBorder="1"/>
    <xf numFmtId="3" fontId="0" fillId="21" borderId="0" xfId="0" applyNumberFormat="1" applyFill="1"/>
    <xf numFmtId="167" fontId="0" fillId="21" borderId="0" xfId="0" applyNumberFormat="1" applyFill="1"/>
    <xf numFmtId="165" fontId="0" fillId="17" borderId="0" xfId="7" applyFont="1" applyFill="1"/>
    <xf numFmtId="0" fontId="0" fillId="21" borderId="0" xfId="0" applyFill="1"/>
    <xf numFmtId="2" fontId="0" fillId="21" borderId="0" xfId="0" applyNumberFormat="1" applyFill="1"/>
    <xf numFmtId="0" fontId="0" fillId="0" borderId="0" xfId="0" applyAlignment="1">
      <alignment horizontal="left" vertical="top" wrapText="1"/>
    </xf>
    <xf numFmtId="0" fontId="18" fillId="8" borderId="1" xfId="0" applyFont="1" applyFill="1" applyBorder="1" applyAlignment="1">
      <alignment horizontal="center" vertical="center" wrapText="1"/>
    </xf>
  </cellXfs>
  <cellStyles count="11">
    <cellStyle name="Calculation 1" xfId="5" xr:uid="{9BACF584-59EE-4566-BA11-A27ADA3DAF82}"/>
    <cellStyle name="Comma" xfId="10" builtinId="3"/>
    <cellStyle name="Currency" xfId="7" builtinId="4"/>
    <cellStyle name="Heading - 1" xfId="4" xr:uid="{AEF0E531-9E05-4EFC-BC03-7CAC98870764}"/>
    <cellStyle name="Heading 2" xfId="8" builtinId="17"/>
    <cellStyle name="Heading 3" xfId="1" builtinId="18"/>
    <cellStyle name="Hyperlink" xfId="2" builtinId="8"/>
    <cellStyle name="Linked Cell 1" xfId="6" xr:uid="{DA14954C-333F-4339-AF02-6F8C2BAAFC72}"/>
    <cellStyle name="Normal" xfId="0" builtinId="0"/>
    <cellStyle name="Per cent" xfId="9" builtinId="5"/>
    <cellStyle name="Sheet title" xfId="3" xr:uid="{EE0B3EA0-D43D-4F57-AA60-4738D5C827FF}"/>
  </cellStyles>
  <dxfs count="36">
    <dxf>
      <font>
        <b val="0"/>
        <i val="0"/>
        <strike val="0"/>
        <condense val="0"/>
        <extend val="0"/>
        <outline val="0"/>
        <shadow val="0"/>
        <u val="none"/>
        <vertAlign val="baseline"/>
        <sz val="11"/>
        <color theme="1"/>
        <name val="Calibri"/>
        <family val="2"/>
        <charset val="238"/>
        <scheme val="minor"/>
      </font>
      <numFmt numFmtId="169" formatCode="_ * #,##0_ ;_ * \-#,##0_ ;_ * &quot;-&quot;??_ ;_ @_ "/>
    </dxf>
    <dxf>
      <font>
        <b val="0"/>
        <i val="0"/>
        <strike val="0"/>
        <condense val="0"/>
        <extend val="0"/>
        <outline val="0"/>
        <shadow val="0"/>
        <u val="none"/>
        <vertAlign val="baseline"/>
        <sz val="11"/>
        <color theme="1"/>
        <name val="Calibri"/>
        <family val="2"/>
        <charset val="238"/>
        <scheme val="minor"/>
      </font>
      <numFmt numFmtId="169" formatCode="_ * #,##0_ ;_ * \-#,##0_ ;_ * &quot;-&quot;??_ ;_ @_ "/>
    </dxf>
    <dxf>
      <font>
        <b val="0"/>
        <i val="0"/>
        <strike val="0"/>
        <condense val="0"/>
        <extend val="0"/>
        <outline val="0"/>
        <shadow val="0"/>
        <u val="none"/>
        <vertAlign val="baseline"/>
        <sz val="11"/>
        <color theme="1"/>
        <name val="Calibri"/>
        <family val="2"/>
        <charset val="238"/>
        <scheme val="minor"/>
      </font>
      <numFmt numFmtId="168" formatCode="_ &quot;€&quot;\ * #,##0_ ;_ &quot;€&quot;\ * \-#,##0_ ;_ &quot;€&quot;\ * &quot;-&quot;??_ ;_ @_ "/>
    </dxf>
    <dxf>
      <numFmt numFmtId="168" formatCode="_ &quot;€&quot;\ * #,##0_ ;_ &quot;€&quot;\ * \-#,##0_ ;_ &quot;€&quot;\ * &quot;-&quot;??_ ;_ @_ "/>
    </dxf>
    <dxf>
      <font>
        <b val="0"/>
        <i val="0"/>
        <strike val="0"/>
        <condense val="0"/>
        <extend val="0"/>
        <outline val="0"/>
        <shadow val="0"/>
        <u val="none"/>
        <vertAlign val="baseline"/>
        <sz val="11"/>
        <color theme="1"/>
        <name val="Calibri"/>
        <family val="2"/>
        <charset val="238"/>
        <scheme val="minor"/>
      </font>
      <numFmt numFmtId="168" formatCode="_ &quot;€&quot;\ * #,##0_ ;_ &quot;€&quot;\ * \-#,##0_ ;_ &quot;€&quot;\ * &quot;-&quot;??_ ;_ @_ "/>
    </dxf>
    <dxf>
      <numFmt numFmtId="168" formatCode="_ &quot;€&quot;\ * #,##0_ ;_ &quot;€&quot;\ * \-#,##0_ ;_ &quot;€&quot;\ * &quot;-&quot;??_ ;_ @_ "/>
    </dxf>
    <dxf>
      <font>
        <b/>
        <i val="0"/>
        <strike val="0"/>
        <condense val="0"/>
        <extend val="0"/>
        <outline val="0"/>
        <shadow val="0"/>
        <u val="none"/>
        <vertAlign val="baseline"/>
        <sz val="11"/>
        <color theme="8" tint="-0.249977111117893"/>
        <name val="Calibri"/>
        <family val="2"/>
        <scheme val="minor"/>
      </font>
      <numFmt numFmtId="168" formatCode="_ &quot;€&quot;\ * #,##0_ ;_ &quot;€&quot;\ * \-#,##0_ ;_ &quot;€&quot;\ * &quot;-&quot;??_ ;_ @_ "/>
    </dxf>
    <dxf>
      <font>
        <b/>
        <i val="0"/>
        <strike val="0"/>
        <condense val="0"/>
        <extend val="0"/>
        <outline val="0"/>
        <shadow val="0"/>
        <u val="none"/>
        <vertAlign val="baseline"/>
        <sz val="11"/>
        <color theme="8" tint="-0.249977111117893"/>
        <name val="Calibri"/>
        <family val="2"/>
        <scheme val="minor"/>
      </font>
      <numFmt numFmtId="168" formatCode="_ &quot;€&quot;\ * #,##0_ ;_ &quot;€&quot;\ * \-#,##0_ ;_ &quot;€&quot;\ * &quot;-&quot;??_ ;_ @_ "/>
    </dxf>
    <dxf>
      <font>
        <b val="0"/>
        <i val="0"/>
        <strike val="0"/>
        <condense val="0"/>
        <extend val="0"/>
        <outline val="0"/>
        <shadow val="0"/>
        <u val="none"/>
        <vertAlign val="baseline"/>
        <sz val="11"/>
        <color theme="1"/>
        <name val="Calibri"/>
        <family val="2"/>
        <charset val="238"/>
        <scheme val="minor"/>
      </font>
      <numFmt numFmtId="168" formatCode="_ &quot;€&quot;\ * #,##0_ ;_ &quot;€&quot;\ * \-#,##0_ ;_ &quot;€&quot;\ * &quot;-&quot;??_ ;_ @_ "/>
    </dxf>
    <dxf>
      <font>
        <b val="0"/>
        <i val="0"/>
        <strike val="0"/>
        <condense val="0"/>
        <extend val="0"/>
        <outline val="0"/>
        <shadow val="0"/>
        <u val="none"/>
        <vertAlign val="baseline"/>
        <sz val="11"/>
        <color theme="1"/>
        <name val="Calibri"/>
        <family val="2"/>
        <charset val="238"/>
        <scheme val="minor"/>
      </font>
      <numFmt numFmtId="168" formatCode="_ &quot;€&quot;\ * #,##0_ ;_ &quot;€&quot;\ * \-#,##0_ ;_ &quot;€&quot;\ * &quot;-&quot;??_ ;_ @_ "/>
    </dxf>
    <dxf>
      <font>
        <b val="0"/>
        <i val="0"/>
        <strike val="0"/>
        <condense val="0"/>
        <extend val="0"/>
        <outline val="0"/>
        <shadow val="0"/>
        <u val="none"/>
        <vertAlign val="baseline"/>
        <sz val="11"/>
        <color theme="1"/>
        <name val="Calibri"/>
        <family val="2"/>
        <charset val="238"/>
        <scheme val="minor"/>
      </font>
      <numFmt numFmtId="168" formatCode="_ &quot;€&quot;\ * #,##0_ ;_ &quot;€&quot;\ * \-#,##0_ ;_ &quot;€&quot;\ * &quot;-&quot;??_ ;_ @_ "/>
    </dxf>
    <dxf>
      <font>
        <b val="0"/>
        <i val="0"/>
        <strike val="0"/>
        <condense val="0"/>
        <extend val="0"/>
        <outline val="0"/>
        <shadow val="0"/>
        <u val="none"/>
        <vertAlign val="baseline"/>
        <sz val="11"/>
        <color theme="1"/>
        <name val="Calibri"/>
        <family val="2"/>
        <charset val="238"/>
        <scheme val="minor"/>
      </font>
      <numFmt numFmtId="168" formatCode="_ &quot;€&quot;\ * #,##0_ ;_ &quot;€&quot;\ * \-#,##0_ ;_ &quot;€&quot;\ * &quot;-&quot;??_ ;_ @_ "/>
    </dxf>
    <dxf>
      <numFmt numFmtId="168" formatCode="_ &quot;€&quot;\ * #,##0_ ;_ &quot;€&quot;\ * \-#,##0_ ;_ &quot;€&quot;\ * &quot;-&quot;??_ ;_ @_ "/>
    </dxf>
    <dxf>
      <font>
        <b val="0"/>
        <i val="0"/>
        <strike val="0"/>
        <condense val="0"/>
        <extend val="0"/>
        <outline val="0"/>
        <shadow val="0"/>
        <u val="none"/>
        <vertAlign val="baseline"/>
        <sz val="11"/>
        <color theme="1"/>
        <name val="Calibri"/>
        <family val="2"/>
        <charset val="238"/>
        <scheme val="minor"/>
      </font>
      <numFmt numFmtId="168" formatCode="_ &quot;€&quot;\ * #,##0_ ;_ &quot;€&quot;\ * \-#,##0_ ;_ &quot;€&quot;\ * &quot;-&quot;??_ ;_ @_ "/>
    </dxf>
    <dxf>
      <numFmt numFmtId="168" formatCode="_ &quot;€&quot;\ * #,##0_ ;_ &quot;€&quot;\ * \-#,##0_ ;_ &quot;€&quot;\ * &quot;-&quot;??_ ;_ @_ "/>
    </dxf>
    <dxf>
      <font>
        <b val="0"/>
        <i val="0"/>
        <strike val="0"/>
        <condense val="0"/>
        <extend val="0"/>
        <outline val="0"/>
        <shadow val="0"/>
        <u val="none"/>
        <vertAlign val="baseline"/>
        <sz val="11"/>
        <color theme="1"/>
        <name val="Calibri"/>
        <family val="2"/>
        <charset val="238"/>
        <scheme val="minor"/>
      </font>
      <numFmt numFmtId="168" formatCode="_ &quot;€&quot;\ * #,##0_ ;_ &quot;€&quot;\ * \-#,##0_ ;_ &quot;€&quot;\ * &quot;-&quot;??_ ;_ @_ "/>
    </dxf>
    <dxf>
      <numFmt numFmtId="168" formatCode="_ &quot;€&quot;\ * #,##0_ ;_ &quot;€&quot;\ * \-#,##0_ ;_ &quot;€&quot;\ * &quot;-&quot;??_ ;_ @_ "/>
    </dxf>
    <dxf>
      <font>
        <b val="0"/>
        <i val="0"/>
        <strike val="0"/>
        <condense val="0"/>
        <extend val="0"/>
        <outline val="0"/>
        <shadow val="0"/>
        <u val="none"/>
        <vertAlign val="baseline"/>
        <sz val="11"/>
        <color theme="1"/>
        <name val="Calibri"/>
        <family val="2"/>
        <charset val="238"/>
        <scheme val="minor"/>
      </font>
      <numFmt numFmtId="168" formatCode="_ &quot;€&quot;\ * #,##0_ ;_ &quot;€&quot;\ * \-#,##0_ ;_ &quot;€&quot;\ * &quot;-&quot;??_ ;_ @_ "/>
    </dxf>
    <dxf>
      <numFmt numFmtId="168" formatCode="_ &quot;€&quot;\ * #,##0_ ;_ &quot;€&quot;\ * \-#,##0_ ;_ &quot;€&quot;\ * &quot;-&quot;??_ ;_ @_ "/>
    </dxf>
    <dxf>
      <font>
        <b/>
        <strike val="0"/>
        <outline val="0"/>
        <shadow val="0"/>
        <u val="none"/>
        <vertAlign val="baseline"/>
        <sz val="11"/>
        <color rgb="FF0070C0"/>
        <name val="Calibri"/>
        <family val="2"/>
        <scheme val="minor"/>
      </font>
      <numFmt numFmtId="168" formatCode="_ &quot;€&quot;\ * #,##0_ ;_ &quot;€&quot;\ * \-#,##0_ ;_ &quot;€&quot;\ * &quot;-&quot;??_ ;_ @_ "/>
    </dxf>
    <dxf>
      <numFmt numFmtId="168" formatCode="_ &quot;€&quot;\ * #,##0_ ;_ &quot;€&quot;\ * \-#,##0_ ;_ &quot;€&quot;\ * &quot;-&quot;??_ ;_ @_ "/>
    </dxf>
    <dxf>
      <numFmt numFmtId="0" formatCode="General"/>
    </dxf>
    <dxf>
      <numFmt numFmtId="0" formatCode="General"/>
    </dxf>
    <dxf>
      <numFmt numFmtId="3" formatCode="#,##0"/>
    </dxf>
    <dxf>
      <numFmt numFmtId="167" formatCode="0.0"/>
    </dxf>
    <dxf>
      <numFmt numFmtId="0" formatCode="General"/>
    </dxf>
    <dxf>
      <numFmt numFmtId="0" formatCode="General"/>
    </dxf>
    <dxf>
      <numFmt numFmtId="3" formatCode="#,##0"/>
    </dxf>
    <dxf>
      <numFmt numFmtId="0" formatCode="General"/>
    </dxf>
    <dxf>
      <numFmt numFmtId="0" formatCode="General"/>
    </dxf>
    <dxf>
      <numFmt numFmtId="30" formatCode="@"/>
    </dxf>
    <dxf>
      <numFmt numFmtId="30" formatCode="@"/>
    </dxf>
    <dxf>
      <numFmt numFmtId="165" formatCode="_ &quot;€&quot;\ * #,##0.00_ ;_ &quot;€&quot;\ * \-#,##0.00_ ;_ &quot;€&quot;\ * &quot;-&quot;??_ ;_ @_ "/>
    </dxf>
    <dxf>
      <numFmt numFmtId="165" formatCode="_ &quot;€&quot;\ * #,##0.00_ ;_ &quot;€&quot;\ * \-#,##0.00_ ;_ &quot;€&quot;\ * &quot;-&quot;??_ ;_ @_ "/>
    </dxf>
    <dxf>
      <numFmt numFmtId="165" formatCode="_ &quot;€&quot;\ * #,##0.00_ ;_ &quot;€&quot;\ * \-#,##0.00_ ;_ &quot;€&quot;\ * &quot;-&quot;??_ ;_ @_ "/>
    </dxf>
    <dxf>
      <numFmt numFmtId="165" formatCode="_ &quot;€&quot;\ * #,##0.00_ ;_ &quot;€&quot;\ * \-#,##0.00_ ;_ &quot;€&quot;\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[MKI-Bestek GDCC Bouw en woonrijp maken V3.0.xlsx]Totaal!PivotTable2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Totale</a:t>
            </a:r>
            <a:r>
              <a:rPr lang="en-US" baseline="0"/>
              <a:t> </a:t>
            </a:r>
            <a:r>
              <a:rPr lang="en-US"/>
              <a:t>MKI-referentiewaarde</a:t>
            </a:r>
            <a:r>
              <a:rPr lang="en-US" baseline="0"/>
              <a:t> variant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Totaal!$A$1</c:f>
              <c:strCache>
                <c:ptCount val="1"/>
                <c:pt idx="0">
                  <c:v>Sum of MKI A-D</c:v>
                </c:pt>
              </c:strCache>
            </c:strRef>
          </c:tx>
          <c:spPr>
            <a:solidFill>
              <a:schemeClr val="accent1"/>
            </a:solidFill>
            <a:ln>
              <a:noFill/>
            </a:ln>
            <a:effectLst/>
          </c:spPr>
          <c:invertIfNegative val="0"/>
          <c:cat>
            <c:strRef>
              <c:f>Totaal!$A$2</c:f>
              <c:strCache>
                <c:ptCount val="1"/>
                <c:pt idx="0">
                  <c:v>Total</c:v>
                </c:pt>
              </c:strCache>
            </c:strRef>
          </c:cat>
          <c:val>
            <c:numRef>
              <c:f>Totaal!$A$2</c:f>
              <c:numCache>
                <c:formatCode>_ "€"\ * #,##0.00_ ;_ "€"\ * \-#,##0.00_ ;_ "€"\ * "-"??_ ;_ @_ </c:formatCode>
                <c:ptCount val="1"/>
                <c:pt idx="0">
                  <c:v>396878.51411485305</c:v>
                </c:pt>
              </c:numCache>
            </c:numRef>
          </c:val>
          <c:extLst>
            <c:ext xmlns:c16="http://schemas.microsoft.com/office/drawing/2014/chart" uri="{C3380CC4-5D6E-409C-BE32-E72D297353CC}">
              <c16:uniqueId val="{00000000-7DB8-44B6-B412-E9D19294EF51}"/>
            </c:ext>
          </c:extLst>
        </c:ser>
        <c:ser>
          <c:idx val="1"/>
          <c:order val="1"/>
          <c:tx>
            <c:strRef>
              <c:f>Totaal!$B$1</c:f>
              <c:strCache>
                <c:ptCount val="1"/>
                <c:pt idx="0">
                  <c:v>Sum of Totaal nieuw</c:v>
                </c:pt>
              </c:strCache>
            </c:strRef>
          </c:tx>
          <c:spPr>
            <a:solidFill>
              <a:schemeClr val="accent2"/>
            </a:solidFill>
            <a:ln>
              <a:noFill/>
            </a:ln>
            <a:effectLst/>
          </c:spPr>
          <c:invertIfNegative val="0"/>
          <c:cat>
            <c:strRef>
              <c:f>Totaal!$A$2</c:f>
              <c:strCache>
                <c:ptCount val="1"/>
                <c:pt idx="0">
                  <c:v>Total</c:v>
                </c:pt>
              </c:strCache>
            </c:strRef>
          </c:cat>
          <c:val>
            <c:numRef>
              <c:f>Totaal!$B$2</c:f>
              <c:numCache>
                <c:formatCode>_ "€"\ * #,##0.00_ ;_ "€"\ * \-#,##0.00_ ;_ "€"\ * "-"??_ ;_ @_ </c:formatCode>
                <c:ptCount val="1"/>
                <c:pt idx="0">
                  <c:v>260974.30213071813</c:v>
                </c:pt>
              </c:numCache>
            </c:numRef>
          </c:val>
          <c:extLst>
            <c:ext xmlns:c16="http://schemas.microsoft.com/office/drawing/2014/chart" uri="{C3380CC4-5D6E-409C-BE32-E72D297353CC}">
              <c16:uniqueId val="{00000000-8D77-4234-895C-3C2236B9DD92}"/>
            </c:ext>
          </c:extLst>
        </c:ser>
        <c:dLbls>
          <c:showLegendKey val="0"/>
          <c:showVal val="0"/>
          <c:showCatName val="0"/>
          <c:showSerName val="0"/>
          <c:showPercent val="0"/>
          <c:showBubbleSize val="0"/>
        </c:dLbls>
        <c:gapWidth val="219"/>
        <c:overlap val="-27"/>
        <c:axId val="1106872080"/>
        <c:axId val="1106871424"/>
      </c:barChart>
      <c:catAx>
        <c:axId val="1106872080"/>
        <c:scaling>
          <c:orientation val="minMax"/>
        </c:scaling>
        <c:delete val="1"/>
        <c:axPos val="b"/>
        <c:numFmt formatCode="General" sourceLinked="1"/>
        <c:majorTickMark val="none"/>
        <c:minorTickMark val="none"/>
        <c:tickLblPos val="nextTo"/>
        <c:crossAx val="1106871424"/>
        <c:crosses val="autoZero"/>
        <c:auto val="1"/>
        <c:lblAlgn val="ctr"/>
        <c:lblOffset val="100"/>
        <c:noMultiLvlLbl val="0"/>
      </c:catAx>
      <c:valAx>
        <c:axId val="1106871424"/>
        <c:scaling>
          <c:orientation val="minMax"/>
        </c:scaling>
        <c:delete val="0"/>
        <c:axPos val="l"/>
        <c:numFmt formatCode="_ &quot;€&quot;\ * #,##0.00_ ;_ &quot;€&quot;\ * \-#,##0.00_ ;_ &quot;€&quot;\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106872080"/>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x1.000 MKI</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dispUnitsLbl>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[MKI-Bestek GDCC Bouw en woonrijp maken V3.0.xlsx]Per werkzaamheid!PivotTable1</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MKI-waardes</a:t>
            </a:r>
            <a:r>
              <a:rPr lang="en-US" baseline="0"/>
              <a:t> per type werkzaamheid</a:t>
            </a:r>
            <a:endParaRPr lang="en-US"/>
          </a:p>
        </c:rich>
      </c:tx>
      <c:layout>
        <c:manualLayout>
          <c:xMode val="edge"/>
          <c:yMode val="edge"/>
          <c:x val="0.26429100603416705"/>
          <c:y val="3.71675723633137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'Per werkzaamheid'!$B$1</c:f>
              <c:strCache>
                <c:ptCount val="1"/>
                <c:pt idx="0">
                  <c:v>Sum of MKI A-D</c:v>
                </c:pt>
              </c:strCache>
            </c:strRef>
          </c:tx>
          <c:spPr>
            <a:solidFill>
              <a:schemeClr val="accent1"/>
            </a:solidFill>
            <a:ln>
              <a:noFill/>
            </a:ln>
            <a:effectLst/>
          </c:spPr>
          <c:invertIfNegative val="0"/>
          <c:cat>
            <c:strRef>
              <c:f>'Per werkzaamheid'!$A$2:$A$114</c:f>
              <c:strCache>
                <c:ptCount val="112"/>
                <c:pt idx="0">
                  <c:v>30 mm lava tussenlaag </c:v>
                </c:pt>
                <c:pt idx="1">
                  <c:v>Aanbrengen bochtstuk 45° kolkleidingen PVC ø125 mm</c:v>
                </c:pt>
                <c:pt idx="2">
                  <c:v>Aanbrengen en verwijderen rijplatenbaan.</c:v>
                </c:pt>
                <c:pt idx="3">
                  <c:v>Aanbrengen knevelinlaat kolkleidingen PVC ø160 mm.</c:v>
                </c:pt>
                <c:pt idx="4">
                  <c:v>Aanbrengen kolkleidingen PVC ø125 mm.</c:v>
                </c:pt>
                <c:pt idx="5">
                  <c:v>Aanbrengen PE100-buis ø125 mm, persleiding.</c:v>
                </c:pt>
                <c:pt idx="6">
                  <c:v>Aanbrengen PVC-buis dia250 mm, VWA-riool</c:v>
                </c:pt>
                <c:pt idx="7">
                  <c:v>Aanbrengen PVC-buis ø160 mm, VWA uitlegger.</c:v>
                </c:pt>
                <c:pt idx="8">
                  <c:v>Aanbrengen PVC-hulpstuk, eindkap ø160 mm.</c:v>
                </c:pt>
                <c:pt idx="9">
                  <c:v>Aanbrengen PVC-hulpstuk, overschuifmof ø160 mm.</c:v>
                </c:pt>
                <c:pt idx="10">
                  <c:v>Aanbrengen schuifafsluiter persleiding.</c:v>
                </c:pt>
                <c:pt idx="11">
                  <c:v>Aanbrengen standpijp PVC ø160 mm.</c:v>
                </c:pt>
                <c:pt idx="12">
                  <c:v>Aanbrengen straatkolk 450x300 mm.</c:v>
                </c:pt>
                <c:pt idx="13">
                  <c:v>Aanbrengen Tegra 600 inspectieputten</c:v>
                </c:pt>
                <c:pt idx="14">
                  <c:v>Aanbrengen trottoirkolk 450x300 mm.</c:v>
                </c:pt>
                <c:pt idx="15">
                  <c:v>Aanvullen sleuf VWA uitleggers ø160 mm.</c:v>
                </c:pt>
                <c:pt idx="16">
                  <c:v>Graven en aanvullen sleuf (1 m en dieper).</c:v>
                </c:pt>
                <c:pt idx="17">
                  <c:v>Grond ontgraven t.b.v. sleuf VWA uitleggers ø160 mm</c:v>
                </c:pt>
                <c:pt idx="18">
                  <c:v>Maken inlaat IT-riool ø160 mm.</c:v>
                </c:pt>
                <c:pt idx="19">
                  <c:v>Opbreken RWS-banden 110/220 x 250 mm.</c:v>
                </c:pt>
                <c:pt idx="20">
                  <c:v>Opnemen verharding van prefab. betonplaten</c:v>
                </c:pt>
                <c:pt idx="21">
                  <c:v>Zagen van bitumineuze verharding, 230-280 mm.</c:v>
                </c:pt>
                <c:pt idx="22">
                  <c:v>Zagen van bitumineuze verharding, 120-150 mm.</c:v>
                </c:pt>
                <c:pt idx="23">
                  <c:v>Maaien en frezen van kruidachtige vegetatie</c:v>
                </c:pt>
                <c:pt idx="24">
                  <c:v>Grond ontgraven uit cunet</c:v>
                </c:pt>
                <c:pt idx="25">
                  <c:v>Grond vervoeren naar plaats van verwerken</c:v>
                </c:pt>
                <c:pt idx="26">
                  <c:v>Grond verwerken in cunet</c:v>
                </c:pt>
                <c:pt idx="27">
                  <c:v>Grond verwerken in terrein</c:v>
                </c:pt>
                <c:pt idx="28">
                  <c:v>Leveren zand in zandbed</c:v>
                </c:pt>
                <c:pt idx="29">
                  <c:v>Leveren brekerzand</c:v>
                </c:pt>
                <c:pt idx="30">
                  <c:v>Betonduiker</c:v>
                </c:pt>
                <c:pt idx="31">
                  <c:v>Graven sleuven</c:v>
                </c:pt>
                <c:pt idx="32">
                  <c:v>Aanvullen sleuven</c:v>
                </c:pt>
                <c:pt idx="33">
                  <c:v>Aanbrengen bochtstuk 45° kolkleidingen PVC ø160 mm</c:v>
                </c:pt>
                <c:pt idx="34">
                  <c:v>Aanbrengen bochtstuk 45° kolkleidingen PE hulpstuk ø125 mm</c:v>
                </c:pt>
                <c:pt idx="35">
                  <c:v>Aanbrengen hek</c:v>
                </c:pt>
                <c:pt idx="36">
                  <c:v>Verkeersborden</c:v>
                </c:pt>
                <c:pt idx="37">
                  <c:v>Graven en aanvullen sleuf  </c:v>
                </c:pt>
                <c:pt idx="38">
                  <c:v>Aanbrengen energiegrondkabel</c:v>
                </c:pt>
                <c:pt idx="39">
                  <c:v>Frezen en Eggen</c:v>
                </c:pt>
                <c:pt idx="40">
                  <c:v>Aanbrengen lengtemarkering</c:v>
                </c:pt>
                <c:pt idx="41">
                  <c:v>Diepspitten</c:v>
                </c:pt>
                <c:pt idx="42">
                  <c:v>Aanbrengen putrand met deksel</c:v>
                </c:pt>
                <c:pt idx="43">
                  <c:v>Aanbrengen kabelbuis</c:v>
                </c:pt>
                <c:pt idx="44">
                  <c:v>Graven en aanvullen sleuf</c:v>
                </c:pt>
                <c:pt idx="45">
                  <c:v>Aanbrengen uitstroomvoorziening prefab beton.</c:v>
                </c:pt>
                <c:pt idx="46">
                  <c:v>Zandbed </c:v>
                </c:pt>
                <c:pt idx="47">
                  <c:v>Straatlaag</c:v>
                </c:pt>
                <c:pt idx="48">
                  <c:v>Aanbrengen opsluitbanden</c:v>
                </c:pt>
                <c:pt idx="49">
                  <c:v>Aanbrengen van een wegfundering 100 mm</c:v>
                </c:pt>
                <c:pt idx="50">
                  <c:v>Aanbrengen van een wegfundering 250 mm</c:v>
                </c:pt>
                <c:pt idx="51">
                  <c:v>Aanbrengen van een wegfundering 300 mm</c:v>
                </c:pt>
                <c:pt idx="52">
                  <c:v>Aanbrengen van een wegfundering 350 mm</c:v>
                </c:pt>
                <c:pt idx="53">
                  <c:v>Geleidebanden / RWS-banden</c:v>
                </c:pt>
                <c:pt idx="54">
                  <c:v>Onderlagen AC 22 Base 70 mm</c:v>
                </c:pt>
                <c:pt idx="55">
                  <c:v>Tussenlagen AC 16 Bin 50 mm</c:v>
                </c:pt>
                <c:pt idx="56">
                  <c:v>Deklagen AC 16 surf 50 mm</c:v>
                </c:pt>
                <c:pt idx="57">
                  <c:v>Kleeflagen 0,4 kg/m2</c:v>
                </c:pt>
                <c:pt idx="58">
                  <c:v>Kleeflagen 0,3 kg/m2</c:v>
                </c:pt>
                <c:pt idx="59">
                  <c:v>Menggranulaat 200 mm</c:v>
                </c:pt>
                <c:pt idx="60">
                  <c:v>Stabilizer verharding</c:v>
                </c:pt>
                <c:pt idx="61">
                  <c:v>Verwijderen drainagebuis ø80 mm</c:v>
                </c:pt>
                <c:pt idx="62">
                  <c:v>Verwijderen kunststofbuis ø250 mm</c:v>
                </c:pt>
                <c:pt idx="63">
                  <c:v>Frezen getrapte aansluiting</c:v>
                </c:pt>
                <c:pt idx="64">
                  <c:v>Opbreken asfalt 230 mm</c:v>
                </c:pt>
                <c:pt idx="65">
                  <c:v>Opbreken asfalt 120 mm</c:v>
                </c:pt>
                <c:pt idx="66">
                  <c:v>Verwijderen schrikhek</c:v>
                </c:pt>
                <c:pt idx="67">
                  <c:v>Verwijderen verkeersbordpaal, incl. bord</c:v>
                </c:pt>
                <c:pt idx="68">
                  <c:v>Verwijderen verkeersborden</c:v>
                </c:pt>
                <c:pt idx="69">
                  <c:v>Demarkeren gele markering</c:v>
                </c:pt>
                <c:pt idx="70">
                  <c:v>Demarkeren van witte markering</c:v>
                </c:pt>
                <c:pt idx="71">
                  <c:v>Verwijderen betonnen geleidebarrier</c:v>
                </c:pt>
                <c:pt idx="72">
                  <c:v>Verwijderen schildjes</c:v>
                </c:pt>
                <c:pt idx="73">
                  <c:v>Afschuinen bestaande betonnen duikers</c:v>
                </c:pt>
                <c:pt idx="74">
                  <c:v>Aanbrengen stalen duiker ø800 mm</c:v>
                </c:pt>
                <c:pt idx="75">
                  <c:v>Aanbrengen trekput</c:v>
                </c:pt>
                <c:pt idx="76">
                  <c:v>Aanbrengen PP 315 Inspectieput</c:v>
                </c:pt>
                <c:pt idx="77">
                  <c:v>Gesloten front boring</c:v>
                </c:pt>
                <c:pt idx="78">
                  <c:v>Pneumatische boring</c:v>
                </c:pt>
                <c:pt idx="79">
                  <c:v>Kokosmat uitleggers</c:v>
                </c:pt>
                <c:pt idx="80">
                  <c:v>Markeringspalen</c:v>
                </c:pt>
                <c:pt idx="81">
                  <c:v>Schoonmaken verhardingsoppervlak</c:v>
                </c:pt>
                <c:pt idx="82">
                  <c:v>Aanbrengen opsluitbanden 60 x 150 mm</c:v>
                </c:pt>
                <c:pt idx="83">
                  <c:v>Truckbanden 400/600x300</c:v>
                </c:pt>
                <c:pt idx="84">
                  <c:v>Bakfrezen asfalt</c:v>
                </c:pt>
                <c:pt idx="85">
                  <c:v>Aanbrengen asfaltwapening</c:v>
                </c:pt>
                <c:pt idx="86">
                  <c:v>Kleeflaag 0,7 kg/m2</c:v>
                </c:pt>
                <c:pt idx="87">
                  <c:v>Tussenlagen AC 16 Bin 50 mm, reparatie</c:v>
                </c:pt>
                <c:pt idx="88">
                  <c:v>Haaientandtegels 300 x 300 x 60 mm</c:v>
                </c:pt>
                <c:pt idx="89">
                  <c:v>Aanbrengen figuratie markering, driehoeksmarkering</c:v>
                </c:pt>
                <c:pt idx="90">
                  <c:v>Plaatsen enkelzits bank</c:v>
                </c:pt>
                <c:pt idx="91">
                  <c:v>Aanbrengen uitneembare paal</c:v>
                </c:pt>
                <c:pt idx="92">
                  <c:v>Aanbrengen schakel- en verdeelinrichting OVL kast</c:v>
                </c:pt>
                <c:pt idx="93">
                  <c:v>Aanbrengen zwerfkei</c:v>
                </c:pt>
                <c:pt idx="94">
                  <c:v>Ontgraven menggranulaat uit depot.</c:v>
                </c:pt>
                <c:pt idx="95">
                  <c:v>Vervoeren menggranulaat naar plaats van verwerking</c:v>
                </c:pt>
                <c:pt idx="96">
                  <c:v>Leveren van ongebonden steenmengsel voor een Leveren van ongebonden steenmengsel voor een wegfundering van steenmengsel.</c:v>
                </c:pt>
                <c:pt idx="97">
                  <c:v>Aanbrengen betonstraatstenen.</c:v>
                </c:pt>
                <c:pt idx="98">
                  <c:v>Leveren rechte opsluitbanden Bio Bound</c:v>
                </c:pt>
                <c:pt idx="99">
                  <c:v>Leveren hulpstukken opsluitbanden Bio Bound</c:v>
                </c:pt>
                <c:pt idx="100">
                  <c:v>Bio Bound trottoirband 180/200 x 250 </c:v>
                </c:pt>
                <c:pt idx="101">
                  <c:v>Bio Bound Leveren hulpstukken troittoirbanden</c:v>
                </c:pt>
                <c:pt idx="102">
                  <c:v>Bio Bound trottoirband 110/220 x 250 </c:v>
                </c:pt>
                <c:pt idx="103">
                  <c:v>Bio Bound Truckbanden 400/600x300</c:v>
                </c:pt>
                <c:pt idx="104">
                  <c:v>Bio Bound BSS</c:v>
                </c:pt>
                <c:pt idx="105">
                  <c:v>Bio Bound Betontegels 100 mm, wit</c:v>
                </c:pt>
                <c:pt idx="106">
                  <c:v>Bio Bound aanbrengen betontegels</c:v>
                </c:pt>
                <c:pt idx="107">
                  <c:v>Bio Bound Betontegels 300 x 300 x 45 mm, wit</c:v>
                </c:pt>
                <c:pt idx="108">
                  <c:v>Bio Bound Betontegels 300 x 300 x 80 mm, antraciet</c:v>
                </c:pt>
                <c:pt idx="109">
                  <c:v>Bio Bound Betontegels 200 x 200 x 80 mm</c:v>
                </c:pt>
                <c:pt idx="110">
                  <c:v>Bio Bound Betontegels 200 x 200 x 80 mm, wit</c:v>
                </c:pt>
                <c:pt idx="111">
                  <c:v>Bio Bound Grasbetontegels 600 x 400 x 100 mm   </c:v>
                </c:pt>
              </c:strCache>
            </c:strRef>
          </c:cat>
          <c:val>
            <c:numRef>
              <c:f>'Per werkzaamheid'!$B$2:$B$114</c:f>
              <c:numCache>
                <c:formatCode>_ "€"\ * #,##0.00_ ;_ "€"\ * \-#,##0.00_ ;_ "€"\ * "-"??_ ;_ @_ </c:formatCode>
                <c:ptCount val="112"/>
                <c:pt idx="0">
                  <c:v>1522.4019249880373</c:v>
                </c:pt>
                <c:pt idx="1">
                  <c:v>33.352584255106649</c:v>
                </c:pt>
                <c:pt idx="2">
                  <c:v>2112.4729990245773</c:v>
                </c:pt>
                <c:pt idx="3">
                  <c:v>1.5720622563778588</c:v>
                </c:pt>
                <c:pt idx="4">
                  <c:v>47.018880575432853</c:v>
                </c:pt>
                <c:pt idx="5">
                  <c:v>483.57709380030605</c:v>
                </c:pt>
                <c:pt idx="6">
                  <c:v>2021.3457456465787</c:v>
                </c:pt>
                <c:pt idx="7">
                  <c:v>219.6368891704262</c:v>
                </c:pt>
                <c:pt idx="8">
                  <c:v>9.9750382400944932</c:v>
                </c:pt>
                <c:pt idx="9">
                  <c:v>9.9750382400944932</c:v>
                </c:pt>
                <c:pt idx="10">
                  <c:v>128.20590201811356</c:v>
                </c:pt>
                <c:pt idx="11">
                  <c:v>54.051265694284574</c:v>
                </c:pt>
                <c:pt idx="12">
                  <c:v>143.53432775233793</c:v>
                </c:pt>
                <c:pt idx="13">
                  <c:v>42.262867994700002</c:v>
                </c:pt>
                <c:pt idx="14">
                  <c:v>825.32238457594303</c:v>
                </c:pt>
                <c:pt idx="15">
                  <c:v>27.894228269515395</c:v>
                </c:pt>
                <c:pt idx="16">
                  <c:v>536.07425675671118</c:v>
                </c:pt>
                <c:pt idx="17">
                  <c:v>12.91240515450388</c:v>
                </c:pt>
                <c:pt idx="18">
                  <c:v>8.9775344160850441</c:v>
                </c:pt>
                <c:pt idx="19">
                  <c:v>5.8315799464254958</c:v>
                </c:pt>
                <c:pt idx="20">
                  <c:v>945.62214814697199</c:v>
                </c:pt>
                <c:pt idx="21">
                  <c:v>48.357193016818321</c:v>
                </c:pt>
                <c:pt idx="22">
                  <c:v>462.07984438293067</c:v>
                </c:pt>
                <c:pt idx="23">
                  <c:v>916.93334978253176</c:v>
                </c:pt>
                <c:pt idx="24">
                  <c:v>1214.7030963461102</c:v>
                </c:pt>
                <c:pt idx="25">
                  <c:v>107.85259287738549</c:v>
                </c:pt>
                <c:pt idx="26">
                  <c:v>807.06632207933671</c:v>
                </c:pt>
                <c:pt idx="27">
                  <c:v>951.46515085636088</c:v>
                </c:pt>
                <c:pt idx="28">
                  <c:v>16972.549788800388</c:v>
                </c:pt>
                <c:pt idx="29">
                  <c:v>5287.0600491274363</c:v>
                </c:pt>
                <c:pt idx="30">
                  <c:v>459.69899950479748</c:v>
                </c:pt>
                <c:pt idx="31">
                  <c:v>157.02533101427096</c:v>
                </c:pt>
                <c:pt idx="32">
                  <c:v>488.14899471651944</c:v>
                </c:pt>
                <c:pt idx="33">
                  <c:v>19.950076480188986</c:v>
                </c:pt>
                <c:pt idx="34">
                  <c:v>23.986779974286829</c:v>
                </c:pt>
                <c:pt idx="35">
                  <c:v>90.570694474605872</c:v>
                </c:pt>
                <c:pt idx="36">
                  <c:v>9041.2276502375062</c:v>
                </c:pt>
                <c:pt idx="37">
                  <c:v>17202.229547161849</c:v>
                </c:pt>
                <c:pt idx="38">
                  <c:v>19953.964952004957</c:v>
                </c:pt>
                <c:pt idx="39">
                  <c:v>7.1523662229526659</c:v>
                </c:pt>
                <c:pt idx="40">
                  <c:v>37151.920361133736</c:v>
                </c:pt>
                <c:pt idx="41">
                  <c:v>149.54793429930567</c:v>
                </c:pt>
                <c:pt idx="42">
                  <c:v>1004.6399491611193</c:v>
                </c:pt>
                <c:pt idx="43">
                  <c:v>216.03155310700652</c:v>
                </c:pt>
                <c:pt idx="44">
                  <c:v>9849.1196622965872</c:v>
                </c:pt>
                <c:pt idx="45">
                  <c:v>210.67783778909362</c:v>
                </c:pt>
                <c:pt idx="46">
                  <c:v>9701.7860159371485</c:v>
                </c:pt>
                <c:pt idx="47">
                  <c:v>1620.4823983907891</c:v>
                </c:pt>
                <c:pt idx="48">
                  <c:v>9952.4560815550431</c:v>
                </c:pt>
                <c:pt idx="49">
                  <c:v>17.097053226718749</c:v>
                </c:pt>
                <c:pt idx="50">
                  <c:v>2265.4123514620073</c:v>
                </c:pt>
                <c:pt idx="51">
                  <c:v>384.68369760117184</c:v>
                </c:pt>
                <c:pt idx="52">
                  <c:v>7853.9588260239243</c:v>
                </c:pt>
                <c:pt idx="53">
                  <c:v>12.291134421911664</c:v>
                </c:pt>
                <c:pt idx="54">
                  <c:v>5044.2945667615732</c:v>
                </c:pt>
                <c:pt idx="55">
                  <c:v>3594.4374457762106</c:v>
                </c:pt>
                <c:pt idx="56">
                  <c:v>142045.31642719414</c:v>
                </c:pt>
                <c:pt idx="57">
                  <c:v>1340.6382146349997</c:v>
                </c:pt>
                <c:pt idx="58">
                  <c:v>454.91000729158014</c:v>
                </c:pt>
                <c:pt idx="59">
                  <c:v>170.97053226718751</c:v>
                </c:pt>
                <c:pt idx="60">
                  <c:v>84.640182597920216</c:v>
                </c:pt>
                <c:pt idx="61">
                  <c:v>52.896925230173423</c:v>
                </c:pt>
                <c:pt idx="62">
                  <c:v>25.845458329526643</c:v>
                </c:pt>
                <c:pt idx="63">
                  <c:v>16.034889835237582</c:v>
                </c:pt>
                <c:pt idx="64">
                  <c:v>2.980152592896943</c:v>
                </c:pt>
                <c:pt idx="65">
                  <c:v>71.523662229526636</c:v>
                </c:pt>
                <c:pt idx="66">
                  <c:v>0</c:v>
                </c:pt>
                <c:pt idx="67">
                  <c:v>0</c:v>
                </c:pt>
                <c:pt idx="68">
                  <c:v>0</c:v>
                </c:pt>
                <c:pt idx="69">
                  <c:v>3.0993586966128222</c:v>
                </c:pt>
                <c:pt idx="70">
                  <c:v>524.50685634986212</c:v>
                </c:pt>
                <c:pt idx="71">
                  <c:v>0</c:v>
                </c:pt>
                <c:pt idx="72">
                  <c:v>0</c:v>
                </c:pt>
                <c:pt idx="73">
                  <c:v>19.342877206727334</c:v>
                </c:pt>
                <c:pt idx="74">
                  <c:v>304.24082722071557</c:v>
                </c:pt>
                <c:pt idx="75">
                  <c:v>8.4525735989400008</c:v>
                </c:pt>
                <c:pt idx="76">
                  <c:v>26.713495753560007</c:v>
                </c:pt>
                <c:pt idx="77">
                  <c:v>109.62205103583533</c:v>
                </c:pt>
                <c:pt idx="78">
                  <c:v>74.20569608579622</c:v>
                </c:pt>
                <c:pt idx="79">
                  <c:v>1256.4300548464148</c:v>
                </c:pt>
                <c:pt idx="80">
                  <c:v>755.24686598875462</c:v>
                </c:pt>
                <c:pt idx="81">
                  <c:v>122.44850973694963</c:v>
                </c:pt>
                <c:pt idx="82">
                  <c:v>17.631430326640377</c:v>
                </c:pt>
                <c:pt idx="83">
                  <c:v>352.62860653280757</c:v>
                </c:pt>
                <c:pt idx="84">
                  <c:v>121.0180364923591</c:v>
                </c:pt>
                <c:pt idx="85">
                  <c:v>41.76432684224914</c:v>
                </c:pt>
                <c:pt idx="86">
                  <c:v>19.840311844492593</c:v>
                </c:pt>
                <c:pt idx="87">
                  <c:v>60.410713374390099</c:v>
                </c:pt>
                <c:pt idx="88">
                  <c:v>10.385500273963221</c:v>
                </c:pt>
                <c:pt idx="89">
                  <c:v>2747.9610060217883</c:v>
                </c:pt>
                <c:pt idx="90">
                  <c:v>0</c:v>
                </c:pt>
                <c:pt idx="91">
                  <c:v>755.24686598875462</c:v>
                </c:pt>
                <c:pt idx="92">
                  <c:v>0</c:v>
                </c:pt>
                <c:pt idx="93">
                  <c:v>556.97216515657033</c:v>
                </c:pt>
                <c:pt idx="94">
                  <c:v>344.95862293300706</c:v>
                </c:pt>
                <c:pt idx="95">
                  <c:v>20.35437657864011</c:v>
                </c:pt>
                <c:pt idx="96">
                  <c:v>137.09806404665656</c:v>
                </c:pt>
                <c:pt idx="97">
                  <c:v>3516.2860805768205</c:v>
                </c:pt>
                <c:pt idx="98">
                  <c:v>3983.8075728000003</c:v>
                </c:pt>
                <c:pt idx="99">
                  <c:v>48.034043480000008</c:v>
                </c:pt>
                <c:pt idx="100">
                  <c:v>1787.186402</c:v>
                </c:pt>
                <c:pt idx="101">
                  <c:v>3.6361880000000006</c:v>
                </c:pt>
                <c:pt idx="102">
                  <c:v>15.9992272</c:v>
                </c:pt>
                <c:pt idx="103">
                  <c:v>65.45138399999999</c:v>
                </c:pt>
                <c:pt idx="104">
                  <c:v>2770.6375199999998</c:v>
                </c:pt>
                <c:pt idx="105">
                  <c:v>296.00314500000007</c:v>
                </c:pt>
                <c:pt idx="106">
                  <c:v>5760.3329010000016</c:v>
                </c:pt>
                <c:pt idx="107">
                  <c:v>26.807832000000001</c:v>
                </c:pt>
                <c:pt idx="108">
                  <c:v>49644.133333333339</c:v>
                </c:pt>
                <c:pt idx="109">
                  <c:v>3453.3700250000006</c:v>
                </c:pt>
                <c:pt idx="110">
                  <c:v>14.297510400000006</c:v>
                </c:pt>
                <c:pt idx="111">
                  <c:v>403.31849999999997</c:v>
                </c:pt>
              </c:numCache>
            </c:numRef>
          </c:val>
          <c:extLst>
            <c:ext xmlns:c16="http://schemas.microsoft.com/office/drawing/2014/chart" uri="{C3380CC4-5D6E-409C-BE32-E72D297353CC}">
              <c16:uniqueId val="{00000000-45EB-48AC-9D0F-13BF4A890EAE}"/>
            </c:ext>
          </c:extLst>
        </c:ser>
        <c:ser>
          <c:idx val="1"/>
          <c:order val="1"/>
          <c:tx>
            <c:strRef>
              <c:f>'Per werkzaamheid'!$C$1</c:f>
              <c:strCache>
                <c:ptCount val="1"/>
                <c:pt idx="0">
                  <c:v>Sum of MKI A-D nieuw</c:v>
                </c:pt>
              </c:strCache>
            </c:strRef>
          </c:tx>
          <c:spPr>
            <a:solidFill>
              <a:schemeClr val="accent2"/>
            </a:solidFill>
            <a:ln>
              <a:noFill/>
            </a:ln>
            <a:effectLst/>
          </c:spPr>
          <c:invertIfNegative val="0"/>
          <c:cat>
            <c:strRef>
              <c:f>'Per werkzaamheid'!$A$2:$A$114</c:f>
              <c:strCache>
                <c:ptCount val="112"/>
                <c:pt idx="0">
                  <c:v>30 mm lava tussenlaag </c:v>
                </c:pt>
                <c:pt idx="1">
                  <c:v>Aanbrengen bochtstuk 45° kolkleidingen PVC ø125 mm</c:v>
                </c:pt>
                <c:pt idx="2">
                  <c:v>Aanbrengen en verwijderen rijplatenbaan.</c:v>
                </c:pt>
                <c:pt idx="3">
                  <c:v>Aanbrengen knevelinlaat kolkleidingen PVC ø160 mm.</c:v>
                </c:pt>
                <c:pt idx="4">
                  <c:v>Aanbrengen kolkleidingen PVC ø125 mm.</c:v>
                </c:pt>
                <c:pt idx="5">
                  <c:v>Aanbrengen PE100-buis ø125 mm, persleiding.</c:v>
                </c:pt>
                <c:pt idx="6">
                  <c:v>Aanbrengen PVC-buis dia250 mm, VWA-riool</c:v>
                </c:pt>
                <c:pt idx="7">
                  <c:v>Aanbrengen PVC-buis ø160 mm, VWA uitlegger.</c:v>
                </c:pt>
                <c:pt idx="8">
                  <c:v>Aanbrengen PVC-hulpstuk, eindkap ø160 mm.</c:v>
                </c:pt>
                <c:pt idx="9">
                  <c:v>Aanbrengen PVC-hulpstuk, overschuifmof ø160 mm.</c:v>
                </c:pt>
                <c:pt idx="10">
                  <c:v>Aanbrengen schuifafsluiter persleiding.</c:v>
                </c:pt>
                <c:pt idx="11">
                  <c:v>Aanbrengen standpijp PVC ø160 mm.</c:v>
                </c:pt>
                <c:pt idx="12">
                  <c:v>Aanbrengen straatkolk 450x300 mm.</c:v>
                </c:pt>
                <c:pt idx="13">
                  <c:v>Aanbrengen Tegra 600 inspectieputten</c:v>
                </c:pt>
                <c:pt idx="14">
                  <c:v>Aanbrengen trottoirkolk 450x300 mm.</c:v>
                </c:pt>
                <c:pt idx="15">
                  <c:v>Aanvullen sleuf VWA uitleggers ø160 mm.</c:v>
                </c:pt>
                <c:pt idx="16">
                  <c:v>Graven en aanvullen sleuf (1 m en dieper).</c:v>
                </c:pt>
                <c:pt idx="17">
                  <c:v>Grond ontgraven t.b.v. sleuf VWA uitleggers ø160 mm</c:v>
                </c:pt>
                <c:pt idx="18">
                  <c:v>Maken inlaat IT-riool ø160 mm.</c:v>
                </c:pt>
                <c:pt idx="19">
                  <c:v>Opbreken RWS-banden 110/220 x 250 mm.</c:v>
                </c:pt>
                <c:pt idx="20">
                  <c:v>Opnemen verharding van prefab. betonplaten</c:v>
                </c:pt>
                <c:pt idx="21">
                  <c:v>Zagen van bitumineuze verharding, 230-280 mm.</c:v>
                </c:pt>
                <c:pt idx="22">
                  <c:v>Zagen van bitumineuze verharding, 120-150 mm.</c:v>
                </c:pt>
                <c:pt idx="23">
                  <c:v>Maaien en frezen van kruidachtige vegetatie</c:v>
                </c:pt>
                <c:pt idx="24">
                  <c:v>Grond ontgraven uit cunet</c:v>
                </c:pt>
                <c:pt idx="25">
                  <c:v>Grond vervoeren naar plaats van verwerken</c:v>
                </c:pt>
                <c:pt idx="26">
                  <c:v>Grond verwerken in cunet</c:v>
                </c:pt>
                <c:pt idx="27">
                  <c:v>Grond verwerken in terrein</c:v>
                </c:pt>
                <c:pt idx="28">
                  <c:v>Leveren zand in zandbed</c:v>
                </c:pt>
                <c:pt idx="29">
                  <c:v>Leveren brekerzand</c:v>
                </c:pt>
                <c:pt idx="30">
                  <c:v>Betonduiker</c:v>
                </c:pt>
                <c:pt idx="31">
                  <c:v>Graven sleuven</c:v>
                </c:pt>
                <c:pt idx="32">
                  <c:v>Aanvullen sleuven</c:v>
                </c:pt>
                <c:pt idx="33">
                  <c:v>Aanbrengen bochtstuk 45° kolkleidingen PVC ø160 mm</c:v>
                </c:pt>
                <c:pt idx="34">
                  <c:v>Aanbrengen bochtstuk 45° kolkleidingen PE hulpstuk ø125 mm</c:v>
                </c:pt>
                <c:pt idx="35">
                  <c:v>Aanbrengen hek</c:v>
                </c:pt>
                <c:pt idx="36">
                  <c:v>Verkeersborden</c:v>
                </c:pt>
                <c:pt idx="37">
                  <c:v>Graven en aanvullen sleuf  </c:v>
                </c:pt>
                <c:pt idx="38">
                  <c:v>Aanbrengen energiegrondkabel</c:v>
                </c:pt>
                <c:pt idx="39">
                  <c:v>Frezen en Eggen</c:v>
                </c:pt>
                <c:pt idx="40">
                  <c:v>Aanbrengen lengtemarkering</c:v>
                </c:pt>
                <c:pt idx="41">
                  <c:v>Diepspitten</c:v>
                </c:pt>
                <c:pt idx="42">
                  <c:v>Aanbrengen putrand met deksel</c:v>
                </c:pt>
                <c:pt idx="43">
                  <c:v>Aanbrengen kabelbuis</c:v>
                </c:pt>
                <c:pt idx="44">
                  <c:v>Graven en aanvullen sleuf</c:v>
                </c:pt>
                <c:pt idx="45">
                  <c:v>Aanbrengen uitstroomvoorziening prefab beton.</c:v>
                </c:pt>
                <c:pt idx="46">
                  <c:v>Zandbed </c:v>
                </c:pt>
                <c:pt idx="47">
                  <c:v>Straatlaag</c:v>
                </c:pt>
                <c:pt idx="48">
                  <c:v>Aanbrengen opsluitbanden</c:v>
                </c:pt>
                <c:pt idx="49">
                  <c:v>Aanbrengen van een wegfundering 100 mm</c:v>
                </c:pt>
                <c:pt idx="50">
                  <c:v>Aanbrengen van een wegfundering 250 mm</c:v>
                </c:pt>
                <c:pt idx="51">
                  <c:v>Aanbrengen van een wegfundering 300 mm</c:v>
                </c:pt>
                <c:pt idx="52">
                  <c:v>Aanbrengen van een wegfundering 350 mm</c:v>
                </c:pt>
                <c:pt idx="53">
                  <c:v>Geleidebanden / RWS-banden</c:v>
                </c:pt>
                <c:pt idx="54">
                  <c:v>Onderlagen AC 22 Base 70 mm</c:v>
                </c:pt>
                <c:pt idx="55">
                  <c:v>Tussenlagen AC 16 Bin 50 mm</c:v>
                </c:pt>
                <c:pt idx="56">
                  <c:v>Deklagen AC 16 surf 50 mm</c:v>
                </c:pt>
                <c:pt idx="57">
                  <c:v>Kleeflagen 0,4 kg/m2</c:v>
                </c:pt>
                <c:pt idx="58">
                  <c:v>Kleeflagen 0,3 kg/m2</c:v>
                </c:pt>
                <c:pt idx="59">
                  <c:v>Menggranulaat 200 mm</c:v>
                </c:pt>
                <c:pt idx="60">
                  <c:v>Stabilizer verharding</c:v>
                </c:pt>
                <c:pt idx="61">
                  <c:v>Verwijderen drainagebuis ø80 mm</c:v>
                </c:pt>
                <c:pt idx="62">
                  <c:v>Verwijderen kunststofbuis ø250 mm</c:v>
                </c:pt>
                <c:pt idx="63">
                  <c:v>Frezen getrapte aansluiting</c:v>
                </c:pt>
                <c:pt idx="64">
                  <c:v>Opbreken asfalt 230 mm</c:v>
                </c:pt>
                <c:pt idx="65">
                  <c:v>Opbreken asfalt 120 mm</c:v>
                </c:pt>
                <c:pt idx="66">
                  <c:v>Verwijderen schrikhek</c:v>
                </c:pt>
                <c:pt idx="67">
                  <c:v>Verwijderen verkeersbordpaal, incl. bord</c:v>
                </c:pt>
                <c:pt idx="68">
                  <c:v>Verwijderen verkeersborden</c:v>
                </c:pt>
                <c:pt idx="69">
                  <c:v>Demarkeren gele markering</c:v>
                </c:pt>
                <c:pt idx="70">
                  <c:v>Demarkeren van witte markering</c:v>
                </c:pt>
                <c:pt idx="71">
                  <c:v>Verwijderen betonnen geleidebarrier</c:v>
                </c:pt>
                <c:pt idx="72">
                  <c:v>Verwijderen schildjes</c:v>
                </c:pt>
                <c:pt idx="73">
                  <c:v>Afschuinen bestaande betonnen duikers</c:v>
                </c:pt>
                <c:pt idx="74">
                  <c:v>Aanbrengen stalen duiker ø800 mm</c:v>
                </c:pt>
                <c:pt idx="75">
                  <c:v>Aanbrengen trekput</c:v>
                </c:pt>
                <c:pt idx="76">
                  <c:v>Aanbrengen PP 315 Inspectieput</c:v>
                </c:pt>
                <c:pt idx="77">
                  <c:v>Gesloten front boring</c:v>
                </c:pt>
                <c:pt idx="78">
                  <c:v>Pneumatische boring</c:v>
                </c:pt>
                <c:pt idx="79">
                  <c:v>Kokosmat uitleggers</c:v>
                </c:pt>
                <c:pt idx="80">
                  <c:v>Markeringspalen</c:v>
                </c:pt>
                <c:pt idx="81">
                  <c:v>Schoonmaken verhardingsoppervlak</c:v>
                </c:pt>
                <c:pt idx="82">
                  <c:v>Aanbrengen opsluitbanden 60 x 150 mm</c:v>
                </c:pt>
                <c:pt idx="83">
                  <c:v>Truckbanden 400/600x300</c:v>
                </c:pt>
                <c:pt idx="84">
                  <c:v>Bakfrezen asfalt</c:v>
                </c:pt>
                <c:pt idx="85">
                  <c:v>Aanbrengen asfaltwapening</c:v>
                </c:pt>
                <c:pt idx="86">
                  <c:v>Kleeflaag 0,7 kg/m2</c:v>
                </c:pt>
                <c:pt idx="87">
                  <c:v>Tussenlagen AC 16 Bin 50 mm, reparatie</c:v>
                </c:pt>
                <c:pt idx="88">
                  <c:v>Haaientandtegels 300 x 300 x 60 mm</c:v>
                </c:pt>
                <c:pt idx="89">
                  <c:v>Aanbrengen figuratie markering, driehoeksmarkering</c:v>
                </c:pt>
                <c:pt idx="90">
                  <c:v>Plaatsen enkelzits bank</c:v>
                </c:pt>
                <c:pt idx="91">
                  <c:v>Aanbrengen uitneembare paal</c:v>
                </c:pt>
                <c:pt idx="92">
                  <c:v>Aanbrengen schakel- en verdeelinrichting OVL kast</c:v>
                </c:pt>
                <c:pt idx="93">
                  <c:v>Aanbrengen zwerfkei</c:v>
                </c:pt>
                <c:pt idx="94">
                  <c:v>Ontgraven menggranulaat uit depot.</c:v>
                </c:pt>
                <c:pt idx="95">
                  <c:v>Vervoeren menggranulaat naar plaats van verwerking</c:v>
                </c:pt>
                <c:pt idx="96">
                  <c:v>Leveren van ongebonden steenmengsel voor een Leveren van ongebonden steenmengsel voor een wegfundering van steenmengsel.</c:v>
                </c:pt>
                <c:pt idx="97">
                  <c:v>Aanbrengen betonstraatstenen.</c:v>
                </c:pt>
                <c:pt idx="98">
                  <c:v>Leveren rechte opsluitbanden Bio Bound</c:v>
                </c:pt>
                <c:pt idx="99">
                  <c:v>Leveren hulpstukken opsluitbanden Bio Bound</c:v>
                </c:pt>
                <c:pt idx="100">
                  <c:v>Bio Bound trottoirband 180/200 x 250 </c:v>
                </c:pt>
                <c:pt idx="101">
                  <c:v>Bio Bound Leveren hulpstukken troittoirbanden</c:v>
                </c:pt>
                <c:pt idx="102">
                  <c:v>Bio Bound trottoirband 110/220 x 250 </c:v>
                </c:pt>
                <c:pt idx="103">
                  <c:v>Bio Bound Truckbanden 400/600x300</c:v>
                </c:pt>
                <c:pt idx="104">
                  <c:v>Bio Bound BSS</c:v>
                </c:pt>
                <c:pt idx="105">
                  <c:v>Bio Bound Betontegels 100 mm, wit</c:v>
                </c:pt>
                <c:pt idx="106">
                  <c:v>Bio Bound aanbrengen betontegels</c:v>
                </c:pt>
                <c:pt idx="107">
                  <c:v>Bio Bound Betontegels 300 x 300 x 45 mm, wit</c:v>
                </c:pt>
                <c:pt idx="108">
                  <c:v>Bio Bound Betontegels 300 x 300 x 80 mm, antraciet</c:v>
                </c:pt>
                <c:pt idx="109">
                  <c:v>Bio Bound Betontegels 200 x 200 x 80 mm</c:v>
                </c:pt>
                <c:pt idx="110">
                  <c:v>Bio Bound Betontegels 200 x 200 x 80 mm, wit</c:v>
                </c:pt>
                <c:pt idx="111">
                  <c:v>Bio Bound Grasbetontegels 600 x 400 x 100 mm   </c:v>
                </c:pt>
              </c:strCache>
            </c:strRef>
          </c:cat>
          <c:val>
            <c:numRef>
              <c:f>'Per werkzaamheid'!$C$2:$C$114</c:f>
              <c:numCache>
                <c:formatCode>_ "€"\ * #,##0.00_ ;_ "€"\ * \-#,##0.00_ ;_ "€"\ * "-"??_ ;_ @_ </c:formatCode>
                <c:ptCount val="112"/>
                <c:pt idx="0">
                  <c:v>0</c:v>
                </c:pt>
                <c:pt idx="1">
                  <c:v>0</c:v>
                </c:pt>
                <c:pt idx="2">
                  <c:v>0</c:v>
                </c:pt>
                <c:pt idx="3">
                  <c:v>0</c:v>
                </c:pt>
                <c:pt idx="4">
                  <c:v>0</c:v>
                </c:pt>
                <c:pt idx="5">
                  <c:v>0</c:v>
                </c:pt>
                <c:pt idx="6">
                  <c:v>0</c:v>
                </c:pt>
                <c:pt idx="7">
                  <c:v>0</c:v>
                </c:pt>
                <c:pt idx="8">
                  <c:v>0</c:v>
                </c:pt>
                <c:pt idx="9">
                  <c:v>0</c:v>
                </c:pt>
                <c:pt idx="10">
                  <c:v>0</c:v>
                </c:pt>
                <c:pt idx="11">
                  <c:v>0</c:v>
                </c:pt>
                <c:pt idx="12">
                  <c:v>20.088000000000005</c:v>
                </c:pt>
                <c:pt idx="13">
                  <c:v>0</c:v>
                </c:pt>
                <c:pt idx="14">
                  <c:v>115.50600000000003</c:v>
                </c:pt>
                <c:pt idx="15">
                  <c:v>3.94460650461507</c:v>
                </c:pt>
                <c:pt idx="16">
                  <c:v>181.82867184965446</c:v>
                </c:pt>
                <c:pt idx="17">
                  <c:v>4.9829726459209231</c:v>
                </c:pt>
                <c:pt idx="18">
                  <c:v>0</c:v>
                </c:pt>
                <c:pt idx="19">
                  <c:v>0</c:v>
                </c:pt>
                <c:pt idx="20">
                  <c:v>0</c:v>
                </c:pt>
                <c:pt idx="21">
                  <c:v>11.290918324812377</c:v>
                </c:pt>
                <c:pt idx="22">
                  <c:v>107.89099732598496</c:v>
                </c:pt>
                <c:pt idx="23">
                  <c:v>18.072624384130165</c:v>
                </c:pt>
                <c:pt idx="24">
                  <c:v>453.05832262866801</c:v>
                </c:pt>
                <c:pt idx="25">
                  <c:v>57.030544437703178</c:v>
                </c:pt>
                <c:pt idx="26">
                  <c:v>301.01850833445724</c:v>
                </c:pt>
                <c:pt idx="27">
                  <c:v>354.87618874381229</c:v>
                </c:pt>
                <c:pt idx="28">
                  <c:v>0</c:v>
                </c:pt>
                <c:pt idx="29">
                  <c:v>0</c:v>
                </c:pt>
                <c:pt idx="30">
                  <c:v>0</c:v>
                </c:pt>
                <c:pt idx="31">
                  <c:v>58.450195793098501</c:v>
                </c:pt>
                <c:pt idx="32">
                  <c:v>69.030613830763727</c:v>
                </c:pt>
                <c:pt idx="33">
                  <c:v>0</c:v>
                </c:pt>
                <c:pt idx="34">
                  <c:v>0</c:v>
                </c:pt>
                <c:pt idx="35">
                  <c:v>0</c:v>
                </c:pt>
                <c:pt idx="36">
                  <c:v>3558.8442188262502</c:v>
                </c:pt>
                <c:pt idx="37">
                  <c:v>0</c:v>
                </c:pt>
                <c:pt idx="38">
                  <c:v>0</c:v>
                </c:pt>
                <c:pt idx="39">
                  <c:v>0.14097210908057853</c:v>
                </c:pt>
                <c:pt idx="40">
                  <c:v>0</c:v>
                </c:pt>
                <c:pt idx="41">
                  <c:v>55.778186842556849</c:v>
                </c:pt>
                <c:pt idx="42">
                  <c:v>450.56000000000012</c:v>
                </c:pt>
                <c:pt idx="43">
                  <c:v>0</c:v>
                </c:pt>
                <c:pt idx="44">
                  <c:v>0</c:v>
                </c:pt>
                <c:pt idx="45">
                  <c:v>0</c:v>
                </c:pt>
                <c:pt idx="46">
                  <c:v>0</c:v>
                </c:pt>
                <c:pt idx="47">
                  <c:v>0</c:v>
                </c:pt>
                <c:pt idx="48">
                  <c:v>1085.0000000000002</c:v>
                </c:pt>
                <c:pt idx="49">
                  <c:v>0</c:v>
                </c:pt>
                <c:pt idx="50">
                  <c:v>0</c:v>
                </c:pt>
                <c:pt idx="51">
                  <c:v>0</c:v>
                </c:pt>
                <c:pt idx="52">
                  <c:v>0</c:v>
                </c:pt>
                <c:pt idx="53">
                  <c:v>8.25</c:v>
                </c:pt>
                <c:pt idx="54">
                  <c:v>3627.6111111111113</c:v>
                </c:pt>
                <c:pt idx="55">
                  <c:v>2584.9444444444448</c:v>
                </c:pt>
                <c:pt idx="56">
                  <c:v>27522.321428571431</c:v>
                </c:pt>
                <c:pt idx="57">
                  <c:v>0</c:v>
                </c:pt>
                <c:pt idx="58">
                  <c:v>0</c:v>
                </c:pt>
                <c:pt idx="59">
                  <c:v>0</c:v>
                </c:pt>
                <c:pt idx="60">
                  <c:v>0</c:v>
                </c:pt>
                <c:pt idx="61">
                  <c:v>0</c:v>
                </c:pt>
                <c:pt idx="62">
                  <c:v>0</c:v>
                </c:pt>
                <c:pt idx="63">
                  <c:v>2.4959903609247145</c:v>
                </c:pt>
                <c:pt idx="64">
                  <c:v>0.69583566420355347</c:v>
                </c:pt>
                <c:pt idx="65">
                  <c:v>16.700055940885285</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9</c:v>
                </c:pt>
                <c:pt idx="83">
                  <c:v>179.99999999999997</c:v>
                </c:pt>
                <c:pt idx="84">
                  <c:v>0</c:v>
                </c:pt>
                <c:pt idx="85">
                  <c:v>0</c:v>
                </c:pt>
                <c:pt idx="86">
                  <c:v>0</c:v>
                </c:pt>
                <c:pt idx="87">
                  <c:v>43.44444444444445</c:v>
                </c:pt>
                <c:pt idx="88">
                  <c:v>2.6568000000000001</c:v>
                </c:pt>
                <c:pt idx="89">
                  <c:v>0</c:v>
                </c:pt>
                <c:pt idx="90">
                  <c:v>0</c:v>
                </c:pt>
                <c:pt idx="91">
                  <c:v>0</c:v>
                </c:pt>
                <c:pt idx="92">
                  <c:v>0</c:v>
                </c:pt>
                <c:pt idx="93">
                  <c:v>0</c:v>
                </c:pt>
                <c:pt idx="94">
                  <c:v>48.781633773739699</c:v>
                </c:pt>
                <c:pt idx="95">
                  <c:v>10.76303449922232</c:v>
                </c:pt>
                <c:pt idx="96">
                  <c:v>0</c:v>
                </c:pt>
                <c:pt idx="97">
                  <c:v>940.80000000000007</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numCache>
            </c:numRef>
          </c:val>
          <c:extLst>
            <c:ext xmlns:c16="http://schemas.microsoft.com/office/drawing/2014/chart" uri="{C3380CC4-5D6E-409C-BE32-E72D297353CC}">
              <c16:uniqueId val="{00000000-520A-4F60-8468-532F7510BB47}"/>
            </c:ext>
          </c:extLst>
        </c:ser>
        <c:dLbls>
          <c:showLegendKey val="0"/>
          <c:showVal val="0"/>
          <c:showCatName val="0"/>
          <c:showSerName val="0"/>
          <c:showPercent val="0"/>
          <c:showBubbleSize val="0"/>
        </c:dLbls>
        <c:gapWidth val="219"/>
        <c:overlap val="-27"/>
        <c:axId val="749040352"/>
        <c:axId val="749045600"/>
      </c:barChart>
      <c:catAx>
        <c:axId val="74904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749045600"/>
        <c:crosses val="autoZero"/>
        <c:auto val="1"/>
        <c:lblAlgn val="ctr"/>
        <c:lblOffset val="100"/>
        <c:noMultiLvlLbl val="0"/>
      </c:catAx>
      <c:valAx>
        <c:axId val="749045600"/>
        <c:scaling>
          <c:orientation val="minMax"/>
        </c:scaling>
        <c:delete val="0"/>
        <c:axPos val="l"/>
        <c:numFmt formatCode="_ &quot;€&quot;\ * #,##0.00_ ;_ &quot;€&quot;\ * \-#,##0.00_ ;_ &quot;€&quot;\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749040352"/>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 1.000 MKI</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dispUnitsLbl>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[MKI-Bestek GDCC Bouw en woonrijp maken V3.0.xlsx]Per onderdeel!PivotTable2</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MKI-waardes</a:t>
            </a:r>
            <a:r>
              <a:rPr lang="en-US" baseline="0"/>
              <a:t> per onderdeel</a:t>
            </a:r>
          </a:p>
        </c:rich>
      </c:tx>
      <c:layout>
        <c:manualLayout>
          <c:xMode val="edge"/>
          <c:yMode val="edge"/>
          <c:x val="0.26429100603416705"/>
          <c:y val="3.7167572363313743E-2"/>
        </c:manualLayout>
      </c:layout>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marker>
          <c:symbol val="none"/>
        </c:marker>
        <c:dLbl>
          <c:idx val="0"/>
          <c:delete val="1"/>
          <c:extLst>
            <c:ext xmlns:c15="http://schemas.microsoft.com/office/drawing/2012/chart" uri="{CE6537A1-D6FC-4f65-9D91-7224C49458BB}"/>
          </c:extLst>
        </c:dLbl>
      </c:pivotFmt>
      <c:pivotFmt>
        <c:idx val="9"/>
        <c:marker>
          <c:symbol val="none"/>
        </c:marker>
        <c:dLbl>
          <c:idx val="0"/>
          <c:delete val="1"/>
          <c:extLst>
            <c:ext xmlns:c15="http://schemas.microsoft.com/office/drawing/2012/chart" uri="{CE6537A1-D6FC-4f65-9D91-7224C49458BB}"/>
          </c:extLst>
        </c:dLbl>
      </c:pivotFmt>
      <c:pivotFmt>
        <c:idx val="10"/>
        <c:marker>
          <c:symbol val="none"/>
        </c:marker>
        <c:dLbl>
          <c:idx val="0"/>
          <c:delete val="1"/>
          <c:extLst>
            <c:ext xmlns:c15="http://schemas.microsoft.com/office/drawing/2012/chart" uri="{CE6537A1-D6FC-4f65-9D91-7224C49458BB}"/>
          </c:extLst>
        </c:dLbl>
      </c:pivotFmt>
      <c:pivotFmt>
        <c:idx val="11"/>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0"/>
        <c:ser>
          <c:idx val="0"/>
          <c:order val="0"/>
          <c:tx>
            <c:strRef>
              <c:f>'Per onderdeel'!$B$1</c:f>
              <c:strCache>
                <c:ptCount val="1"/>
                <c:pt idx="0">
                  <c:v>Sum of MKI A-D</c:v>
                </c:pt>
              </c:strCache>
            </c:strRef>
          </c:tx>
          <c:invertIfNegative val="0"/>
          <c:cat>
            <c:strRef>
              <c:f>'Per onderdeel'!$A$2:$A$31</c:f>
              <c:strCache>
                <c:ptCount val="29"/>
                <c:pt idx="0">
                  <c:v>(blank)</c:v>
                </c:pt>
                <c:pt idx="1">
                  <c:v>Vrijverval riolering</c:v>
                </c:pt>
                <c:pt idx="2">
                  <c:v>Putten en kolken </c:v>
                </c:pt>
                <c:pt idx="3">
                  <c:v>Persleidingen</c:v>
                </c:pt>
                <c:pt idx="4">
                  <c:v>Voorbereidende werkzaamheden</c:v>
                </c:pt>
                <c:pt idx="5">
                  <c:v>Opruimen verharding</c:v>
                </c:pt>
                <c:pt idx="6">
                  <c:v>Maaien en frezen terrein</c:v>
                </c:pt>
                <c:pt idx="7">
                  <c:v>Ontgraven uit cunet </c:v>
                </c:pt>
                <c:pt idx="8">
                  <c:v>Grond vervoeren</c:v>
                </c:pt>
                <c:pt idx="9">
                  <c:v>Grond verwerken </c:v>
                </c:pt>
                <c:pt idx="10">
                  <c:v>Grondbewerking</c:v>
                </c:pt>
                <c:pt idx="11">
                  <c:v>Leveren grond</c:v>
                </c:pt>
                <c:pt idx="12">
                  <c:v>Duiker</c:v>
                </c:pt>
                <c:pt idx="13">
                  <c:v>Terreinafscheidingen</c:v>
                </c:pt>
                <c:pt idx="14">
                  <c:v>Bebording en bebakening</c:v>
                </c:pt>
                <c:pt idx="15">
                  <c:v>Markering</c:v>
                </c:pt>
                <c:pt idx="16">
                  <c:v>Voedingsnet</c:v>
                </c:pt>
                <c:pt idx="17">
                  <c:v>Mantelbuizenpakket A</c:v>
                </c:pt>
                <c:pt idx="18">
                  <c:v>Mantelbuizenpakket B</c:v>
                </c:pt>
                <c:pt idx="19">
                  <c:v>Mantelbuizenpakket C</c:v>
                </c:pt>
                <c:pt idx="20">
                  <c:v>Mantelbuizenpakket D</c:v>
                </c:pt>
                <c:pt idx="21">
                  <c:v>Overige mantelbuizen</c:v>
                </c:pt>
                <c:pt idx="22">
                  <c:v>Uitstroomvoorzieningen</c:v>
                </c:pt>
                <c:pt idx="23">
                  <c:v>Voorbereidende werkzaamheden </c:v>
                </c:pt>
                <c:pt idx="24">
                  <c:v>Fundering steenmengsel</c:v>
                </c:pt>
                <c:pt idx="25">
                  <c:v>Opsluitingen </c:v>
                </c:pt>
                <c:pt idx="26">
                  <c:v>Bitumineuze verhardingen</c:v>
                </c:pt>
                <c:pt idx="27">
                  <c:v>Elementverhardingen</c:v>
                </c:pt>
                <c:pt idx="28">
                  <c:v>Halfverharding</c:v>
                </c:pt>
              </c:strCache>
            </c:strRef>
          </c:cat>
          <c:val>
            <c:numRef>
              <c:f>'Per onderdeel'!$B$2:$B$31</c:f>
              <c:numCache>
                <c:formatCode>_ "€"\ * #,##0.00_ ;_ "€"\ * \-#,##0.00_ ;_ "€"\ * "-"??_ ;_ @_ </c:formatCode>
                <c:ptCount val="29"/>
                <c:pt idx="0">
                  <c:v>66790.286331958734</c:v>
                </c:pt>
                <c:pt idx="1">
                  <c:v>3135.8228541037661</c:v>
                </c:pt>
                <c:pt idx="2">
                  <c:v>2050.9255988366003</c:v>
                </c:pt>
                <c:pt idx="3">
                  <c:v>1147.8572525751308</c:v>
                </c:pt>
                <c:pt idx="4">
                  <c:v>2112.4729990245773</c:v>
                </c:pt>
                <c:pt idx="5">
                  <c:v>1552.4294701508074</c:v>
                </c:pt>
                <c:pt idx="6">
                  <c:v>916.93334978253176</c:v>
                </c:pt>
                <c:pt idx="7">
                  <c:v>1214.7030963461102</c:v>
                </c:pt>
                <c:pt idx="8">
                  <c:v>107.85259287738549</c:v>
                </c:pt>
                <c:pt idx="9">
                  <c:v>1758.5314729356976</c:v>
                </c:pt>
                <c:pt idx="10">
                  <c:v>156.70030052225835</c:v>
                </c:pt>
                <c:pt idx="11">
                  <c:v>22259.609837927826</c:v>
                </c:pt>
                <c:pt idx="12">
                  <c:v>459.69899950479748</c:v>
                </c:pt>
                <c:pt idx="13">
                  <c:v>90.570694474605872</c:v>
                </c:pt>
                <c:pt idx="14">
                  <c:v>9041.2276502375062</c:v>
                </c:pt>
                <c:pt idx="15">
                  <c:v>37151.920361133736</c:v>
                </c:pt>
                <c:pt idx="16">
                  <c:v>37156.194499166806</c:v>
                </c:pt>
                <c:pt idx="17">
                  <c:v>3581.3090643829764</c:v>
                </c:pt>
                <c:pt idx="18">
                  <c:v>803.00972617631578</c:v>
                </c:pt>
                <c:pt idx="19">
                  <c:v>2068.0348617438899</c:v>
                </c:pt>
                <c:pt idx="20">
                  <c:v>827.69684966639295</c:v>
                </c:pt>
                <c:pt idx="21">
                  <c:v>2785.1007134340207</c:v>
                </c:pt>
                <c:pt idx="22">
                  <c:v>210.67783778909362</c:v>
                </c:pt>
                <c:pt idx="23">
                  <c:v>11322.268414327937</c:v>
                </c:pt>
                <c:pt idx="24">
                  <c:v>11023.562991872126</c:v>
                </c:pt>
                <c:pt idx="25">
                  <c:v>16221.490639989755</c:v>
                </c:pt>
                <c:pt idx="26">
                  <c:v>152479.59666165849</c:v>
                </c:pt>
                <c:pt idx="27">
                  <c:v>6674.0163524</c:v>
                </c:pt>
                <c:pt idx="28">
                  <c:v>1778.0126398531452</c:v>
                </c:pt>
              </c:numCache>
            </c:numRef>
          </c:val>
          <c:extLst>
            <c:ext xmlns:c16="http://schemas.microsoft.com/office/drawing/2014/chart" uri="{C3380CC4-5D6E-409C-BE32-E72D297353CC}">
              <c16:uniqueId val="{00000000-5CD1-4996-AED0-6702D5B97BD6}"/>
            </c:ext>
          </c:extLst>
        </c:ser>
        <c:ser>
          <c:idx val="1"/>
          <c:order val="1"/>
          <c:tx>
            <c:strRef>
              <c:f>'Per onderdeel'!$C$1</c:f>
              <c:strCache>
                <c:ptCount val="1"/>
                <c:pt idx="0">
                  <c:v>Sum of MKI A-D nieuw</c:v>
                </c:pt>
              </c:strCache>
            </c:strRef>
          </c:tx>
          <c:invertIfNegative val="0"/>
          <c:cat>
            <c:strRef>
              <c:f>'Per onderdeel'!$A$2:$A$31</c:f>
              <c:strCache>
                <c:ptCount val="29"/>
                <c:pt idx="0">
                  <c:v>(blank)</c:v>
                </c:pt>
                <c:pt idx="1">
                  <c:v>Vrijverval riolering</c:v>
                </c:pt>
                <c:pt idx="2">
                  <c:v>Putten en kolken </c:v>
                </c:pt>
                <c:pt idx="3">
                  <c:v>Persleidingen</c:v>
                </c:pt>
                <c:pt idx="4">
                  <c:v>Voorbereidende werkzaamheden</c:v>
                </c:pt>
                <c:pt idx="5">
                  <c:v>Opruimen verharding</c:v>
                </c:pt>
                <c:pt idx="6">
                  <c:v>Maaien en frezen terrein</c:v>
                </c:pt>
                <c:pt idx="7">
                  <c:v>Ontgraven uit cunet </c:v>
                </c:pt>
                <c:pt idx="8">
                  <c:v>Grond vervoeren</c:v>
                </c:pt>
                <c:pt idx="9">
                  <c:v>Grond verwerken </c:v>
                </c:pt>
                <c:pt idx="10">
                  <c:v>Grondbewerking</c:v>
                </c:pt>
                <c:pt idx="11">
                  <c:v>Leveren grond</c:v>
                </c:pt>
                <c:pt idx="12">
                  <c:v>Duiker</c:v>
                </c:pt>
                <c:pt idx="13">
                  <c:v>Terreinafscheidingen</c:v>
                </c:pt>
                <c:pt idx="14">
                  <c:v>Bebording en bebakening</c:v>
                </c:pt>
                <c:pt idx="15">
                  <c:v>Markering</c:v>
                </c:pt>
                <c:pt idx="16">
                  <c:v>Voedingsnet</c:v>
                </c:pt>
                <c:pt idx="17">
                  <c:v>Mantelbuizenpakket A</c:v>
                </c:pt>
                <c:pt idx="18">
                  <c:v>Mantelbuizenpakket B</c:v>
                </c:pt>
                <c:pt idx="19">
                  <c:v>Mantelbuizenpakket C</c:v>
                </c:pt>
                <c:pt idx="20">
                  <c:v>Mantelbuizenpakket D</c:v>
                </c:pt>
                <c:pt idx="21">
                  <c:v>Overige mantelbuizen</c:v>
                </c:pt>
                <c:pt idx="22">
                  <c:v>Uitstroomvoorzieningen</c:v>
                </c:pt>
                <c:pt idx="23">
                  <c:v>Voorbereidende werkzaamheden </c:v>
                </c:pt>
                <c:pt idx="24">
                  <c:v>Fundering steenmengsel</c:v>
                </c:pt>
                <c:pt idx="25">
                  <c:v>Opsluitingen </c:v>
                </c:pt>
                <c:pt idx="26">
                  <c:v>Bitumineuze verhardingen</c:v>
                </c:pt>
                <c:pt idx="27">
                  <c:v>Elementverhardingen</c:v>
                </c:pt>
                <c:pt idx="28">
                  <c:v>Halfverharding</c:v>
                </c:pt>
              </c:strCache>
            </c:strRef>
          </c:cat>
          <c:val>
            <c:numRef>
              <c:f>'Per onderdeel'!$C$2:$C$31</c:f>
              <c:numCache>
                <c:formatCode>_ "€"\ * #,##0.00_ ;_ "€"\ * \-#,##0.00_ ;_ "€"\ * "-"??_ ;_ @_ </c:formatCode>
                <c:ptCount val="29"/>
                <c:pt idx="0">
                  <c:v>995.9012444444445</c:v>
                </c:pt>
                <c:pt idx="1">
                  <c:v>136.40838877439822</c:v>
                </c:pt>
                <c:pt idx="2">
                  <c:v>586.15400000000011</c:v>
                </c:pt>
                <c:pt idx="3">
                  <c:v>181.82867184965446</c:v>
                </c:pt>
                <c:pt idx="4">
                  <c:v>0</c:v>
                </c:pt>
                <c:pt idx="5">
                  <c:v>139.07379761681088</c:v>
                </c:pt>
                <c:pt idx="6">
                  <c:v>18.072624384130165</c:v>
                </c:pt>
                <c:pt idx="7">
                  <c:v>453.05832262866801</c:v>
                </c:pt>
                <c:pt idx="8">
                  <c:v>57.030544437703178</c:v>
                </c:pt>
                <c:pt idx="9">
                  <c:v>655.89469707826947</c:v>
                </c:pt>
                <c:pt idx="10">
                  <c:v>55.919158951637428</c:v>
                </c:pt>
                <c:pt idx="11">
                  <c:v>0</c:v>
                </c:pt>
                <c:pt idx="12">
                  <c:v>0</c:v>
                </c:pt>
                <c:pt idx="13">
                  <c:v>0</c:v>
                </c:pt>
                <c:pt idx="14">
                  <c:v>3558.8442188262502</c:v>
                </c:pt>
                <c:pt idx="15">
                  <c:v>0</c:v>
                </c:pt>
                <c:pt idx="16">
                  <c:v>0</c:v>
                </c:pt>
                <c:pt idx="17">
                  <c:v>0</c:v>
                </c:pt>
                <c:pt idx="18">
                  <c:v>0</c:v>
                </c:pt>
                <c:pt idx="19">
                  <c:v>0</c:v>
                </c:pt>
                <c:pt idx="20">
                  <c:v>0</c:v>
                </c:pt>
                <c:pt idx="21">
                  <c:v>0</c:v>
                </c:pt>
                <c:pt idx="22">
                  <c:v>0</c:v>
                </c:pt>
                <c:pt idx="23">
                  <c:v>0</c:v>
                </c:pt>
                <c:pt idx="24">
                  <c:v>59.544668272962021</c:v>
                </c:pt>
                <c:pt idx="25">
                  <c:v>1273.2500000000002</c:v>
                </c:pt>
                <c:pt idx="26">
                  <c:v>33734.87698412699</c:v>
                </c:pt>
                <c:pt idx="27">
                  <c:v>0</c:v>
                </c:pt>
                <c:pt idx="28">
                  <c:v>0</c:v>
                </c:pt>
              </c:numCache>
            </c:numRef>
          </c:val>
          <c:extLst>
            <c:ext xmlns:c16="http://schemas.microsoft.com/office/drawing/2014/chart" uri="{C3380CC4-5D6E-409C-BE32-E72D297353CC}">
              <c16:uniqueId val="{00000000-DA91-4213-B567-54879EF0D42F}"/>
            </c:ext>
          </c:extLst>
        </c:ser>
        <c:dLbls>
          <c:showLegendKey val="0"/>
          <c:showVal val="0"/>
          <c:showCatName val="0"/>
          <c:showSerName val="0"/>
          <c:showPercent val="0"/>
          <c:showBubbleSize val="0"/>
        </c:dLbls>
        <c:gapWidth val="219"/>
        <c:overlap val="-27"/>
        <c:axId val="749040352"/>
        <c:axId val="749045600"/>
      </c:barChart>
      <c:catAx>
        <c:axId val="74904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749045600"/>
        <c:crosses val="autoZero"/>
        <c:auto val="1"/>
        <c:lblAlgn val="ctr"/>
        <c:lblOffset val="100"/>
        <c:noMultiLvlLbl val="0"/>
      </c:catAx>
      <c:valAx>
        <c:axId val="749045600"/>
        <c:scaling>
          <c:orientation val="minMax"/>
        </c:scaling>
        <c:delete val="0"/>
        <c:axPos val="l"/>
        <c:numFmt formatCode="_ &quot;€&quot;\ * #,##0.00_ ;_ &quot;€&quot;\ * \-#,##0.00_ ;_ &quot;€&quot;\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749040352"/>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x 1.000 MKI</a:t>
                  </a:r>
                </a:p>
              </c:rich>
            </c:tx>
            <c:spPr>
              <a:noFill/>
              <a:ln>
                <a:noFill/>
              </a:ln>
              <a:effectLst/>
            </c:spPr>
          </c:dispUnitsLbl>
        </c:dispUnits>
      </c:valAx>
    </c:plotArea>
    <c:plotVisOnly val="1"/>
    <c:dispBlanksAs val="gap"/>
    <c:showDLblsOverMax val="0"/>
    <c:extLst/>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fasen!$L$3</c:f>
              <c:strCache>
                <c:ptCount val="1"/>
                <c:pt idx="0">
                  <c:v>Verhardingen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fasen!$M$2:$O$2</c:f>
              <c:strCache>
                <c:ptCount val="3"/>
                <c:pt idx="0">
                  <c:v>Productie &amp; Bouw</c:v>
                </c:pt>
                <c:pt idx="1">
                  <c:v>Gebruik en onderhoud</c:v>
                </c:pt>
                <c:pt idx="2">
                  <c:v>Sloop- en verwerking</c:v>
                </c:pt>
              </c:strCache>
            </c:strRef>
          </c:cat>
          <c:val>
            <c:numRef>
              <c:f>fasen!$M$3:$O$3</c:f>
              <c:numCache>
                <c:formatCode>_ "€"\ * #,##0_ ;_ "€"\ * \-#,##0_ ;_ "€"\ * "-"??_ ;_ @_ </c:formatCode>
                <c:ptCount val="3"/>
                <c:pt idx="0">
                  <c:v>143.49816301268802</c:v>
                </c:pt>
                <c:pt idx="1">
                  <c:v>144.61241266760874</c:v>
                </c:pt>
                <c:pt idx="2">
                  <c:v>-14.382472764551018</c:v>
                </c:pt>
              </c:numCache>
            </c:numRef>
          </c:val>
          <c:extLst>
            <c:ext xmlns:c16="http://schemas.microsoft.com/office/drawing/2014/chart" uri="{C3380CC4-5D6E-409C-BE32-E72D297353CC}">
              <c16:uniqueId val="{00000000-A8BE-443C-9183-9CC1739E7630}"/>
            </c:ext>
          </c:extLst>
        </c:ser>
        <c:ser>
          <c:idx val="1"/>
          <c:order val="1"/>
          <c:tx>
            <c:strRef>
              <c:f>fasen!$L$4</c:f>
              <c:strCache>
                <c:ptCount val="1"/>
                <c:pt idx="0">
                  <c:v>Riolering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fasen!$M$4:$O$4</c:f>
              <c:numCache>
                <c:formatCode>_ "€"\ * #,##0_ ;_ "€"\ * \-#,##0_ ;_ "€"\ * "-"??_ ;_ @_ </c:formatCode>
                <c:ptCount val="3"/>
                <c:pt idx="0">
                  <c:v>4.1741923200946083</c:v>
                </c:pt>
                <c:pt idx="1">
                  <c:v>0.29607003081527739</c:v>
                </c:pt>
                <c:pt idx="2">
                  <c:v>0.18306452145325647</c:v>
                </c:pt>
              </c:numCache>
            </c:numRef>
          </c:val>
          <c:extLst>
            <c:ext xmlns:c16="http://schemas.microsoft.com/office/drawing/2014/chart" uri="{C3380CC4-5D6E-409C-BE32-E72D297353CC}">
              <c16:uniqueId val="{00000001-A8BE-443C-9183-9CC1739E7630}"/>
            </c:ext>
          </c:extLst>
        </c:ser>
        <c:ser>
          <c:idx val="2"/>
          <c:order val="2"/>
          <c:tx>
            <c:strRef>
              <c:f>fasen!$L$5</c:f>
              <c:strCache>
                <c:ptCount val="1"/>
                <c:pt idx="0">
                  <c:v>Aanvangswerken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fasen!$M$5:$O$5</c:f>
              <c:numCache>
                <c:formatCode>_ "€"\ * #,##0_ ;_ "€"\ * \-#,##0_ ;_ "€"\ * "-"??_ ;_ @_ </c:formatCode>
                <c:ptCount val="3"/>
                <c:pt idx="0">
                  <c:v>2.933648850094944</c:v>
                </c:pt>
                <c:pt idx="1">
                  <c:v>0</c:v>
                </c:pt>
                <c:pt idx="2">
                  <c:v>0.33351926344671234</c:v>
                </c:pt>
              </c:numCache>
            </c:numRef>
          </c:val>
          <c:extLst>
            <c:ext xmlns:c16="http://schemas.microsoft.com/office/drawing/2014/chart" uri="{C3380CC4-5D6E-409C-BE32-E72D297353CC}">
              <c16:uniqueId val="{00000002-A8BE-443C-9183-9CC1739E7630}"/>
            </c:ext>
          </c:extLst>
        </c:ser>
        <c:dLbls>
          <c:dLblPos val="outEnd"/>
          <c:showLegendKey val="0"/>
          <c:showVal val="1"/>
          <c:showCatName val="0"/>
          <c:showSerName val="0"/>
          <c:showPercent val="0"/>
          <c:showBubbleSize val="0"/>
        </c:dLbls>
        <c:gapWidth val="219"/>
        <c:overlap val="-27"/>
        <c:axId val="1521198384"/>
        <c:axId val="1521195984"/>
      </c:barChart>
      <c:catAx>
        <c:axId val="152119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521195984"/>
        <c:crosses val="autoZero"/>
        <c:auto val="1"/>
        <c:lblAlgn val="ctr"/>
        <c:lblOffset val="100"/>
        <c:noMultiLvlLbl val="0"/>
      </c:catAx>
      <c:valAx>
        <c:axId val="1521195984"/>
        <c:scaling>
          <c:orientation val="minMax"/>
        </c:scaling>
        <c:delete val="0"/>
        <c:axPos val="l"/>
        <c:majorGridlines>
          <c:spPr>
            <a:ln w="9525" cap="flat" cmpd="sng" algn="ctr">
              <a:solidFill>
                <a:schemeClr val="tx1">
                  <a:lumMod val="15000"/>
                  <a:lumOff val="85000"/>
                </a:schemeClr>
              </a:solidFill>
              <a:round/>
            </a:ln>
            <a:effectLst/>
          </c:spPr>
        </c:majorGridlines>
        <c:numFmt formatCode="_ &quot;€&quot;\ * #,##0_ ;_ &quot;€&quot;\ * \-#,##0_ ;_ &quot;€&quot;\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5211983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MKI-waarde per post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barChart>
        <c:barDir val="col"/>
        <c:grouping val="clustered"/>
        <c:varyColors val="0"/>
        <c:ser>
          <c:idx val="0"/>
          <c:order val="0"/>
          <c:spPr>
            <a:solidFill>
              <a:schemeClr val="accent1"/>
            </a:solidFill>
            <a:ln>
              <a:noFill/>
            </a:ln>
            <a:effectLst/>
          </c:spPr>
          <c:invertIfNegative val="0"/>
          <c:cat>
            <c:strRef>
              <c:f>'MKI-berekening'!$H$1:$H$3</c:f>
              <c:strCache>
                <c:ptCount val="3"/>
                <c:pt idx="0">
                  <c:v>Verhardingen</c:v>
                </c:pt>
                <c:pt idx="1">
                  <c:v>Riolering</c:v>
                </c:pt>
                <c:pt idx="2">
                  <c:v>Aanvangswerken</c:v>
                </c:pt>
              </c:strCache>
            </c:strRef>
          </c:cat>
          <c:val>
            <c:numRef>
              <c:f>'MKI-berekening'!$J$1:$J$3</c:f>
              <c:numCache>
                <c:formatCode>_ "€"\ * #,##0_ ;_ "€"\ * \-#,##0_ ;_ "€"\ * "-"??_ ;_ @_ </c:formatCode>
                <c:ptCount val="3"/>
                <c:pt idx="0">
                  <c:v>5.6887961276310177</c:v>
                </c:pt>
                <c:pt idx="1">
                  <c:v>1.6290103012359063</c:v>
                </c:pt>
                <c:pt idx="2">
                  <c:v>26.830490469770563</c:v>
                </c:pt>
              </c:numCache>
            </c:numRef>
          </c:val>
          <c:extLst>
            <c:ext xmlns:c16="http://schemas.microsoft.com/office/drawing/2014/chart" uri="{C3380CC4-5D6E-409C-BE32-E72D297353CC}">
              <c16:uniqueId val="{00000000-2547-4442-8C66-5C74C1528809}"/>
            </c:ext>
          </c:extLst>
        </c:ser>
        <c:dLbls>
          <c:showLegendKey val="0"/>
          <c:showVal val="0"/>
          <c:showCatName val="0"/>
          <c:showSerName val="0"/>
          <c:showPercent val="0"/>
          <c:showBubbleSize val="0"/>
        </c:dLbls>
        <c:gapWidth val="219"/>
        <c:overlap val="-27"/>
        <c:axId val="1593557567"/>
        <c:axId val="1593558527"/>
      </c:barChart>
      <c:catAx>
        <c:axId val="1593557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593558527"/>
        <c:crosses val="autoZero"/>
        <c:auto val="1"/>
        <c:lblAlgn val="ctr"/>
        <c:lblOffset val="100"/>
        <c:noMultiLvlLbl val="0"/>
      </c:catAx>
      <c:valAx>
        <c:axId val="1593558527"/>
        <c:scaling>
          <c:orientation val="minMax"/>
        </c:scaling>
        <c:delete val="0"/>
        <c:axPos val="l"/>
        <c:majorGridlines>
          <c:spPr>
            <a:ln w="9525" cap="flat" cmpd="sng" algn="ctr">
              <a:solidFill>
                <a:schemeClr val="tx1">
                  <a:lumMod val="15000"/>
                  <a:lumOff val="85000"/>
                </a:schemeClr>
              </a:solidFill>
              <a:round/>
            </a:ln>
            <a:effectLst/>
          </c:spPr>
        </c:majorGridlines>
        <c:numFmt formatCode="_ &quot;€&quot;\ * #,##0_ ;_ &quot;€&quot;\ * \-#,##0_ ;_ &quot;€&quot;\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5935575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10</xdr:col>
      <xdr:colOff>234316</xdr:colOff>
      <xdr:row>2</xdr:row>
      <xdr:rowOff>102870</xdr:rowOff>
    </xdr:from>
    <xdr:to>
      <xdr:col>11</xdr:col>
      <xdr:colOff>1183952</xdr:colOff>
      <xdr:row>6</xdr:row>
      <xdr:rowOff>99059</xdr:rowOff>
    </xdr:to>
    <xdr:pic>
      <xdr:nvPicPr>
        <xdr:cNvPr id="5" name="Picture 4">
          <a:extLst>
            <a:ext uri="{FF2B5EF4-FFF2-40B4-BE49-F238E27FC236}">
              <a16:creationId xmlns:a16="http://schemas.microsoft.com/office/drawing/2014/main" id="{526BF46E-3189-4DD2-8A2A-54EF3DFE8E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53516" y="506095"/>
          <a:ext cx="1556061" cy="713104"/>
        </a:xfrm>
        <a:prstGeom prst="rect">
          <a:avLst/>
        </a:prstGeom>
      </xdr:spPr>
    </xdr:pic>
    <xdr:clientData/>
  </xdr:twoCellAnchor>
  <xdr:twoCellAnchor editAs="oneCell">
    <xdr:from>
      <xdr:col>3</xdr:col>
      <xdr:colOff>0</xdr:colOff>
      <xdr:row>4</xdr:row>
      <xdr:rowOff>0</xdr:rowOff>
    </xdr:from>
    <xdr:to>
      <xdr:col>3</xdr:col>
      <xdr:colOff>304800</xdr:colOff>
      <xdr:row>5</xdr:row>
      <xdr:rowOff>114301</xdr:rowOff>
    </xdr:to>
    <xdr:sp macro="" textlink="">
      <xdr:nvSpPr>
        <xdr:cNvPr id="7" name="AutoShape 4" descr="Logo MVN">
          <a:extLst>
            <a:ext uri="{FF2B5EF4-FFF2-40B4-BE49-F238E27FC236}">
              <a16:creationId xmlns:a16="http://schemas.microsoft.com/office/drawing/2014/main" id="{7B9B5229-6C63-4E4E-A848-DA73D283EC32}"/>
            </a:ext>
          </a:extLst>
        </xdr:cNvPr>
        <xdr:cNvSpPr>
          <a:spLocks noChangeAspect="1" noChangeArrowheads="1"/>
        </xdr:cNvSpPr>
      </xdr:nvSpPr>
      <xdr:spPr bwMode="auto">
        <a:xfrm>
          <a:off x="6391275" y="742950"/>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3</xdr:row>
      <xdr:rowOff>0</xdr:rowOff>
    </xdr:from>
    <xdr:to>
      <xdr:col>10</xdr:col>
      <xdr:colOff>1</xdr:colOff>
      <xdr:row>19</xdr:row>
      <xdr:rowOff>0</xdr:rowOff>
    </xdr:to>
    <xdr:graphicFrame macro="">
      <xdr:nvGraphicFramePr>
        <xdr:cNvPr id="3" name="Chart 2">
          <a:extLst>
            <a:ext uri="{FF2B5EF4-FFF2-40B4-BE49-F238E27FC236}">
              <a16:creationId xmlns:a16="http://schemas.microsoft.com/office/drawing/2014/main" id="{1D072A36-62A3-490E-A10E-5D5B1AA72F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607785</xdr:colOff>
      <xdr:row>3</xdr:row>
      <xdr:rowOff>0</xdr:rowOff>
    </xdr:from>
    <xdr:to>
      <xdr:col>19</xdr:col>
      <xdr:colOff>0</xdr:colOff>
      <xdr:row>19</xdr:row>
      <xdr:rowOff>0</xdr:rowOff>
    </xdr:to>
    <xdr:graphicFrame macro="">
      <xdr:nvGraphicFramePr>
        <xdr:cNvPr id="6" name="Chart 5">
          <a:extLst>
            <a:ext uri="{FF2B5EF4-FFF2-40B4-BE49-F238E27FC236}">
              <a16:creationId xmlns:a16="http://schemas.microsoft.com/office/drawing/2014/main" id="{456F4250-731B-4E63-B8A2-731FB5495665}"/>
            </a:ext>
            <a:ext uri="{147F2762-F138-4A5C-976F-8EAC2B608ADB}">
              <a16:predDERef xmlns:a16="http://schemas.microsoft.com/office/drawing/2014/main" pred="{1D072A36-62A3-490E-A10E-5D5B1AA72F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20</xdr:row>
      <xdr:rowOff>3174</xdr:rowOff>
    </xdr:from>
    <xdr:to>
      <xdr:col>10</xdr:col>
      <xdr:colOff>0</xdr:colOff>
      <xdr:row>48</xdr:row>
      <xdr:rowOff>38100</xdr:rowOff>
    </xdr:to>
    <xdr:graphicFrame macro="">
      <xdr:nvGraphicFramePr>
        <xdr:cNvPr id="2" name="Chart 1">
          <a:extLst>
            <a:ext uri="{FF2B5EF4-FFF2-40B4-BE49-F238E27FC236}">
              <a16:creationId xmlns:a16="http://schemas.microsoft.com/office/drawing/2014/main" id="{269F89DD-762B-4B18-8C34-F0818ABB1761}"/>
            </a:ext>
            <a:ext uri="{147F2762-F138-4A5C-976F-8EAC2B608ADB}">
              <a16:predDERef xmlns:a16="http://schemas.microsoft.com/office/drawing/2014/main" pred="{456F4250-731B-4E63-B8A2-731FB5495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C0284418-DD1B-DAA7-C2D8-BD715481BD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endParaRPr lang="en-NL" sz="100">
            <a:latin typeface="ZWAdobeF"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57149</xdr:colOff>
      <xdr:row>10</xdr:row>
      <xdr:rowOff>128587</xdr:rowOff>
    </xdr:from>
    <xdr:to>
      <xdr:col>16</xdr:col>
      <xdr:colOff>590550</xdr:colOff>
      <xdr:row>26</xdr:row>
      <xdr:rowOff>85725</xdr:rowOff>
    </xdr:to>
    <xdr:graphicFrame macro="">
      <xdr:nvGraphicFramePr>
        <xdr:cNvPr id="6" name="Chart 1">
          <a:extLst>
            <a:ext uri="{FF2B5EF4-FFF2-40B4-BE49-F238E27FC236}">
              <a16:creationId xmlns:a16="http://schemas.microsoft.com/office/drawing/2014/main" id="{E19AEFEB-64FD-BAC0-9177-2A6D879BDE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333375</xdr:colOff>
      <xdr:row>0</xdr:row>
      <xdr:rowOff>33337</xdr:rowOff>
    </xdr:from>
    <xdr:to>
      <xdr:col>18</xdr:col>
      <xdr:colOff>28575</xdr:colOff>
      <xdr:row>14</xdr:row>
      <xdr:rowOff>90487</xdr:rowOff>
    </xdr:to>
    <xdr:graphicFrame macro="">
      <xdr:nvGraphicFramePr>
        <xdr:cNvPr id="3" name="Chart 2">
          <a:extLst>
            <a:ext uri="{FF2B5EF4-FFF2-40B4-BE49-F238E27FC236}">
              <a16:creationId xmlns:a16="http://schemas.microsoft.com/office/drawing/2014/main" id="{6D970BD1-FA5D-63BB-173F-73EF480CCB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920439\AppData\Local\Microsoft\Windows\INetCache\Content.Outlook\07GMPJXY\BH8180%20Stammerdijk%20raming%20variantenstudie%20v0.1%20(003).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arcadiso365.sharepoint.com/sites/Project-BG9965-Plan-GKB/Shared%20Documents/General/02%20WIP/TM%20-%20Fase%203-4/44%20-%20RHDHV%20Overig%20(oa%20duurz-SSK-RIE)/Duurzaamheid/MKI-berekeningen/SSK_BG9965_Gerrit%20Krolbrug%20varianten_V06_V1.xlsm?851FD0A7" TargetMode="External"/><Relationship Id="rId1" Type="http://schemas.openxmlformats.org/officeDocument/2006/relationships/externalLinkPath" Target="file:///\\851FD0A7\SSK_BG9965_Gerrit%20Krolbrug%20varianten_V06_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parameters"/>
      <sheetName val="Colofon"/>
      <sheetName val="Model"/>
      <sheetName val="Keuzeparameters"/>
      <sheetName val="Scope"/>
      <sheetName val="Prijzenboek"/>
      <sheetName val="Resultaten"/>
      <sheetName val="Tarieven"/>
      <sheetName val="Prijzen"/>
      <sheetName val="Prijzen_INS"/>
      <sheetName val="Postenboek"/>
      <sheetName val="Hoeveelhedenboek"/>
      <sheetName val="1"/>
      <sheetName val="2"/>
      <sheetName val="3"/>
      <sheetName val="5"/>
      <sheetName val="6a"/>
      <sheetName val="6b"/>
      <sheetName val="7"/>
      <sheetName val="Obj.overst.risicoreservering"/>
      <sheetName val="beheerblad"/>
      <sheetName val="Onderhoud"/>
      <sheetName val="Managementoverzicht"/>
      <sheetName val="Kostenoverzicht"/>
      <sheetName val="Prob. resultaten"/>
      <sheetName val="Sheet1"/>
      <sheetName val="Dashboard"/>
      <sheetName val="Dummy"/>
      <sheetName val="Staat van Ontleding"/>
      <sheetName val="Versiebehe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sheetName val="Translate"/>
      <sheetName val="Disclaimer"/>
      <sheetName val="Colofon"/>
      <sheetName val="Principles"/>
      <sheetName val="samenvatting varianten"/>
      <sheetName val="Summary"/>
      <sheetName val="Summary LCC"/>
      <sheetName val="RiskRG@RiskR13C9"/>
      <sheetName val="RiskRG@RiskR45C2"/>
      <sheetName val="RiskRG@RiskR45C9"/>
      <sheetName val="RiskRG@RiskR94C9"/>
      <sheetName val="RiskRG@RiskR132C2"/>
      <sheetName val="RiskRG@RiskR132C9"/>
      <sheetName val="@Risk"/>
      <sheetName val="variant_2_LTB"/>
      <sheetName val="variant_1_LHB"/>
      <sheetName val="variant_4_HTB"/>
      <sheetName val="variant_3_HHB"/>
      <sheetName val="variant_5_HTB_geen_fietsbr"/>
      <sheetName val="Varianten vergelijking"/>
      <sheetName val="DHV_template"/>
      <sheetName val="Varianten_template"/>
      <sheetName val="Risks"/>
      <sheetName val="RHDHV_attachments"/>
      <sheetName val="Analyse"/>
      <sheetName val="Notities"/>
      <sheetName val="Postenboek"/>
      <sheetName val="Tarieven"/>
      <sheetName val="Prijzenboek"/>
      <sheetName val="Hoeveelhedenboek"/>
      <sheetName val="hulpblad oud"/>
      <sheetName val="Sheet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persons/person.xml><?xml version="1.0" encoding="utf-8"?>
<personList xmlns="http://schemas.microsoft.com/office/spreadsheetml/2018/threadedcomments" xmlns:x="http://schemas.openxmlformats.org/spreadsheetml/2006/main">
  <person displayName="van der Loos, Ivo" id="{1E87F68A-59E3-4438-B02B-B9A3A8FADC3D}" userId="S::ivo.vanderloos@arcadis.com::d9767414-5294-43e5-ba07-6ac6d8bde1d9" providerId="AD"/>
  <person displayName="Tahira Lee-On" id="{3B5AAC10-DF01-4CA1-B9C1-D317988F78C3}" userId="S::tahira.lee-on@haskoning.com::ef8ab9a9-266f-4477-962a-3207b7570061" providerId="AD"/>
  <person displayName="Caspar Aardenburg" id="{0C039CA2-FDE2-40D8-9C85-E92A0D1D545D}" userId="S::caspar.aardenburg@haskoning.com::d6f6b49f-103c-44f7-888e-927fa8c0a23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30.53729641204" createdVersion="7" refreshedVersion="8" minRefreshableVersion="3" recordCount="189" xr:uid="{90CE95CC-C09A-4FED-B4DF-EDD77DD7E4A2}">
  <cacheSource type="worksheet">
    <worksheetSource name="Table1"/>
  </cacheSource>
  <cacheFields count="28">
    <cacheField name="Post" numFmtId="49">
      <sharedItems containsBlank="1"/>
    </cacheField>
    <cacheField name="Onderdeel " numFmtId="49">
      <sharedItems containsBlank="1" count="41">
        <s v="Voorbereidende werkzaamheden"/>
        <m/>
        <s v="Opruimen verharding"/>
        <s v="Maaien en frezen terrein"/>
        <s v="Ontgraven uit cunet "/>
        <s v="Grond vervoeren"/>
        <s v="Grond verwerken "/>
        <s v="Grondbewerking"/>
        <s v="Leveren grond"/>
        <s v="Duiker"/>
        <s v="Vrijverval riolering"/>
        <s v="Putten en kolken "/>
        <s v="Persleidingen"/>
        <s v="Mantelbuizenpakket A"/>
        <s v="Mantelbuizenpakket B"/>
        <s v="Mantelbuizenpakket C"/>
        <s v="Mantelbuizenpakket D"/>
        <s v="Overige mantelbuizen"/>
        <s v="Uitstroomvoorzieningen"/>
        <s v="Voorbereidende werkzaamheden "/>
        <s v="Fundering steenmengsel"/>
        <s v="Opsluitingen "/>
        <s v="Bitumineuze verhardingen"/>
        <s v="Elementverhardingen"/>
        <s v="Halfverharding"/>
        <s v="Terreinafscheidingen"/>
        <s v="Bebording en bebakening"/>
        <s v="Markering"/>
        <s v="Voedingsnet"/>
        <s v="Aanbrengen verlichtingsobjecten" u="1"/>
        <s v="HDD-boring" u="1"/>
        <s v="Aanbrengen PE-hulpstuk " u="1"/>
        <s v="Fietspad" u="1"/>
        <s v="Voetpad " u="1"/>
        <s v="Parkeervakken" u="1"/>
        <s v="Fundatie " u="1"/>
        <s v="Rijbaan" u="1"/>
        <s v="Inritten " u="1"/>
        <s v="TB" u="1"/>
        <s v="OB" u="1"/>
        <s v="Kokosmat uitleggers" u="1"/>
      </sharedItems>
    </cacheField>
    <cacheField name="Omschrijving" numFmtId="0">
      <sharedItems containsBlank="1" count="180">
        <s v="Aanbrengen en verwijderen rijplatenbaan."/>
        <s v="Verwijderen drainagebuis ø80 mm"/>
        <s v="Verwijderen kunststofbuis ø250 mm"/>
        <s v="Zagen van bitumineuze verharding, 230-280 mm."/>
        <s v="Zagen van bitumineuze verharding, 120-150 mm."/>
        <s v="Frezen getrapte aansluiting"/>
        <s v="Opbreken asfalt 230 mm"/>
        <s v="Opbreken asfalt 120 mm"/>
        <s v="Opnemen verharding van prefab. betonplaten"/>
        <s v="Opbreken RWS-banden 110/220 x 250 mm."/>
        <s v="Verwijderen schrikhek"/>
        <s v="Verwijderen verkeersbordpaal, incl. bord"/>
        <s v="Verwijderen verkeersborden"/>
        <s v="Demarkeren gele markering"/>
        <s v="Demarkeren van witte markering"/>
        <s v="Verwijderen betonnen geleidebarrier"/>
        <s v="Verwijderen schildjes"/>
        <s v="Maaien en frezen van kruidachtige vegetatie"/>
        <s v="Grond ontgraven uit cunet"/>
        <s v="Grond vervoeren naar plaats van verwerken"/>
        <s v="Grond verwerken in cunet"/>
        <s v="Grond verwerken in terrein"/>
        <s v="Frezen en Eggen"/>
        <s v="Diepspitten"/>
        <s v="Leveren zand in zandbed"/>
        <s v="Leveren brekerzand"/>
        <s v="Betonduiker"/>
        <s v="Afschuinen bestaande betonnen duikers"/>
        <s v="Aanbrengen stalen duiker ø800 mm"/>
        <s v="Graven sleuven"/>
        <s v="Aanvullen sleuven"/>
        <s v="Aanbrengen PVC-buis dia250 mm, VWA-riool"/>
        <s v="Grond ontgraven t.b.v. sleuf VWA uitleggers ø160 mm"/>
        <s v="Aanvullen sleuf VWA uitleggers ø160 mm."/>
        <s v="Aanbrengen kolkleidingen PVC ø125 mm."/>
        <s v="Aanbrengen PVC-buis ø160 mm, VWA uitlegger."/>
        <s v="Aanbrengen bochtstuk 45° kolkleidingen PVC ø125 mm"/>
        <s v="Aanbrengen PVC-hulpstuk, overschuifmof ø160 mm."/>
        <s v="Aanbrengen PVC-hulpstuk, eindkap ø160 mm."/>
        <s v="Aanbrengen bochtstuk 45° kolkleidingen PVC ø160 mm"/>
        <s v="Maken inlaat IT-riool ø160 mm."/>
        <s v="Aanbrengen knevelinlaat kolkleidingen PVC ø160 mm."/>
        <s v="Aanbrengen standpijp PVC ø160 mm."/>
        <s v="Aanbrengen trekput"/>
        <s v="Aanbrengen Tegra 600 inspectieputten"/>
        <s v="Aanbrengen PP 315 Inspectieput"/>
        <s v="Aanbrengen putrand met deksel"/>
        <s v="Aanbrengen trottoirkolk 450x300 mm."/>
        <s v="Aanbrengen straatkolk 450x300 mm."/>
        <s v="Graven en aanvullen sleuf (1 m en dieper)."/>
        <s v="Aanbrengen PE100-buis ø125 mm, persleiding."/>
        <s v="Aanbrengen bochtstuk 45° kolkleidingen PE hulpstuk ø125 mm"/>
        <s v="Aanbrengen schuifafsluiter persleiding."/>
        <s v="Gesloten front boring"/>
        <s v="Aanbrengen kabelbuis"/>
        <s v="Graven en aanvullen sleuf"/>
        <s v="Pneumatische boring"/>
        <s v="Kokosmat uitleggers"/>
        <s v="Aanbrengen uitstroomvoorziening prefab beton."/>
        <s v="Markeringspalen"/>
        <s v="Zandbed "/>
        <s v="Straatlaag"/>
        <s v="Schoonmaken verhardingsoppervlak"/>
        <s v="Aanbrengen van een wegfundering 100 mm"/>
        <s v="Aanbrengen van een wegfundering 250 mm"/>
        <s v="Aanbrengen van een wegfundering 300 mm"/>
        <s v="Aanbrengen van een wegfundering 350 mm"/>
        <s v="Ontgraven menggranulaat uit depot."/>
        <s v="Vervoeren menggranulaat naar plaats van verwerking"/>
        <s v="Leveren van ongebonden steenmengsel voor een Leveren van ongebonden steenmengsel voor een wegfundering van steenmengsel."/>
        <s v="Aanbrengen opsluitbanden"/>
        <s v="Aanbrengen opsluitbanden 60 x 150 mm"/>
        <s v="Leveren rechte opsluitbanden Bio Bound"/>
        <s v="Leveren hulpstukken opsluitbanden Bio Bound"/>
        <s v="Bio Bound trottoirband 180/200 x 250 "/>
        <s v="Bio Bound Leveren hulpstukken troittoirbanden"/>
        <s v="Geleidebanden / RWS-banden"/>
        <s v="Bio Bound trottoirband 110/220 x 250 "/>
        <s v="Truckbanden 400/600x300"/>
        <s v="Bio Bound Truckbanden 400/600x300"/>
        <s v="Onderlagen AC 22 Base 70 mm"/>
        <s v="Tussenlagen AC 16 Bin 50 mm"/>
        <s v="Deklagen AC 16 surf 50 mm"/>
        <s v="Kleeflagen 0,4 kg/m2"/>
        <s v="Kleeflagen 0,3 kg/m2"/>
        <s v="Bakfrezen asfalt"/>
        <s v="Aanbrengen asfaltwapening"/>
        <s v="Kleeflaag 0,7 kg/m2"/>
        <s v="Tussenlagen AC 16 Bin 50 mm, reparatie"/>
        <s v="Bio Bound BSS"/>
        <s v="Bio Bound Betontegels 100 mm, wit"/>
        <s v="Aanbrengen betonstraatstenen."/>
        <s v="Bio Bound aanbrengen betontegels"/>
        <s v="Haaientandtegels 300 x 300 x 60 mm"/>
        <s v="Bio Bound Betontegels 300 x 300 x 45 mm, wit"/>
        <s v="Bio Bound Betontegels 300 x 300 x 80 mm, antraciet"/>
        <s v="Bio Bound Betontegels 200 x 200 x 80 mm"/>
        <s v="Bio Bound Betontegels 200 x 200 x 80 mm, wit"/>
        <s v="Bio Bound Grasbetontegels 600 x 400 x 100 mm   "/>
        <s v="Menggranulaat 200 mm"/>
        <s v="30 mm lava tussenlaag "/>
        <s v="Stabilizer verharding"/>
        <s v="Aanbrengen hek"/>
        <s v="Verkeersborden"/>
        <s v="Aanbrengen lengtemarkering"/>
        <s v="Aanbrengen figuratie markering, driehoeksmarkering"/>
        <s v="Plaatsen enkelzits bank"/>
        <s v="Aanbrengen uitneembare paal"/>
        <s v="Graven en aanvullen sleuf  "/>
        <s v="Aanbrengen energiegrondkabel"/>
        <s v="Aanbrengen schakel- en verdeelinrichting OVL kast"/>
        <s v="Aanbrengen zwerfkei"/>
        <s v="trottoirband 180/200 x 250 mm met pastegel" u="1"/>
        <s v="trottoirband 480/500 x 160 mm" u="1"/>
        <s v="BSS KF antraciet 210 x 105 x 100 mm" u="1"/>
        <s v="Aanbrengen dwarsmarkering" u="1"/>
        <s v="Aanbrengen dubbele witte streklaag " u="1"/>
        <s v="Betontegels 300 x 300 x 45 mm, antraciet" u="1"/>
        <s v="Betontegels 300 x 300 x 45 mm, rood" u="1"/>
        <s v="Betontegels 300 x 300 x 80 mm, antraciet" u="1"/>
        <s v="Betontegels 300 x 300 x 80 mm, rood" u="1"/>
        <s v="Onderbroken streep 0,30 - 2,70" u="1"/>
        <s v="Aanbrengen streklaag betontegels 300 x 300 x 80 mm" u="1"/>
        <s v="Betontegels 200 x 200 x 80 mm" u="1"/>
        <s v="Grasbetontegels 600 x 400 x 100 mm   " u="1"/>
        <s v="Grasbetontegels 300 x 300 x 100 mm" u="1"/>
        <s v="Gemaal" u="1"/>
        <s v="Aanbrengen verlichtingsobject: lichtmast" u="1"/>
        <s v="Aanbrengen verlichtingsobject: LED" u="1"/>
        <s v="trottoirband 180/200 x 250 mm" u="1"/>
        <s v="Opbreken betonstraatstenen 80 mm." u="1"/>
        <s v="Aanbrengen ontstoppingsstuk bij VWA uitleggers ø160 mm" u="1"/>
        <s v="Aanbrengen PE hulpstuk ø125 mm" u="1"/>
        <s v="Uitvoeren HDD-boring" u="1"/>
        <s v="trottoirband 480/500 x 160 mm met steunrug" u="1"/>
        <s v="Betonstraatstenen " u="1"/>
        <s v="Betontegels 300 x 300 x 45 mm" u="1"/>
        <s v="betontegels 300 x 300 x 70 mm" u="1"/>
        <m u="1"/>
        <s v="Toepassen open bemaling." u="1"/>
        <s v="Graven proefsleuven in het kader van CROW500" u="1"/>
        <s v="Opbreken asfaltverharding van teervrij asfalt, 230 mm" u="1"/>
        <s v="Opbreken asfaltverharding van teervrij asfalt, 120 mm." u="1"/>
        <s v="verdichten grond" u="1"/>
        <s v="verdichten zand" u="1"/>
        <s v="profileren van oppervlakten" u="1"/>
        <s v="Truckbanden" u="1"/>
        <s v="Figuratie" u="1"/>
        <s v="Frezen teervrij asfalt getrapte aansluiting Circular Av." u="1"/>
        <s v="Frezen teervrij asfalt getrapte aansluiting Panorama." u="1"/>
        <s v="Aanbrengen van een wegfundering" u="1"/>
        <s v="80 mm betontegels 200x200 mm" u="1"/>
        <s v="50 mm straatlaag" u="1"/>
        <s v="500 mm zand voor zandbed " u="1"/>
        <s v="70 mm betontegels 200x200 mm" u="1"/>
        <s v="45 mm betontegels 300x300 mm" u="1"/>
        <s v="grasbetontegels 300x300x100" u="1"/>
        <s v="300 mm menggranulaat 0/31,5" u="1"/>
        <s v="80 mm stabilizer " u="1"/>
        <s v="200 mm menggranulaat " u="1"/>
        <s v="50 mm AC 16 surf DL-C" u="1"/>
        <s v="50 mm AC 16 bind TL-C" u="1"/>
        <s v="70mm AC 22 base OL-C" u="1"/>
        <s v="350 mm hydraulisch menggranulaat" u="1"/>
        <s v="Betonstraatsteen (210x105x80mm) door en door grijs" u="1"/>
        <s v="Straatzand" u="1"/>
        <s v="Funderingslaag Menggranulaat (300mm)" u="1"/>
        <s v="Elementverhardingen, Zandbed" u="1"/>
        <s v="Troittoirband 180/200" u="1"/>
        <s v="Opsluitband 200x250 mm" u="1"/>
        <s v="Troittoirband 480/500 x 160" u="1"/>
        <s v="Aanbrengen krammat" u="1"/>
        <s v="Aanbrengen PE-hulpstuk, eindkap ø125 mm." u="1"/>
        <s v="Aanbrengen PE-hulpstuk." u="1"/>
        <s v="Uitzetten van belijning " u="1"/>
        <s v="Aanbrengen putrand met deksel, in asfalt." u="1"/>
        <s v="Dieppitten" u="1"/>
        <s v="Aanbrengen PE-hulpstuk, bochtstuk 90°." u="1"/>
        <s v="Zagen van bitumineuze verharding, 230 mm." u="1"/>
        <s v="Zagen van bitumineuze verharding, 120 mm." u="1"/>
      </sharedItems>
    </cacheField>
    <cacheField name="Milieuprofiel" numFmtId="0">
      <sharedItems containsBlank="1"/>
    </cacheField>
    <cacheField name="Potentieel alternatief" numFmtId="0">
      <sharedItems containsBlank="1"/>
    </cacheField>
    <cacheField name="Categorie milieuprofiel" numFmtId="0">
      <sharedItems count="7">
        <s v="Cat.3 (30%)"/>
        <s v="Cat.3a"/>
        <s v=""/>
        <s v="Cat.1"/>
        <s v="Cat.2"/>
        <s v="cat. 3" u="1"/>
        <s v="cat. 2" u="1"/>
      </sharedItems>
    </cacheField>
    <cacheField name="Volume" numFmtId="0">
      <sharedItems containsSemiMixedTypes="0" containsString="0" containsNumber="1" minValue="7.0000000000000007E-2" maxValue="9460"/>
    </cacheField>
    <cacheField name="Ehd bestek" numFmtId="0">
      <sharedItems/>
    </cacheField>
    <cacheField name="In scope" numFmtId="0">
      <sharedItems/>
    </cacheField>
    <cacheField name="Factor" numFmtId="0">
      <sharedItems containsString="0" containsBlank="1" containsNumber="1" minValue="1.6666666666666668E-3" maxValue="1000"/>
    </cacheField>
    <cacheField name="Hvd" numFmtId="0">
      <sharedItems containsSemiMixedTypes="0" containsString="0" containsNumber="1" minValue="0" maxValue="1125000"/>
    </cacheField>
    <cacheField name="Ehd profiel" numFmtId="0">
      <sharedItems/>
    </cacheField>
    <cacheField name="Levensduur" numFmtId="0">
      <sharedItems containsSemiMixedTypes="0" containsString="0" containsNumber="1" containsInteger="1" minValue="0" maxValue="999"/>
    </cacheField>
    <cacheField name="MKI A-D" numFmtId="168">
      <sharedItems containsSemiMixedTypes="0" containsString="0" containsNumber="1" minValue="0" maxValue="142045.31642719414"/>
    </cacheField>
    <cacheField name="Productie" numFmtId="168">
      <sharedItems containsSemiMixedTypes="0" containsString="0" containsNumber="1" minValue="0" maxValue="51979.385839546601"/>
    </cacheField>
    <cacheField name=" Bouw" numFmtId="168">
      <sharedItems containsSemiMixedTypes="0" containsString="0" containsNumber="1" minValue="0" maxValue="13232.484145706421"/>
    </cacheField>
    <cacheField name="Gebruik en onderhoud" numFmtId="168">
      <sharedItems containsSemiMixedTypes="0" containsString="0" containsNumber="1" minValue="0" maxValue="102602.41295736331"/>
    </cacheField>
    <cacheField name="Sloop- en verwerking" numFmtId="168">
      <sharedItems containsSemiMixedTypes="0" containsString="0" containsNumber="1" minValue="-15088.487901829953" maxValue="2249.726437352871"/>
    </cacheField>
    <cacheField name="omrekenfactor" numFmtId="0">
      <sharedItems containsString="0" containsBlank="1" containsNumber="1" minValue="5.3999999999999994E-3" maxValue="1.67"/>
    </cacheField>
    <cacheField name="Hoeveelheid" numFmtId="0">
      <sharedItems containsString="0" containsBlank="1" containsNumber="1" minValue="6.4799999999999996E-2" maxValue="4298.125"/>
    </cacheField>
    <cacheField name="Eenheid" numFmtId="0">
      <sharedItems containsBlank="1"/>
    </cacheField>
    <cacheField name="MKI A-D nieuw" numFmtId="168">
      <sharedItems containsSemiMixedTypes="0" containsString="0" containsNumber="1" minValue="0" maxValue="27522.321428571431"/>
    </cacheField>
    <cacheField name="Totaal nieuw" numFmtId="0">
      <sharedItems containsSemiMixedTypes="0" containsString="0" containsNumber="1" minValue="0" maxValue="49644.133333333339"/>
    </cacheField>
    <cacheField name="Column1" numFmtId="168">
      <sharedItems containsNonDate="0" containsString="0" containsBlank="1"/>
    </cacheField>
    <cacheField name="CO2 A" numFmtId="169">
      <sharedItems containsSemiMixedTypes="0" containsString="0" containsNumber="1" containsInteger="1" minValue="0" maxValue="0"/>
    </cacheField>
    <cacheField name="CO2 A alt" numFmtId="169">
      <sharedItems containsMixedTypes="1" containsNumber="1" containsInteger="1" minValue="0" maxValue="0"/>
    </cacheField>
    <cacheField name="Toelichting" numFmtId="0">
      <sharedItems containsNonDate="0" containsString="0" containsBlank="1"/>
    </cacheField>
    <cacheField name="Bron" numFmtId="0">
      <sharedItems containsNonDate="0" containsString="0" containsBlank="1"/>
    </cacheField>
  </cacheFields>
  <extLst>
    <ext xmlns:x14="http://schemas.microsoft.com/office/spreadsheetml/2009/9/main" uri="{725AE2AE-9491-48be-B2B4-4EB974FC3084}">
      <x14:pivotCacheDefinition pivotCacheId="7433018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
  <r>
    <s v="Aanvangswerken"/>
    <x v="0"/>
    <x v="0"/>
    <s v="Stalen rijplaten"/>
    <m/>
    <x v="0"/>
    <n v="350"/>
    <s v="m"/>
    <s v="Ja"/>
    <n v="1.5"/>
    <n v="525"/>
    <s v="m2"/>
    <n v="999"/>
    <n v="660.14781219518045"/>
    <n v="392.69255075771315"/>
    <n v="183.93177994683114"/>
    <n v="0"/>
    <n v="-120.61588367163644"/>
    <m/>
    <m/>
    <s v=""/>
    <n v="0"/>
    <n v="660.14781219518045"/>
    <m/>
    <n v="0"/>
    <n v="0"/>
    <m/>
    <m/>
  </r>
  <r>
    <s v="Aanvangswerken"/>
    <x v="0"/>
    <x v="0"/>
    <s v="Stalen rijplaten"/>
    <m/>
    <x v="0"/>
    <n v="210"/>
    <s v="m"/>
    <s v="Ja"/>
    <n v="1.5"/>
    <n v="315"/>
    <s v="m2"/>
    <n v="999"/>
    <n v="396.08868731710828"/>
    <n v="235.61553045462787"/>
    <n v="110.35906796809869"/>
    <n v="0"/>
    <n v="-72.369530202981863"/>
    <m/>
    <m/>
    <s v=""/>
    <n v="0"/>
    <n v="396.08868731710828"/>
    <m/>
    <n v="0"/>
    <n v="0"/>
    <m/>
    <m/>
  </r>
  <r>
    <s v="Aanvangswerken"/>
    <x v="0"/>
    <x v="0"/>
    <s v="Stalen rijplaten"/>
    <m/>
    <x v="0"/>
    <n v="60"/>
    <s v="m"/>
    <s v="Ja"/>
    <n v="1.5"/>
    <n v="90"/>
    <s v="m2"/>
    <n v="999"/>
    <n v="113.16819637631664"/>
    <n v="67.318722987036537"/>
    <n v="31.531162276599623"/>
    <n v="0"/>
    <n v="-20.677008629423387"/>
    <m/>
    <m/>
    <s v=""/>
    <n v="0"/>
    <n v="113.16819637631664"/>
    <m/>
    <n v="0"/>
    <n v="0"/>
    <m/>
    <m/>
  </r>
  <r>
    <s v="Aanvangswerken"/>
    <x v="0"/>
    <x v="0"/>
    <s v="Stalen rijplaten"/>
    <m/>
    <x v="0"/>
    <n v="500"/>
    <s v="m"/>
    <s v="Ja"/>
    <n v="1.5"/>
    <n v="750"/>
    <s v="m2"/>
    <n v="999"/>
    <n v="943.06830313597209"/>
    <n v="560.9893582253045"/>
    <n v="262.75968563833021"/>
    <n v="0"/>
    <n v="-172.3084052451949"/>
    <m/>
    <m/>
    <s v=""/>
    <n v="0"/>
    <n v="943.06830313597209"/>
    <m/>
    <n v="0"/>
    <n v="0"/>
    <m/>
    <m/>
  </r>
  <r>
    <m/>
    <x v="1"/>
    <x v="1"/>
    <s v="Sleuf, aanleg van leidingwerk of duiker per m1"/>
    <m/>
    <x v="0"/>
    <n v="80"/>
    <s v="m"/>
    <s v="Ja"/>
    <n v="1"/>
    <n v="80"/>
    <s v="m1"/>
    <n v="999"/>
    <n v="52.29992748845963"/>
    <n v="0"/>
    <n v="40.230713083747816"/>
    <n v="0"/>
    <n v="0"/>
    <m/>
    <m/>
    <s v=""/>
    <n v="0"/>
    <n v="52.29992748845963"/>
    <m/>
    <n v="0"/>
    <n v="0"/>
    <m/>
    <m/>
  </r>
  <r>
    <m/>
    <x v="1"/>
    <x v="1"/>
    <s v="Graafmachine, cat. IV, diesel"/>
    <m/>
    <x v="1"/>
    <n v="80"/>
    <s v="m"/>
    <s v="Ja"/>
    <n v="1.6666666666666668E-3"/>
    <n v="0.13333333333333333"/>
    <s v="uur"/>
    <n v="999"/>
    <n v="0.59699774171379505"/>
    <n v="0"/>
    <n v="0.59699774171379505"/>
    <n v="0"/>
    <n v="0"/>
    <m/>
    <m/>
    <s v=""/>
    <n v="0"/>
    <n v="0.59699774171379505"/>
    <m/>
    <n v="0"/>
    <n v="0"/>
    <m/>
    <m/>
  </r>
  <r>
    <m/>
    <x v="1"/>
    <x v="2"/>
    <s v="Sleuf, aanleg van leidingwerk of duiker per m1"/>
    <m/>
    <x v="0"/>
    <n v="39"/>
    <s v="m"/>
    <s v="Ja"/>
    <n v="1"/>
    <n v="39"/>
    <s v="m1"/>
    <n v="999"/>
    <n v="25.496214650624072"/>
    <n v="0"/>
    <n v="19.612472628327062"/>
    <n v="0"/>
    <n v="0"/>
    <m/>
    <m/>
    <s v=""/>
    <n v="0"/>
    <n v="25.496214650624072"/>
    <m/>
    <n v="0"/>
    <n v="0"/>
    <m/>
    <m/>
  </r>
  <r>
    <m/>
    <x v="1"/>
    <x v="2"/>
    <s v="Graafmachine, cat. IV, diesel"/>
    <m/>
    <x v="1"/>
    <n v="39"/>
    <s v="m"/>
    <s v="Ja"/>
    <n v="2E-3"/>
    <n v="7.8E-2"/>
    <s v="uur"/>
    <n v="999"/>
    <n v="0.34924367890257013"/>
    <n v="0"/>
    <n v="0.34924367890257013"/>
    <n v="0"/>
    <n v="0"/>
    <m/>
    <m/>
    <s v=""/>
    <n v="0"/>
    <n v="0.34924367890257013"/>
    <m/>
    <n v="0"/>
    <n v="0"/>
    <m/>
    <m/>
  </r>
  <r>
    <s v="Aanvangswerken"/>
    <x v="2"/>
    <x v="3"/>
    <s v="Asfaltbetonzaag diesel"/>
    <s v="Graafmachine, cat. IV, HVO"/>
    <x v="0"/>
    <n v="90"/>
    <s v="m"/>
    <s v="Ja"/>
    <n v="7.5122292103424179E-2"/>
    <n v="6.7610062893081757"/>
    <s v="uur"/>
    <n v="999"/>
    <n v="48.357193016818321"/>
    <n v="0"/>
    <n v="37.197840441065779"/>
    <n v="0"/>
    <n v="0"/>
    <n v="7.5122292103424179E-2"/>
    <n v="6.7610062893081757"/>
    <s v="uur"/>
    <n v="11.290918324812377"/>
    <n v="11.290918324812377"/>
    <m/>
    <n v="0"/>
    <n v="0"/>
    <m/>
    <m/>
  </r>
  <r>
    <s v="Aanvangswerken"/>
    <x v="2"/>
    <x v="4"/>
    <s v="Asfaltbetonzaag diesel"/>
    <s v="Graafmachine, cat. IV, HVO"/>
    <x v="0"/>
    <n v="215"/>
    <s v="m"/>
    <s v="Ja"/>
    <n v="0.30048916841369672"/>
    <n v="64.605171208944796"/>
    <s v="uur"/>
    <n v="999"/>
    <n v="462.07984438293067"/>
    <n v="0"/>
    <n v="355.44603088129526"/>
    <n v="0"/>
    <n v="0"/>
    <n v="0.30048916841369672"/>
    <n v="64.605171208944796"/>
    <s v="uur"/>
    <n v="107.89099732598496"/>
    <n v="107.89099732598496"/>
    <m/>
    <n v="0"/>
    <n v="0"/>
    <m/>
    <m/>
  </r>
  <r>
    <s v="Aanvangswerken"/>
    <x v="2"/>
    <x v="5"/>
    <s v="Asfaltfrees diesel"/>
    <s v="Graafmachine, cat. IV, HVO"/>
    <x v="0"/>
    <n v="7.5"/>
    <s v="m3"/>
    <s v="Ja"/>
    <n v="0.14099999999999999"/>
    <n v="1.0574999999999999"/>
    <s v="uur"/>
    <n v="999"/>
    <n v="11.345440921158666"/>
    <n v="0"/>
    <n v="8.72726216701661"/>
    <n v="0"/>
    <n v="0"/>
    <n v="0.14099999999999999"/>
    <n v="1.0574999999999999"/>
    <s v="uur"/>
    <n v="1.7660309157486187"/>
    <n v="1.7660309157486187"/>
    <m/>
    <n v="0"/>
    <n v="0"/>
    <m/>
    <m/>
  </r>
  <r>
    <s v="Aanvangswerken"/>
    <x v="2"/>
    <x v="5"/>
    <s v="Asfaltfrees diesel"/>
    <s v="Graafmachine, cat. IV, HVO"/>
    <x v="0"/>
    <n v="1.5"/>
    <s v="m3"/>
    <s v="Ja"/>
    <n v="0.14099999999999999"/>
    <n v="0.21149999999999997"/>
    <s v="uur"/>
    <n v="999"/>
    <n v="2.269088184231733"/>
    <n v="0"/>
    <n v="1.7454524334033219"/>
    <n v="0"/>
    <n v="0"/>
    <n v="0.14099999999999999"/>
    <n v="0.21149999999999997"/>
    <s v="uur"/>
    <n v="0.35320618314972374"/>
    <n v="0.35320618314972374"/>
    <m/>
    <n v="0"/>
    <n v="0"/>
    <m/>
    <m/>
  </r>
  <r>
    <s v="Aanvangswerken"/>
    <x v="2"/>
    <x v="5"/>
    <s v="Asfaltfrees diesel"/>
    <s v="Graafmachine, cat. IV, HVO"/>
    <x v="0"/>
    <n v="1.6"/>
    <s v="m3"/>
    <s v="Ja"/>
    <n v="0.14099999999999999"/>
    <n v="0.22559999999999999"/>
    <s v="uur"/>
    <n v="999"/>
    <n v="2.4203607298471823"/>
    <n v="0"/>
    <n v="1.8618159289635436"/>
    <n v="0"/>
    <n v="0"/>
    <n v="0.14099999999999999"/>
    <n v="0.22559999999999999"/>
    <s v="uur"/>
    <n v="0.37675326202637205"/>
    <n v="0.37675326202637205"/>
    <m/>
    <n v="0"/>
    <n v="0"/>
    <m/>
    <m/>
  </r>
  <r>
    <s v="Aanvangswerken"/>
    <x v="2"/>
    <x v="6"/>
    <s v="Asfaltbetonzaag diesel"/>
    <s v="Graafmachine, cat. IV, HVO"/>
    <x v="0"/>
    <n v="5"/>
    <s v="m2"/>
    <s v="Ja"/>
    <n v="8.3333333333333329E-2"/>
    <n v="0.41666666666666663"/>
    <s v="uur"/>
    <n v="999"/>
    <n v="2.980152592896943"/>
    <n v="0"/>
    <n v="2.2924250504377746"/>
    <n v="0"/>
    <n v="0"/>
    <n v="8.3333333333333329E-2"/>
    <n v="0.41666666666666663"/>
    <s v="uur"/>
    <n v="0.69583566420355347"/>
    <n v="0.69583566420355347"/>
    <m/>
    <n v="0"/>
    <n v="0"/>
    <m/>
    <m/>
  </r>
  <r>
    <s v="Aanvangswerken"/>
    <x v="2"/>
    <x v="7"/>
    <s v="Asfaltbetonzaag diesel"/>
    <s v="Graafmachine, cat. IV, HVO"/>
    <x v="0"/>
    <n v="30"/>
    <s v="m2"/>
    <s v="Ja"/>
    <n v="0.33333333333333331"/>
    <n v="10"/>
    <s v="uur"/>
    <n v="999"/>
    <n v="71.523662229526636"/>
    <n v="0"/>
    <n v="55.018201210506597"/>
    <n v="0"/>
    <n v="0"/>
    <n v="0.33333333333333331"/>
    <n v="10"/>
    <s v="uur"/>
    <n v="16.700055940885285"/>
    <n v="16.700055940885285"/>
    <m/>
    <n v="0"/>
    <n v="0"/>
    <m/>
    <m/>
  </r>
  <r>
    <s v="Aanvangswerken"/>
    <x v="2"/>
    <x v="8"/>
    <s v="Sloop steenachtig materiaal groot materieel"/>
    <m/>
    <x v="0"/>
    <n v="406"/>
    <s v="m2"/>
    <s v="Ja"/>
    <n v="0.589559748427673"/>
    <n v="239.36125786163524"/>
    <s v="ton"/>
    <n v="999"/>
    <n v="892.84323755272237"/>
    <n v="0"/>
    <n v="0"/>
    <n v="0"/>
    <n v="686.80248412722983"/>
    <m/>
    <m/>
    <s v=""/>
    <n v="0"/>
    <n v="892.84323755272237"/>
    <m/>
    <n v="0"/>
    <n v="0"/>
    <m/>
    <m/>
  </r>
  <r>
    <s v="Aanvangswerken"/>
    <x v="2"/>
    <x v="8"/>
    <s v="Sloop steenachtig materiaal groot materieel"/>
    <m/>
    <x v="0"/>
    <n v="24"/>
    <s v="m2"/>
    <s v="Ja"/>
    <n v="0.589559748427673"/>
    <n v="14.149433962264151"/>
    <s v="ton"/>
    <n v="999"/>
    <n v="52.778910594249595"/>
    <n v="0"/>
    <n v="0"/>
    <n v="0"/>
    <n v="40.599161623284516"/>
    <m/>
    <m/>
    <s v=""/>
    <n v="0"/>
    <n v="52.778910594249595"/>
    <m/>
    <n v="0"/>
    <n v="0"/>
    <m/>
    <m/>
  </r>
  <r>
    <s v="Aanvangswerken"/>
    <x v="2"/>
    <x v="9"/>
    <s v="Sloop steenachtig materiaal klein materieel"/>
    <m/>
    <x v="0"/>
    <n v="6"/>
    <s v="m"/>
    <s v="Ja"/>
    <n v="0.11385534591194969"/>
    <n v="0.68313207547169819"/>
    <s v="ton"/>
    <n v="999"/>
    <n v="5.8315799464254958"/>
    <n v="0"/>
    <n v="0"/>
    <n v="0"/>
    <n v="4.4858306868847899"/>
    <m/>
    <m/>
    <s v=""/>
    <n v="0"/>
    <n v="5.8315799464254958"/>
    <m/>
    <n v="0"/>
    <n v="0"/>
    <m/>
    <m/>
  </r>
  <r>
    <m/>
    <x v="1"/>
    <x v="10"/>
    <m/>
    <m/>
    <x v="2"/>
    <n v="3"/>
    <s v="st"/>
    <s v="Nee"/>
    <n v="1"/>
    <n v="3"/>
    <s v=""/>
    <n v="0"/>
    <n v="0"/>
    <n v="0"/>
    <n v="0"/>
    <n v="0"/>
    <n v="0"/>
    <m/>
    <m/>
    <s v=""/>
    <n v="0"/>
    <n v="0"/>
    <m/>
    <n v="0"/>
    <n v="0"/>
    <m/>
    <m/>
  </r>
  <r>
    <m/>
    <x v="1"/>
    <x v="11"/>
    <m/>
    <m/>
    <x v="2"/>
    <n v="10"/>
    <s v="st"/>
    <s v="Nee"/>
    <n v="1"/>
    <n v="10"/>
    <s v=""/>
    <n v="0"/>
    <n v="0"/>
    <n v="0"/>
    <n v="0"/>
    <n v="0"/>
    <n v="0"/>
    <m/>
    <m/>
    <s v=""/>
    <n v="0"/>
    <n v="0"/>
    <m/>
    <n v="0"/>
    <n v="0"/>
    <m/>
    <m/>
  </r>
  <r>
    <m/>
    <x v="1"/>
    <x v="12"/>
    <m/>
    <m/>
    <x v="2"/>
    <n v="6"/>
    <s v="st"/>
    <s v="Nee"/>
    <n v="1"/>
    <n v="6"/>
    <s v=""/>
    <n v="0"/>
    <n v="0"/>
    <n v="0"/>
    <n v="0"/>
    <n v="0"/>
    <n v="0"/>
    <m/>
    <m/>
    <s v=""/>
    <n v="0"/>
    <n v="0"/>
    <m/>
    <n v="0"/>
    <n v="0"/>
    <m/>
    <m/>
  </r>
  <r>
    <m/>
    <x v="1"/>
    <x v="13"/>
    <s v="Koudfrees diesel wegmarkering"/>
    <m/>
    <x v="0"/>
    <n v="6.5"/>
    <s v="m2"/>
    <s v="Ja"/>
    <n v="0.1"/>
    <n v="0.65"/>
    <s v="uur"/>
    <n v="999"/>
    <n v="3.0993586966128222"/>
    <n v="0"/>
    <n v="2.3841220524552864"/>
    <n v="0"/>
    <n v="0"/>
    <m/>
    <m/>
    <s v=""/>
    <n v="0"/>
    <n v="3.0993586966128222"/>
    <m/>
    <n v="0"/>
    <n v="0"/>
    <m/>
    <m/>
  </r>
  <r>
    <m/>
    <x v="1"/>
    <x v="14"/>
    <s v="Koudfrees diesel wegmarkering"/>
    <m/>
    <x v="0"/>
    <n v="55"/>
    <s v="m2"/>
    <s v="Ja"/>
    <n v="2"/>
    <n v="110"/>
    <s v="uur"/>
    <n v="999"/>
    <n v="524.50685634986212"/>
    <n v="0"/>
    <n v="403.46680887704844"/>
    <n v="0"/>
    <n v="0"/>
    <m/>
    <m/>
    <s v=""/>
    <n v="0"/>
    <n v="524.50685634986212"/>
    <m/>
    <n v="0"/>
    <n v="0"/>
    <m/>
    <m/>
  </r>
  <r>
    <m/>
    <x v="1"/>
    <x v="15"/>
    <m/>
    <m/>
    <x v="2"/>
    <n v="11"/>
    <s v="m"/>
    <s v="Nee"/>
    <n v="1"/>
    <n v="11"/>
    <s v=""/>
    <n v="0"/>
    <n v="0"/>
    <n v="0"/>
    <n v="0"/>
    <n v="0"/>
    <n v="0"/>
    <m/>
    <m/>
    <s v=""/>
    <n v="0"/>
    <n v="0"/>
    <m/>
    <n v="0"/>
    <n v="0"/>
    <m/>
    <m/>
  </r>
  <r>
    <m/>
    <x v="1"/>
    <x v="16"/>
    <m/>
    <m/>
    <x v="2"/>
    <n v="90"/>
    <s v="st"/>
    <s v="Nee"/>
    <m/>
    <n v="0"/>
    <s v=""/>
    <n v="0"/>
    <n v="0"/>
    <n v="0"/>
    <n v="0"/>
    <n v="0"/>
    <n v="0"/>
    <m/>
    <m/>
    <s v=""/>
    <n v="0"/>
    <n v="0"/>
    <m/>
    <n v="0"/>
    <n v="0"/>
    <m/>
    <m/>
  </r>
  <r>
    <s v="Grondwerken "/>
    <x v="3"/>
    <x v="17"/>
    <s v="Maaien met tractor, diesel"/>
    <s v="Maaien met tractor, elektrisch"/>
    <x v="0"/>
    <n v="575"/>
    <s v="are"/>
    <s v="Ja"/>
    <n v="0.3"/>
    <n v="172.5"/>
    <s v="uur"/>
    <n v="999"/>
    <n v="822.52211563955655"/>
    <n v="0"/>
    <n v="632.70931392082593"/>
    <n v="0"/>
    <n v="0"/>
    <n v="0.3"/>
    <n v="172.5"/>
    <s v="uur"/>
    <n v="16.21179254426653"/>
    <n v="16.21179254426653"/>
    <m/>
    <n v="0"/>
    <n v="0"/>
    <m/>
    <m/>
  </r>
  <r>
    <s v="Grondwerken "/>
    <x v="3"/>
    <x v="17"/>
    <s v="Maaien met tractor, diesel"/>
    <s v="Maaien met tractor, elektrisch"/>
    <x v="0"/>
    <n v="66"/>
    <s v="are"/>
    <s v="Ja"/>
    <n v="0.3"/>
    <n v="19.8"/>
    <s v="uur"/>
    <n v="999"/>
    <n v="94.411234142975189"/>
    <n v="0"/>
    <n v="72.624025597868723"/>
    <n v="0"/>
    <n v="0"/>
    <n v="0.3"/>
    <n v="19.8"/>
    <s v="uur"/>
    <n v="1.8608318398636365"/>
    <n v="1.8608318398636365"/>
    <m/>
    <n v="0"/>
    <n v="0"/>
    <m/>
    <m/>
  </r>
  <r>
    <s v="Grondwerken "/>
    <x v="4"/>
    <x v="18"/>
    <s v="Graafmachine, cat. IV, diesel"/>
    <s v="Graafmachine, cat. IV, HVO"/>
    <x v="1"/>
    <n v="130"/>
    <s v="m3"/>
    <s v="Ja"/>
    <n v="1.67E-2"/>
    <n v="2.1709999999999998"/>
    <s v="uur"/>
    <n v="999"/>
    <n v="9.7206157294548685"/>
    <n v="0"/>
    <n v="9.7206157294548685"/>
    <n v="0"/>
    <n v="0"/>
    <n v="1.67E-2"/>
    <n v="2.1709999999999998"/>
    <s v="uur"/>
    <n v="3.6255821447661951"/>
    <n v="3.6255821447661951"/>
    <m/>
    <n v="0"/>
    <n v="0"/>
    <m/>
    <m/>
  </r>
  <r>
    <s v="Grondwerken "/>
    <x v="4"/>
    <x v="18"/>
    <s v="Graafmachine, cat. IV, diesel"/>
    <s v="Graafmachine, cat. IV, HVO"/>
    <x v="1"/>
    <n v="660"/>
    <s v="m3"/>
    <s v="Ja"/>
    <n v="1.67E-2"/>
    <n v="11.022"/>
    <s v="uur"/>
    <n v="999"/>
    <n v="49.35081831877087"/>
    <n v="0"/>
    <n v="49.35081831877087"/>
    <n v="0"/>
    <n v="0"/>
    <n v="1.67E-2"/>
    <n v="11.022"/>
    <s v="uur"/>
    <n v="18.406801658043761"/>
    <n v="18.406801658043761"/>
    <m/>
    <n v="0"/>
    <n v="0"/>
    <m/>
    <m/>
  </r>
  <r>
    <s v="Grondwerken "/>
    <x v="4"/>
    <x v="18"/>
    <s v="Graafmachine, cat. IV, diesel"/>
    <s v="Graafmachine, cat. IV, HVO"/>
    <x v="1"/>
    <n v="1380"/>
    <s v="m3"/>
    <s v="Ja"/>
    <n v="1.67E-2"/>
    <n v="23.045999999999999"/>
    <s v="uur"/>
    <n v="999"/>
    <n v="103.1880746665209"/>
    <n v="0"/>
    <n v="103.1880746665209"/>
    <n v="0"/>
    <n v="0"/>
    <n v="1.67E-2"/>
    <n v="23.045999999999999"/>
    <s v="uur"/>
    <n v="38.486948921364231"/>
    <n v="38.486948921364231"/>
    <m/>
    <n v="0"/>
    <n v="0"/>
    <m/>
    <m/>
  </r>
  <r>
    <s v="Grondwerken "/>
    <x v="4"/>
    <x v="18"/>
    <s v="Graafmachine, cat. IV, diesel"/>
    <s v="Graafmachine, cat. IV, HVO"/>
    <x v="1"/>
    <n v="1680"/>
    <s v="m3"/>
    <s v="Ja"/>
    <n v="1.67E-2"/>
    <n v="28.056000000000001"/>
    <s v="uur"/>
    <n v="999"/>
    <n v="125.62026481141677"/>
    <n v="0"/>
    <n v="125.62026481141677"/>
    <n v="0"/>
    <n v="0"/>
    <n v="1.67E-2"/>
    <n v="28.056000000000001"/>
    <s v="uur"/>
    <n v="46.853676947747758"/>
    <n v="46.853676947747758"/>
    <m/>
    <n v="0"/>
    <n v="0"/>
    <m/>
    <m/>
  </r>
  <r>
    <s v="Grondwerken "/>
    <x v="4"/>
    <x v="18"/>
    <s v="Graafmachine, cat. IV, diesel"/>
    <s v="Graafmachine, cat. IV, HVO"/>
    <x v="1"/>
    <n v="85"/>
    <s v="m3"/>
    <s v="Ja"/>
    <n v="1.67E-2"/>
    <n v="1.4195"/>
    <s v="uur"/>
    <n v="999"/>
    <n v="6.3557872077204909"/>
    <n v="0"/>
    <n v="6.3557872077204909"/>
    <n v="0"/>
    <n v="0"/>
    <n v="1.67E-2"/>
    <n v="1.4195"/>
    <s v="uur"/>
    <n v="2.3705729408086662"/>
    <n v="2.3705729408086662"/>
    <m/>
    <n v="0"/>
    <n v="0"/>
    <m/>
    <m/>
  </r>
  <r>
    <s v="Grondwerken "/>
    <x v="4"/>
    <x v="18"/>
    <s v="Graafmachine, cat. IV, diesel"/>
    <s v="Graafmachine, cat. IV, HVO"/>
    <x v="1"/>
    <n v="1200"/>
    <s v="m3"/>
    <s v="Ja"/>
    <n v="1.67E-2"/>
    <n v="20.04"/>
    <s v="uur"/>
    <n v="999"/>
    <n v="89.728760579583394"/>
    <n v="0"/>
    <n v="89.728760579583394"/>
    <n v="0"/>
    <n v="0"/>
    <n v="1.67E-2"/>
    <n v="20.04"/>
    <s v="uur"/>
    <n v="33.466912105534114"/>
    <n v="33.466912105534114"/>
    <m/>
    <n v="0"/>
    <n v="0"/>
    <m/>
    <m/>
  </r>
  <r>
    <s v="Grondwerken "/>
    <x v="4"/>
    <x v="18"/>
    <s v="Graafmachine, cat. IV, diesel"/>
    <s v="Graafmachine, cat. IV, HVO"/>
    <x v="1"/>
    <n v="45"/>
    <s v="m3"/>
    <s v="Ja"/>
    <n v="1.67E-2"/>
    <n v="0.75149999999999995"/>
    <s v="uur"/>
    <n v="999"/>
    <n v="3.3648285217343772"/>
    <n v="0"/>
    <n v="3.3648285217343772"/>
    <n v="0"/>
    <n v="0"/>
    <n v="1.67E-2"/>
    <n v="0.75149999999999995"/>
    <s v="uur"/>
    <n v="1.2550092039575291"/>
    <n v="1.2550092039575291"/>
    <m/>
    <n v="0"/>
    <n v="0"/>
    <m/>
    <m/>
  </r>
  <r>
    <s v="Grondwerken "/>
    <x v="4"/>
    <x v="18"/>
    <s v="Graafmachine, cat. IV, diesel"/>
    <s v="Graafmachine, cat. IV, HVO"/>
    <x v="1"/>
    <n v="35"/>
    <s v="m3"/>
    <s v="Ja"/>
    <n v="1.67E-2"/>
    <n v="0.58450000000000002"/>
    <s v="uur"/>
    <n v="999"/>
    <n v="2.6170888502378493"/>
    <n v="0"/>
    <n v="2.6170888502378493"/>
    <n v="0"/>
    <n v="0"/>
    <n v="1.67E-2"/>
    <n v="0.58450000000000002"/>
    <s v="uur"/>
    <n v="0.97611826974474503"/>
    <n v="0.97611826974474503"/>
    <m/>
    <n v="0"/>
    <n v="0"/>
    <m/>
    <m/>
  </r>
  <r>
    <s v="Grondwerken "/>
    <x v="4"/>
    <x v="18"/>
    <s v="Graafmachine, cat. IV, diesel"/>
    <s v="Graafmachine, cat. IV, HVO"/>
    <x v="1"/>
    <n v="340"/>
    <s v="m3"/>
    <s v="Ja"/>
    <n v="1.67E-2"/>
    <n v="5.6779999999999999"/>
    <s v="uur"/>
    <n v="999"/>
    <n v="25.423148830881964"/>
    <n v="0"/>
    <n v="25.423148830881964"/>
    <n v="0"/>
    <n v="0"/>
    <n v="1.67E-2"/>
    <n v="5.6779999999999999"/>
    <s v="uur"/>
    <n v="9.4822917632346648"/>
    <n v="9.4822917632346648"/>
    <m/>
    <n v="0"/>
    <n v="0"/>
    <m/>
    <m/>
  </r>
  <r>
    <s v="Grondwerken "/>
    <x v="4"/>
    <x v="18"/>
    <s v="Graafmachine, cat. IV, diesel"/>
    <s v="Graafmachine, cat. IV, HVO"/>
    <x v="1"/>
    <n v="210"/>
    <s v="m3"/>
    <s v="Ja"/>
    <n v="1.67E-2"/>
    <n v="3.5070000000000001"/>
    <s v="uur"/>
    <n v="999"/>
    <n v="15.702533101427097"/>
    <n v="0"/>
    <n v="15.702533101427097"/>
    <n v="0"/>
    <n v="0"/>
    <n v="1.67E-2"/>
    <n v="3.5070000000000001"/>
    <s v="uur"/>
    <n v="5.8567096184684697"/>
    <n v="5.8567096184684697"/>
    <m/>
    <n v="0"/>
    <n v="0"/>
    <m/>
    <m/>
  </r>
  <r>
    <s v="Grondwerken "/>
    <x v="4"/>
    <x v="18"/>
    <s v="Graafmachine, cat. IV, diesel"/>
    <s v="Graafmachine, cat. IV, HVO"/>
    <x v="1"/>
    <n v="280"/>
    <s v="m3"/>
    <s v="Ja"/>
    <n v="1.67E-2"/>
    <n v="4.6760000000000002"/>
    <s v="uur"/>
    <n v="999"/>
    <n v="20.936710801902795"/>
    <n v="0"/>
    <n v="20.936710801902795"/>
    <n v="0"/>
    <n v="0"/>
    <n v="1.67E-2"/>
    <n v="4.6760000000000002"/>
    <s v="uur"/>
    <n v="7.8089461579579602"/>
    <n v="7.8089461579579602"/>
    <m/>
    <n v="0"/>
    <n v="0"/>
    <m/>
    <m/>
  </r>
  <r>
    <s v="Grondwerken "/>
    <x v="4"/>
    <x v="18"/>
    <s v="Graafmachine, cat. IV, diesel"/>
    <s v="Graafmachine, cat. IV, HVO"/>
    <x v="1"/>
    <n v="160"/>
    <s v="m3"/>
    <s v="Ja"/>
    <n v="1.67E-2"/>
    <n v="2.6719999999999997"/>
    <s v="uur"/>
    <n v="999"/>
    <n v="11.963834743944453"/>
    <n v="0"/>
    <n v="11.963834743944453"/>
    <n v="0"/>
    <n v="0"/>
    <n v="1.67E-2"/>
    <n v="2.6719999999999997"/>
    <s v="uur"/>
    <n v="4.4622549474045474"/>
    <n v="4.4622549474045474"/>
    <m/>
    <n v="0"/>
    <n v="0"/>
    <m/>
    <m/>
  </r>
  <r>
    <s v="Grondwerken "/>
    <x v="4"/>
    <x v="18"/>
    <s v="Graafmachine, cat. IV, diesel"/>
    <s v="Graafmachine, cat. IV, HVO"/>
    <x v="1"/>
    <n v="290"/>
    <s v="m3"/>
    <s v="Ja"/>
    <n v="1.67E-2"/>
    <n v="4.843"/>
    <s v="uur"/>
    <n v="999"/>
    <n v="21.684450473399323"/>
    <n v="0"/>
    <n v="21.684450473399323"/>
    <n v="0"/>
    <n v="0"/>
    <n v="1.67E-2"/>
    <n v="4.843"/>
    <s v="uur"/>
    <n v="8.0878370921707443"/>
    <n v="8.0878370921707443"/>
    <m/>
    <n v="0"/>
    <n v="0"/>
    <m/>
    <m/>
  </r>
  <r>
    <s v="Grondwerken "/>
    <x v="4"/>
    <x v="18"/>
    <s v="Graafmachine, cat. IV, diesel"/>
    <s v="Graafmachine, cat. IV, HVO"/>
    <x v="1"/>
    <n v="200"/>
    <s v="m3"/>
    <s v="Ja"/>
    <n v="1.67E-2"/>
    <n v="3.34"/>
    <s v="uur"/>
    <n v="999"/>
    <n v="14.954793429930566"/>
    <n v="0"/>
    <n v="14.954793429930566"/>
    <n v="0"/>
    <n v="0"/>
    <n v="1.67E-2"/>
    <n v="3.34"/>
    <s v="uur"/>
    <n v="5.5778186842556847"/>
    <n v="5.5778186842556847"/>
    <m/>
    <n v="0"/>
    <n v="0"/>
    <m/>
    <m/>
  </r>
  <r>
    <s v="Grondwerken "/>
    <x v="4"/>
    <x v="18"/>
    <s v="Graafmachine, cat. IV, diesel"/>
    <s v="Graafmachine, cat. IV, HVO"/>
    <x v="1"/>
    <n v="1440"/>
    <s v="m3"/>
    <s v="Ja"/>
    <n v="1.67E-2"/>
    <n v="24.047999999999998"/>
    <s v="uur"/>
    <n v="999"/>
    <n v="107.67451269550007"/>
    <n v="0"/>
    <n v="107.67451269550007"/>
    <n v="0"/>
    <n v="0"/>
    <n v="1.67E-2"/>
    <n v="24.047999999999998"/>
    <s v="uur"/>
    <n v="40.160294526640932"/>
    <n v="40.160294526640932"/>
    <m/>
    <n v="0"/>
    <n v="0"/>
    <m/>
    <m/>
  </r>
  <r>
    <s v="Grondwerken "/>
    <x v="4"/>
    <x v="18"/>
    <s v="Graafmachine, cat. IV, diesel"/>
    <s v="Graafmachine, cat. IV, HVO"/>
    <x v="1"/>
    <n v="480"/>
    <s v="m3"/>
    <s v="Ja"/>
    <n v="1.67E-2"/>
    <n v="8.016"/>
    <s v="uur"/>
    <n v="999"/>
    <n v="35.891504231833359"/>
    <n v="0"/>
    <n v="35.891504231833359"/>
    <n v="0"/>
    <n v="0"/>
    <n v="1.67E-2"/>
    <n v="8.016"/>
    <s v="uur"/>
    <n v="13.386764842213644"/>
    <n v="13.386764842213644"/>
    <m/>
    <n v="0"/>
    <n v="0"/>
    <m/>
    <m/>
  </r>
  <r>
    <s v="Grondwerken "/>
    <x v="4"/>
    <x v="18"/>
    <s v="Graafmachine, cat. IV, diesel"/>
    <s v="Graafmachine, cat. IV, HVO"/>
    <x v="1"/>
    <n v="1450"/>
    <s v="m3"/>
    <s v="Ja"/>
    <n v="1.67E-2"/>
    <n v="24.215"/>
    <s v="uur"/>
    <n v="999"/>
    <n v="108.42225236699662"/>
    <n v="0"/>
    <n v="108.42225236699662"/>
    <n v="0"/>
    <n v="0"/>
    <n v="1.67E-2"/>
    <n v="24.215"/>
    <s v="uur"/>
    <n v="40.439185460853722"/>
    <n v="40.439185460853722"/>
    <m/>
    <n v="0"/>
    <n v="0"/>
    <m/>
    <m/>
  </r>
  <r>
    <s v="Grondwerken "/>
    <x v="4"/>
    <x v="18"/>
    <s v="Graafmachine, cat. IV, diesel"/>
    <s v="Graafmachine, cat. IV, HVO"/>
    <x v="1"/>
    <n v="4550"/>
    <s v="m3"/>
    <s v="Ja"/>
    <n v="1.67E-2"/>
    <n v="75.984999999999999"/>
    <s v="uur"/>
    <n v="999"/>
    <n v="340.22155053092041"/>
    <n v="0"/>
    <n v="340.22155053092041"/>
    <n v="0"/>
    <n v="0"/>
    <n v="1.67E-2"/>
    <n v="75.984999999999999"/>
    <s v="uur"/>
    <n v="126.89537506681684"/>
    <n v="126.89537506681684"/>
    <m/>
    <n v="0"/>
    <n v="0"/>
    <m/>
    <m/>
  </r>
  <r>
    <s v="Grondwerken "/>
    <x v="4"/>
    <x v="18"/>
    <s v="Graafmachine, cat. IV, diesel"/>
    <s v="Graafmachine, cat. IV, HVO"/>
    <x v="1"/>
    <n v="1070"/>
    <s v="m3"/>
    <s v="Ja"/>
    <n v="1.67E-2"/>
    <n v="17.869"/>
    <s v="uur"/>
    <n v="999"/>
    <n v="80.008144850128531"/>
    <n v="0"/>
    <n v="80.008144850128531"/>
    <n v="0"/>
    <n v="0"/>
    <n v="1.67E-2"/>
    <n v="17.869"/>
    <s v="uur"/>
    <n v="29.841329960767915"/>
    <n v="29.841329960767915"/>
    <m/>
    <n v="0"/>
    <n v="0"/>
    <m/>
    <m/>
  </r>
  <r>
    <s v="Grondwerken "/>
    <x v="4"/>
    <x v="18"/>
    <s v="Graafmachine, cat. IV, diesel"/>
    <s v="Graafmachine, cat. IV, HVO"/>
    <x v="1"/>
    <n v="560"/>
    <s v="m3"/>
    <s v="Ja"/>
    <n v="1.67E-2"/>
    <n v="9.3520000000000003"/>
    <s v="uur"/>
    <n v="999"/>
    <n v="41.873421603805589"/>
    <n v="0"/>
    <n v="41.873421603805589"/>
    <n v="0"/>
    <n v="0"/>
    <n v="1.67E-2"/>
    <n v="9.3520000000000003"/>
    <s v="uur"/>
    <n v="15.61789231591592"/>
    <n v="15.61789231591592"/>
    <m/>
    <n v="0"/>
    <n v="0"/>
    <m/>
    <m/>
  </r>
  <r>
    <s v="Grondwerken "/>
    <x v="5"/>
    <x v="19"/>
    <s v="Transport met vrachtwagen, EURO 5, diesel"/>
    <s v="Transport met vrachtwagen, EURO 5, 100% HVO"/>
    <x v="0"/>
    <n v="2390"/>
    <s v="m3"/>
    <s v="Ja"/>
    <n v="0.8125"/>
    <n v="1941.875"/>
    <s v="t*km"/>
    <n v="999"/>
    <n v="21.853980243912787"/>
    <n v="16.810753879625373"/>
    <n v="0"/>
    <n v="0"/>
    <n v="0"/>
    <n v="0.8125"/>
    <n v="1941.875"/>
    <s v="t*km"/>
    <n v="11.555998406622347"/>
    <n v="11.555998406622347"/>
    <m/>
    <n v="0"/>
    <n v="0"/>
    <m/>
    <m/>
  </r>
  <r>
    <s v="Grondwerken "/>
    <x v="5"/>
    <x v="19"/>
    <s v="Transport met vrachtwagen, EURO 5, diesel"/>
    <s v="Transport met vrachtwagen, EURO 5, 100% HVO"/>
    <x v="0"/>
    <n v="5290"/>
    <s v="m3"/>
    <s v="Ja"/>
    <n v="0.8125"/>
    <n v="4298.125"/>
    <s v="t*km"/>
    <n v="999"/>
    <n v="48.371362129832065"/>
    <n v="37.208739758668713"/>
    <n v="0"/>
    <n v="0"/>
    <n v="0"/>
    <n v="0.8125"/>
    <n v="4298.125"/>
    <s v="t*km"/>
    <n v="25.577921159427706"/>
    <n v="25.577921159427706"/>
    <m/>
    <n v="0"/>
    <n v="0"/>
    <m/>
    <m/>
  </r>
  <r>
    <s v="Grondwerken "/>
    <x v="5"/>
    <x v="19"/>
    <s v="Transport met vrachtwagen, EURO 5, diesel"/>
    <s v="Transport met vrachtwagen, EURO 5, 100% HVO"/>
    <x v="0"/>
    <n v="3555"/>
    <s v="m3"/>
    <s v="Ja"/>
    <n v="0.8125"/>
    <n v="2888.4375"/>
    <s v="t*km"/>
    <n v="999"/>
    <n v="32.506652622221736"/>
    <n v="25.005117172413474"/>
    <n v="0"/>
    <n v="0"/>
    <n v="0"/>
    <n v="0.8125"/>
    <n v="2888.4375"/>
    <s v="t*km"/>
    <n v="17.188943236628639"/>
    <n v="17.188943236628639"/>
    <m/>
    <n v="0"/>
    <n v="0"/>
    <m/>
    <m/>
  </r>
  <r>
    <s v="Grondwerken "/>
    <x v="5"/>
    <x v="19"/>
    <s v="Transport met vrachtwagen, EURO 5, diesel"/>
    <s v="Transport met vrachtwagen, EURO 5, 100% HVO"/>
    <x v="0"/>
    <n v="560"/>
    <s v="m3"/>
    <s v="Ja"/>
    <n v="0.8125"/>
    <n v="455"/>
    <s v="t*km"/>
    <n v="999"/>
    <n v="5.1205978814188953"/>
    <n v="3.9389214111256106"/>
    <n v="0"/>
    <n v="0"/>
    <n v="0"/>
    <n v="0.8125"/>
    <n v="455"/>
    <s v="t*km"/>
    <n v="2.7076816350244828"/>
    <n v="2.7076816350244828"/>
    <m/>
    <n v="0"/>
    <n v="0"/>
    <m/>
    <m/>
  </r>
  <r>
    <s v="Grondwerken "/>
    <x v="6"/>
    <x v="20"/>
    <s v="Graafmachine, cat. IV, diesel"/>
    <s v="Graafmachine, cat. IV, HVO"/>
    <x v="1"/>
    <n v="210"/>
    <s v="m3"/>
    <s v="Ja"/>
    <n v="2.5000000000000001E-2"/>
    <n v="5.25"/>
    <s v="uur"/>
    <n v="999"/>
    <n v="23.506786079980682"/>
    <n v="0"/>
    <n v="23.506786079980682"/>
    <n v="0"/>
    <n v="0"/>
    <n v="2.5000000000000001E-2"/>
    <n v="5.25"/>
    <s v="uur"/>
    <n v="8.7675293689647749"/>
    <n v="8.7675293689647749"/>
    <m/>
    <n v="0"/>
    <n v="0"/>
    <m/>
    <m/>
  </r>
  <r>
    <s v="Grondwerken "/>
    <x v="6"/>
    <x v="20"/>
    <s v="Graafmachine, cat. IV, diesel"/>
    <s v="Graafmachine, cat. IV, HVO"/>
    <x v="1"/>
    <n v="45"/>
    <s v="m3"/>
    <s v="Ja"/>
    <n v="2.5000000000000001E-2"/>
    <n v="1.125"/>
    <s v="uur"/>
    <n v="999"/>
    <n v="5.0371684457101464"/>
    <n v="0"/>
    <n v="5.0371684457101464"/>
    <n v="0"/>
    <n v="0"/>
    <n v="2.5000000000000001E-2"/>
    <n v="1.125"/>
    <s v="uur"/>
    <n v="1.8787562933495947"/>
    <n v="1.8787562933495947"/>
    <m/>
    <n v="0"/>
    <n v="0"/>
    <m/>
    <m/>
  </r>
  <r>
    <s v="Grondwerken "/>
    <x v="6"/>
    <x v="20"/>
    <s v="Graafmachine, cat. IV, diesel"/>
    <s v="Graafmachine, cat. IV, HVO"/>
    <x v="1"/>
    <n v="2265"/>
    <s v="m3"/>
    <s v="Ja"/>
    <n v="2.5000000000000001E-2"/>
    <n v="56.625"/>
    <s v="uur"/>
    <n v="999"/>
    <n v="253.53747843407734"/>
    <n v="0"/>
    <n v="253.53747843407734"/>
    <n v="0"/>
    <n v="0"/>
    <n v="2.5000000000000001E-2"/>
    <n v="56.625"/>
    <s v="uur"/>
    <n v="94.564066765262936"/>
    <n v="94.564066765262936"/>
    <m/>
    <n v="0"/>
    <n v="0"/>
    <m/>
    <m/>
  </r>
  <r>
    <s v="Grondwerken "/>
    <x v="6"/>
    <x v="20"/>
    <s v="Graafmachine, cat. IV, diesel"/>
    <s v="Graafmachine, cat. IV, HVO"/>
    <x v="1"/>
    <n v="520"/>
    <s v="m3"/>
    <s v="Ja"/>
    <n v="2.5000000000000001E-2"/>
    <n v="13"/>
    <s v="uur"/>
    <n v="999"/>
    <n v="58.207279817095021"/>
    <n v="0"/>
    <n v="58.207279817095021"/>
    <n v="0"/>
    <n v="0"/>
    <n v="2.5000000000000001E-2"/>
    <n v="13"/>
    <s v="uur"/>
    <n v="21.710072723150873"/>
    <n v="21.710072723150873"/>
    <m/>
    <n v="0"/>
    <n v="0"/>
    <m/>
    <m/>
  </r>
  <r>
    <s v="Grondwerken "/>
    <x v="6"/>
    <x v="20"/>
    <s v="Graafmachine, cat. IV, diesel"/>
    <s v="Graafmachine, cat. IV, HVO"/>
    <x v="1"/>
    <n v="560"/>
    <s v="m3"/>
    <s v="Ja"/>
    <n v="2.5000000000000001E-2"/>
    <n v="14"/>
    <s v="uur"/>
    <n v="999"/>
    <n v="62.684762879948487"/>
    <n v="0"/>
    <n v="62.684762879948487"/>
    <n v="0"/>
    <n v="0"/>
    <n v="2.5000000000000001E-2"/>
    <n v="14"/>
    <s v="uur"/>
    <n v="23.380078317239398"/>
    <n v="23.380078317239398"/>
    <m/>
    <n v="0"/>
    <n v="0"/>
    <m/>
    <m/>
  </r>
  <r>
    <s v="Grondwerken "/>
    <x v="6"/>
    <x v="20"/>
    <s v="Graafmachine, cat. IV, diesel"/>
    <s v="Graafmachine, cat. IV, HVO"/>
    <x v="1"/>
    <n v="2560"/>
    <s v="m3"/>
    <s v="Ja"/>
    <n v="2.5000000000000001E-2"/>
    <n v="64"/>
    <s v="uur"/>
    <n v="999"/>
    <n v="286.55891602262164"/>
    <n v="0"/>
    <n v="286.55891602262164"/>
    <n v="0"/>
    <n v="0"/>
    <n v="2.5000000000000001E-2"/>
    <n v="64"/>
    <s v="uur"/>
    <n v="106.88035802166583"/>
    <n v="106.88035802166583"/>
    <m/>
    <n v="0"/>
    <n v="0"/>
    <m/>
    <m/>
  </r>
  <r>
    <s v="Grondwerken "/>
    <x v="6"/>
    <x v="20"/>
    <s v="Graafmachine, cat. IV, diesel"/>
    <s v="Graafmachine, cat. IV, HVO"/>
    <x v="1"/>
    <n v="520"/>
    <s v="m3"/>
    <s v="Ja"/>
    <n v="2.5000000000000001E-2"/>
    <n v="13"/>
    <s v="uur"/>
    <n v="999"/>
    <n v="58.207279817095021"/>
    <n v="0"/>
    <n v="58.207279817095021"/>
    <n v="0"/>
    <n v="0"/>
    <n v="2.5000000000000001E-2"/>
    <n v="13"/>
    <s v="uur"/>
    <n v="21.710072723150873"/>
    <n v="21.710072723150873"/>
    <m/>
    <n v="0"/>
    <n v="0"/>
    <m/>
    <m/>
  </r>
  <r>
    <s v="Grondwerken "/>
    <x v="6"/>
    <x v="20"/>
    <s v="Graafmachine, cat. IV, diesel"/>
    <s v="Graafmachine, cat. IV, HVO"/>
    <x v="1"/>
    <n v="280"/>
    <s v="m3"/>
    <s v="Ja"/>
    <n v="2.5000000000000001E-2"/>
    <n v="7"/>
    <s v="uur"/>
    <n v="999"/>
    <n v="31.342381439974243"/>
    <n v="0"/>
    <n v="31.342381439974243"/>
    <n v="0"/>
    <n v="0"/>
    <n v="2.5000000000000001E-2"/>
    <n v="7"/>
    <s v="uur"/>
    <n v="11.690039158619699"/>
    <n v="11.690039158619699"/>
    <m/>
    <n v="0"/>
    <n v="0"/>
    <m/>
    <m/>
  </r>
  <r>
    <s v="Grondwerken "/>
    <x v="6"/>
    <x v="20"/>
    <s v="Graafmachine, cat. IV, diesel"/>
    <s v="Graafmachine, cat. IV, HVO"/>
    <x v="1"/>
    <n v="250"/>
    <s v="m3"/>
    <s v="Ja"/>
    <n v="2.5000000000000001E-2"/>
    <n v="6.25"/>
    <s v="uur"/>
    <n v="999"/>
    <n v="27.984269142834144"/>
    <n v="0"/>
    <n v="27.984269142834144"/>
    <n v="0"/>
    <n v="0"/>
    <n v="2.5000000000000001E-2"/>
    <n v="6.25"/>
    <s v="uur"/>
    <n v="10.437534963053304"/>
    <n v="10.437534963053304"/>
    <m/>
    <n v="0"/>
    <n v="0"/>
    <m/>
    <m/>
  </r>
  <r>
    <s v="Grondwerken "/>
    <x v="6"/>
    <x v="21"/>
    <s v="Graafmachine, cat. IV, diesel"/>
    <s v="Graafmachine, cat. IV, HVO"/>
    <x v="1"/>
    <n v="8500"/>
    <s v="m3"/>
    <s v="Ja"/>
    <n v="2.5000000000000001E-2"/>
    <n v="212.5"/>
    <s v="uur"/>
    <n v="999"/>
    <n v="951.46515085636088"/>
    <n v="0"/>
    <n v="951.46515085636088"/>
    <n v="0"/>
    <n v="0"/>
    <n v="2.5000000000000001E-2"/>
    <n v="212.5"/>
    <s v="uur"/>
    <n v="354.87618874381229"/>
    <n v="354.87618874381229"/>
    <m/>
    <n v="0"/>
    <n v="0"/>
    <m/>
    <m/>
  </r>
  <r>
    <s v="Grondwerken "/>
    <x v="7"/>
    <x v="22"/>
    <s v="Maaien met tractor, diesel"/>
    <s v="Maaien met tractor, elektrisch"/>
    <x v="0"/>
    <n v="220"/>
    <s v="are"/>
    <s v="Ja"/>
    <n v="6.0000000000000001E-3"/>
    <n v="1.32"/>
    <s v="uur"/>
    <n v="999"/>
    <n v="6.2940822761983464"/>
    <n v="0"/>
    <n v="4.8416017065245818"/>
    <n v="0"/>
    <n v="0"/>
    <n v="6.0000000000000001E-3"/>
    <n v="1.32"/>
    <s v="uur"/>
    <n v="0.12405545599090911"/>
    <n v="0.12405545599090911"/>
    <m/>
    <n v="0"/>
    <n v="0"/>
    <m/>
    <m/>
  </r>
  <r>
    <s v="Grondwerken "/>
    <x v="7"/>
    <x v="22"/>
    <s v="Maaien met tractor, diesel"/>
    <s v="Maaien met tractor, elektrisch"/>
    <x v="0"/>
    <n v="30"/>
    <s v="are"/>
    <s v="Ja"/>
    <n v="6.0000000000000001E-3"/>
    <n v="0.18"/>
    <s v="uur"/>
    <n v="999"/>
    <n v="0.85828394675431985"/>
    <n v="0"/>
    <n v="0.66021841452607921"/>
    <n v="0"/>
    <n v="0"/>
    <n v="6.0000000000000001E-3"/>
    <n v="0.18"/>
    <s v="uur"/>
    <n v="1.6916653089669421E-2"/>
    <n v="1.6916653089669421E-2"/>
    <m/>
    <n v="0"/>
    <n v="0"/>
    <m/>
    <m/>
  </r>
  <r>
    <s v="Grondwerken "/>
    <x v="7"/>
    <x v="23"/>
    <s v="Graafmachine, cat. IV, diesel"/>
    <s v="Graafmachine, cat. IV, HVO"/>
    <x v="1"/>
    <n v="20"/>
    <s v="are"/>
    <s v="Ja"/>
    <n v="1.67"/>
    <n v="33.4"/>
    <s v="uur"/>
    <n v="999"/>
    <n v="149.54793429930567"/>
    <n v="0"/>
    <n v="149.54793429930567"/>
    <n v="0"/>
    <n v="0"/>
    <n v="1.67"/>
    <n v="33.4"/>
    <s v="uur"/>
    <n v="55.778186842556849"/>
    <n v="55.778186842556849"/>
    <m/>
    <n v="0"/>
    <n v="0"/>
    <m/>
    <m/>
  </r>
  <r>
    <s v="Grondwerken "/>
    <x v="8"/>
    <x v="24"/>
    <s v="Elementverhardingen, Zandbed"/>
    <m/>
    <x v="0"/>
    <n v="3805"/>
    <s v="m3"/>
    <s v="Ja"/>
    <n v="4"/>
    <n v="15220"/>
    <s v="m2"/>
    <n v="999"/>
    <n v="16972.549788800388"/>
    <n v="9331.6937617755812"/>
    <n v="3438.9444705805054"/>
    <n v="0"/>
    <n v="-494.69069242708701"/>
    <m/>
    <m/>
    <m/>
    <n v="0"/>
    <n v="16972.549788800388"/>
    <m/>
    <n v="0"/>
    <n v="0"/>
    <m/>
    <m/>
  </r>
  <r>
    <s v="Grondwerken "/>
    <x v="8"/>
    <x v="25"/>
    <s v="Brekerzand"/>
    <m/>
    <x v="0"/>
    <n v="520"/>
    <s v="m3"/>
    <s v="Ja"/>
    <n v="1"/>
    <n v="520"/>
    <s v="m3"/>
    <n v="100"/>
    <n v="5287.0600491274363"/>
    <n v="0"/>
    <n v="2194.956219404899"/>
    <n v="0"/>
    <n v="1872.0130118607813"/>
    <m/>
    <m/>
    <m/>
    <n v="0"/>
    <n v="5287.0600491274363"/>
    <m/>
    <n v="0"/>
    <n v="0"/>
    <m/>
    <m/>
  </r>
  <r>
    <s v="Leidingwerken"/>
    <x v="9"/>
    <x v="26"/>
    <s v="Betonnen duiker"/>
    <m/>
    <x v="0"/>
    <n v="16.8"/>
    <s v="m"/>
    <s v="Ja"/>
    <n v="1.25"/>
    <n v="21"/>
    <s v="m1"/>
    <n v="50"/>
    <n v="459.69899950479748"/>
    <n v="225.80918310842011"/>
    <n v="89.321645429575398"/>
    <n v="0"/>
    <n v="34.575711496310248"/>
    <m/>
    <m/>
    <m/>
    <n v="0"/>
    <n v="459.69899950479748"/>
    <m/>
    <n v="0"/>
    <n v="0"/>
    <m/>
    <m/>
  </r>
  <r>
    <m/>
    <x v="1"/>
    <x v="27"/>
    <s v="Asfaltbetonzaag diesel"/>
    <m/>
    <x v="0"/>
    <n v="6"/>
    <s v="st"/>
    <s v="Ja"/>
    <n v="0.4507337526205451"/>
    <n v="2.7044025157232707"/>
    <s v="uur"/>
    <n v="999"/>
    <n v="19.342877206727334"/>
    <n v="0"/>
    <n v="14.879136176426314"/>
    <n v="0"/>
    <n v="0"/>
    <m/>
    <m/>
    <m/>
    <n v="0"/>
    <n v="19.342877206727334"/>
    <m/>
    <n v="0"/>
    <n v="0"/>
    <m/>
    <m/>
  </r>
  <r>
    <m/>
    <x v="1"/>
    <x v="28"/>
    <s v="Duiker, staal"/>
    <m/>
    <x v="0"/>
    <n v="9"/>
    <s v="m"/>
    <s v="Ja"/>
    <n v="1"/>
    <n v="9"/>
    <s v="m1"/>
    <n v="50"/>
    <n v="304.24082722071557"/>
    <n v="222.82856332456475"/>
    <n v="21.162724762158071"/>
    <n v="0"/>
    <n v="-23.319231416837322"/>
    <m/>
    <m/>
    <m/>
    <n v="0"/>
    <n v="304.24082722071557"/>
    <m/>
    <n v="0"/>
    <n v="0"/>
    <m/>
    <m/>
  </r>
  <r>
    <s v="Leidingwerken"/>
    <x v="10"/>
    <x v="29"/>
    <s v="Graafmachine, cat. IV, diesel"/>
    <s v="Graafmachine, cat. IV, HVO"/>
    <x v="1"/>
    <n v="2100"/>
    <s v="m3"/>
    <s v="Ja"/>
    <n v="1.67E-2"/>
    <n v="35.07"/>
    <s v="uur"/>
    <n v="999"/>
    <n v="157.02533101427096"/>
    <n v="0"/>
    <n v="157.02533101427096"/>
    <n v="0"/>
    <n v="0"/>
    <n v="1.6666666666666666E-2"/>
    <n v="35"/>
    <s v="uur"/>
    <n v="58.450195793098501"/>
    <n v="58.450195793098501"/>
    <m/>
    <n v="0"/>
    <n v="0"/>
    <m/>
    <m/>
  </r>
  <r>
    <s v="Leidingwerken"/>
    <x v="10"/>
    <x v="30"/>
    <s v="Wiellaadschop diesel"/>
    <s v="Wiellaadschop elektrisch"/>
    <x v="0"/>
    <n v="2100"/>
    <s v="m3"/>
    <s v="Ja"/>
    <n v="2.5000000000000001E-2"/>
    <n v="52.5"/>
    <s v="uur"/>
    <n v="999"/>
    <n v="488.14899471651944"/>
    <n v="0"/>
    <n v="375.49922326170758"/>
    <n v="0"/>
    <n v="0"/>
    <n v="2.5000000000000001E-2"/>
    <n v="52.5"/>
    <s v="uur"/>
    <n v="69.030613830763727"/>
    <n v="69.030613830763727"/>
    <m/>
    <n v="0"/>
    <n v="0"/>
    <m/>
    <m/>
  </r>
  <r>
    <s v="Leidingwerken"/>
    <x v="10"/>
    <x v="31"/>
    <s v="PVC rioleringsbuis, groot"/>
    <m/>
    <x v="0"/>
    <n v="380"/>
    <s v="m"/>
    <s v="Ja"/>
    <n v="1.55"/>
    <n v="589"/>
    <s v="m1"/>
    <n v="50"/>
    <n v="2021.3457456465787"/>
    <n v="1021.9769133194179"/>
    <n v="511.37284270845595"/>
    <n v="0"/>
    <n v="18.008102684541502"/>
    <m/>
    <m/>
    <s v=""/>
    <n v="0"/>
    <n v="2021.3457456465787"/>
    <m/>
    <n v="0"/>
    <n v="0"/>
    <m/>
    <m/>
  </r>
  <r>
    <s v="Leidingwerken"/>
    <x v="10"/>
    <x v="32"/>
    <s v="Graafmachine, cat. IIIB, diesel"/>
    <s v="Graafmachine, cat. IIIB, HVO"/>
    <x v="0"/>
    <n v="120"/>
    <s v="m3"/>
    <s v="Ja"/>
    <n v="1.6666666666666666E-2"/>
    <n v="2"/>
    <s v="uur"/>
    <n v="999"/>
    <n v="12.91240515450388"/>
    <n v="0"/>
    <n v="9.9326192585367927"/>
    <n v="0"/>
    <n v="0"/>
    <n v="1.6666666666666666E-2"/>
    <n v="2"/>
    <s v="uur"/>
    <n v="4.9829726459209231"/>
    <n v="4.9829726459209231"/>
    <m/>
    <n v="0"/>
    <n v="0"/>
    <m/>
    <m/>
  </r>
  <r>
    <s v="Leidingwerken"/>
    <x v="10"/>
    <x v="33"/>
    <s v="Wiellaadschop diesel"/>
    <s v="Wiellaadschop elektrisch"/>
    <x v="0"/>
    <n v="120"/>
    <s v="m3"/>
    <s v="Ja"/>
    <n v="2.5000000000000001E-2"/>
    <n v="3"/>
    <s v="uur"/>
    <n v="999"/>
    <n v="27.894228269515395"/>
    <n v="0"/>
    <n v="21.457098472097577"/>
    <n v="0"/>
    <n v="0"/>
    <n v="2.5000000000000001E-2"/>
    <n v="3"/>
    <s v="uur"/>
    <n v="3.94460650461507"/>
    <n v="3.94460650461507"/>
    <m/>
    <n v="0"/>
    <n v="0"/>
    <m/>
    <m/>
  </r>
  <r>
    <s v="Leidingwerken"/>
    <x v="10"/>
    <x v="34"/>
    <s v="PVC rioleringsbuis, klein"/>
    <m/>
    <x v="0"/>
    <n v="27"/>
    <s v="m"/>
    <s v="Ja"/>
    <n v="3.73"/>
    <n v="100.71"/>
    <s v="m1"/>
    <n v="50"/>
    <n v="47.018880575432853"/>
    <n v="18.22267491427986"/>
    <n v="17.25658422455577"/>
    <n v="0"/>
    <n v="0.61135403363155361"/>
    <m/>
    <m/>
    <s v=""/>
    <n v="0"/>
    <n v="47.018880575432853"/>
    <m/>
    <n v="0"/>
    <n v="0"/>
    <m/>
    <m/>
  </r>
  <r>
    <s v="Leidingwerken"/>
    <x v="10"/>
    <x v="35"/>
    <s v="PVC rioleringsbuis, groot"/>
    <m/>
    <x v="0"/>
    <n v="100"/>
    <s v="m"/>
    <s v="Ja"/>
    <n v="0.64"/>
    <n v="64"/>
    <s v="m1"/>
    <n v="50"/>
    <n v="219.6368891704262"/>
    <n v="111.04672742350212"/>
    <n v="55.565130616878065"/>
    <n v="0"/>
    <n v="1.9567378129213175"/>
    <m/>
    <m/>
    <m/>
    <n v="0"/>
    <n v="219.6368891704262"/>
    <m/>
    <n v="0"/>
    <n v="0"/>
    <m/>
    <m/>
  </r>
  <r>
    <s v="Leidingwerken"/>
    <x v="10"/>
    <x v="36"/>
    <s v="Hulpstuk, PVC"/>
    <m/>
    <x v="0"/>
    <n v="54"/>
    <s v="st"/>
    <s v="Ja"/>
    <n v="0.6191860465116279"/>
    <n v="33.436046511627907"/>
    <s v="p"/>
    <n v="50"/>
    <n v="33.352584255106649"/>
    <n v="24.848161513970698"/>
    <n v="1.0205127788708057"/>
    <n v="0"/>
    <n v="-2.0057428016152827"/>
    <m/>
    <m/>
    <m/>
    <n v="0"/>
    <n v="33.352584255106649"/>
    <m/>
    <n v="0"/>
    <n v="0"/>
    <m/>
    <m/>
  </r>
  <r>
    <s v="Leidingwerken"/>
    <x v="10"/>
    <x v="37"/>
    <s v="Hulpstuk, PVC"/>
    <m/>
    <x v="0"/>
    <n v="10"/>
    <s v="st"/>
    <s v="Ja"/>
    <n v="1"/>
    <n v="10"/>
    <s v="p"/>
    <n v="50"/>
    <n v="9.9750382400944932"/>
    <n v="7.4315489139331596"/>
    <n v="0.30521335066210847"/>
    <n v="0"/>
    <n v="-0.59987439032834045"/>
    <m/>
    <m/>
    <m/>
    <n v="0"/>
    <n v="9.9750382400944932"/>
    <m/>
    <n v="0"/>
    <n v="0"/>
    <m/>
    <m/>
  </r>
  <r>
    <s v="Leidingwerken"/>
    <x v="10"/>
    <x v="38"/>
    <s v="Hulpstuk, PVC"/>
    <m/>
    <x v="0"/>
    <n v="10"/>
    <s v="st"/>
    <s v="Ja"/>
    <n v="1"/>
    <n v="10"/>
    <s v="p"/>
    <n v="50"/>
    <n v="9.9750382400944932"/>
    <n v="7.4315489139331596"/>
    <n v="0.30521335066210847"/>
    <n v="0"/>
    <n v="-0.59987439032834045"/>
    <m/>
    <m/>
    <m/>
    <n v="0"/>
    <n v="9.9750382400944932"/>
    <m/>
    <n v="0"/>
    <n v="0"/>
    <m/>
    <m/>
  </r>
  <r>
    <s v="Leidingwerken"/>
    <x v="10"/>
    <x v="39"/>
    <s v="Hulpstuk, PVC"/>
    <m/>
    <x v="0"/>
    <n v="20"/>
    <s v="st"/>
    <s v="Ja"/>
    <n v="1"/>
    <n v="20"/>
    <s v="p"/>
    <n v="50"/>
    <n v="19.950076480188986"/>
    <n v="14.863097827866319"/>
    <n v="0.61042670132421695"/>
    <n v="0"/>
    <n v="-1.1997487806566809"/>
    <m/>
    <m/>
    <m/>
    <n v="0"/>
    <n v="19.950076480188986"/>
    <m/>
    <n v="0"/>
    <n v="0"/>
    <m/>
    <m/>
  </r>
  <r>
    <s v="Leidingwerken"/>
    <x v="10"/>
    <x v="40"/>
    <s v="Hulpstuk, PVC"/>
    <m/>
    <x v="0"/>
    <n v="9"/>
    <s v="st"/>
    <s v="Ja"/>
    <n v="1"/>
    <n v="9"/>
    <s v="p"/>
    <n v="50"/>
    <n v="8.9775344160850441"/>
    <n v="6.6883940225398435"/>
    <n v="0.27469201559589762"/>
    <n v="0"/>
    <n v="-0.53988695129550646"/>
    <m/>
    <m/>
    <m/>
    <n v="0"/>
    <n v="8.9775344160850441"/>
    <m/>
    <n v="0"/>
    <n v="0"/>
    <m/>
    <m/>
  </r>
  <r>
    <s v="Leidingwerken"/>
    <x v="10"/>
    <x v="41"/>
    <s v="Knevelinlaat 400 x 160"/>
    <m/>
    <x v="0"/>
    <n v="9"/>
    <s v="st"/>
    <s v="Ja"/>
    <n v="1"/>
    <n v="9"/>
    <s v="p"/>
    <n v="60"/>
    <n v="1.5720622563778588"/>
    <n v="1.201415551158127"/>
    <n v="5.8686440508699568E-2"/>
    <n v="0"/>
    <n v="-0.1738674508707394"/>
    <m/>
    <m/>
    <m/>
    <n v="0"/>
    <n v="1.5720622563778588"/>
    <m/>
    <n v="0"/>
    <n v="0"/>
    <m/>
    <m/>
  </r>
  <r>
    <s v="Leidingwerken"/>
    <x v="10"/>
    <x v="42"/>
    <s v="PVC rioleringsbuis, groot"/>
    <m/>
    <x v="0"/>
    <n v="9"/>
    <s v="st"/>
    <s v="Ja"/>
    <n v="1.75"/>
    <n v="15.75"/>
    <s v="m1"/>
    <n v="50"/>
    <n v="54.051265694284574"/>
    <n v="27.327905576877473"/>
    <n v="13.674231362747337"/>
    <n v="0"/>
    <n v="0.48154094614860549"/>
    <m/>
    <m/>
    <m/>
    <n v="0"/>
    <n v="54.051265694284574"/>
    <m/>
    <n v="0"/>
    <n v="0"/>
    <m/>
    <m/>
  </r>
  <r>
    <s v="Leidingwerken"/>
    <x v="11"/>
    <x v="43"/>
    <s v="Wavin Tegra 600."/>
    <m/>
    <x v="3"/>
    <n v="1"/>
    <s v="st"/>
    <s v="Ja"/>
    <n v="1"/>
    <n v="1"/>
    <s v="nvt"/>
    <n v="100"/>
    <n v="8.4525735989400008"/>
    <n v="8.4728285000000003"/>
    <n v="1.09956071"/>
    <n v="0"/>
    <n v="-1.1198156110600004"/>
    <m/>
    <m/>
    <m/>
    <n v="0"/>
    <n v="8.4525735989400008"/>
    <m/>
    <n v="0"/>
    <n v="0"/>
    <m/>
    <m/>
  </r>
  <r>
    <s v="Leidingwerken"/>
    <x v="11"/>
    <x v="44"/>
    <s v="Wavin Tegra 600."/>
    <m/>
    <x v="3"/>
    <n v="5"/>
    <s v="st"/>
    <s v="Ja"/>
    <n v="1"/>
    <n v="5"/>
    <s v="nvt"/>
    <n v="100"/>
    <n v="42.262867994700002"/>
    <n v="42.3641425"/>
    <n v="5.4978035500000004"/>
    <n v="0"/>
    <n v="-5.5990780553000015"/>
    <m/>
    <m/>
    <m/>
    <n v="0"/>
    <n v="42.262867994700002"/>
    <m/>
    <n v="0"/>
    <n v="0"/>
    <m/>
    <m/>
  </r>
  <r>
    <s v="Leidingwerken"/>
    <x v="11"/>
    <x v="45"/>
    <s v="Wavin Tegra 425."/>
    <s v=""/>
    <x v="3"/>
    <n v="12"/>
    <s v="st"/>
    <s v="Ja"/>
    <n v="0.5"/>
    <n v="6"/>
    <s v="nvt"/>
    <n v="100"/>
    <n v="26.713495753560007"/>
    <n v="24.063454800000002"/>
    <n v="2.9694172439999997"/>
    <n v="0"/>
    <n v="-0.31937629043999882"/>
    <m/>
    <m/>
    <m/>
    <n v="0"/>
    <n v="26.713495753560007"/>
    <m/>
    <n v="0"/>
    <e v="#VALUE!"/>
    <m/>
    <m/>
  </r>
  <r>
    <s v="Leidingwerken"/>
    <x v="11"/>
    <x v="46"/>
    <s v="Inspectieput prefab beton 800x800x1100mm, 15mm wanddikte"/>
    <s v="INSPECTIEPUTTEN"/>
    <x v="0"/>
    <n v="16"/>
    <s v="st"/>
    <s v="Ja"/>
    <n v="1"/>
    <n v="16"/>
    <s v="p"/>
    <n v="40"/>
    <n v="1004.6399491611193"/>
    <n v="299.46978082741782"/>
    <n v="240.80572576338201"/>
    <n v="153.55093904806657"/>
    <n v="73.928249601466462"/>
    <n v="0.70400000000000018"/>
    <n v="11.264000000000003"/>
    <s v="m3"/>
    <n v="450.56000000000012"/>
    <n v="450.56000000000012"/>
    <m/>
    <n v="0"/>
    <n v="0"/>
    <m/>
    <m/>
  </r>
  <r>
    <s v="Leidingwerken"/>
    <x v="11"/>
    <x v="47"/>
    <s v="Kolk PVCGietijzer met deksel"/>
    <s v="KOLKEN"/>
    <x v="0"/>
    <n v="23"/>
    <s v="st"/>
    <s v="Ja"/>
    <n v="0.9375"/>
    <n v="21.5625"/>
    <s v="p"/>
    <n v="40"/>
    <n v="825.32238457594303"/>
    <n v="304.98018724462128"/>
    <n v="107.78384745707584"/>
    <n v="121.40515224614252"/>
    <n v="72.856574282872927"/>
    <n v="0.12555000000000002"/>
    <n v="2.8876500000000007"/>
    <s v="m3"/>
    <n v="115.50600000000003"/>
    <n v="115.50600000000003"/>
    <m/>
    <n v="0"/>
    <n v="0"/>
    <m/>
    <m/>
  </r>
  <r>
    <s v="Leidingwerken"/>
    <x v="11"/>
    <x v="48"/>
    <s v="Kolk PVCGietijzer met deksel"/>
    <s v="KOLKEN"/>
    <x v="0"/>
    <n v="4"/>
    <s v="st"/>
    <s v="Ja"/>
    <n v="0.9375"/>
    <n v="3.75"/>
    <s v="p"/>
    <n v="40"/>
    <n v="143.53432775233793"/>
    <n v="53.040032564281965"/>
    <n v="18.745016949056669"/>
    <n v="21.113939521068264"/>
    <n v="12.670708570934421"/>
    <n v="0.12555000000000002"/>
    <n v="0.50220000000000009"/>
    <s v="m3"/>
    <n v="20.088000000000005"/>
    <n v="20.088000000000005"/>
    <m/>
    <n v="0"/>
    <n v="0"/>
    <m/>
    <m/>
  </r>
  <r>
    <s v="Leidingwerken"/>
    <x v="12"/>
    <x v="49"/>
    <s v="Sleuf, aanleg van leidingwerk of duiker per m1"/>
    <s v="Graafmachine, cat. IIIB, HVO"/>
    <x v="0"/>
    <n v="820"/>
    <s v="m"/>
    <s v="Ja"/>
    <n v="1"/>
    <n v="820"/>
    <s v="m1"/>
    <n v="999"/>
    <n v="536.07425675671118"/>
    <n v="0"/>
    <n v="412.3648091084151"/>
    <n v="0"/>
    <n v="0"/>
    <n v="8.8999999999999996E-2"/>
    <n v="72.97999999999999"/>
    <s v="uur"/>
    <n v="181.82867184965446"/>
    <n v="181.82867184965446"/>
    <m/>
    <n v="0"/>
    <n v="0"/>
    <m/>
    <m/>
  </r>
  <r>
    <s v="Leidingwerken"/>
    <x v="12"/>
    <x v="50"/>
    <s v="RObubuis, HDPE, klein"/>
    <m/>
    <x v="0"/>
    <n v="840"/>
    <s v="m"/>
    <s v="Ja"/>
    <n v="0.29411764705882354"/>
    <n v="247.05882352941177"/>
    <s v="m1"/>
    <n v="100"/>
    <n v="483.57709380030605"/>
    <n v="238.54619718290294"/>
    <n v="128.36022790469966"/>
    <n v="0"/>
    <n v="3.6720248935961788"/>
    <m/>
    <m/>
    <s v=""/>
    <n v="0"/>
    <n v="483.57709380030605"/>
    <m/>
    <n v="0"/>
    <n v="0"/>
    <m/>
    <m/>
  </r>
  <r>
    <s v="Leidingwerken"/>
    <x v="10"/>
    <x v="51"/>
    <s v="Hulpstuk, HDPE"/>
    <m/>
    <x v="0"/>
    <n v="24"/>
    <s v="st"/>
    <s v="Ja"/>
    <n v="0.6191860465116279"/>
    <n v="14.86046511627907"/>
    <s v="p"/>
    <n v="50"/>
    <n v="23.986779974286829"/>
    <n v="13.378946040215297"/>
    <n v="0.68141320773393743"/>
    <n v="0"/>
    <n v="3.5889505918987923"/>
    <m/>
    <m/>
    <m/>
    <n v="0"/>
    <n v="23.986779974286829"/>
    <m/>
    <n v="0"/>
    <n v="0"/>
    <m/>
    <m/>
  </r>
  <r>
    <s v="Leidingwerken"/>
    <x v="12"/>
    <x v="52"/>
    <s v="RVSKunststof Spindelafsluiter, klein 250mm"/>
    <m/>
    <x v="0"/>
    <n v="1"/>
    <s v="st"/>
    <s v="Ja"/>
    <n v="1"/>
    <n v="1"/>
    <s v="p"/>
    <n v="50"/>
    <n v="128.20590201811356"/>
    <n v="84.869514493484544"/>
    <n v="8.1905186485323913"/>
    <n v="0"/>
    <n v="4.5791813592352995"/>
    <m/>
    <m/>
    <s v=""/>
    <n v="0"/>
    <n v="128.20590201811356"/>
    <m/>
    <n v="0"/>
    <n v="0"/>
    <m/>
    <m/>
  </r>
  <r>
    <m/>
    <x v="1"/>
    <x v="53"/>
    <s v="Sleufloos, aanleg van leidingwerk per m1"/>
    <m/>
    <x v="0"/>
    <n v="16.25"/>
    <s v="m"/>
    <s v="Ja"/>
    <n v="1"/>
    <n v="16.25"/>
    <s v="m1"/>
    <n v="999"/>
    <n v="109.62205103583533"/>
    <n v="0"/>
    <n v="84.324653869697784"/>
    <n v="0"/>
    <n v="0"/>
    <m/>
    <m/>
    <m/>
    <n v="0"/>
    <n v="109.62205103583533"/>
    <m/>
    <n v="0"/>
    <n v="0"/>
    <m/>
    <m/>
  </r>
  <r>
    <s v="Leidingwerken"/>
    <x v="13"/>
    <x v="54"/>
    <s v="Mantelbuis, PVC 120mm"/>
    <m/>
    <x v="0"/>
    <n v="260"/>
    <s v="m"/>
    <s v="Ja"/>
    <n v="1"/>
    <n v="260"/>
    <s v="m1"/>
    <n v="75"/>
    <n v="34.013073532425956"/>
    <n v="32.763437385774886"/>
    <n v="1.1407476906365546"/>
    <n v="0"/>
    <n v="-10.284586258385136"/>
    <m/>
    <m/>
    <m/>
    <n v="0"/>
    <n v="34.013073532425956"/>
    <m/>
    <n v="0"/>
    <n v="0"/>
    <m/>
    <m/>
  </r>
  <r>
    <s v="Leidingwerken"/>
    <x v="13"/>
    <x v="55"/>
    <s v="Sleufloos, aanleg van leidingwerk per m1"/>
    <m/>
    <x v="0"/>
    <n v="260"/>
    <s v="m"/>
    <s v="Ja"/>
    <n v="1"/>
    <n v="260"/>
    <s v="m1"/>
    <n v="999"/>
    <n v="1753.9528165733652"/>
    <n v="0"/>
    <n v="1349.1944619151645"/>
    <n v="0"/>
    <n v="0"/>
    <m/>
    <m/>
    <m/>
    <n v="0"/>
    <n v="1753.9528165733652"/>
    <m/>
    <n v="0"/>
    <n v="0"/>
    <m/>
    <m/>
  </r>
  <r>
    <s v="Leidingwerken"/>
    <x v="13"/>
    <x v="54"/>
    <s v="Mantelbuis, PVC 200mm"/>
    <m/>
    <x v="0"/>
    <n v="260"/>
    <s v="m"/>
    <s v="Ja"/>
    <n v="0.64"/>
    <n v="166.4"/>
    <s v="m1"/>
    <n v="75"/>
    <n v="39.390357703819696"/>
    <n v="39.248917811882116"/>
    <n v="1.3441864007034117"/>
    <n v="0"/>
    <n v="-13.423176630941887"/>
    <m/>
    <m/>
    <m/>
    <n v="0"/>
    <n v="39.390357703819696"/>
    <m/>
    <n v="0"/>
    <n v="0"/>
    <m/>
    <m/>
  </r>
  <r>
    <s v="Leidingwerken"/>
    <x v="13"/>
    <x v="55"/>
    <s v="Sleufloos, aanleg van leidingwerk per m1"/>
    <m/>
    <x v="0"/>
    <n v="260"/>
    <s v="m"/>
    <s v="Ja"/>
    <n v="1"/>
    <n v="260"/>
    <s v="m1"/>
    <n v="999"/>
    <n v="1753.9528165733652"/>
    <n v="0"/>
    <n v="1349.1944619151645"/>
    <n v="0"/>
    <n v="0"/>
    <m/>
    <m/>
    <m/>
    <n v="0"/>
    <n v="1753.9528165733652"/>
    <m/>
    <n v="0"/>
    <n v="0"/>
    <m/>
    <m/>
  </r>
  <r>
    <s v="Leidingwerken"/>
    <x v="14"/>
    <x v="54"/>
    <s v="Mantelbuis, PVC 200mm"/>
    <m/>
    <x v="0"/>
    <n v="115"/>
    <s v="m"/>
    <s v="Ja"/>
    <n v="1"/>
    <n v="115"/>
    <s v="m1"/>
    <n v="75"/>
    <n v="27.222903461173466"/>
    <n v="27.125153535856029"/>
    <n v="0.92897497644767035"/>
    <n v="0"/>
    <n v="-9.2768348110475785"/>
    <m/>
    <m/>
    <m/>
    <n v="0"/>
    <n v="27.222903461173466"/>
    <m/>
    <n v="0"/>
    <n v="0"/>
    <m/>
    <m/>
  </r>
  <r>
    <s v="Leidingwerken"/>
    <x v="14"/>
    <x v="55"/>
    <s v="Sleufloos, aanleg van leidingwerk per m1"/>
    <m/>
    <x v="0"/>
    <n v="115"/>
    <s v="m"/>
    <s v="Ja"/>
    <n v="1"/>
    <n v="115"/>
    <s v="m1"/>
    <n v="999"/>
    <n v="775.78682271514231"/>
    <n v="0"/>
    <n v="596.75908892401503"/>
    <n v="0"/>
    <n v="0"/>
    <m/>
    <m/>
    <m/>
    <n v="0"/>
    <n v="775.78682271514231"/>
    <m/>
    <n v="0"/>
    <n v="0"/>
    <m/>
    <m/>
  </r>
  <r>
    <s v="Leidingwerken"/>
    <x v="15"/>
    <x v="54"/>
    <s v="Mantelbuis, PVC 120mm"/>
    <m/>
    <x v="0"/>
    <n v="60"/>
    <s v="m"/>
    <s v="Ja"/>
    <n v="1"/>
    <n v="60"/>
    <s v="m1"/>
    <n v="75"/>
    <n v="7.8491708151752206"/>
    <n v="7.5607932428711271"/>
    <n v="0.26324946706997415"/>
    <n v="0"/>
    <n v="-2.3733660596273389"/>
    <m/>
    <m/>
    <m/>
    <n v="0"/>
    <n v="7.8491708151752206"/>
    <m/>
    <n v="0"/>
    <n v="0"/>
    <m/>
    <m/>
  </r>
  <r>
    <s v="Leidingwerken"/>
    <x v="15"/>
    <x v="55"/>
    <s v="Sleufloos, aanleg van leidingwerk per m1"/>
    <m/>
    <x v="0"/>
    <n v="60"/>
    <s v="m"/>
    <s v="Ja"/>
    <n v="1"/>
    <n v="60"/>
    <s v="m1"/>
    <n v="999"/>
    <n v="404.75834228616117"/>
    <n v="0"/>
    <n v="311.35256813426872"/>
    <n v="0"/>
    <n v="0"/>
    <m/>
    <m/>
    <m/>
    <n v="0"/>
    <n v="404.75834228616117"/>
    <m/>
    <n v="0"/>
    <n v="0"/>
    <m/>
    <m/>
  </r>
  <r>
    <s v="Leidingwerken"/>
    <x v="15"/>
    <x v="54"/>
    <s v="Mantelbuis, PVC 120mm"/>
    <m/>
    <x v="0"/>
    <n v="30"/>
    <s v="m"/>
    <s v="Ja"/>
    <n v="1"/>
    <n v="30"/>
    <s v="m1"/>
    <n v="75"/>
    <n v="3.9245854075876103"/>
    <n v="3.7803966214355635"/>
    <n v="0.13162473353498708"/>
    <n v="0"/>
    <n v="-1.1866830298136695"/>
    <m/>
    <m/>
    <m/>
    <n v="0"/>
    <n v="3.9245854075876103"/>
    <m/>
    <n v="0"/>
    <n v="0"/>
    <m/>
    <m/>
  </r>
  <r>
    <s v="Leidingwerken"/>
    <x v="15"/>
    <x v="55"/>
    <s v="Sleufloos, aanleg van leidingwerk per m1"/>
    <m/>
    <x v="0"/>
    <n v="30"/>
    <s v="m"/>
    <s v="Ja"/>
    <n v="1"/>
    <n v="30"/>
    <s v="m1"/>
    <n v="999"/>
    <n v="202.37917114308058"/>
    <n v="0"/>
    <n v="155.67628406713436"/>
    <n v="0"/>
    <n v="0"/>
    <m/>
    <m/>
    <m/>
    <n v="0"/>
    <n v="202.37917114308058"/>
    <m/>
    <n v="0"/>
    <n v="0"/>
    <m/>
    <m/>
  </r>
  <r>
    <s v="Leidingwerken"/>
    <x v="15"/>
    <x v="54"/>
    <s v="Mantelbuis, PVC 120mm"/>
    <m/>
    <x v="0"/>
    <n v="180"/>
    <s v="m"/>
    <s v="Ja"/>
    <n v="0.64"/>
    <n v="115.2"/>
    <s v="m1"/>
    <n v="75"/>
    <n v="15.070407965136425"/>
    <n v="14.516723026312565"/>
    <n v="0.50543897677435035"/>
    <n v="0"/>
    <n v="-4.556862834484491"/>
    <m/>
    <m/>
    <m/>
    <n v="0"/>
    <n v="15.070407965136425"/>
    <m/>
    <n v="0"/>
    <n v="0"/>
    <m/>
    <m/>
  </r>
  <r>
    <s v="Leidingwerken"/>
    <x v="15"/>
    <x v="55"/>
    <s v="Sleufloos, aanleg van leidingwerk per m1"/>
    <m/>
    <x v="0"/>
    <n v="180"/>
    <s v="m"/>
    <s v="Ja"/>
    <n v="1"/>
    <n v="180"/>
    <s v="m1"/>
    <n v="999"/>
    <n v="1214.2750268584837"/>
    <n v="0"/>
    <n v="934.05770440280617"/>
    <n v="0"/>
    <n v="0"/>
    <m/>
    <m/>
    <m/>
    <n v="0"/>
    <n v="1214.2750268584837"/>
    <m/>
    <n v="0"/>
    <n v="0"/>
    <m/>
    <m/>
  </r>
  <r>
    <s v="Leidingwerken"/>
    <x v="15"/>
    <x v="54"/>
    <s v="Mantelbuis, PVC 200mm"/>
    <m/>
    <x v="0"/>
    <n v="30"/>
    <s v="m"/>
    <s v="Ja"/>
    <n v="2.4500000000000002"/>
    <n v="73.5"/>
    <s v="m1"/>
    <n v="75"/>
    <n v="17.398986125184781"/>
    <n v="17.33651117291668"/>
    <n v="0.59373618059916322"/>
    <n v="0"/>
    <n v="-5.9291074661912786"/>
    <m/>
    <m/>
    <m/>
    <n v="0"/>
    <n v="17.398986125184781"/>
    <m/>
    <n v="0"/>
    <n v="0"/>
    <m/>
    <m/>
  </r>
  <r>
    <s v="Leidingwerken"/>
    <x v="15"/>
    <x v="55"/>
    <s v="Sleufloos, aanleg van leidingwerk per m1"/>
    <m/>
    <x v="0"/>
    <n v="30"/>
    <s v="m"/>
    <s v="Ja"/>
    <n v="1"/>
    <n v="30"/>
    <s v="m1"/>
    <n v="999"/>
    <n v="202.37917114308058"/>
    <n v="0"/>
    <n v="155.67628406713436"/>
    <n v="0"/>
    <n v="0"/>
    <m/>
    <m/>
    <m/>
    <n v="0"/>
    <n v="202.37917114308058"/>
    <m/>
    <n v="0"/>
    <n v="0"/>
    <m/>
    <m/>
  </r>
  <r>
    <s v="Leidingwerken"/>
    <x v="16"/>
    <x v="54"/>
    <s v="Mantelbuis, PVC 200mm"/>
    <m/>
    <x v="0"/>
    <n v="120"/>
    <s v="m"/>
    <s v="Ja"/>
    <n v="0.64"/>
    <n v="76.8"/>
    <s v="m1"/>
    <n v="75"/>
    <n v="18.180165094070627"/>
    <n v="18.114885143945592"/>
    <n v="0.62039372340157461"/>
    <n v="0"/>
    <n v="-6.1953122912039476"/>
    <m/>
    <m/>
    <m/>
    <n v="0"/>
    <n v="18.180165094070627"/>
    <m/>
    <n v="0"/>
    <n v="0"/>
    <m/>
    <m/>
  </r>
  <r>
    <s v="Leidingwerken"/>
    <x v="16"/>
    <x v="55"/>
    <s v="Sleufloos, aanleg van leidingwerk per m1"/>
    <m/>
    <x v="0"/>
    <n v="120"/>
    <s v="m"/>
    <s v="Ja"/>
    <n v="1"/>
    <n v="120"/>
    <s v="m1"/>
    <n v="999"/>
    <n v="809.51668457232233"/>
    <n v="0"/>
    <n v="622.70513626853744"/>
    <n v="0"/>
    <n v="0"/>
    <m/>
    <m/>
    <m/>
    <n v="0"/>
    <n v="809.51668457232233"/>
    <m/>
    <n v="0"/>
    <n v="0"/>
    <m/>
    <m/>
  </r>
  <r>
    <s v="Leidingwerken"/>
    <x v="17"/>
    <x v="54"/>
    <s v="Mantelbuis, PVC 120mm"/>
    <m/>
    <x v="0"/>
    <n v="405"/>
    <s v="m"/>
    <s v="Ja"/>
    <n v="1"/>
    <n v="405"/>
    <s v="m1"/>
    <n v="75"/>
    <n v="52.981903002432745"/>
    <n v="51.03535438938011"/>
    <n v="1.7769339027223257"/>
    <n v="0"/>
    <n v="-16.020220902484539"/>
    <m/>
    <m/>
    <m/>
    <n v="0"/>
    <n v="52.981903002432745"/>
    <m/>
    <n v="0"/>
    <n v="0"/>
    <m/>
    <m/>
  </r>
  <r>
    <s v="Leidingwerken"/>
    <x v="17"/>
    <x v="55"/>
    <s v="Sleufloos, aanleg van leidingwerk per m1"/>
    <m/>
    <x v="0"/>
    <n v="405"/>
    <s v="m"/>
    <s v="Ja"/>
    <n v="1"/>
    <n v="405"/>
    <s v="m1"/>
    <n v="999"/>
    <n v="2732.1188104315879"/>
    <n v="0"/>
    <n v="2101.629834906314"/>
    <n v="0"/>
    <n v="0"/>
    <m/>
    <m/>
    <m/>
    <n v="0"/>
    <n v="2732.1188104315879"/>
    <m/>
    <n v="0"/>
    <n v="0"/>
    <m/>
    <m/>
  </r>
  <r>
    <m/>
    <x v="1"/>
    <x v="56"/>
    <s v="Sleufloos, aanleg van leidingwerk per m1"/>
    <m/>
    <x v="0"/>
    <n v="11"/>
    <s v="m"/>
    <s v="Ja"/>
    <n v="1"/>
    <n v="11"/>
    <s v="m1"/>
    <n v="999"/>
    <n v="74.20569608579622"/>
    <n v="0"/>
    <n v="57.081304157949269"/>
    <n v="0"/>
    <n v="0"/>
    <m/>
    <m/>
    <m/>
    <n v="0"/>
    <n v="74.20569608579622"/>
    <m/>
    <n v="0"/>
    <n v="0"/>
    <m/>
    <m/>
  </r>
  <r>
    <m/>
    <x v="1"/>
    <x v="57"/>
    <s v="Bekleding, krammaterosiemat, kokos"/>
    <m/>
    <x v="0"/>
    <n v="140.4"/>
    <s v="m2"/>
    <s v="Ja"/>
    <n v="1"/>
    <n v="140.4"/>
    <s v="m2"/>
    <n v="10"/>
    <n v="1256.4300548464148"/>
    <n v="60.580054264397624"/>
    <n v="89.782307134459316"/>
    <n v="767.42474552692784"/>
    <n v="41.493824982875019"/>
    <m/>
    <m/>
    <m/>
    <n v="0"/>
    <n v="1256.4300548464148"/>
    <m/>
    <n v="0"/>
    <n v="0"/>
    <m/>
    <m/>
  </r>
  <r>
    <s v="Leidingwerken"/>
    <x v="18"/>
    <x v="58"/>
    <s v="Uitstroombak, klein helling 1:2, diameter 400 mm"/>
    <m/>
    <x v="0"/>
    <n v="2"/>
    <s v="st"/>
    <s v="Ja"/>
    <n v="1"/>
    <n v="2"/>
    <s v="p"/>
    <n v="100"/>
    <n v="210.67783778909362"/>
    <n v="78.339511800445806"/>
    <n v="64.093038909415043"/>
    <n v="0"/>
    <n v="16.173902496405141"/>
    <m/>
    <m/>
    <m/>
    <n v="0"/>
    <n v="210.67783778909362"/>
    <m/>
    <n v="0"/>
    <n v="0"/>
    <m/>
    <m/>
  </r>
  <r>
    <m/>
    <x v="1"/>
    <x v="59"/>
    <s v="Bordenpaal 4876mm, verzinkt staal incl bevestigingsmiddelen"/>
    <m/>
    <x v="0"/>
    <n v="4"/>
    <s v="st"/>
    <s v="Ja"/>
    <n v="1"/>
    <n v="4"/>
    <s v="p"/>
    <n v="12"/>
    <n v="755.24686598875462"/>
    <n v="172.36997553361951"/>
    <n v="6.2401498685090555"/>
    <n v="404.07042839328835"/>
    <n v="-54.65944406740595"/>
    <m/>
    <m/>
    <m/>
    <n v="0"/>
    <n v="755.24686598875462"/>
    <m/>
    <n v="0"/>
    <n v="0"/>
    <m/>
    <m/>
  </r>
  <r>
    <s v="Wegenbouwwerken"/>
    <x v="19"/>
    <x v="60"/>
    <s v="Elementverhardingen, Zandbed"/>
    <m/>
    <x v="0"/>
    <n v="8700"/>
    <s v="m2"/>
    <s v="Ja"/>
    <n v="1"/>
    <n v="8700"/>
    <s v="m2"/>
    <n v="999"/>
    <n v="9701.7860159371485"/>
    <n v="5334.148208110877"/>
    <n v="1965.7566947470696"/>
    <n v="0"/>
    <n v="-282.77326045437957"/>
    <m/>
    <m/>
    <m/>
    <n v="0"/>
    <n v="9701.7860159371485"/>
    <m/>
    <n v="0"/>
    <n v="0"/>
    <m/>
    <m/>
  </r>
  <r>
    <s v="Wegenbouwwerken"/>
    <x v="19"/>
    <x v="61"/>
    <s v="Straatzand"/>
    <m/>
    <x v="0"/>
    <n v="2380"/>
    <s v="m2"/>
    <s v="Ja"/>
    <n v="0.05"/>
    <n v="119"/>
    <s v="m3"/>
    <n v="100"/>
    <n v="1620.4823983907891"/>
    <n v="300.32511828249437"/>
    <n v="512.53948897927069"/>
    <n v="0"/>
    <n v="409.29282247720084"/>
    <m/>
    <m/>
    <m/>
    <n v="0"/>
    <n v="1620.4823983907891"/>
    <m/>
    <n v="0"/>
    <n v="0"/>
    <m/>
    <m/>
  </r>
  <r>
    <m/>
    <x v="1"/>
    <x v="62"/>
    <s v="Maaien met tractor, diesel"/>
    <s v="Maaien met tractor, elektrisch"/>
    <x v="0"/>
    <n v="4280"/>
    <s v="m2"/>
    <s v="Ja"/>
    <n v="6.0000000000000001E-3"/>
    <n v="25.68"/>
    <s v="uur"/>
    <n v="999"/>
    <n v="122.44850973694963"/>
    <n v="0"/>
    <n v="94.19116047238731"/>
    <n v="0"/>
    <n v="0"/>
    <m/>
    <m/>
    <m/>
    <n v="0"/>
    <n v="122.44850973694963"/>
    <m/>
    <n v="0"/>
    <n v="0"/>
    <m/>
    <m/>
  </r>
  <r>
    <s v="Wegenbouwwerken"/>
    <x v="20"/>
    <x v="63"/>
    <s v="Funderingslaag Menggranulaat"/>
    <m/>
    <x v="0"/>
    <n v="40"/>
    <s v="m2"/>
    <s v="Ja"/>
    <n v="0.5"/>
    <n v="20"/>
    <s v="m2"/>
    <n v="100"/>
    <n v="17.097053226718749"/>
    <n v="0"/>
    <n v="7.7043168476198982"/>
    <n v="0.54989876379999991"/>
    <n v="4.8973636731491084"/>
    <m/>
    <m/>
    <m/>
    <n v="0"/>
    <n v="17.097053226718749"/>
    <m/>
    <n v="0"/>
    <n v="0"/>
    <m/>
    <m/>
  </r>
  <r>
    <s v="Wegenbouwwerken"/>
    <x v="20"/>
    <x v="64"/>
    <s v="Funderingslaag Menggranulaat 250mm"/>
    <m/>
    <x v="0"/>
    <n v="1200"/>
    <s v="m2"/>
    <s v="Ja"/>
    <n v="1"/>
    <n v="1200"/>
    <s v="m2"/>
    <n v="100"/>
    <n v="1164.2649493251877"/>
    <n v="0"/>
    <n v="508.50083004625407"/>
    <n v="41.242407284999999"/>
    <n v="345.84517701408566"/>
    <m/>
    <m/>
    <m/>
    <n v="0"/>
    <n v="1164.2649493251877"/>
    <m/>
    <n v="0"/>
    <n v="0"/>
    <m/>
    <m/>
  </r>
  <r>
    <s v="Wegenbouwwerken"/>
    <x v="20"/>
    <x v="65"/>
    <s v="Funderingslaag Menggranulaat"/>
    <m/>
    <x v="0"/>
    <n v="300"/>
    <s v="m2"/>
    <s v="Ja"/>
    <n v="1.4999999999999998"/>
    <n v="449.99999999999994"/>
    <s v="m2"/>
    <n v="100"/>
    <n v="384.68369760117184"/>
    <n v="0"/>
    <n v="173.34712907144771"/>
    <n v="12.372722185499997"/>
    <n v="110.19068264585492"/>
    <m/>
    <m/>
    <m/>
    <n v="0"/>
    <n v="384.68369760117184"/>
    <m/>
    <n v="0"/>
    <n v="0"/>
    <m/>
    <m/>
  </r>
  <r>
    <s v="Wegenbouwwerken"/>
    <x v="20"/>
    <x v="66"/>
    <s v="Funderingslaag Menggranulaat"/>
    <m/>
    <x v="0"/>
    <n v="5250"/>
    <s v="m2"/>
    <s v="Ja"/>
    <n v="1.7499999999999998"/>
    <n v="9187.4999999999982"/>
    <s v="m2"/>
    <n v="100"/>
    <n v="7853.9588260239243"/>
    <n v="0"/>
    <n v="3539.1705518753902"/>
    <n v="252.60974462062492"/>
    <n v="2249.726437352871"/>
    <m/>
    <m/>
    <m/>
    <n v="0"/>
    <n v="7853.9588260239243"/>
    <m/>
    <n v="0"/>
    <n v="0"/>
    <m/>
    <m/>
  </r>
  <r>
    <s v="Wegenbouwwerken"/>
    <x v="20"/>
    <x v="64"/>
    <s v="Funderingslaag Betongranulaat 250mm"/>
    <m/>
    <x v="0"/>
    <n v="1050"/>
    <s v="m2"/>
    <s v="Ja"/>
    <n v="1"/>
    <n v="1050"/>
    <s v="m2"/>
    <n v="100"/>
    <n v="1101.1474021368197"/>
    <n v="0"/>
    <n v="404.02097601854376"/>
    <n v="36.087106374375004"/>
    <n v="406.92837302197211"/>
    <m/>
    <m/>
    <m/>
    <n v="0"/>
    <n v="1101.1474021368197"/>
    <m/>
    <n v="0"/>
    <n v="0"/>
    <m/>
    <m/>
  </r>
  <r>
    <s v="Wegenbouwwerken"/>
    <x v="20"/>
    <x v="67"/>
    <s v="Wiellaadschop diesel"/>
    <s v="Wiellaadschop elektrisch"/>
    <x v="0"/>
    <n v="1855"/>
    <s v="m3"/>
    <s v="Ja"/>
    <n v="0.02"/>
    <n v="37.1"/>
    <s v="uur"/>
    <n v="999"/>
    <n v="344.95862293300706"/>
    <n v="0"/>
    <n v="265.35278443827337"/>
    <n v="0"/>
    <n v="0"/>
    <n v="0.02"/>
    <n v="37.1"/>
    <s v="ur"/>
    <n v="48.781633773739699"/>
    <n v="48.781633773739699"/>
    <m/>
    <n v="0"/>
    <n v="0"/>
    <m/>
    <m/>
  </r>
  <r>
    <s v="Wegenbouwwerken"/>
    <x v="20"/>
    <x v="68"/>
    <s v="Transport met vrachtwagen, EURO 5, diesel"/>
    <s v="Transport met vrachtwagen, EURO 5, 100% HVO"/>
    <x v="0"/>
    <n v="1855"/>
    <s v="m3"/>
    <s v="Ja"/>
    <n v="0.97499999999999998"/>
    <n v="1808.625"/>
    <s v="t*km"/>
    <n v="999"/>
    <n v="20.35437657864011"/>
    <n v="15.657212609224301"/>
    <n v="0"/>
    <n v="0"/>
    <n v="0"/>
    <n v="0.97499999999999998"/>
    <n v="1808.625"/>
    <s v="t*km"/>
    <n v="10.76303449922232"/>
    <n v="10.76303449922232"/>
    <m/>
    <n v="0"/>
    <n v="0"/>
    <m/>
    <m/>
  </r>
  <r>
    <s v="Wegenbouwwerken"/>
    <x v="20"/>
    <x v="69"/>
    <s v="Funderingslaag Menggranulaat 300mm"/>
    <m/>
    <x v="0"/>
    <n v="690"/>
    <s v="ton"/>
    <s v="Ja"/>
    <n v="0.15384615384615385"/>
    <n v="106.15384615384616"/>
    <s v="m2"/>
    <n v="100"/>
    <n v="137.09806404665656"/>
    <n v="0"/>
    <n v="42.45427537902917"/>
    <n v="4.3780401579461543"/>
    <n v="58.62773276262071"/>
    <m/>
    <m/>
    <m/>
    <n v="0"/>
    <n v="137.09806404665656"/>
    <m/>
    <n v="0"/>
    <n v="0"/>
    <m/>
    <m/>
  </r>
  <r>
    <s v="Wegenbouwwerken"/>
    <x v="21"/>
    <x v="70"/>
    <s v="Opsluitband 100x200x1000mm  grijs"/>
    <s v="BETONBANDEN"/>
    <x v="0"/>
    <n v="2170"/>
    <s v="m"/>
    <s v="Ja"/>
    <n v="2.5"/>
    <n v="5425"/>
    <s v="m1"/>
    <n v="50"/>
    <n v="9952.4560815550431"/>
    <n v="2242.2170206190226"/>
    <n v="1039.5830109076185"/>
    <n v="3878.234770242756"/>
    <n v="465.48032517566844"/>
    <n v="2.0000000000000004E-2"/>
    <n v="43.400000000000006"/>
    <s v="m3"/>
    <n v="1085.0000000000002"/>
    <n v="1085.0000000000002"/>
    <m/>
    <n v="0"/>
    <n v="0"/>
    <m/>
    <m/>
  </r>
  <r>
    <m/>
    <x v="1"/>
    <x v="71"/>
    <s v="Opsluitband beton 300x150x1000mm grijs"/>
    <s v="BETONBANDEN"/>
    <x v="0"/>
    <n v="40"/>
    <s v="m"/>
    <s v="Ja"/>
    <n v="0.2"/>
    <n v="8"/>
    <s v="m1"/>
    <n v="75"/>
    <n v="17.631430326640377"/>
    <n v="7.5629741230821121"/>
    <n v="6.1885833787528055"/>
    <n v="0"/>
    <n v="-1.1187701425996077"/>
    <n v="8.9999999999999993E-3"/>
    <n v="0.36"/>
    <s v="m3"/>
    <n v="9"/>
    <n v="9"/>
    <m/>
    <n v="0"/>
    <n v="0"/>
    <m/>
    <m/>
  </r>
  <r>
    <s v="Wegenbouwwerken"/>
    <x v="21"/>
    <x v="72"/>
    <s v="Bio Bound Betonband "/>
    <m/>
    <x v="4"/>
    <n v="2115"/>
    <s v="stuks"/>
    <s v="Ja"/>
    <n v="0.05"/>
    <n v="105.75"/>
    <s v="m3"/>
    <n v="25"/>
    <n v="3845.26881"/>
    <n v="0"/>
    <n v="0"/>
    <n v="0"/>
    <n v="0"/>
    <m/>
    <m/>
    <m/>
    <n v="0"/>
    <n v="3845.26881"/>
    <m/>
    <n v="0"/>
    <n v="0"/>
    <m/>
    <m/>
  </r>
  <r>
    <s v="Wegenbouwwerken"/>
    <x v="21"/>
    <x v="72"/>
    <s v="Bio Bound Betonband "/>
    <m/>
    <x v="4"/>
    <n v="40"/>
    <s v="stuks"/>
    <s v="Ja"/>
    <n v="8.9999999999999993E-3"/>
    <n v="0.36"/>
    <s v="m3"/>
    <n v="25"/>
    <n v="13.0902768"/>
    <n v="0"/>
    <n v="0"/>
    <n v="0"/>
    <n v="0"/>
    <m/>
    <m/>
    <m/>
    <n v="0"/>
    <n v="13.0902768"/>
    <m/>
    <n v="0"/>
    <n v="0"/>
    <m/>
    <m/>
  </r>
  <r>
    <s v="Wegenbouwwerken"/>
    <x v="21"/>
    <x v="72"/>
    <s v="Bio Bound Betonband "/>
    <m/>
    <x v="4"/>
    <n v="69"/>
    <s v="stuks"/>
    <s v="Ja"/>
    <n v="0.05"/>
    <n v="3.45"/>
    <s v="m3"/>
    <n v="25"/>
    <n v="125.448486"/>
    <n v="0"/>
    <n v="0"/>
    <n v="0"/>
    <n v="0"/>
    <m/>
    <m/>
    <m/>
    <n v="0"/>
    <n v="125.448486"/>
    <m/>
    <n v="0"/>
    <n v="0"/>
    <m/>
    <m/>
  </r>
  <r>
    <s v="Wegenbouwwerken"/>
    <x v="21"/>
    <x v="73"/>
    <s v="Bio Bound Betonband "/>
    <m/>
    <x v="4"/>
    <n v="26"/>
    <s v="stuks"/>
    <s v="Ja"/>
    <n v="2.2500000000000003E-2"/>
    <n v="0.58500000000000008"/>
    <s v="m3"/>
    <n v="25"/>
    <n v="21.271699800000004"/>
    <n v="0"/>
    <n v="0"/>
    <n v="0"/>
    <n v="0"/>
    <m/>
    <m/>
    <m/>
    <n v="0"/>
    <n v="21.271699800000004"/>
    <m/>
    <n v="0"/>
    <n v="0"/>
    <m/>
    <m/>
  </r>
  <r>
    <s v="Wegenbouwwerken"/>
    <x v="21"/>
    <x v="73"/>
    <s v="Bio Bound Betonband "/>
    <m/>
    <x v="4"/>
    <n v="14"/>
    <s v="stuks"/>
    <s v="Ja"/>
    <n v="0.05"/>
    <n v="0.70000000000000007"/>
    <s v="m3"/>
    <n v="25"/>
    <n v="25.453316000000001"/>
    <n v="0"/>
    <n v="0"/>
    <n v="0"/>
    <n v="0"/>
    <m/>
    <m/>
    <m/>
    <n v="0"/>
    <n v="25.453316000000001"/>
    <m/>
    <n v="0"/>
    <n v="0"/>
    <m/>
    <m/>
  </r>
  <r>
    <s v="Wegenbouwwerken"/>
    <x v="21"/>
    <x v="73"/>
    <s v="Bio Bound Betonband "/>
    <m/>
    <x v="4"/>
    <n v="16"/>
    <s v="stuks"/>
    <s v="Ja"/>
    <n v="2.2499999999999998E-3"/>
    <n v="3.5999999999999997E-2"/>
    <s v="m3"/>
    <n v="25"/>
    <n v="1.3090276799999998"/>
    <n v="0"/>
    <n v="0"/>
    <n v="0"/>
    <n v="0"/>
    <m/>
    <m/>
    <m/>
    <n v="0"/>
    <n v="1.3090276799999998"/>
    <m/>
    <n v="0"/>
    <n v="0"/>
    <m/>
    <m/>
  </r>
  <r>
    <s v="Wegenbouwwerken"/>
    <x v="21"/>
    <x v="74"/>
    <s v="Bio Bound Betonband "/>
    <m/>
    <x v="4"/>
    <n v="330"/>
    <s v="m"/>
    <s v="Ja"/>
    <n v="0.05"/>
    <n v="16.5"/>
    <s v="m3"/>
    <n v="25"/>
    <n v="599.97101999999995"/>
    <n v="0"/>
    <n v="0"/>
    <n v="0"/>
    <n v="0"/>
    <n v="0.05"/>
    <n v="16.5"/>
    <s v=""/>
    <n v="0"/>
    <n v="599.97101999999995"/>
    <m/>
    <n v="0"/>
    <n v="0"/>
    <m/>
    <m/>
  </r>
  <r>
    <s v="Wegenbouwwerken"/>
    <x v="21"/>
    <x v="74"/>
    <s v="Bio Bound Betonband "/>
    <m/>
    <x v="4"/>
    <n v="145"/>
    <s v="m"/>
    <s v="Ja"/>
    <n v="0.05"/>
    <n v="7.25"/>
    <s v="m3"/>
    <n v="25"/>
    <n v="263.62362999999999"/>
    <n v="0"/>
    <n v="0"/>
    <n v="0"/>
    <n v="0"/>
    <n v="0.08"/>
    <n v="11.6"/>
    <s v=""/>
    <n v="0"/>
    <n v="263.62362999999999"/>
    <m/>
    <n v="0"/>
    <n v="0"/>
    <m/>
    <m/>
  </r>
  <r>
    <s v="Wegenbouwwerken"/>
    <x v="21"/>
    <x v="74"/>
    <s v="Bio Bound Betonband "/>
    <m/>
    <x v="4"/>
    <n v="330"/>
    <s v="m"/>
    <s v="Ja"/>
    <n v="0.05"/>
    <n v="16.5"/>
    <s v="m3"/>
    <n v="25"/>
    <n v="599.97101999999995"/>
    <n v="0"/>
    <n v="0"/>
    <n v="0"/>
    <n v="0"/>
    <m/>
    <m/>
    <m/>
    <n v="0"/>
    <n v="599.97101999999995"/>
    <m/>
    <n v="0"/>
    <n v="0"/>
    <m/>
    <m/>
  </r>
  <r>
    <s v="Wegenbouwwerken"/>
    <x v="21"/>
    <x v="74"/>
    <s v="Bio Bound Betonband "/>
    <m/>
    <x v="4"/>
    <n v="178"/>
    <s v="m"/>
    <s v="Ja"/>
    <n v="0.05"/>
    <n v="8.9"/>
    <s v="m3"/>
    <n v="25"/>
    <n v="323.62073200000003"/>
    <n v="0"/>
    <n v="0"/>
    <n v="0"/>
    <n v="0"/>
    <m/>
    <m/>
    <m/>
    <n v="0"/>
    <n v="323.62073200000003"/>
    <m/>
    <n v="0"/>
    <n v="0"/>
    <m/>
    <m/>
  </r>
  <r>
    <s v="Wegenbouwwerken"/>
    <x v="21"/>
    <x v="75"/>
    <s v="Bio Bound Betonband "/>
    <m/>
    <x v="4"/>
    <n v="1"/>
    <s v="stuks"/>
    <s v="Ja"/>
    <n v="2.5000000000000001E-2"/>
    <n v="2.5000000000000001E-2"/>
    <s v="m3"/>
    <n v="25"/>
    <n v="0.90904700000000005"/>
    <n v="0"/>
    <n v="0"/>
    <n v="0"/>
    <n v="0"/>
    <m/>
    <m/>
    <m/>
    <n v="0"/>
    <n v="0.90904700000000005"/>
    <m/>
    <n v="0"/>
    <n v="0"/>
    <m/>
    <m/>
  </r>
  <r>
    <s v="Wegenbouwwerken"/>
    <x v="21"/>
    <x v="75"/>
    <s v="Bio Bound Betonband "/>
    <m/>
    <x v="4"/>
    <n v="3"/>
    <s v="stuks"/>
    <s v="Ja"/>
    <n v="2.5000000000000001E-2"/>
    <n v="7.5000000000000011E-2"/>
    <s v="m3"/>
    <n v="25"/>
    <n v="2.7271410000000005"/>
    <n v="0"/>
    <n v="0"/>
    <n v="0"/>
    <n v="0"/>
    <m/>
    <m/>
    <m/>
    <n v="0"/>
    <n v="2.7271410000000005"/>
    <m/>
    <n v="0"/>
    <n v="0"/>
    <m/>
    <m/>
  </r>
  <r>
    <s v="Wegenbouwwerken"/>
    <x v="21"/>
    <x v="76"/>
    <s v="Trottoirband 180 200 x250 x 1000mm grijs"/>
    <s v="BETONBANDEN"/>
    <x v="0"/>
    <n v="6"/>
    <s v="m"/>
    <s v="Ja"/>
    <n v="1.1000000000000001"/>
    <n v="6.6000000000000005"/>
    <s v="m1"/>
    <n v="75"/>
    <n v="12.291134421911664"/>
    <n v="4.9135697505899101"/>
    <n v="4.318087062303837"/>
    <n v="0"/>
    <n v="-0.39664282726317041"/>
    <n v="5.5E-2"/>
    <n v="0.33"/>
    <s v="m3"/>
    <n v="8.25"/>
    <n v="8.25"/>
    <m/>
    <n v="0"/>
    <n v="0"/>
    <m/>
    <m/>
  </r>
  <r>
    <s v="Wegenbouwwerken"/>
    <x v="21"/>
    <x v="77"/>
    <s v="Bio Bound Betonband "/>
    <m/>
    <x v="4"/>
    <n v="6"/>
    <s v="stuks"/>
    <s v="Ja"/>
    <n v="5.5E-2"/>
    <n v="0.33"/>
    <s v="m3"/>
    <n v="25"/>
    <n v="11.9994204"/>
    <n v="0"/>
    <n v="0"/>
    <n v="0"/>
    <n v="0"/>
    <m/>
    <m/>
    <m/>
    <n v="0"/>
    <n v="11.9994204"/>
    <m/>
    <n v="0"/>
    <n v="0"/>
    <m/>
    <m/>
  </r>
  <r>
    <s v="Wegenbouwwerken"/>
    <x v="21"/>
    <x v="77"/>
    <s v="Bio Bound Betonband "/>
    <m/>
    <x v="4"/>
    <n v="2"/>
    <s v="stuks"/>
    <s v="Ja"/>
    <n v="5.5E-2"/>
    <n v="0.11"/>
    <s v="m3"/>
    <n v="25"/>
    <n v="3.9998068"/>
    <n v="0"/>
    <n v="0"/>
    <n v="0"/>
    <n v="0"/>
    <m/>
    <m/>
    <m/>
    <n v="0"/>
    <n v="3.9998068"/>
    <m/>
    <n v="0"/>
    <n v="0"/>
    <m/>
    <m/>
  </r>
  <r>
    <s v="Wegenbouwwerken"/>
    <x v="21"/>
    <x v="78"/>
    <s v="Opsluitband beton 300x150x1000mm grijs"/>
    <s v="BETONBANDEN"/>
    <x v="0"/>
    <n v="40"/>
    <s v="m"/>
    <s v="Ja"/>
    <n v="4"/>
    <n v="160"/>
    <s v="m1"/>
    <n v="75"/>
    <n v="352.62860653280757"/>
    <n v="151.25948246164225"/>
    <n v="123.77166757505611"/>
    <n v="0"/>
    <n v="-22.375402851992156"/>
    <n v="0.18"/>
    <n v="7.1999999999999993"/>
    <s v="m3"/>
    <n v="179.99999999999997"/>
    <n v="179.99999999999997"/>
    <m/>
    <n v="0"/>
    <n v="0"/>
    <m/>
    <m/>
  </r>
  <r>
    <s v="Wegenbouwwerken"/>
    <x v="21"/>
    <x v="79"/>
    <s v="Bio Bound Betonband "/>
    <m/>
    <x v="4"/>
    <n v="10"/>
    <s v="stuks"/>
    <s v="Ja"/>
    <n v="0.18"/>
    <n v="1.7999999999999998"/>
    <s v="m3"/>
    <n v="25"/>
    <n v="65.45138399999999"/>
    <n v="0"/>
    <n v="0"/>
    <n v="0"/>
    <n v="0"/>
    <m/>
    <m/>
    <m/>
    <n v="0"/>
    <n v="65.45138399999999"/>
    <m/>
    <n v="0"/>
    <n v="0"/>
    <m/>
    <m/>
  </r>
  <r>
    <s v="Wegenbouwwerken"/>
    <x v="22"/>
    <x v="80"/>
    <s v="AC binbase 50% PR PCR asfalt 2.0"/>
    <s v="AC BIN-BASE * 60%"/>
    <x v="4"/>
    <n v="835"/>
    <s v="ton"/>
    <s v="Ja"/>
    <n v="1000"/>
    <n v="835000"/>
    <s v="kg"/>
    <n v="45"/>
    <n v="5044.2945667615732"/>
    <n v="5481.9310044411086"/>
    <n v="479.87988882873765"/>
    <n v="504.42945667615754"/>
    <n v="-1421.9457831844302"/>
    <n v="1"/>
    <n v="835"/>
    <s v="ton"/>
    <n v="3627.6111111111113"/>
    <n v="3627.6111111111113"/>
    <m/>
    <n v="0"/>
    <n v="0"/>
    <m/>
    <m/>
  </r>
  <r>
    <s v="Wegenbouwwerken"/>
    <x v="22"/>
    <x v="81"/>
    <s v="AC binbase 50% PR PCR asfalt 2.0"/>
    <s v="AC BIN-BASE * 60%"/>
    <x v="4"/>
    <n v="595"/>
    <s v="ton"/>
    <s v="Ja"/>
    <n v="1000"/>
    <n v="595000"/>
    <s v="kg"/>
    <n v="45"/>
    <n v="3594.4374457762106"/>
    <n v="3906.2861648412691"/>
    <n v="341.95033994383101"/>
    <n v="359.44374457762126"/>
    <n v="-1013.2428035865103"/>
    <n v="1"/>
    <n v="595"/>
    <s v="ton"/>
    <n v="2584.9444444444448"/>
    <n v="2584.9444444444448"/>
    <m/>
    <n v="0"/>
    <n v="0"/>
    <m/>
    <m/>
  </r>
  <r>
    <s v="Wegenbouwwerken"/>
    <x v="22"/>
    <x v="82"/>
    <s v="AC surf zonder PR PCR asfalt 2.0"/>
    <s v="AC SURF * 30%"/>
    <x v="4"/>
    <n v="1125"/>
    <s v="ton"/>
    <s v="Ja"/>
    <n v="1000"/>
    <n v="1125000"/>
    <s v="kg"/>
    <n v="14"/>
    <n v="142045.31642719414"/>
    <n v="51979.385839546601"/>
    <n v="2552.0055321141958"/>
    <n v="102602.41295736331"/>
    <n v="-15088.487901829953"/>
    <n v="1"/>
    <n v="1125"/>
    <s v="ton"/>
    <n v="27522.321428571431"/>
    <n v="27522.321428571431"/>
    <m/>
    <n v="0"/>
    <n v="0"/>
    <m/>
    <m/>
  </r>
  <r>
    <s v="Wegenbouwwerken"/>
    <x v="22"/>
    <x v="83"/>
    <s v="Bitumen emulsie kleeflaag"/>
    <m/>
    <x v="0"/>
    <n v="9460"/>
    <s v="m2"/>
    <s v="Ja"/>
    <n v="1"/>
    <n v="9460"/>
    <s v="m2"/>
    <n v="45"/>
    <n v="1340.6382146349997"/>
    <n v="607.8717851210597"/>
    <n v="316.14023905804981"/>
    <n v="103.06633472010493"/>
    <n v="3.5849883018344211"/>
    <m/>
    <m/>
    <s v=""/>
    <n v="0"/>
    <n v="1340.6382146349997"/>
    <m/>
    <n v="0"/>
    <n v="0"/>
    <m/>
    <m/>
  </r>
  <r>
    <s v="Wegenbouwwerken"/>
    <x v="22"/>
    <x v="84"/>
    <s v="Bitumen emulsie kleeflaag"/>
    <m/>
    <x v="0"/>
    <n v="4280"/>
    <s v="m2"/>
    <s v="Ja"/>
    <n v="0.74999999999999989"/>
    <n v="3209.9999999999995"/>
    <s v="m2"/>
    <n v="45"/>
    <n v="454.91000729158014"/>
    <n v="206.26516175883734"/>
    <n v="107.27380204823889"/>
    <n v="34.972826051959494"/>
    <n v="1.216470660559037"/>
    <m/>
    <m/>
    <s v=""/>
    <n v="0"/>
    <n v="454.91000729158014"/>
    <m/>
    <n v="0"/>
    <n v="0"/>
    <m/>
    <m/>
  </r>
  <r>
    <m/>
    <x v="1"/>
    <x v="85"/>
    <s v="Asfaltfrees diesel"/>
    <m/>
    <x v="0"/>
    <n v="80"/>
    <s v="m2"/>
    <s v="Ja"/>
    <n v="0.14099999999999999"/>
    <n v="11.28"/>
    <s v="uur"/>
    <n v="999"/>
    <n v="121.0180364923591"/>
    <n v="0"/>
    <n v="93.090796448177173"/>
    <n v="0"/>
    <n v="0"/>
    <m/>
    <m/>
    <m/>
    <n v="0"/>
    <n v="121.0180364923591"/>
    <m/>
    <n v="0"/>
    <n v="0"/>
    <m/>
    <m/>
  </r>
  <r>
    <m/>
    <x v="1"/>
    <x v="86"/>
    <s v="Geotextiel"/>
    <m/>
    <x v="0"/>
    <n v="80"/>
    <s v="m2"/>
    <s v="Ja"/>
    <n v="1"/>
    <n v="80"/>
    <s v="m2"/>
    <n v="999"/>
    <n v="41.76432684224914"/>
    <n v="6.0562850720006409"/>
    <n v="10.219407973491146"/>
    <n v="0"/>
    <n v="15.584504619773636"/>
    <m/>
    <m/>
    <m/>
    <n v="0"/>
    <n v="41.76432684224914"/>
    <m/>
    <n v="0"/>
    <n v="0"/>
    <m/>
    <m/>
  </r>
  <r>
    <m/>
    <x v="1"/>
    <x v="87"/>
    <s v="Bitumen emulsie kleeflaag"/>
    <m/>
    <x v="0"/>
    <n v="80"/>
    <s v="m2"/>
    <s v="Ja"/>
    <n v="1.7499999999999998"/>
    <n v="139.99999999999997"/>
    <s v="m2"/>
    <n v="45"/>
    <n v="19.840311844492593"/>
    <n v="8.9959883633137778"/>
    <n v="4.6786081890197639"/>
    <n v="1.5252945941664575"/>
    <n v="5.3054795164568583E-2"/>
    <m/>
    <m/>
    <m/>
    <n v="0"/>
    <n v="19.840311844492593"/>
    <m/>
    <n v="0"/>
    <n v="0"/>
    <m/>
    <m/>
  </r>
  <r>
    <m/>
    <x v="1"/>
    <x v="88"/>
    <s v="AC binbase 50% PR PCR asfalt 2.0"/>
    <s v="AC BIN-BASE * 60%"/>
    <x v="4"/>
    <n v="10"/>
    <s v="ton"/>
    <s v="Ja"/>
    <n v="1000"/>
    <n v="10000"/>
    <s v="kg"/>
    <n v="45"/>
    <n v="60.410713374390099"/>
    <n v="65.651868316659986"/>
    <n v="5.7470645368711093"/>
    <n v="6.0410713374390124"/>
    <n v="-17.029290816580005"/>
    <n v="1"/>
    <n v="10"/>
    <s v="ton"/>
    <n v="43.44444444444445"/>
    <n v="43.44444444444445"/>
    <m/>
    <n v="0"/>
    <n v="0"/>
    <m/>
    <m/>
  </r>
  <r>
    <s v="Wegenbouwwerken"/>
    <x v="23"/>
    <x v="89"/>
    <s v="Bio Bound Betonstraatsteen"/>
    <m/>
    <x v="4"/>
    <n v="840"/>
    <s v="m2"/>
    <s v="Ja"/>
    <n v="0.1"/>
    <n v="84"/>
    <s v="m3"/>
    <n v="25"/>
    <n v="2770.6375199999998"/>
    <n v="0"/>
    <n v="0"/>
    <n v="0"/>
    <n v="0"/>
    <m/>
    <m/>
    <m/>
    <n v="0"/>
    <n v="2770.6375199999998"/>
    <m/>
    <n v="0"/>
    <n v="0"/>
    <m/>
    <m/>
  </r>
  <r>
    <s v="Wegenbouwwerken"/>
    <x v="23"/>
    <x v="90"/>
    <s v="Bio Bound Betontegel"/>
    <m/>
    <x v="4"/>
    <n v="10"/>
    <s v="m"/>
    <s v="Ja"/>
    <n v="1.4999999999999999E-2"/>
    <n v="0.15"/>
    <s v="m3"/>
    <n v="25"/>
    <n v="5.5849650000000013"/>
    <n v="0"/>
    <n v="0"/>
    <n v="0"/>
    <n v="0"/>
    <m/>
    <m/>
    <s v=""/>
    <n v="0"/>
    <n v="5.5849650000000013"/>
    <m/>
    <n v="0"/>
    <n v="0"/>
    <m/>
    <m/>
  </r>
  <r>
    <m/>
    <x v="1"/>
    <x v="90"/>
    <s v="Bio Bound Betontegel"/>
    <m/>
    <x v="4"/>
    <n v="260"/>
    <s v="m"/>
    <s v="Ja"/>
    <n v="0.03"/>
    <n v="7.8"/>
    <s v="m3"/>
    <n v="25"/>
    <n v="290.41818000000006"/>
    <n v="0"/>
    <n v="0"/>
    <n v="0"/>
    <n v="0"/>
    <m/>
    <m/>
    <m/>
    <n v="0"/>
    <n v="290.41818000000006"/>
    <m/>
    <n v="0"/>
    <n v="0"/>
    <m/>
    <m/>
  </r>
  <r>
    <m/>
    <x v="1"/>
    <x v="91"/>
    <s v="Betonstraatsteen 210x105x80mm door en door grijs"/>
    <s v="STRAATSTEEN"/>
    <x v="0"/>
    <n v="280"/>
    <s v="m2"/>
    <s v="Ja"/>
    <n v="1"/>
    <n v="280"/>
    <s v="m2"/>
    <n v="25"/>
    <n v="3516.2860805768205"/>
    <n v="925.81864077172543"/>
    <n v="325.19155389152166"/>
    <n v="1339.9396721039764"/>
    <n v="88.929477440729244"/>
    <n v="0.08"/>
    <n v="22.400000000000002"/>
    <m/>
    <n v="940.80000000000007"/>
    <n v="940.80000000000007"/>
    <m/>
    <n v="0"/>
    <n v="0"/>
    <m/>
    <m/>
  </r>
  <r>
    <m/>
    <x v="1"/>
    <x v="92"/>
    <s v="Bio Bound Betontegel"/>
    <m/>
    <x v="4"/>
    <n v="1000"/>
    <s v="m2"/>
    <s v="Ja"/>
    <n v="4.4999999999999998E-2"/>
    <n v="45"/>
    <s v="m3"/>
    <n v="25"/>
    <n v="1675.4895000000004"/>
    <n v="0"/>
    <n v="0"/>
    <n v="0"/>
    <n v="0"/>
    <n v="4.4999999999999998E-2"/>
    <n v="45"/>
    <s v=""/>
    <n v="0"/>
    <n v="1675.4895000000004"/>
    <m/>
    <n v="0"/>
    <n v="0"/>
    <m/>
    <m/>
  </r>
  <r>
    <m/>
    <x v="1"/>
    <x v="92"/>
    <s v="Bio Bound Betontegel"/>
    <m/>
    <x v="4"/>
    <n v="660"/>
    <s v="m2"/>
    <s v="Ja"/>
    <n v="4.4999999999999998E-2"/>
    <n v="29.7"/>
    <s v="m3"/>
    <n v="25"/>
    <n v="1105.8230700000001"/>
    <n v="0"/>
    <n v="0"/>
    <n v="0"/>
    <n v="0"/>
    <n v="4.4999999999999998E-2"/>
    <n v="29.7"/>
    <s v=""/>
    <n v="0"/>
    <n v="1105.8230700000001"/>
    <m/>
    <n v="0"/>
    <n v="0"/>
    <m/>
    <m/>
  </r>
  <r>
    <m/>
    <x v="1"/>
    <x v="92"/>
    <s v="Bio Bound Betontegel"/>
    <m/>
    <x v="4"/>
    <n v="490"/>
    <s v="m2"/>
    <s v="Ja"/>
    <n v="0.08"/>
    <n v="39.200000000000003"/>
    <s v="m3"/>
    <n v="25"/>
    <n v="1459.5375200000003"/>
    <n v="0"/>
    <n v="0"/>
    <n v="0"/>
    <n v="0"/>
    <n v="0.08"/>
    <n v="39.200000000000003"/>
    <s v=""/>
    <n v="0"/>
    <n v="1459.5375200000003"/>
    <m/>
    <n v="0"/>
    <n v="0"/>
    <m/>
    <m/>
  </r>
  <r>
    <m/>
    <x v="1"/>
    <x v="92"/>
    <s v="Bio Bound Betontegel"/>
    <m/>
    <x v="4"/>
    <n v="500"/>
    <s v="m2"/>
    <s v="Ja"/>
    <n v="0.08"/>
    <n v="40"/>
    <s v="m3"/>
    <n v="25"/>
    <n v="1489.3240000000003"/>
    <n v="0"/>
    <n v="0"/>
    <n v="0"/>
    <n v="0"/>
    <n v="0.08"/>
    <n v="40"/>
    <s v=""/>
    <n v="0"/>
    <n v="1489.3240000000003"/>
    <m/>
    <n v="0"/>
    <n v="0"/>
    <m/>
    <m/>
  </r>
  <r>
    <m/>
    <x v="1"/>
    <x v="93"/>
    <s v="Betontegels 300x300x60mm grijs"/>
    <s v="BETONTEGELS * 15%/C20,5"/>
    <x v="0"/>
    <n v="12"/>
    <s v="st"/>
    <s v="Ja"/>
    <n v="0.09"/>
    <n v="1.08"/>
    <s v="m2"/>
    <n v="25"/>
    <n v="10.385500273963221"/>
    <n v="2.6782610679467758"/>
    <n v="0.98290667777447283"/>
    <n v="3.9583259620131348"/>
    <n v="0.29715821629188582"/>
    <n v="5.3999999999999994E-3"/>
    <n v="6.4799999999999996E-2"/>
    <s v="m3"/>
    <n v="2.6568000000000001"/>
    <n v="2.6568000000000001"/>
    <m/>
    <n v="0"/>
    <n v="0"/>
    <m/>
    <m/>
  </r>
  <r>
    <s v="Wegenbouwwerken"/>
    <x v="23"/>
    <x v="94"/>
    <s v="Bio Bound Betontegel"/>
    <m/>
    <x v="4"/>
    <n v="80"/>
    <s v="stuks"/>
    <s v="Ja"/>
    <n v="4.0499999999999998E-3"/>
    <n v="0.32399999999999995"/>
    <s v="m3"/>
    <n v="25"/>
    <n v="12.0635244"/>
    <n v="0"/>
    <n v="0"/>
    <n v="0"/>
    <n v="0"/>
    <m/>
    <m/>
    <s v=""/>
    <n v="0"/>
    <n v="12.0635244"/>
    <m/>
    <n v="0"/>
    <n v="0"/>
    <m/>
    <m/>
  </r>
  <r>
    <s v="Wegenbouwwerken"/>
    <x v="23"/>
    <x v="94"/>
    <s v="Bio Bound Betontegel"/>
    <m/>
    <x v="4"/>
    <n v="55"/>
    <s v="stuks"/>
    <s v="Ja"/>
    <n v="7.1999999999999998E-3"/>
    <n v="0.39599999999999996"/>
    <s v="m3"/>
    <n v="25"/>
    <n v="14.744307600000001"/>
    <n v="0"/>
    <n v="0"/>
    <n v="0"/>
    <n v="0"/>
    <m/>
    <m/>
    <s v=""/>
    <n v="0"/>
    <n v="14.744307600000001"/>
    <m/>
    <n v="0"/>
    <n v="0"/>
    <m/>
    <m/>
  </r>
  <r>
    <m/>
    <x v="1"/>
    <x v="95"/>
    <s v="Bio Bound Betontegel"/>
    <m/>
    <x v="4"/>
    <n v="1000"/>
    <s v="stuks"/>
    <s v="Ja"/>
    <n v="1.3333333333333333"/>
    <n v="1333.3333333333333"/>
    <s v="m3"/>
    <n v="25"/>
    <n v="49644.133333333339"/>
    <n v="0"/>
    <n v="0"/>
    <n v="0"/>
    <n v="0"/>
    <n v="0.08"/>
    <n v="80"/>
    <s v=""/>
    <n v="0"/>
    <n v="49644.133333333339"/>
    <m/>
    <n v="0"/>
    <n v="0"/>
    <m/>
    <m/>
  </r>
  <r>
    <m/>
    <x v="1"/>
    <x v="92"/>
    <s v="Bio Bound Betontegel"/>
    <m/>
    <x v="4"/>
    <n v="18"/>
    <s v="m2"/>
    <s v="Ja"/>
    <n v="4.4999999999999998E-2"/>
    <n v="0.80999999999999994"/>
    <s v="m3"/>
    <n v="25"/>
    <n v="30.158811000000004"/>
    <n v="0"/>
    <n v="0"/>
    <n v="0"/>
    <n v="0"/>
    <n v="4.4999999999999998E-2"/>
    <n v="0.80999999999999994"/>
    <s v=""/>
    <n v="0"/>
    <n v="30.158811000000004"/>
    <m/>
    <n v="0"/>
    <n v="0"/>
    <m/>
    <m/>
  </r>
  <r>
    <s v="Wegenbouwwerken"/>
    <x v="23"/>
    <x v="96"/>
    <s v="Bio Bound Betontegel"/>
    <m/>
    <x v="4"/>
    <n v="670"/>
    <s v="m2"/>
    <s v="Ja"/>
    <n v="0.08"/>
    <n v="53.6"/>
    <s v="m3"/>
    <n v="25"/>
    <n v="1995.6941600000005"/>
    <n v="0"/>
    <n v="0"/>
    <n v="0"/>
    <n v="0"/>
    <n v="0.08"/>
    <n v="53.6"/>
    <s v=""/>
    <n v="0"/>
    <n v="1995.6941600000005"/>
    <m/>
    <n v="0"/>
    <n v="0"/>
    <m/>
    <m/>
  </r>
  <r>
    <s v="Wegenbouwwerken"/>
    <x v="23"/>
    <x v="96"/>
    <s v="Bio Bound Betontegel"/>
    <m/>
    <x v="4"/>
    <n v="870"/>
    <s v="m2"/>
    <s v="Ja"/>
    <n v="4.4999999999999998E-2"/>
    <n v="39.15"/>
    <s v="m3"/>
    <n v="25"/>
    <n v="1457.6758650000002"/>
    <n v="0"/>
    <n v="0"/>
    <n v="0"/>
    <n v="0"/>
    <n v="0.08"/>
    <n v="69.600000000000009"/>
    <s v=""/>
    <n v="0"/>
    <n v="1457.6758650000002"/>
    <m/>
    <n v="0"/>
    <n v="0"/>
    <m/>
    <m/>
  </r>
  <r>
    <s v="Wegenbouwwerken"/>
    <x v="23"/>
    <x v="97"/>
    <s v="Bio Bound Betontegel"/>
    <m/>
    <x v="4"/>
    <n v="120"/>
    <s v="m"/>
    <s v="Ja"/>
    <n v="3.2000000000000006E-3"/>
    <n v="0.38400000000000006"/>
    <s v="m3"/>
    <n v="25"/>
    <n v="14.297510400000006"/>
    <n v="0"/>
    <n v="0"/>
    <n v="0"/>
    <n v="0"/>
    <m/>
    <m/>
    <s v=""/>
    <n v="0"/>
    <n v="14.297510400000006"/>
    <m/>
    <n v="0"/>
    <n v="0"/>
    <m/>
    <m/>
  </r>
  <r>
    <s v="Wegenbouwwerken"/>
    <x v="23"/>
    <x v="98"/>
    <s v="Bio Bound Grasbetontegel "/>
    <m/>
    <x v="4"/>
    <n v="150"/>
    <s v="m2"/>
    <s v="Ja"/>
    <n v="0.1"/>
    <n v="15"/>
    <s v="m3"/>
    <n v="25"/>
    <n v="403.31849999999997"/>
    <n v="0"/>
    <n v="0"/>
    <n v="0"/>
    <n v="0"/>
    <n v="0.1"/>
    <n v="15"/>
    <s v=""/>
    <n v="0"/>
    <n v="403.31849999999997"/>
    <m/>
    <n v="0"/>
    <n v="0"/>
    <m/>
    <m/>
  </r>
  <r>
    <s v="Wegenbouwwerken"/>
    <x v="24"/>
    <x v="99"/>
    <s v="Funderingslaag Menggranulaat"/>
    <m/>
    <x v="0"/>
    <n v="200"/>
    <s v="m2"/>
    <s v="Ja"/>
    <n v="1"/>
    <n v="200"/>
    <s v="m2"/>
    <n v="100"/>
    <n v="170.97053226718751"/>
    <n v="0"/>
    <n v="77.043168476198986"/>
    <n v="5.498987638"/>
    <n v="48.973636731491084"/>
    <m/>
    <m/>
    <s v=""/>
    <n v="0"/>
    <n v="170.97053226718751"/>
    <m/>
    <n v="0"/>
    <n v="0"/>
    <m/>
    <m/>
  </r>
  <r>
    <s v="Wegenbouwwerken"/>
    <x v="24"/>
    <x v="100"/>
    <s v="Sportvelden fundering lava"/>
    <m/>
    <x v="0"/>
    <n v="180"/>
    <s v="m2"/>
    <s v="Ja"/>
    <n v="3"/>
    <n v="540"/>
    <s v="m2"/>
    <n v="30"/>
    <n v="1522.4019249880373"/>
    <n v="97.255693727766044"/>
    <n v="561.16018265960236"/>
    <n v="460.61522123383247"/>
    <n v="32.506955463380315"/>
    <m/>
    <m/>
    <s v=""/>
    <n v="0"/>
    <n v="1522.4019249880373"/>
    <m/>
    <n v="0"/>
    <n v="0"/>
    <m/>
    <m/>
  </r>
  <r>
    <s v="Wegenbouwwerken"/>
    <x v="24"/>
    <x v="101"/>
    <s v="Stabilizer IJssel en Maas mix EcoDynamic"/>
    <m/>
    <x v="3"/>
    <n v="180"/>
    <s v="m2"/>
    <s v="Ja"/>
    <n v="1"/>
    <n v="180"/>
    <s v="m2"/>
    <n v="25"/>
    <n v="84.640182597920216"/>
    <n v="66.453302382007422"/>
    <n v="29.595756267913742"/>
    <n v="0"/>
    <n v="-11.408876052000965"/>
    <m/>
    <m/>
    <s v=""/>
    <n v="0"/>
    <n v="84.640182597920216"/>
    <m/>
    <n v="0"/>
    <n v="0"/>
    <m/>
    <m/>
  </r>
  <r>
    <s v="Inrichtingswerken"/>
    <x v="25"/>
    <x v="102"/>
    <s v="Balustrades, Staal, gepoedercoat; spijlen"/>
    <m/>
    <x v="0"/>
    <n v="5"/>
    <s v="st"/>
    <s v="Ja"/>
    <n v="4.5000000000000009"/>
    <n v="22.500000000000004"/>
    <s v="m1"/>
    <n v="50"/>
    <n v="90.570694474605872"/>
    <n v="110.8829473708671"/>
    <n v="4.205294410412586"/>
    <n v="0"/>
    <n v="-59.367014069282753"/>
    <m/>
    <m/>
    <s v=""/>
    <n v="0"/>
    <n v="90.570694474605872"/>
    <m/>
    <n v="0"/>
    <n v="0"/>
    <m/>
    <m/>
  </r>
  <r>
    <s v="Inrichtingswerken"/>
    <x v="26"/>
    <x v="103"/>
    <s v="Bordenpaal 4876mm, verzinkt staal incl bevestigingsmiddelen"/>
    <s v=""/>
    <x v="0"/>
    <n v="22"/>
    <s v="st"/>
    <s v="Ja"/>
    <n v="1"/>
    <n v="22"/>
    <s v="p"/>
    <n v="12"/>
    <n v="4153.8577629381507"/>
    <n v="948.03486543490726"/>
    <n v="34.320824276799804"/>
    <n v="2222.3873561630858"/>
    <n v="-300.62694237073276"/>
    <m/>
    <m/>
    <s v=""/>
    <n v="0"/>
    <n v="4153.8577629381507"/>
    <m/>
    <n v="0"/>
    <e v="#VALUE!"/>
    <m/>
    <m/>
  </r>
  <r>
    <s v="Inrichtingswerken"/>
    <x v="26"/>
    <x v="103"/>
    <s v="Vierkant RVV verkeersbord cat III, coilcoated aluminium"/>
    <s v="Vierkant RVV verkeersbord cat III, 100% secundair coilcoated aluminium"/>
    <x v="0"/>
    <n v="40"/>
    <s v="st"/>
    <s v="Ja"/>
    <n v="1"/>
    <n v="40"/>
    <s v="p"/>
    <n v="12"/>
    <n v="4887.3698872993555"/>
    <n v="1378.8224619074895"/>
    <n v="44.729404037096089"/>
    <n v="2344.271804393506"/>
    <n v="-683.25550666242577"/>
    <n v="1"/>
    <n v="40"/>
    <s v="p"/>
    <n v="3558.8442188262502"/>
    <n v="3558.8442188262502"/>
    <m/>
    <n v="0"/>
    <n v="0"/>
    <m/>
    <m/>
  </r>
  <r>
    <s v="Inrichtingswerken"/>
    <x v="27"/>
    <x v="104"/>
    <s v="Lengtemarkering, doorlopend, thermoplastisch"/>
    <m/>
    <x v="0"/>
    <n v="0.95"/>
    <s v="km"/>
    <s v="Ja"/>
    <n v="500"/>
    <n v="475"/>
    <s v="m1"/>
    <n v="6"/>
    <n v="26079.550007199789"/>
    <n v="1737.110887511679"/>
    <n v="25.914289403265922"/>
    <n v="17673.774745811967"/>
    <n v="624.39220654366238"/>
    <m/>
    <m/>
    <m/>
    <n v="0"/>
    <n v="26079.550007199789"/>
    <m/>
    <n v="0"/>
    <n v="0"/>
    <m/>
    <m/>
  </r>
  <r>
    <s v="Inrichtingswerken"/>
    <x v="27"/>
    <x v="104"/>
    <s v="Lengtemarkering, doorlopend, thermoplastisch"/>
    <m/>
    <x v="0"/>
    <n v="0.48"/>
    <s v="km"/>
    <s v="Ja"/>
    <n v="333.33333333333331"/>
    <n v="159.99999999999997"/>
    <s v="m1"/>
    <n v="6"/>
    <n v="8784.6905287409791"/>
    <n v="585.13208842498648"/>
    <n v="8.7290237989948345"/>
    <n v="5953.271493326135"/>
    <n v="210.32158536207572"/>
    <m/>
    <m/>
    <m/>
    <n v="0"/>
    <n v="8784.6905287409791"/>
    <m/>
    <n v="0"/>
    <n v="0"/>
    <m/>
    <m/>
  </r>
  <r>
    <s v="Inrichtingswerken"/>
    <x v="27"/>
    <x v="104"/>
    <s v="Lengtemarkering, doorlopend, thermoplastisch"/>
    <m/>
    <x v="0"/>
    <n v="0.09"/>
    <s v="km"/>
    <s v="Ja"/>
    <n v="333.33333333333331"/>
    <n v="29.999999999999996"/>
    <s v="m1"/>
    <n v="6"/>
    <n v="1647.129474138934"/>
    <n v="109.71226657968498"/>
    <n v="1.6366919623115317"/>
    <n v="1116.2384049986504"/>
    <n v="39.435297255389202"/>
    <m/>
    <m/>
    <m/>
    <n v="0"/>
    <n v="1647.129474138934"/>
    <m/>
    <n v="0"/>
    <n v="0"/>
    <m/>
    <m/>
  </r>
  <r>
    <s v="Inrichtingswerken"/>
    <x v="27"/>
    <x v="104"/>
    <s v="Lengtemarkering, doorlopend, thermoplastisch"/>
    <m/>
    <x v="0"/>
    <n v="7.0000000000000007E-2"/>
    <s v="km"/>
    <s v="Ja"/>
    <n v="166.66666666666666"/>
    <n v="11.666666666666668"/>
    <s v="m1"/>
    <n v="6"/>
    <n v="640.5503510540301"/>
    <n v="42.665881447655281"/>
    <n v="0.63649131867670694"/>
    <n v="434.0927130550308"/>
    <n v="15.335948932651359"/>
    <m/>
    <m/>
    <m/>
    <n v="0"/>
    <n v="640.5503510540301"/>
    <m/>
    <n v="0"/>
    <n v="0"/>
    <m/>
    <m/>
  </r>
  <r>
    <m/>
    <x v="1"/>
    <x v="105"/>
    <s v="Lengtemarkering, doorlopend, thermoplastisch"/>
    <m/>
    <x v="0"/>
    <n v="10.01"/>
    <s v="m2"/>
    <s v="Ja"/>
    <n v="5"/>
    <n v="50.05"/>
    <s v="m1"/>
    <n v="6"/>
    <n v="2747.9610060217883"/>
    <n v="183.03663141044112"/>
    <n v="2.7305477571230719"/>
    <n v="1862.2577390060819"/>
    <n v="65.791220921074327"/>
    <m/>
    <m/>
    <m/>
    <n v="0"/>
    <n v="2747.9610060217883"/>
    <m/>
    <n v="0"/>
    <n v="0"/>
    <m/>
    <m/>
  </r>
  <r>
    <m/>
    <x v="1"/>
    <x v="106"/>
    <m/>
    <m/>
    <x v="2"/>
    <n v="8"/>
    <s v="st"/>
    <s v="Nee"/>
    <m/>
    <n v="0"/>
    <s v=""/>
    <n v="0"/>
    <n v="0"/>
    <n v="0"/>
    <n v="0"/>
    <n v="0"/>
    <n v="0"/>
    <m/>
    <m/>
    <m/>
    <n v="0"/>
    <n v="0"/>
    <m/>
    <n v="0"/>
    <n v="0"/>
    <m/>
    <m/>
  </r>
  <r>
    <m/>
    <x v="1"/>
    <x v="107"/>
    <s v="Bordenpaal 4876mm, verzinkt staal incl bevestigingsmiddelen"/>
    <m/>
    <x v="0"/>
    <n v="4"/>
    <s v="st"/>
    <s v="Ja"/>
    <n v="1"/>
    <n v="4"/>
    <s v="p"/>
    <n v="12"/>
    <n v="755.24686598875462"/>
    <n v="172.36997553361951"/>
    <n v="6.2401498685090555"/>
    <n v="404.07042839328835"/>
    <n v="-54.65944406740595"/>
    <m/>
    <m/>
    <m/>
    <n v="0"/>
    <n v="755.24686598875462"/>
    <m/>
    <n v="0"/>
    <n v="0"/>
    <m/>
    <m/>
  </r>
  <r>
    <s v="Inrichtingswerken"/>
    <x v="28"/>
    <x v="108"/>
    <s v="Sleufloos, aanleg van leidingwerk per m1"/>
    <m/>
    <x v="0"/>
    <n v="2550"/>
    <s v="m"/>
    <s v="Ja"/>
    <n v="1"/>
    <n v="2550"/>
    <s v="m1"/>
    <n v="999"/>
    <n v="17202.229547161849"/>
    <n v="0"/>
    <n v="13232.484145706421"/>
    <n v="0"/>
    <n v="0"/>
    <m/>
    <m/>
    <m/>
    <n v="0"/>
    <n v="17202.229547161849"/>
    <m/>
    <n v="0"/>
    <n v="0"/>
    <m/>
    <m/>
  </r>
  <r>
    <s v="Inrichtingswerken"/>
    <x v="28"/>
    <x v="109"/>
    <s v="Bekabeling, grondkabel"/>
    <m/>
    <x v="0"/>
    <n v="4240"/>
    <s v="m"/>
    <s v="Ja"/>
    <n v="1"/>
    <n v="4240"/>
    <s v="m1"/>
    <n v="30"/>
    <n v="19953.964952004957"/>
    <n v="14889.791077519136"/>
    <n v="492.98968350187005"/>
    <n v="4737.2693355917136"/>
    <n v="-8276.8767576334394"/>
    <m/>
    <m/>
    <m/>
    <n v="0"/>
    <n v="19953.964952004957"/>
    <m/>
    <n v="0"/>
    <n v="0"/>
    <m/>
    <m/>
  </r>
  <r>
    <m/>
    <x v="1"/>
    <x v="110"/>
    <m/>
    <m/>
    <x v="2"/>
    <n v="1"/>
    <s v="st"/>
    <s v="Nee"/>
    <m/>
    <n v="0"/>
    <s v=""/>
    <n v="0"/>
    <n v="0"/>
    <n v="0"/>
    <n v="0"/>
    <n v="0"/>
    <n v="0"/>
    <m/>
    <m/>
    <m/>
    <n v="0"/>
    <n v="0"/>
    <m/>
    <n v="0"/>
    <n v="0"/>
    <m/>
    <m/>
  </r>
  <r>
    <m/>
    <x v="1"/>
    <x v="111"/>
    <s v="Straatwerk elementen, kasseien, natuursteen, Europa"/>
    <m/>
    <x v="0"/>
    <n v="62"/>
    <s v="st"/>
    <s v="Ja"/>
    <n v="0.5625"/>
    <n v="34.875"/>
    <s v="m2"/>
    <n v="25"/>
    <n v="556.97216515657033"/>
    <n v="137.01980691475651"/>
    <n v="69.625704200174752"/>
    <n v="210.04591160634629"/>
    <n v="3.4004004914150254"/>
    <m/>
    <m/>
    <m/>
    <n v="0"/>
    <n v="556.97216515657033"/>
    <m/>
    <n v="0"/>
    <n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1BB56D9-6ECC-491E-A840-B65B70BD9384}" name="PivotTable2" cacheId="6711"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1:B2" firstHeaderRow="1" firstDataRow="1" firstDataCol="1"/>
  <pivotFields count="28">
    <pivotField showAll="0"/>
    <pivotField showAll="0"/>
    <pivotField showAll="0"/>
    <pivotField showAll="0"/>
    <pivotField showAll="0"/>
    <pivotField axis="axisRow" showAll="0">
      <items count="8">
        <item h="1" x="2"/>
        <item m="1" x="6"/>
        <item m="1" x="5"/>
        <item h="1" x="0"/>
        <item h="1" x="4"/>
        <item h="1" x="3"/>
        <item h="1" x="1"/>
        <item t="default"/>
      </items>
    </pivotField>
    <pivotField showAll="0"/>
    <pivotField showAll="0"/>
    <pivotField showAll="0"/>
    <pivotField numFmtId="167" showAll="0"/>
    <pivotField numFmtId="1" showAll="0"/>
    <pivotField showAll="0"/>
    <pivotField showAll="0"/>
    <pivotField dataField="1" showAll="0"/>
    <pivotField numFmtId="168" showAll="0"/>
    <pivotField numFmtId="168" showAll="0"/>
    <pivotField numFmtId="168" showAll="0"/>
    <pivotField numFmtId="168" showAll="0"/>
    <pivotField showAll="0"/>
    <pivotField showAll="0"/>
    <pivotField showAll="0"/>
    <pivotField showAll="0"/>
    <pivotField showAll="0"/>
    <pivotField showAll="0"/>
    <pivotField numFmtId="169" showAll="0"/>
    <pivotField numFmtId="169" showAll="0"/>
    <pivotField showAll="0"/>
    <pivotField showAll="0"/>
  </pivotFields>
  <rowFields count="1">
    <field x="5"/>
  </rowFields>
  <rowItems count="1">
    <i t="grand">
      <x/>
    </i>
  </rowItems>
  <colItems count="1">
    <i/>
  </colItems>
  <dataFields count="1">
    <dataField name="Sum of MKI A-D" fld="13" baseField="0" baseItem="0"/>
  </dataFields>
  <formats count="1">
    <format dxfId="3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D3C3926-614B-41C5-A47C-F77B2A604AC5}" name="PivotTable1" cacheId="6711"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44">
  <location ref="A1:C114" firstHeaderRow="0" firstDataRow="1" firstDataCol="1"/>
  <pivotFields count="28">
    <pivotField showAll="0"/>
    <pivotField showAll="0"/>
    <pivotField axis="axisRow" showAll="0">
      <items count="181">
        <item m="1" x="159"/>
        <item x="100"/>
        <item m="1" x="157"/>
        <item m="1" x="163"/>
        <item m="1" x="155"/>
        <item m="1" x="161"/>
        <item m="1" x="160"/>
        <item m="1" x="152"/>
        <item m="1" x="153"/>
        <item m="1" x="154"/>
        <item m="1" x="162"/>
        <item m="1" x="151"/>
        <item m="1" x="158"/>
        <item x="36"/>
        <item x="0"/>
        <item x="41"/>
        <item x="34"/>
        <item x="50"/>
        <item m="1" x="177"/>
        <item m="1" x="175"/>
        <item x="31"/>
        <item x="35"/>
        <item x="38"/>
        <item x="37"/>
        <item x="52"/>
        <item x="42"/>
        <item x="48"/>
        <item x="44"/>
        <item x="47"/>
        <item x="33"/>
        <item m="1" x="164"/>
        <item m="1" x="167"/>
        <item m="1" x="148"/>
        <item m="1" x="149"/>
        <item m="1" x="166"/>
        <item m="1" x="156"/>
        <item x="49"/>
        <item m="1" x="140"/>
        <item x="32"/>
        <item x="40"/>
        <item m="1" x="142"/>
        <item m="1" x="141"/>
        <item m="1" x="130"/>
        <item x="9"/>
        <item x="8"/>
        <item m="1" x="169"/>
        <item m="1" x="165"/>
        <item m="1" x="139"/>
        <item m="1" x="168"/>
        <item m="1" x="170"/>
        <item m="1" x="179"/>
        <item m="1" x="178"/>
        <item x="3"/>
        <item x="4"/>
        <item m="1" x="138"/>
        <item x="17"/>
        <item x="18"/>
        <item x="19"/>
        <item x="20"/>
        <item x="21"/>
        <item x="24"/>
        <item x="25"/>
        <item x="26"/>
        <item x="29"/>
        <item x="30"/>
        <item x="39"/>
        <item m="1" x="131"/>
        <item m="1" x="172"/>
        <item x="51"/>
        <item m="1" x="132"/>
        <item m="1" x="173"/>
        <item x="102"/>
        <item x="103"/>
        <item m="1" x="174"/>
        <item x="108"/>
        <item x="109"/>
        <item x="22"/>
        <item m="1" x="176"/>
        <item x="104"/>
        <item m="1" x="147"/>
        <item m="1" x="127"/>
        <item m="1" x="128"/>
        <item m="1" x="143"/>
        <item m="1" x="144"/>
        <item m="1" x="145"/>
        <item x="23"/>
        <item x="46"/>
        <item m="1" x="133"/>
        <item x="54"/>
        <item x="55"/>
        <item m="1" x="171"/>
        <item x="58"/>
        <item x="60"/>
        <item x="61"/>
        <item m="1" x="150"/>
        <item x="70"/>
        <item x="63"/>
        <item x="64"/>
        <item x="65"/>
        <item x="66"/>
        <item m="1" x="129"/>
        <item m="1" x="134"/>
        <item x="76"/>
        <item m="1" x="146"/>
        <item x="80"/>
        <item x="81"/>
        <item x="82"/>
        <item x="83"/>
        <item x="84"/>
        <item m="1" x="135"/>
        <item m="1" x="136"/>
        <item m="1" x="137"/>
        <item m="1" x="121"/>
        <item m="1" x="123"/>
        <item m="1" x="124"/>
        <item x="99"/>
        <item x="101"/>
        <item m="1" x="115"/>
        <item x="1"/>
        <item x="2"/>
        <item x="5"/>
        <item x="6"/>
        <item x="7"/>
        <item x="10"/>
        <item x="11"/>
        <item x="12"/>
        <item x="13"/>
        <item x="14"/>
        <item x="15"/>
        <item x="16"/>
        <item x="27"/>
        <item x="28"/>
        <item x="43"/>
        <item x="45"/>
        <item x="53"/>
        <item x="56"/>
        <item x="57"/>
        <item x="59"/>
        <item m="1" x="126"/>
        <item x="62"/>
        <item x="71"/>
        <item m="1" x="112"/>
        <item x="78"/>
        <item x="85"/>
        <item x="86"/>
        <item x="87"/>
        <item x="88"/>
        <item m="1" x="114"/>
        <item m="1" x="116"/>
        <item m="1" x="117"/>
        <item m="1" x="118"/>
        <item m="1" x="119"/>
        <item m="1" x="120"/>
        <item x="93"/>
        <item m="1" x="122"/>
        <item m="1" x="125"/>
        <item x="105"/>
        <item x="106"/>
        <item x="107"/>
        <item x="110"/>
        <item x="111"/>
        <item m="1" x="113"/>
        <item x="67"/>
        <item x="68"/>
        <item x="69"/>
        <item x="91"/>
        <item x="72"/>
        <item x="73"/>
        <item x="74"/>
        <item x="75"/>
        <item x="77"/>
        <item x="79"/>
        <item x="89"/>
        <item x="90"/>
        <item x="92"/>
        <item x="94"/>
        <item x="95"/>
        <item x="96"/>
        <item x="97"/>
        <item x="98"/>
        <item t="default"/>
      </items>
    </pivotField>
    <pivotField showAll="0"/>
    <pivotField showAll="0"/>
    <pivotField showAll="0"/>
    <pivotField showAll="0"/>
    <pivotField showAll="0"/>
    <pivotField showAll="0"/>
    <pivotField numFmtId="167" showAll="0"/>
    <pivotField numFmtId="1" showAll="0"/>
    <pivotField showAll="0"/>
    <pivotField showAll="0"/>
    <pivotField dataField="1" showAll="0"/>
    <pivotField numFmtId="168" showAll="0"/>
    <pivotField numFmtId="168" showAll="0"/>
    <pivotField numFmtId="168" showAll="0"/>
    <pivotField numFmtId="168" showAll="0"/>
    <pivotField showAll="0"/>
    <pivotField showAll="0"/>
    <pivotField showAll="0"/>
    <pivotField dataField="1" showAll="0"/>
    <pivotField showAll="0"/>
    <pivotField showAll="0"/>
    <pivotField numFmtId="169" showAll="0"/>
    <pivotField numFmtId="169" showAll="0"/>
    <pivotField showAll="0"/>
    <pivotField showAll="0"/>
  </pivotFields>
  <rowFields count="1">
    <field x="2"/>
  </rowFields>
  <rowItems count="113">
    <i>
      <x v="1"/>
    </i>
    <i>
      <x v="13"/>
    </i>
    <i>
      <x v="14"/>
    </i>
    <i>
      <x v="15"/>
    </i>
    <i>
      <x v="16"/>
    </i>
    <i>
      <x v="17"/>
    </i>
    <i>
      <x v="20"/>
    </i>
    <i>
      <x v="21"/>
    </i>
    <i>
      <x v="22"/>
    </i>
    <i>
      <x v="23"/>
    </i>
    <i>
      <x v="24"/>
    </i>
    <i>
      <x v="25"/>
    </i>
    <i>
      <x v="26"/>
    </i>
    <i>
      <x v="27"/>
    </i>
    <i>
      <x v="28"/>
    </i>
    <i>
      <x v="29"/>
    </i>
    <i>
      <x v="36"/>
    </i>
    <i>
      <x v="38"/>
    </i>
    <i>
      <x v="39"/>
    </i>
    <i>
      <x v="43"/>
    </i>
    <i>
      <x v="44"/>
    </i>
    <i>
      <x v="52"/>
    </i>
    <i>
      <x v="53"/>
    </i>
    <i>
      <x v="55"/>
    </i>
    <i>
      <x v="56"/>
    </i>
    <i>
      <x v="57"/>
    </i>
    <i>
      <x v="58"/>
    </i>
    <i>
      <x v="59"/>
    </i>
    <i>
      <x v="60"/>
    </i>
    <i>
      <x v="61"/>
    </i>
    <i>
      <x v="62"/>
    </i>
    <i>
      <x v="63"/>
    </i>
    <i>
      <x v="64"/>
    </i>
    <i>
      <x v="65"/>
    </i>
    <i>
      <x v="68"/>
    </i>
    <i>
      <x v="71"/>
    </i>
    <i>
      <x v="72"/>
    </i>
    <i>
      <x v="74"/>
    </i>
    <i>
      <x v="75"/>
    </i>
    <i>
      <x v="76"/>
    </i>
    <i>
      <x v="78"/>
    </i>
    <i>
      <x v="85"/>
    </i>
    <i>
      <x v="86"/>
    </i>
    <i>
      <x v="88"/>
    </i>
    <i>
      <x v="89"/>
    </i>
    <i>
      <x v="91"/>
    </i>
    <i>
      <x v="92"/>
    </i>
    <i>
      <x v="93"/>
    </i>
    <i>
      <x v="95"/>
    </i>
    <i>
      <x v="96"/>
    </i>
    <i>
      <x v="97"/>
    </i>
    <i>
      <x v="98"/>
    </i>
    <i>
      <x v="99"/>
    </i>
    <i>
      <x v="102"/>
    </i>
    <i>
      <x v="104"/>
    </i>
    <i>
      <x v="105"/>
    </i>
    <i>
      <x v="106"/>
    </i>
    <i>
      <x v="107"/>
    </i>
    <i>
      <x v="108"/>
    </i>
    <i>
      <x v="115"/>
    </i>
    <i>
      <x v="116"/>
    </i>
    <i>
      <x v="118"/>
    </i>
    <i>
      <x v="119"/>
    </i>
    <i>
      <x v="120"/>
    </i>
    <i>
      <x v="121"/>
    </i>
    <i>
      <x v="122"/>
    </i>
    <i>
      <x v="123"/>
    </i>
    <i>
      <x v="124"/>
    </i>
    <i>
      <x v="125"/>
    </i>
    <i>
      <x v="126"/>
    </i>
    <i>
      <x v="127"/>
    </i>
    <i>
      <x v="128"/>
    </i>
    <i>
      <x v="129"/>
    </i>
    <i>
      <x v="130"/>
    </i>
    <i>
      <x v="131"/>
    </i>
    <i>
      <x v="132"/>
    </i>
    <i>
      <x v="133"/>
    </i>
    <i>
      <x v="134"/>
    </i>
    <i>
      <x v="135"/>
    </i>
    <i>
      <x v="136"/>
    </i>
    <i>
      <x v="137"/>
    </i>
    <i>
      <x v="139"/>
    </i>
    <i>
      <x v="140"/>
    </i>
    <i>
      <x v="142"/>
    </i>
    <i>
      <x v="143"/>
    </i>
    <i>
      <x v="144"/>
    </i>
    <i>
      <x v="145"/>
    </i>
    <i>
      <x v="146"/>
    </i>
    <i>
      <x v="153"/>
    </i>
    <i>
      <x v="156"/>
    </i>
    <i>
      <x v="157"/>
    </i>
    <i>
      <x v="158"/>
    </i>
    <i>
      <x v="159"/>
    </i>
    <i>
      <x v="160"/>
    </i>
    <i>
      <x v="162"/>
    </i>
    <i>
      <x v="163"/>
    </i>
    <i>
      <x v="164"/>
    </i>
    <i>
      <x v="165"/>
    </i>
    <i>
      <x v="166"/>
    </i>
    <i>
      <x v="167"/>
    </i>
    <i>
      <x v="168"/>
    </i>
    <i>
      <x v="169"/>
    </i>
    <i>
      <x v="170"/>
    </i>
    <i>
      <x v="171"/>
    </i>
    <i>
      <x v="172"/>
    </i>
    <i>
      <x v="173"/>
    </i>
    <i>
      <x v="174"/>
    </i>
    <i>
      <x v="175"/>
    </i>
    <i>
      <x v="176"/>
    </i>
    <i>
      <x v="177"/>
    </i>
    <i>
      <x v="178"/>
    </i>
    <i>
      <x v="179"/>
    </i>
    <i t="grand">
      <x/>
    </i>
  </rowItems>
  <colFields count="1">
    <field x="-2"/>
  </colFields>
  <colItems count="2">
    <i>
      <x/>
    </i>
    <i i="1">
      <x v="1"/>
    </i>
  </colItems>
  <dataFields count="2">
    <dataField name="Sum of MKI A-D" fld="13" baseField="0" baseItem="0"/>
    <dataField name="Sum of MKI A-D nieuw" fld="21" baseField="0" baseItem="0"/>
  </dataFields>
  <formats count="1">
    <format dxfId="34">
      <pivotArea outline="0" collapsedLevelsAreSubtotals="1" fieldPosition="0"/>
    </format>
  </formats>
  <chartFormats count="2">
    <chartFormat chart="4" format="4" series="1">
      <pivotArea type="data" outline="0" fieldPosition="0">
        <references count="1">
          <reference field="4294967294" count="1" selected="0">
            <x v="0"/>
          </reference>
        </references>
      </pivotArea>
    </chartFormat>
    <chartFormat chart="4" format="6"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120C410-4134-421C-AEEF-5AA5DDB834B0}" name="PivotTable2" cacheId="6711"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21">
  <location ref="A1:C31" firstHeaderRow="0" firstDataRow="1" firstDataCol="1"/>
  <pivotFields count="28">
    <pivotField showAll="0"/>
    <pivotField axis="axisRow" showAll="0">
      <items count="42">
        <item m="1" x="32"/>
        <item m="1" x="35"/>
        <item m="1" x="34"/>
        <item m="1" x="33"/>
        <item x="1"/>
        <item m="1" x="36"/>
        <item m="1" x="37"/>
        <item m="1" x="38"/>
        <item m="1" x="39"/>
        <item x="10"/>
        <item x="11"/>
        <item x="12"/>
        <item x="0"/>
        <item x="2"/>
        <item x="3"/>
        <item x="4"/>
        <item x="5"/>
        <item x="6"/>
        <item x="7"/>
        <item x="8"/>
        <item x="9"/>
        <item m="1" x="30"/>
        <item x="25"/>
        <item x="26"/>
        <item x="27"/>
        <item x="28"/>
        <item m="1" x="29"/>
        <item m="1" x="31"/>
        <item x="13"/>
        <item x="14"/>
        <item x="15"/>
        <item x="16"/>
        <item x="17"/>
        <item m="1" x="40"/>
        <item x="18"/>
        <item x="19"/>
        <item x="20"/>
        <item x="21"/>
        <item x="22"/>
        <item x="23"/>
        <item x="24"/>
        <item t="default"/>
      </items>
    </pivotField>
    <pivotField showAll="0"/>
    <pivotField showAll="0"/>
    <pivotField showAll="0"/>
    <pivotField showAll="0"/>
    <pivotField showAll="0"/>
    <pivotField showAll="0"/>
    <pivotField showAll="0"/>
    <pivotField numFmtId="167" showAll="0"/>
    <pivotField numFmtId="1" showAll="0"/>
    <pivotField showAll="0"/>
    <pivotField showAll="0"/>
    <pivotField dataField="1" showAll="0"/>
    <pivotField numFmtId="168" showAll="0"/>
    <pivotField numFmtId="168" showAll="0"/>
    <pivotField numFmtId="168" showAll="0"/>
    <pivotField numFmtId="168" showAll="0"/>
    <pivotField showAll="0"/>
    <pivotField showAll="0"/>
    <pivotField showAll="0"/>
    <pivotField dataField="1" showAll="0"/>
    <pivotField showAll="0"/>
    <pivotField showAll="0"/>
    <pivotField numFmtId="169" showAll="0"/>
    <pivotField numFmtId="169" showAll="0"/>
    <pivotField showAll="0"/>
    <pivotField showAll="0"/>
  </pivotFields>
  <rowFields count="1">
    <field x="1"/>
  </rowFields>
  <rowItems count="30">
    <i>
      <x v="4"/>
    </i>
    <i>
      <x v="9"/>
    </i>
    <i>
      <x v="10"/>
    </i>
    <i>
      <x v="11"/>
    </i>
    <i>
      <x v="12"/>
    </i>
    <i>
      <x v="13"/>
    </i>
    <i>
      <x v="14"/>
    </i>
    <i>
      <x v="15"/>
    </i>
    <i>
      <x v="16"/>
    </i>
    <i>
      <x v="17"/>
    </i>
    <i>
      <x v="18"/>
    </i>
    <i>
      <x v="19"/>
    </i>
    <i>
      <x v="20"/>
    </i>
    <i>
      <x v="22"/>
    </i>
    <i>
      <x v="23"/>
    </i>
    <i>
      <x v="24"/>
    </i>
    <i>
      <x v="25"/>
    </i>
    <i>
      <x v="28"/>
    </i>
    <i>
      <x v="29"/>
    </i>
    <i>
      <x v="30"/>
    </i>
    <i>
      <x v="31"/>
    </i>
    <i>
      <x v="32"/>
    </i>
    <i>
      <x v="34"/>
    </i>
    <i>
      <x v="35"/>
    </i>
    <i>
      <x v="36"/>
    </i>
    <i>
      <x v="37"/>
    </i>
    <i>
      <x v="38"/>
    </i>
    <i>
      <x v="39"/>
    </i>
    <i>
      <x v="40"/>
    </i>
    <i t="grand">
      <x/>
    </i>
  </rowItems>
  <colFields count="1">
    <field x="-2"/>
  </colFields>
  <colItems count="2">
    <i>
      <x/>
    </i>
    <i i="1">
      <x v="1"/>
    </i>
  </colItems>
  <dataFields count="2">
    <dataField name="Sum of MKI A-D" fld="13" baseField="0" baseItem="0"/>
    <dataField name="Sum of MKI A-D nieuw" fld="21" baseField="0" baseItem="0"/>
  </dataFields>
  <formats count="1">
    <format dxfId="33">
      <pivotArea outline="0" collapsedLevelsAreSubtotals="1" fieldPosition="0"/>
    </format>
  </formats>
  <chartFormats count="2">
    <chartFormat chart="5" format="9" series="1">
      <pivotArea type="data" outline="0" fieldPosition="0">
        <references count="1">
          <reference field="4294967294" count="1" selected="0">
            <x v="0"/>
          </reference>
        </references>
      </pivotArea>
    </chartFormat>
    <chartFormat chart="5" format="1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C08E1E8-441A-4D23-9E11-2EE63C85EF6E}" name="PivotTable2" cacheId="6711"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7">
  <location ref="A1:B2" firstHeaderRow="0" firstDataRow="1" firstDataCol="0"/>
  <pivotFields count="28">
    <pivotField showAll="0"/>
    <pivotField showAll="0"/>
    <pivotField showAll="0"/>
    <pivotField showAll="0"/>
    <pivotField showAll="0"/>
    <pivotField showAll="0"/>
    <pivotField showAll="0"/>
    <pivotField showAll="0"/>
    <pivotField showAll="0"/>
    <pivotField numFmtId="167" showAll="0"/>
    <pivotField numFmtId="1" showAll="0"/>
    <pivotField showAll="0"/>
    <pivotField showAll="0"/>
    <pivotField dataField="1" showAll="0"/>
    <pivotField numFmtId="168" showAll="0"/>
    <pivotField numFmtId="168" showAll="0"/>
    <pivotField numFmtId="168" showAll="0"/>
    <pivotField numFmtId="168" showAll="0"/>
    <pivotField showAll="0"/>
    <pivotField showAll="0"/>
    <pivotField showAll="0"/>
    <pivotField showAll="0"/>
    <pivotField dataField="1" showAll="0"/>
    <pivotField showAll="0"/>
    <pivotField numFmtId="169" showAll="0"/>
    <pivotField numFmtId="169" showAll="0"/>
    <pivotField showAll="0"/>
    <pivotField showAll="0"/>
  </pivotFields>
  <rowItems count="1">
    <i/>
  </rowItems>
  <colFields count="1">
    <field x="-2"/>
  </colFields>
  <colItems count="2">
    <i>
      <x/>
    </i>
    <i i="1">
      <x v="1"/>
    </i>
  </colItems>
  <dataFields count="2">
    <dataField name="Sum of MKI A-D" fld="13" baseField="0" baseItem="0"/>
    <dataField name="Sum of Totaal nieuw" fld="22" baseField="0" baseItem="0"/>
  </dataFields>
  <formats count="1">
    <format dxfId="32">
      <pivotArea outline="0" collapsedLevelsAreSubtotals="1" fieldPosition="0"/>
    </format>
  </formats>
  <chartFormats count="2">
    <chartFormat chart="3" format="23" series="1">
      <pivotArea type="data" outline="0" fieldPosition="0">
        <references count="1">
          <reference field="4294967294" count="1" selected="0">
            <x v="0"/>
          </reference>
        </references>
      </pivotArea>
    </chartFormat>
    <chartFormat chart="3" format="2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CD1032-0501-4464-888B-45BA0D87C53B}" name="Table1" displayName="Table1" ref="C2:AD192" totalsRowCount="1" headerRowCellStyle="Heading - 1">
  <autoFilter ref="C2:AD191" xr:uid="{10CD1032-0501-4464-888B-45BA0D87C53B}"/>
  <sortState xmlns:xlrd2="http://schemas.microsoft.com/office/spreadsheetml/2017/richdata2" ref="C3:AD191">
    <sortCondition ref="C2"/>
  </sortState>
  <tableColumns count="28">
    <tableColumn id="13" xr3:uid="{6126830E-4495-4E7B-9359-A8FCC1A2B556}" name="Post" totalsRowLabel="Total" dataDxfId="31"/>
    <tableColumn id="12" xr3:uid="{EF69BEA1-503F-4336-B429-A131BEA208C1}" name="Onderdeel " dataDxfId="30"/>
    <tableColumn id="2" xr3:uid="{8BC58000-F66C-4BA4-AB5D-3823A1A04B61}" name="Omschrijving" dataDxfId="29"/>
    <tableColumn id="3" xr3:uid="{819CAEF4-70B6-4F88-858C-9599A785D027}" name="Milieuprofiel"/>
    <tableColumn id="18" xr3:uid="{5105FC58-8A8A-4B05-BE04-9E4142019B1E}" name="Potentieel alternatief"/>
    <tableColumn id="16" xr3:uid="{1B4ADEDB-B40A-4B36-8283-63D6B47C55EC}" name="Categorie milieuprofiel" dataDxfId="28">
      <calculatedColumnFormula>IFERROR(INDEX('3. Kengetallen (DC-uitdraai)'!F:F,MATCH(Table1[[#This Row],[Milieuprofiel]],'3. Kengetallen (DC-uitdraai)'!D:D,0)),"")</calculatedColumnFormula>
    </tableColumn>
    <tableColumn id="4" xr3:uid="{5C3418AE-DE62-4628-89E9-D599B21D1CCE}" name="Volume" dataDxfId="27"/>
    <tableColumn id="5" xr3:uid="{DE192E92-EDAE-4283-BC66-BD9F12F161AE}" name="Ehd bestek" dataDxfId="26"/>
    <tableColumn id="14" xr3:uid="{C82BB5DD-3B6A-46F4-9DFA-79408EA35374}" name="In scope" dataDxfId="25">
      <calculatedColumnFormula>IF(ISTEXT(Table1[[#This Row],[Milieuprofiel]]),"Ja","Nee")</calculatedColumnFormula>
    </tableColumn>
    <tableColumn id="6" xr3:uid="{994D1859-358E-45FF-A4F7-861AC43A192B}" name="Factor" dataDxfId="24"/>
    <tableColumn id="7" xr3:uid="{5A722606-EED6-4A27-9800-57EB46F6B5A8}" name="Hvd" dataDxfId="23">
      <calculatedColumnFormula>Table1[[#This Row],[Volume]]*Table1[[#This Row],[Factor]]</calculatedColumnFormula>
    </tableColumn>
    <tableColumn id="11" xr3:uid="{618D08A6-F531-440F-9AD8-774223EA2852}" name="Ehd profiel" dataDxfId="22">
      <calculatedColumnFormula>IFERROR(INDEX('3. Kengetallen (DC-uitdraai)'!H:H,MATCH(Table1[[#This Row],[Milieuprofiel]],'3. Kengetallen (DC-uitdraai)'!D:D,0)),"")</calculatedColumnFormula>
    </tableColumn>
    <tableColumn id="15" xr3:uid="{8BF1F9AD-2398-49B6-885A-4D07911C1EDF}" name="Levensduur" dataDxfId="21">
      <calculatedColumnFormula>IFERROR(INDEX('3. Kengetallen (DC-uitdraai)'!I:I,MATCH(Table1[[#This Row],[Milieuprofiel]],'3. Kengetallen (DC-uitdraai)'!D:D,0)),0)</calculatedColumnFormula>
    </tableColumn>
    <tableColumn id="8" xr3:uid="{3E85069F-0829-4196-B9FF-89AD632A3BC1}" name="MKI A-D" totalsRowFunction="sum" dataDxfId="19" totalsRowDxfId="20">
      <calculatedColumnFormula>IFERROR(INDEX('3. Kengetallen (DC-uitdraai)'!P:P,MATCH(Table1[[#This Row],[Milieuprofiel]],'3. Kengetallen (DC-uitdraai)'!D:D,0))*Table1[[#This Row],[Hvd]]*(1+INDEX('3. Kengetallen (DC-uitdraai)'!K:K,MATCH(Table1[[#This Row],[Milieuprofiel]],'3. Kengetallen (DC-uitdraai)'!D:D,0))),0)</calculatedColumnFormula>
    </tableColumn>
    <tableColumn id="1" xr3:uid="{60837481-35BA-42DC-9857-1EC1CDE519B6}" name="Productie" dataDxfId="17" totalsRowDxfId="18" dataCellStyle="Currency">
      <calculatedColumnFormula>IFERROR(INDEX('3. Kengetallen (DC-uitdraai)'!U:U,MATCH(Table1[[#This Row],[Milieuprofiel]],'3. Kengetallen (DC-uitdraai)'!D:D,0))*Table1[[#This Row],[Hvd]]*(1+INDEX('3. Kengetallen (DC-uitdraai)'!K:K,MATCH(Table1[[#This Row],[Milieuprofiel]],'3. Kengetallen (DC-uitdraai)'!D:D,0))),0)</calculatedColumnFormula>
    </tableColumn>
    <tableColumn id="28" xr3:uid="{2E0EEE4C-3393-4006-A7E4-A309B2929FA0}" name=" Bouw" totalsRowFunction="sum" dataDxfId="15" totalsRowDxfId="16" dataCellStyle="Currency">
      <calculatedColumnFormula>IFERROR(INDEX('3. Kengetallen (DC-uitdraai)'!V:V,MATCH(Table1[[#This Row],[Milieuprofiel]],'3. Kengetallen (DC-uitdraai)'!D:D,0))*Table1[[#This Row],[Hvd]]*(1+INDEX('3. Kengetallen (DC-uitdraai)'!K:K,MATCH(Table1[[#This Row],[Milieuprofiel]],'3. Kengetallen (DC-uitdraai)'!D:D,0))),0)</calculatedColumnFormula>
    </tableColumn>
    <tableColumn id="26" xr3:uid="{ABA248E4-AAA3-49B7-97A4-085F62098692}" name="Gebruik en onderhoud" dataDxfId="13" totalsRowDxfId="14" dataCellStyle="Currency">
      <calculatedColumnFormula>IFERROR(INDEX('3. Kengetallen (DC-uitdraai)'!W:W,MATCH(Table1[[#This Row],[Milieuprofiel]],'3. Kengetallen (DC-uitdraai)'!D:D,0))*Table1[[#This Row],[Hvd]]*(1+INDEX('3. Kengetallen (DC-uitdraai)'!K:K,MATCH(Table1[[#This Row],[Milieuprofiel]],'3. Kengetallen (DC-uitdraai)'!D:D,0))),0)</calculatedColumnFormula>
    </tableColumn>
    <tableColumn id="27" xr3:uid="{1F32B17D-2C22-4F45-937D-665DFE47F828}" name="Sloop- en verwerking" dataDxfId="11" totalsRowDxfId="12" dataCellStyle="Currency">
      <calculatedColumnFormula>IFERROR(INDEX('3. Kengetallen (DC-uitdraai)'!X:X,MATCH(Table1[[#This Row],[Milieuprofiel]],'3. Kengetallen (DC-uitdraai)'!D:D,0))*Table1[[#This Row],[Hvd]]*(1+INDEX('3. Kengetallen (DC-uitdraai)'!K:K,MATCH(Table1[[#This Row],[Milieuprofiel]],'3. Kengetallen (DC-uitdraai)'!D:D,0))),0)</calculatedColumnFormula>
    </tableColumn>
    <tableColumn id="22" xr3:uid="{7685E788-3EDE-4425-9424-870ABCF71C83}" name="omrekenfactor" dataDxfId="10" dataCellStyle="Currency"/>
    <tableColumn id="24" xr3:uid="{8AFAA614-AA49-4D21-81FC-D19F2BB481A9}" name="Hoeveelheid" dataDxfId="9" dataCellStyle="Currency"/>
    <tableColumn id="23" xr3:uid="{891A1720-0220-4EB3-BEF7-238E2FD65EFE}" name="Eenheid" dataDxfId="8" dataCellStyle="Currency"/>
    <tableColumn id="21" xr3:uid="{10C3F3B1-C108-40D9-9442-1013D124CEE2}" name="MKI A-D nieuw" dataDxfId="6" totalsRowDxfId="7" dataCellStyle="Currency">
      <calculatedColumnFormula>IFERROR(INDEX('Eigen database'!P:P,MATCH(Table1[[#This Row],[Potentieel alternatief]],'Eigen database'!D:D,0))*Table1[[#This Row],[Hoeveelheid]]*(1+INDEX('Eigen database'!K:K,MATCH(Table1[[#This Row],[Potentieel alternatief]],'Eigen database'!D:D,0))),0)</calculatedColumnFormula>
    </tableColumn>
    <tableColumn id="19" xr3:uid="{090A100E-78C2-4244-BFE0-2383A7953EC2}" name="Totaal nieuw" totalsRowFunction="sum" dataDxfId="4" totalsRowDxfId="5" dataCellStyle="Currency">
      <calculatedColumnFormula>IF(Table1[[#This Row],[MKI A-D nieuw]]=0,Table1[[#This Row],[MKI A-D]],Table1[[#This Row],[MKI A-D nieuw]])</calculatedColumnFormula>
    </tableColumn>
    <tableColumn id="25" xr3:uid="{C1B16735-C925-429B-8FD5-B4446E4412F7}" name="Column1" dataDxfId="2" totalsRowDxfId="3" dataCellStyle="Currency"/>
    <tableColumn id="17" xr3:uid="{FC3E10C1-BBEC-4971-9DC8-CA0DCF7032E5}" name="CO2 A" dataDxfId="1" dataCellStyle="Comma">
      <calculatedColumnFormula>IFERROR(INDEX('3. Kengetallen (DC-uitdraai)'!AM:AM,MATCH(Table1[[#This Row],[Milieuprofiel]],'3. Kengetallen (DC-uitdraai)'!C:C,0)),0)*Table1[[#This Row],[Hvd]]</calculatedColumnFormula>
    </tableColumn>
    <tableColumn id="20" xr3:uid="{7F3EC104-5B5F-4E0D-B798-B6C644A2D7E3}" name="CO2 A alt" dataDxfId="0" dataCellStyle="Comma">
      <calculatedColumnFormula>IFERROR(INDEX('3. Kengetallen (DC-uitdraai)'!AM:AM,MATCH(Table1[[#This Row],[Potentieel alternatief]],'3. Kengetallen (DC-uitdraai)'!C:C,0)),0)*Table1[[#This Row],[Hvd]]</calculatedColumnFormula>
    </tableColumn>
    <tableColumn id="9" xr3:uid="{583C02F4-F75C-4DC3-862C-0CFE38A528FC}" name="Toelichting"/>
    <tableColumn id="10" xr3:uid="{D8FF5119-2DC7-47C8-B5B0-B3677D4D258E}" name="Bron" totalsRowFunction="count"/>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3" dT="2025-09-08T11:37:43.42" personId="{3B5AAC10-DF01-4CA1-B9C1-D317988F78C3}" id="{BA90FD61-E2BB-4108-A1AE-11F5E2DF0878}">
    <text xml:space="preserve">NMD: Stalen rijplaten van 1,5 m breed. </text>
  </threadedComment>
  <threadedComment ref="L8" dT="2025-10-31T07:44:52.59" personId="{3B5AAC10-DF01-4CA1-B9C1-D317988F78C3}" id="{59532285-E7BB-48BA-B8CC-B022D8F5C547}">
    <text>NMD H25
Tabel 23 proces c1</text>
  </threadedComment>
  <threadedComment ref="L10" dT="2025-10-31T07:44:52.59" personId="{3B5AAC10-DF01-4CA1-B9C1-D317988F78C3}" id="{75AB9733-EDC0-4650-AF03-974757417FD7}">
    <text>NMD H25
Tabel 24 proces c1</text>
  </threadedComment>
  <threadedComment ref="L18" dT="2025-09-08T11:53:01.04" personId="{3B5AAC10-DF01-4CA1-B9C1-D317988F78C3}" id="{27724CE8-5DA1-4EDE-BA26-4468E5E0E401}">
    <text>NMD H82:
Tabel 4:
Per m2: 654 kg</text>
  </threadedComment>
  <threadedComment ref="L20" dT="2025-09-08T11:45:46.22" personId="{3B5AAC10-DF01-4CA1-B9C1-D317988F78C3}" id="{E816E2E9-7443-4ED5-A71B-71DABF025D61}">
    <text>NMD H83:
Tabel 27
C3: 
per m: 126.3 kg</text>
  </threadedComment>
  <threadedComment ref="E21" dT="2025-11-03T09:30:19.78" personId="{3B5AAC10-DF01-4CA1-B9C1-D317988F78C3}" id="{190B472E-23FE-4B3B-BC85-341A0E51E86D}">
    <text>Buiten scope gehouden, geen impact</text>
  </threadedComment>
  <threadedComment ref="E22" dT="2025-10-28T14:43:01.48" personId="{3B5AAC10-DF01-4CA1-B9C1-D317988F78C3}" id="{1A6E82B8-8FAD-425E-8108-FA737601B5E5}">
    <text>NMD rapportage staat niks over sloop
Buiten scope gehouden</text>
  </threadedComment>
  <threadedComment ref="E22" dT="2025-10-31T11:26:53.82" personId="{0C039CA2-FDE2-40D8-9C85-E92A0D1D545D}" id="{30551404-B0B4-49F5-BA32-DBD8C2D94C2E}" parentId="{1A6E82B8-8FAD-425E-8108-FA737601B5E5}">
    <text>Waarschijnlijk omdat het grotendeels met arbeid wordt gedaan. Ik zou dit dan ook verwaarlozen.</text>
  </threadedComment>
  <threadedComment ref="E23" dT="2025-11-03T09:32:05.95" personId="{3B5AAC10-DF01-4CA1-B9C1-D317988F78C3}" id="{F4C4C8E3-874F-43AB-B764-180A67E4DE3D}">
    <text>Buiten scope gehouden, geen impact</text>
  </threadedComment>
  <threadedComment ref="L25" dT="2025-10-31T08:04:35.99" personId="{3B5AAC10-DF01-4CA1-B9C1-D317988F78C3}" id="{817EBA5A-47A5-48F1-B904-717D33A6C1E9}">
    <text>NMD H32 Tabel 4 C1</text>
  </threadedComment>
  <threadedComment ref="E26" dT="2025-11-03T09:40:31.83" personId="{3B5AAC10-DF01-4CA1-B9C1-D317988F78C3}" id="{06C03985-04A6-47F0-939C-2E7CD61E5136}">
    <text>Buiten scope, geen impact</text>
  </threadedComment>
  <threadedComment ref="E27" dT="2025-10-29T07:45:42.33" personId="{3B5AAC10-DF01-4CA1-B9C1-D317988F78C3}" id="{5D5AA228-3753-495E-8097-1CA41851DEE4}">
    <text>Geen impact, pion. Buiten scope gelaten</text>
  </threadedComment>
  <threadedComment ref="L28" dT="2025-10-16T07:26:51.71" personId="{3B5AAC10-DF01-4CA1-B9C1-D317988F78C3}" id="{0251CFD8-C025-420D-8739-D69C19C03EA1}">
    <text>Maaien 0.003 uur/m2 
Per are is 0.3 uur/are 
factor is 0.3</text>
  </threadedComment>
  <threadedComment ref="L31" dT="2025-10-16T07:47:29.83" personId="{3B5AAC10-DF01-4CA1-B9C1-D317988F78C3}" id="{FFC98D3A-AC9D-4186-A6DD-5793EEB1D282}">
    <text>Graafmachine, 50kW, categorie IIIB, diesel
60m3/uur
Factor is 1/60 = 0.0167 u/m3</text>
  </threadedComment>
  <threadedComment ref="L66" dT="2025-10-16T07:47:29.83" personId="{3B5AAC10-DF01-4CA1-B9C1-D317988F78C3}" id="{85D3DB98-8D66-42B7-99AE-ACECF838C776}">
    <text xml:space="preserve">Graafmachine, 50kW, categorie IIIB, diesel
Diepte is 1 m
60m3/uur
Factor is 1/60 = 0.0167 u/m3
</text>
  </threadedComment>
  <threadedComment ref="L67" dT="2025-10-17T12:51:38.17" personId="{3B5AAC10-DF01-4CA1-B9C1-D317988F78C3}" id="{58718EC4-B6A5-402D-A80C-0FC74F747656}">
    <text>Hoogte is 25 cm
Hoeveelheid in m2
Factor is 1/0.25 = 4</text>
  </threadedComment>
  <threadedComment ref="L74" dT="2025-09-08T11:29:53.18" personId="{3B5AAC10-DF01-4CA1-B9C1-D317988F78C3}" id="{B6CBFFD9-D287-4293-9205-7D041F2293DD}">
    <text xml:space="preserve">NMD data: PVC buis 200 mm, dikte 5,9 mm, 5,37 kg/m
Volume = pi*(0.1^2-0.094^2)= 0.0036 m3
dichtheid is 5.37/0.0036=1492 kg/m3 
PVC buis 250 mm, dikte 7,33 mm 
Volume = pi*(0.125^2-0.118^2)=0.0056 m3
gewicht is 1492*0.0056=8.3552 
factor is 8.35/5.37=1.55
</text>
  </threadedComment>
  <threadedComment ref="L77" dT="2025-09-08T11:30:41.08" personId="{3B5AAC10-DF01-4CA1-B9C1-D317988F78C3}" id="{2C0DA070-3682-49D7-BAAC-43275E243655}">
    <text xml:space="preserve">NMD data: PVC buis 63 mm, dikte 1,9 mm, 0.56 kg/m
Volume = pi*(0.0315^2-0.0296^2)=0.0003647 m3
dichtheid is 0.56/0.0003647=1535 kg/m3 
PVC buis 125 mm, dikte 3.57 mm 
Volume = pi*(0.0625^2-0.059^2)=0.00136 m3
gewicht is 1535*0.00136=2.0876 
factor is 2.0876 /0.56=3.73
</text>
  </threadedComment>
  <threadedComment ref="L78" dT="2025-09-08T11:33:42.64" personId="{3B5AAC10-DF01-4CA1-B9C1-D317988F78C3}" id="{34C1B981-190D-4950-BAE7-F926D360CEFB}">
    <text xml:space="preserve">NMD data: PVC buis 200 mm, dikte 5,9 mm, 5,37 kg/m
Volume = pi*(0.1^2-0.094^2)= 0.0036 m3
dichtheid is 5.37/0.0036=1492 kg/m3 
PVC buis 160 mm, dikte 4.7 mm 
Volume = pi*(0.08^2-0.0753^2)=0.00229  m3
gewicht is 1492*0.00229=3.42 
factor is 3.42/5.37=0.64
</text>
  </threadedComment>
  <threadedComment ref="L79" dT="2025-09-08T12:35:56.93" personId="{3B5AAC10-DF01-4CA1-B9C1-D317988F78C3}" id="{B67E84A9-02B2-4272-8969-F2AC071B5D12}">
    <text>NMD H25:
H3.3.8
Gewicht 160 mm: 3.44 kg/m
Gewicht 125 mm: 2.13 kg/m</text>
  </threadedComment>
  <threadedComment ref="L85" dT="2025-09-08T12:52:13.93" personId="{3B5AAC10-DF01-4CA1-B9C1-D317988F78C3}" id="{CCCC09DF-FAA1-424C-A1C1-53E501A1B0F7}">
    <text>Standpijp Kopen? 150cm, 175cm - Direct Leverbaar | Indutrade 
Standpijp lengte 1.75 m</text>
    <extLst>
      <x:ext xmlns:xltc2="http://schemas.microsoft.com/office/spreadsheetml/2020/threadedcomments2" uri="{F7C98A9C-CBB3-438F-8F68-D28B6AF4A901}">
        <xltc2:checksum>4126758245</xltc2:checksum>
        <xltc2:hyperlink startIndex="0" length="60" url="https://indutrade.nl/producten/tijdelijke-watervoorziening/standpijp/"/>
      </x:ext>
    </extLst>
  </threadedComment>
  <threadedComment ref="L85" dT="2025-10-31T11:46:43.75" personId="{0C039CA2-FDE2-40D8-9C85-E92A0D1D545D}" id="{50D2B36D-CFDC-499C-B48D-4698D178B209}" parentId="{CCCC09DF-FAA1-424C-A1C1-53E501A1B0F7}">
    <text>Super!</text>
  </threadedComment>
  <threadedComment ref="F126" dT="2025-10-27T11:11:22.78" personId="{1E87F68A-59E3-4438-B02B-B9A3A8FADC3D}" id="{AA55FFDC-DCF1-4D45-8553-F7D70BEBA81F}" done="1">
    <text>Dit moet betongranulaat zijn</text>
  </threadedComment>
  <threadedComment ref="E186" dT="2025-10-28T14:40:27.97" personId="{3B5AAC10-DF01-4CA1-B9C1-D317988F78C3}" id="{65EA44E5-4A6E-40B7-B057-98FDC36BD4CE}">
    <text>Niet in NMD, buiten scope gelaten</text>
  </threadedComment>
  <threadedComment ref="E190" dT="2025-10-28T14:29:38.19" personId="{3B5AAC10-DF01-4CA1-B9C1-D317988F78C3}" id="{3A3B5668-81C3-448A-A060-80C807FFD88A}">
    <text>Staat niet in de NMD database, gaat om 1 stuk, buiten scope gelaten</text>
  </threadedComment>
  <threadedComment ref="L191" dT="2025-10-31T08:54:03.60" personId="{3B5AAC10-DF01-4CA1-B9C1-D317988F78C3}" id="{65829395-3AA6-44C5-BD9E-6978541CE37F}">
    <text>Lxbxh gemiddelde aanname
50 cm x 30 cm x 30 cm
Dichtheid 2700 kg/m3</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milieudatabase.nl/nl/viewer/milieuverklaring/nmd_90875/" TargetMode="External"/><Relationship Id="rId7" Type="http://schemas.openxmlformats.org/officeDocument/2006/relationships/hyperlink" Target="https://moederbestek.nl/product/asfalt/" TargetMode="External"/><Relationship Id="rId2" Type="http://schemas.openxmlformats.org/officeDocument/2006/relationships/hyperlink" Target="https://milieudatabase.nl/nl/viewer/milieuverklaring/nmd_90878/" TargetMode="External"/><Relationship Id="rId1" Type="http://schemas.openxmlformats.org/officeDocument/2006/relationships/hyperlink" Target="https://milieudatabase.nl/nl/viewer/milieuverklaring/nmd_90876/" TargetMode="External"/><Relationship Id="rId6" Type="http://schemas.openxmlformats.org/officeDocument/2006/relationships/hyperlink" Target="https://milieudatabase.nl/nl/viewer/milieuverklaring/nmd_90882/" TargetMode="External"/><Relationship Id="rId5" Type="http://schemas.openxmlformats.org/officeDocument/2006/relationships/hyperlink" Target="https://moederbestek.nl/product/asfalt/" TargetMode="External"/><Relationship Id="rId4" Type="http://schemas.openxmlformats.org/officeDocument/2006/relationships/hyperlink" Target="https://milieudatabase.nl/nl/viewer/milieuverklaring/nmd_90877/"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0l2];/" TargetMode="External"/><Relationship Id="rId1" Type="http://schemas.openxmlformats.org/officeDocument/2006/relationships/hyperlink" Target="mailto:caspar.aardenburg@rhdhv.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EF0D1-5DF6-43DB-9FEE-F3659B071A9F}">
  <dimension ref="B2:D23"/>
  <sheetViews>
    <sheetView showGridLines="0" workbookViewId="0">
      <selection activeCell="F10" sqref="F10"/>
    </sheetView>
  </sheetViews>
  <sheetFormatPr defaultRowHeight="14.45"/>
  <cols>
    <col min="3" max="3" width="50.140625" customWidth="1"/>
    <col min="4" max="4" width="36.140625" customWidth="1"/>
  </cols>
  <sheetData>
    <row r="2" spans="2:4" ht="15" thickBot="1">
      <c r="B2" s="22" t="s">
        <v>0</v>
      </c>
      <c r="C2" s="22" t="s">
        <v>1</v>
      </c>
      <c r="D2" s="22" t="s">
        <v>2</v>
      </c>
    </row>
    <row r="3" spans="2:4" ht="28.9">
      <c r="B3" s="14">
        <v>1</v>
      </c>
      <c r="C3" s="19" t="s">
        <v>3</v>
      </c>
      <c r="D3" s="14" t="s">
        <v>4</v>
      </c>
    </row>
    <row r="4" spans="2:4" ht="28.9">
      <c r="B4" s="14">
        <v>2</v>
      </c>
      <c r="C4" s="19" t="s">
        <v>5</v>
      </c>
      <c r="D4" s="14" t="s">
        <v>6</v>
      </c>
    </row>
    <row r="5" spans="2:4" ht="28.9">
      <c r="B5" s="14">
        <v>3</v>
      </c>
      <c r="C5" s="19" t="s">
        <v>7</v>
      </c>
      <c r="D5" s="14" t="s">
        <v>6</v>
      </c>
    </row>
    <row r="6" spans="2:4" ht="28.9">
      <c r="B6" s="14">
        <v>4</v>
      </c>
      <c r="C6" s="19" t="s">
        <v>8</v>
      </c>
      <c r="D6" s="14" t="s">
        <v>6</v>
      </c>
    </row>
    <row r="8" spans="2:4">
      <c r="B8" t="s">
        <v>9</v>
      </c>
    </row>
    <row r="9" spans="2:4" ht="28.9">
      <c r="B9" s="14">
        <v>1</v>
      </c>
      <c r="C9" s="19" t="s">
        <v>10</v>
      </c>
      <c r="D9" s="14" t="s">
        <v>6</v>
      </c>
    </row>
    <row r="10" spans="2:4" ht="57.6">
      <c r="B10" s="14">
        <v>2</v>
      </c>
      <c r="C10" s="19" t="s">
        <v>11</v>
      </c>
      <c r="D10" s="14"/>
    </row>
    <row r="11" spans="2:4" ht="57.6">
      <c r="B11" s="14">
        <v>3</v>
      </c>
      <c r="C11" s="19" t="s">
        <v>12</v>
      </c>
      <c r="D11" s="14" t="s">
        <v>6</v>
      </c>
    </row>
    <row r="12" spans="2:4" ht="28.9">
      <c r="B12" s="14">
        <v>4</v>
      </c>
      <c r="C12" s="19" t="s">
        <v>13</v>
      </c>
      <c r="D12" s="14" t="s">
        <v>6</v>
      </c>
    </row>
    <row r="13" spans="2:4" ht="28.9">
      <c r="B13" s="14">
        <v>5</v>
      </c>
      <c r="C13" s="19" t="s">
        <v>14</v>
      </c>
      <c r="D13" s="14" t="s">
        <v>6</v>
      </c>
    </row>
    <row r="14" spans="2:4" ht="43.15">
      <c r="B14" s="14">
        <v>6</v>
      </c>
      <c r="C14" s="19" t="s">
        <v>15</v>
      </c>
      <c r="D14" s="14" t="s">
        <v>6</v>
      </c>
    </row>
    <row r="15" spans="2:4" ht="144">
      <c r="B15" s="14">
        <v>7</v>
      </c>
      <c r="C15" s="19" t="s">
        <v>16</v>
      </c>
      <c r="D15" s="14" t="s">
        <v>6</v>
      </c>
    </row>
    <row r="17" spans="2:4">
      <c r="B17" t="s">
        <v>17</v>
      </c>
    </row>
    <row r="18" spans="2:4" ht="28.9">
      <c r="B18" s="14">
        <v>8</v>
      </c>
      <c r="C18" s="19" t="s">
        <v>18</v>
      </c>
      <c r="D18" s="14" t="s">
        <v>6</v>
      </c>
    </row>
    <row r="19" spans="2:4" ht="72">
      <c r="B19" s="14">
        <v>9</v>
      </c>
      <c r="C19" s="19" t="s">
        <v>19</v>
      </c>
      <c r="D19" s="14" t="s">
        <v>6</v>
      </c>
    </row>
    <row r="20" spans="2:4" ht="57.6">
      <c r="B20" s="14">
        <v>10</v>
      </c>
      <c r="C20" s="19" t="s">
        <v>20</v>
      </c>
      <c r="D20" s="14" t="s">
        <v>6</v>
      </c>
    </row>
    <row r="21" spans="2:4" ht="43.15">
      <c r="B21" s="14">
        <v>11</v>
      </c>
      <c r="C21" s="19" t="s">
        <v>21</v>
      </c>
      <c r="D21" s="14"/>
    </row>
    <row r="22" spans="2:4" ht="28.9">
      <c r="B22" s="14">
        <v>12</v>
      </c>
      <c r="C22" s="19" t="s">
        <v>22</v>
      </c>
      <c r="D22" s="14" t="s">
        <v>6</v>
      </c>
    </row>
    <row r="23" spans="2:4">
      <c r="C23" s="1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258A0-F186-4B03-8F25-35720F3BB37B}">
  <dimension ref="B1:BL96"/>
  <sheetViews>
    <sheetView showGridLines="0" tabSelected="1" zoomScaleNormal="100" zoomScaleSheetLayoutView="25" workbookViewId="0">
      <selection activeCell="I22" sqref="I22"/>
    </sheetView>
  </sheetViews>
  <sheetFormatPr defaultColWidth="16" defaultRowHeight="14.45" outlineLevelCol="1"/>
  <cols>
    <col min="1" max="1" width="3.7109375" style="20" customWidth="1"/>
    <col min="2" max="2" width="40" style="20" customWidth="1"/>
    <col min="3" max="4" width="40" customWidth="1"/>
    <col min="5" max="5" width="4" style="29" customWidth="1"/>
    <col min="6" max="6" width="16" style="20" customWidth="1"/>
    <col min="7" max="8" width="16" customWidth="1"/>
    <col min="9" max="10" width="24" customWidth="1"/>
    <col min="11" max="12" width="16" customWidth="1"/>
    <col min="13" max="13" width="30" customWidth="1"/>
    <col min="14" max="16" width="24" customWidth="1"/>
    <col min="17" max="19" width="30" customWidth="1"/>
    <col min="20" max="20" width="4" customWidth="1"/>
    <col min="21" max="24" width="20" customWidth="1" outlineLevel="1"/>
    <col min="25" max="25" width="4" customWidth="1" outlineLevel="1"/>
    <col min="26" max="28" width="12" customWidth="1" outlineLevel="1"/>
    <col min="29" max="29" width="4" customWidth="1" outlineLevel="1"/>
    <col min="30" max="34" width="12" customWidth="1" outlineLevel="1"/>
    <col min="35" max="35" width="4" customWidth="1" outlineLevel="1"/>
    <col min="36" max="40" width="12" customWidth="1" outlineLevel="1"/>
    <col min="41" max="41" width="4" customWidth="1" outlineLevel="1"/>
    <col min="42" max="45" width="20" customWidth="1" outlineLevel="1"/>
    <col min="46" max="46" width="4" customWidth="1" outlineLevel="1"/>
    <col min="47" max="49" width="12" customWidth="1" outlineLevel="1"/>
    <col min="50" max="50" width="4" customWidth="1" outlineLevel="1"/>
    <col min="51" max="55" width="12" customWidth="1" outlineLevel="1"/>
    <col min="56" max="56" width="4" customWidth="1" outlineLevel="1"/>
    <col min="57" max="61" width="12" customWidth="1" outlineLevel="1"/>
    <col min="62" max="62" width="4" customWidth="1"/>
    <col min="63" max="63" width="40" customWidth="1"/>
    <col min="64" max="64" width="4" customWidth="1"/>
    <col min="65" max="16384" width="16" style="20"/>
  </cols>
  <sheetData>
    <row r="1" spans="2:64" ht="15" customHeight="1"/>
    <row r="2" spans="2:64" ht="16.149999999999999" customHeight="1">
      <c r="B2" s="30" t="s">
        <v>547</v>
      </c>
      <c r="C2" s="31" t="s">
        <v>653</v>
      </c>
    </row>
    <row r="3" spans="2:64" ht="16.149999999999999" customHeight="1">
      <c r="B3" s="30" t="s">
        <v>549</v>
      </c>
      <c r="C3" s="31" t="s">
        <v>550</v>
      </c>
    </row>
    <row r="4" spans="2:64" ht="16.149999999999999" customHeight="1">
      <c r="B4" s="30" t="s">
        <v>556</v>
      </c>
      <c r="C4" s="31">
        <v>50</v>
      </c>
    </row>
    <row r="5" spans="2:64" ht="16.149999999999999" customHeight="1">
      <c r="B5" s="30"/>
      <c r="C5" s="31"/>
    </row>
    <row r="6" spans="2:64" ht="16.149999999999999" customHeight="1">
      <c r="B6" s="30"/>
      <c r="C6" s="31"/>
    </row>
    <row r="7" spans="2:64" ht="16.149999999999999" customHeight="1">
      <c r="B7" s="30"/>
      <c r="C7" s="31"/>
    </row>
    <row r="8" spans="2:64" ht="16.149999999999999" customHeight="1">
      <c r="B8" s="30"/>
      <c r="C8" s="31"/>
    </row>
    <row r="9" spans="2:64" ht="16.149999999999999" customHeight="1">
      <c r="B9" s="30"/>
      <c r="C9" s="31"/>
    </row>
    <row r="10" spans="2:64" ht="15" customHeight="1"/>
    <row r="11" spans="2:64" ht="24" customHeight="1">
      <c r="B11" s="144" t="s">
        <v>560</v>
      </c>
      <c r="C11" s="144" t="s">
        <v>277</v>
      </c>
      <c r="D11" s="144" t="s">
        <v>277</v>
      </c>
      <c r="E11" s="33" t="s">
        <v>277</v>
      </c>
      <c r="F11" s="144" t="s">
        <v>561</v>
      </c>
      <c r="G11" s="144" t="s">
        <v>277</v>
      </c>
      <c r="H11" s="144" t="s">
        <v>277</v>
      </c>
      <c r="I11" s="144" t="s">
        <v>277</v>
      </c>
      <c r="J11" s="144" t="s">
        <v>277</v>
      </c>
      <c r="K11" s="144" t="s">
        <v>277</v>
      </c>
      <c r="L11" s="144" t="s">
        <v>277</v>
      </c>
      <c r="M11" s="144" t="s">
        <v>277</v>
      </c>
      <c r="N11" s="144" t="s">
        <v>277</v>
      </c>
      <c r="O11" s="144" t="s">
        <v>277</v>
      </c>
      <c r="P11" s="144" t="s">
        <v>277</v>
      </c>
      <c r="Q11" s="144" t="s">
        <v>277</v>
      </c>
      <c r="R11" s="144" t="s">
        <v>277</v>
      </c>
      <c r="S11" s="144" t="s">
        <v>277</v>
      </c>
      <c r="T11" s="33" t="s">
        <v>277</v>
      </c>
      <c r="U11" s="144" t="s">
        <v>654</v>
      </c>
      <c r="V11" s="144" t="s">
        <v>277</v>
      </c>
      <c r="W11" s="144" t="s">
        <v>277</v>
      </c>
      <c r="X11" s="144" t="s">
        <v>277</v>
      </c>
      <c r="Y11" s="33" t="s">
        <v>277</v>
      </c>
      <c r="Z11" s="144" t="s">
        <v>655</v>
      </c>
      <c r="AA11" s="144" t="s">
        <v>277</v>
      </c>
      <c r="AB11" s="144" t="s">
        <v>277</v>
      </c>
      <c r="AC11" s="33" t="s">
        <v>277</v>
      </c>
      <c r="AD11" s="144" t="s">
        <v>656</v>
      </c>
      <c r="AE11" s="144" t="s">
        <v>277</v>
      </c>
      <c r="AF11" s="144" t="s">
        <v>277</v>
      </c>
      <c r="AG11" s="144" t="s">
        <v>277</v>
      </c>
      <c r="AH11" s="144" t="s">
        <v>277</v>
      </c>
      <c r="AI11" s="33" t="s">
        <v>277</v>
      </c>
      <c r="AJ11" s="144" t="s">
        <v>657</v>
      </c>
      <c r="AK11" s="144" t="s">
        <v>277</v>
      </c>
      <c r="AL11" s="144" t="s">
        <v>277</v>
      </c>
      <c r="AM11" s="144" t="s">
        <v>277</v>
      </c>
      <c r="AN11" s="144" t="s">
        <v>277</v>
      </c>
      <c r="AO11" s="33" t="s">
        <v>277</v>
      </c>
      <c r="AP11" s="144" t="s">
        <v>658</v>
      </c>
      <c r="AQ11" s="144" t="s">
        <v>277</v>
      </c>
      <c r="AR11" s="144" t="s">
        <v>277</v>
      </c>
      <c r="AS11" s="144" t="s">
        <v>277</v>
      </c>
      <c r="AT11" s="33" t="s">
        <v>277</v>
      </c>
      <c r="AU11" s="144" t="s">
        <v>659</v>
      </c>
      <c r="AV11" s="144" t="s">
        <v>277</v>
      </c>
      <c r="AW11" s="144" t="s">
        <v>277</v>
      </c>
      <c r="AX11" s="33" t="s">
        <v>277</v>
      </c>
      <c r="AY11" s="144" t="s">
        <v>660</v>
      </c>
      <c r="AZ11" s="144" t="s">
        <v>277</v>
      </c>
      <c r="BA11" s="144" t="s">
        <v>277</v>
      </c>
      <c r="BB11" s="144" t="s">
        <v>277</v>
      </c>
      <c r="BC11" s="144" t="s">
        <v>277</v>
      </c>
      <c r="BD11" s="33" t="s">
        <v>277</v>
      </c>
      <c r="BE11" s="144" t="s">
        <v>661</v>
      </c>
      <c r="BF11" s="144" t="s">
        <v>277</v>
      </c>
      <c r="BG11" s="144" t="s">
        <v>277</v>
      </c>
      <c r="BH11" s="144" t="s">
        <v>277</v>
      </c>
      <c r="BI11" s="144" t="s">
        <v>277</v>
      </c>
      <c r="BJ11" s="33" t="s">
        <v>277</v>
      </c>
      <c r="BK11" s="32" t="s">
        <v>570</v>
      </c>
      <c r="BL11" s="33" t="s">
        <v>277</v>
      </c>
    </row>
    <row r="12" spans="2:64" ht="24" customHeight="1">
      <c r="B12" s="34" t="s">
        <v>571</v>
      </c>
      <c r="C12" s="34" t="s">
        <v>572</v>
      </c>
      <c r="D12" s="34" t="s">
        <v>573</v>
      </c>
      <c r="E12" s="33" t="s">
        <v>277</v>
      </c>
      <c r="F12" s="34" t="s">
        <v>574</v>
      </c>
      <c r="G12" s="34" t="s">
        <v>575</v>
      </c>
      <c r="H12" s="34" t="s">
        <v>79</v>
      </c>
      <c r="I12" s="34" t="s">
        <v>662</v>
      </c>
      <c r="J12" s="34" t="s">
        <v>577</v>
      </c>
      <c r="K12" s="34" t="s">
        <v>578</v>
      </c>
      <c r="L12" s="34" t="s">
        <v>579</v>
      </c>
      <c r="M12" s="34" t="s">
        <v>663</v>
      </c>
      <c r="N12" s="34" t="s">
        <v>664</v>
      </c>
      <c r="O12" s="34" t="s">
        <v>665</v>
      </c>
      <c r="P12" s="34" t="s">
        <v>666</v>
      </c>
      <c r="Q12" s="34" t="s">
        <v>667</v>
      </c>
      <c r="R12" s="34" t="s">
        <v>668</v>
      </c>
      <c r="S12" s="34" t="s">
        <v>669</v>
      </c>
      <c r="T12" s="33" t="s">
        <v>277</v>
      </c>
      <c r="U12" s="34" t="s">
        <v>73</v>
      </c>
      <c r="V12" s="34" t="s">
        <v>587</v>
      </c>
      <c r="W12" s="34" t="s">
        <v>75</v>
      </c>
      <c r="X12" s="34" t="s">
        <v>76</v>
      </c>
      <c r="Y12" s="33" t="s">
        <v>277</v>
      </c>
      <c r="Z12" s="34" t="s">
        <v>589</v>
      </c>
      <c r="AA12" s="34" t="s">
        <v>590</v>
      </c>
      <c r="AB12" s="34" t="s">
        <v>591</v>
      </c>
      <c r="AC12" s="33" t="s">
        <v>277</v>
      </c>
      <c r="AD12" s="34" t="s">
        <v>592</v>
      </c>
      <c r="AE12" s="34" t="s">
        <v>593</v>
      </c>
      <c r="AF12" s="34" t="s">
        <v>594</v>
      </c>
      <c r="AG12" s="34" t="s">
        <v>595</v>
      </c>
      <c r="AH12" s="34" t="s">
        <v>596</v>
      </c>
      <c r="AI12" s="33" t="s">
        <v>277</v>
      </c>
      <c r="AJ12" s="34" t="s">
        <v>597</v>
      </c>
      <c r="AK12" s="34" t="s">
        <v>598</v>
      </c>
      <c r="AL12" s="34" t="s">
        <v>599</v>
      </c>
      <c r="AM12" s="34" t="s">
        <v>600</v>
      </c>
      <c r="AN12" s="34" t="s">
        <v>601</v>
      </c>
      <c r="AO12" s="33" t="s">
        <v>277</v>
      </c>
      <c r="AP12" s="34" t="s">
        <v>73</v>
      </c>
      <c r="AQ12" s="34" t="s">
        <v>587</v>
      </c>
      <c r="AR12" s="34" t="s">
        <v>75</v>
      </c>
      <c r="AS12" s="34" t="s">
        <v>76</v>
      </c>
      <c r="AT12" s="33" t="s">
        <v>277</v>
      </c>
      <c r="AU12" s="34" t="s">
        <v>589</v>
      </c>
      <c r="AV12" s="34" t="s">
        <v>590</v>
      </c>
      <c r="AW12" s="34" t="s">
        <v>591</v>
      </c>
      <c r="AX12" s="33" t="s">
        <v>277</v>
      </c>
      <c r="AY12" s="34" t="s">
        <v>592</v>
      </c>
      <c r="AZ12" s="34" t="s">
        <v>593</v>
      </c>
      <c r="BA12" s="34" t="s">
        <v>594</v>
      </c>
      <c r="BB12" s="34" t="s">
        <v>595</v>
      </c>
      <c r="BC12" s="34" t="s">
        <v>596</v>
      </c>
      <c r="BD12" s="33" t="s">
        <v>277</v>
      </c>
      <c r="BE12" s="34" t="s">
        <v>597</v>
      </c>
      <c r="BF12" s="34" t="s">
        <v>598</v>
      </c>
      <c r="BG12" s="34" t="s">
        <v>599</v>
      </c>
      <c r="BH12" s="34" t="s">
        <v>600</v>
      </c>
      <c r="BI12" s="34" t="s">
        <v>601</v>
      </c>
      <c r="BJ12" s="33" t="s">
        <v>277</v>
      </c>
      <c r="BK12" s="34" t="s">
        <v>670</v>
      </c>
      <c r="BL12" s="33" t="s">
        <v>277</v>
      </c>
    </row>
    <row r="13" spans="2:64" ht="19.899999999999999" customHeight="1">
      <c r="B13" s="37" t="s">
        <v>603</v>
      </c>
      <c r="C13" s="37" t="s">
        <v>671</v>
      </c>
      <c r="D13" s="37" t="s">
        <v>435</v>
      </c>
      <c r="E13" s="33" t="s">
        <v>277</v>
      </c>
      <c r="F13" s="37" t="s">
        <v>641</v>
      </c>
      <c r="G13" s="38">
        <v>1</v>
      </c>
      <c r="H13" s="37" t="s">
        <v>384</v>
      </c>
      <c r="I13" s="39">
        <v>14</v>
      </c>
      <c r="J13" s="39">
        <v>50</v>
      </c>
      <c r="K13" s="70">
        <f>J13/I13-1</f>
        <v>2.5714285714285716</v>
      </c>
      <c r="L13" s="37" t="s">
        <v>606</v>
      </c>
      <c r="M13" s="38"/>
      <c r="N13" s="94">
        <f>6.85</f>
        <v>6.85</v>
      </c>
      <c r="O13" s="93">
        <v>0</v>
      </c>
      <c r="P13" s="38">
        <f>N13+O13</f>
        <v>6.85</v>
      </c>
      <c r="Q13" s="38"/>
      <c r="R13" s="38"/>
      <c r="S13" s="38"/>
      <c r="T13" s="33" t="s">
        <v>277</v>
      </c>
      <c r="U13" s="38"/>
      <c r="V13" s="38"/>
      <c r="W13" s="38"/>
      <c r="X13" s="38"/>
      <c r="Y13" s="33"/>
      <c r="Z13" s="38"/>
      <c r="AA13" s="38"/>
      <c r="AB13" s="38"/>
      <c r="AC13" s="33"/>
      <c r="AD13" s="38"/>
      <c r="AE13" s="38"/>
      <c r="AF13" s="38"/>
      <c r="AG13" s="38"/>
      <c r="AH13" s="38"/>
      <c r="AI13" s="33"/>
      <c r="AJ13" s="38"/>
      <c r="AK13" s="38"/>
      <c r="AL13" s="38"/>
      <c r="AM13" s="38"/>
      <c r="AN13" s="38"/>
      <c r="AO13" s="33"/>
      <c r="AP13" s="38"/>
      <c r="AQ13" s="38"/>
      <c r="AR13" s="38"/>
      <c r="AS13" s="38"/>
      <c r="AT13" s="33"/>
      <c r="AU13" s="38"/>
      <c r="AV13" s="38"/>
      <c r="AW13" s="38"/>
      <c r="AX13" s="33"/>
      <c r="AY13" s="38"/>
      <c r="AZ13" s="38"/>
      <c r="BA13" s="38"/>
      <c r="BB13" s="38"/>
      <c r="BC13" s="38"/>
      <c r="BD13" s="33"/>
      <c r="BE13" s="38"/>
      <c r="BF13" s="38"/>
      <c r="BG13" s="38"/>
      <c r="BH13" s="38"/>
      <c r="BI13" s="38"/>
      <c r="BJ13" s="33" t="s">
        <v>277</v>
      </c>
      <c r="BK13" s="37" t="s">
        <v>672</v>
      </c>
      <c r="BL13" s="33" t="s">
        <v>277</v>
      </c>
    </row>
    <row r="14" spans="2:64" ht="19.899999999999999" customHeight="1">
      <c r="B14" s="30" t="s">
        <v>603</v>
      </c>
      <c r="C14" s="30" t="s">
        <v>671</v>
      </c>
      <c r="D14" s="30" t="s">
        <v>429</v>
      </c>
      <c r="E14" s="33" t="s">
        <v>277</v>
      </c>
      <c r="F14" s="30" t="s">
        <v>641</v>
      </c>
      <c r="G14" s="35">
        <v>1</v>
      </c>
      <c r="H14" s="30" t="s">
        <v>384</v>
      </c>
      <c r="I14" s="36">
        <v>45</v>
      </c>
      <c r="J14" s="36">
        <v>50</v>
      </c>
      <c r="K14" s="35">
        <f>J14/I14-1</f>
        <v>0.11111111111111116</v>
      </c>
      <c r="L14" s="30" t="s">
        <v>606</v>
      </c>
      <c r="M14" s="35"/>
      <c r="N14" s="95">
        <f>3.91</f>
        <v>3.91</v>
      </c>
      <c r="O14" s="92">
        <v>0</v>
      </c>
      <c r="P14" s="35">
        <f t="shared" ref="P14" si="0">N14+O14</f>
        <v>3.91</v>
      </c>
      <c r="Q14" s="35"/>
      <c r="R14" s="35"/>
      <c r="S14" s="35"/>
      <c r="T14" s="33" t="s">
        <v>277</v>
      </c>
      <c r="U14" s="35"/>
      <c r="V14" s="35"/>
      <c r="W14" s="35"/>
      <c r="X14" s="35"/>
      <c r="Y14" s="33"/>
      <c r="Z14" s="35"/>
      <c r="AA14" s="35"/>
      <c r="AB14" s="35"/>
      <c r="AC14" s="33"/>
      <c r="AD14" s="35"/>
      <c r="AE14" s="35"/>
      <c r="AF14" s="35"/>
      <c r="AG14" s="35"/>
      <c r="AH14" s="35"/>
      <c r="AI14" s="33"/>
      <c r="AJ14" s="35"/>
      <c r="AK14" s="35"/>
      <c r="AL14" s="35"/>
      <c r="AM14" s="35"/>
      <c r="AN14" s="35"/>
      <c r="AO14" s="33"/>
      <c r="AP14" s="35"/>
      <c r="AQ14" s="35"/>
      <c r="AR14" s="35"/>
      <c r="AS14" s="35"/>
      <c r="AT14" s="33"/>
      <c r="AU14" s="35"/>
      <c r="AV14" s="35"/>
      <c r="AW14" s="35"/>
      <c r="AX14" s="33"/>
      <c r="AY14" s="35"/>
      <c r="AZ14" s="35"/>
      <c r="BA14" s="35"/>
      <c r="BB14" s="35"/>
      <c r="BC14" s="35"/>
      <c r="BD14" s="33"/>
      <c r="BE14" s="35"/>
      <c r="BF14" s="35"/>
      <c r="BG14" s="35"/>
      <c r="BH14" s="35"/>
      <c r="BI14" s="35"/>
      <c r="BJ14" s="33" t="s">
        <v>277</v>
      </c>
      <c r="BK14" s="30" t="s">
        <v>673</v>
      </c>
      <c r="BL14" s="33" t="s">
        <v>277</v>
      </c>
    </row>
    <row r="15" spans="2:64" ht="19.899999999999999" customHeight="1">
      <c r="B15" s="37" t="s">
        <v>603</v>
      </c>
      <c r="C15" s="37" t="s">
        <v>644</v>
      </c>
      <c r="D15" s="37" t="s">
        <v>645</v>
      </c>
      <c r="E15" s="33" t="s">
        <v>277</v>
      </c>
      <c r="F15" s="37" t="s">
        <v>641</v>
      </c>
      <c r="G15" s="38">
        <v>1</v>
      </c>
      <c r="H15" s="37" t="s">
        <v>642</v>
      </c>
      <c r="I15" s="39">
        <v>14</v>
      </c>
      <c r="J15" s="39">
        <v>50</v>
      </c>
      <c r="K15" s="38">
        <v>2.5714285714285712</v>
      </c>
      <c r="L15" s="37" t="s">
        <v>606</v>
      </c>
      <c r="M15" s="38">
        <v>8.5585317173462998E-3</v>
      </c>
      <c r="N15" s="38">
        <v>3.0566184704808212E-2</v>
      </c>
      <c r="O15" s="38">
        <v>0</v>
      </c>
      <c r="P15" s="38">
        <v>3.0566184704808212E-2</v>
      </c>
      <c r="Q15" s="38">
        <v>0.29571357937142861</v>
      </c>
      <c r="R15" s="38">
        <v>0</v>
      </c>
      <c r="S15" s="38">
        <v>0.29571357937142861</v>
      </c>
      <c r="T15" s="33" t="s">
        <v>277</v>
      </c>
      <c r="U15" s="38">
        <v>1.03124549774721E-2</v>
      </c>
      <c r="V15" s="38">
        <v>6.351658213261999E-4</v>
      </c>
      <c r="W15" s="38">
        <v>2.2089732841985815E-2</v>
      </c>
      <c r="X15" s="38">
        <v>-2.4711689359758998E-3</v>
      </c>
      <c r="Y15" s="33" t="s">
        <v>277</v>
      </c>
      <c r="Z15" s="38">
        <v>1.03124549774721E-2</v>
      </c>
      <c r="AA15" s="38">
        <v>3.7546048639299992E-4</v>
      </c>
      <c r="AB15" s="38">
        <v>2.5970533493319998E-4</v>
      </c>
      <c r="AC15" s="33" t="s">
        <v>277</v>
      </c>
      <c r="AD15" s="38">
        <v>8.2079854523900002E-5</v>
      </c>
      <c r="AE15" s="38">
        <v>0</v>
      </c>
      <c r="AF15" s="38">
        <v>0</v>
      </c>
      <c r="AG15" s="38">
        <v>2.2007652987461917E-2</v>
      </c>
      <c r="AH15" s="38">
        <v>0</v>
      </c>
      <c r="AI15" s="33" t="s">
        <v>277</v>
      </c>
      <c r="AJ15" s="38">
        <v>1.3541603216299998E-4</v>
      </c>
      <c r="AK15" s="38">
        <v>3.1791355701000004E-4</v>
      </c>
      <c r="AL15" s="38">
        <v>1.5929998126950004E-4</v>
      </c>
      <c r="AM15" s="38">
        <v>0</v>
      </c>
      <c r="AN15" s="38">
        <v>-3.0837985064183998E-3</v>
      </c>
      <c r="AO15" s="33" t="s">
        <v>277</v>
      </c>
      <c r="AP15" s="38">
        <v>9.2884246150000002E-2</v>
      </c>
      <c r="AQ15" s="38">
        <v>6.5186766859999992E-3</v>
      </c>
      <c r="AR15" s="38">
        <v>0.2129137771474286</v>
      </c>
      <c r="AS15" s="38">
        <v>-1.6603120612000002E-2</v>
      </c>
      <c r="AT15" s="33" t="s">
        <v>277</v>
      </c>
      <c r="AU15" s="38">
        <v>9.2884246150000002E-2</v>
      </c>
      <c r="AV15" s="38">
        <v>3.9891474709999996E-3</v>
      </c>
      <c r="AW15" s="38">
        <v>2.529529215E-3</v>
      </c>
      <c r="AX15" s="33" t="s">
        <v>277</v>
      </c>
      <c r="AY15" s="38">
        <v>0</v>
      </c>
      <c r="AZ15" s="38">
        <v>0</v>
      </c>
      <c r="BA15" s="38">
        <v>0</v>
      </c>
      <c r="BB15" s="38">
        <v>0.2129137771474286</v>
      </c>
      <c r="BC15" s="38">
        <v>0</v>
      </c>
      <c r="BD15" s="33" t="s">
        <v>277</v>
      </c>
      <c r="BE15" s="38">
        <v>1.439214898E-3</v>
      </c>
      <c r="BF15" s="38">
        <v>3.2726104579999999E-3</v>
      </c>
      <c r="BG15" s="38">
        <v>1.6136651889999999E-3</v>
      </c>
      <c r="BH15" s="38">
        <v>0</v>
      </c>
      <c r="BI15" s="38">
        <v>-2.2928611157000001E-2</v>
      </c>
      <c r="BJ15" s="33" t="s">
        <v>277</v>
      </c>
      <c r="BK15" s="37" t="s">
        <v>674</v>
      </c>
      <c r="BL15" s="33" t="s">
        <v>277</v>
      </c>
    </row>
    <row r="16" spans="2:64" ht="19.899999999999999" customHeight="1">
      <c r="B16" s="30" t="s">
        <v>603</v>
      </c>
      <c r="C16" s="30" t="s">
        <v>644</v>
      </c>
      <c r="D16" s="30" t="s">
        <v>647</v>
      </c>
      <c r="E16" s="33" t="s">
        <v>277</v>
      </c>
      <c r="F16" s="30" t="s">
        <v>641</v>
      </c>
      <c r="G16" s="35">
        <v>1</v>
      </c>
      <c r="H16" s="30" t="s">
        <v>642</v>
      </c>
      <c r="I16" s="36">
        <v>14</v>
      </c>
      <c r="J16" s="36">
        <v>50</v>
      </c>
      <c r="K16" s="35">
        <v>2.5714285714285712</v>
      </c>
      <c r="L16" s="30" t="s">
        <v>606</v>
      </c>
      <c r="M16" s="35">
        <v>9.8937198951405004E-3</v>
      </c>
      <c r="N16" s="35">
        <v>3.5334713911216072E-2</v>
      </c>
      <c r="O16" s="35">
        <v>0</v>
      </c>
      <c r="P16" s="35">
        <v>3.5334713911216072E-2</v>
      </c>
      <c r="Q16" s="35">
        <v>0.34017578317500008</v>
      </c>
      <c r="R16" s="35">
        <v>0</v>
      </c>
      <c r="S16" s="35">
        <v>0.34017578317499997</v>
      </c>
      <c r="T16" s="33" t="s">
        <v>277</v>
      </c>
      <c r="U16" s="35">
        <v>1.1647643157336001E-2</v>
      </c>
      <c r="V16" s="35">
        <v>6.3516582138099993E-4</v>
      </c>
      <c r="W16" s="35">
        <v>2.5523073870599471E-2</v>
      </c>
      <c r="X16" s="35">
        <v>-2.4711689381004E-3</v>
      </c>
      <c r="Y16" s="33" t="s">
        <v>277</v>
      </c>
      <c r="Z16" s="35">
        <v>1.1647643157336001E-2</v>
      </c>
      <c r="AA16" s="35">
        <v>3.7546048639299992E-4</v>
      </c>
      <c r="AB16" s="35">
        <v>2.5970533498799995E-4</v>
      </c>
      <c r="AC16" s="33" t="s">
        <v>277</v>
      </c>
      <c r="AD16" s="35">
        <v>8.2079854523900002E-5</v>
      </c>
      <c r="AE16" s="35">
        <v>0</v>
      </c>
      <c r="AF16" s="35">
        <v>0</v>
      </c>
      <c r="AG16" s="35">
        <v>2.5440994016075573E-2</v>
      </c>
      <c r="AH16" s="35">
        <v>0</v>
      </c>
      <c r="AI16" s="33" t="s">
        <v>277</v>
      </c>
      <c r="AJ16" s="35">
        <v>1.3541603221580001E-4</v>
      </c>
      <c r="AK16" s="35">
        <v>3.1791355701000004E-4</v>
      </c>
      <c r="AL16" s="35">
        <v>1.5929998127250003E-4</v>
      </c>
      <c r="AM16" s="35">
        <v>0</v>
      </c>
      <c r="AN16" s="35">
        <v>-3.0837985085987001E-3</v>
      </c>
      <c r="AO16" s="33" t="s">
        <v>277</v>
      </c>
      <c r="AP16" s="35">
        <v>0.10533366323600001</v>
      </c>
      <c r="AQ16" s="35">
        <v>6.5186766869999996E-3</v>
      </c>
      <c r="AR16" s="35">
        <v>0.24492656388600006</v>
      </c>
      <c r="AS16" s="35">
        <v>-1.6603120633999997E-2</v>
      </c>
      <c r="AT16" s="33" t="s">
        <v>277</v>
      </c>
      <c r="AU16" s="35">
        <v>0.10533366323600001</v>
      </c>
      <c r="AV16" s="35">
        <v>3.9891474709999996E-3</v>
      </c>
      <c r="AW16" s="35">
        <v>2.529529216E-3</v>
      </c>
      <c r="AX16" s="33" t="s">
        <v>277</v>
      </c>
      <c r="AY16" s="35">
        <v>0</v>
      </c>
      <c r="AZ16" s="35">
        <v>0</v>
      </c>
      <c r="BA16" s="35">
        <v>0</v>
      </c>
      <c r="BB16" s="35">
        <v>0.24492656388600006</v>
      </c>
      <c r="BC16" s="35">
        <v>0</v>
      </c>
      <c r="BD16" s="33" t="s">
        <v>277</v>
      </c>
      <c r="BE16" s="35">
        <v>1.439214899E-3</v>
      </c>
      <c r="BF16" s="35">
        <v>3.2726104579999999E-3</v>
      </c>
      <c r="BG16" s="35">
        <v>1.6136651889999999E-3</v>
      </c>
      <c r="BH16" s="35">
        <v>0</v>
      </c>
      <c r="BI16" s="35">
        <v>-2.2928611179999999E-2</v>
      </c>
      <c r="BJ16" s="33" t="s">
        <v>277</v>
      </c>
      <c r="BK16" s="30" t="s">
        <v>674</v>
      </c>
      <c r="BL16" s="33" t="s">
        <v>277</v>
      </c>
    </row>
    <row r="17" spans="2:64" ht="19.899999999999999" customHeight="1">
      <c r="B17" s="37" t="s">
        <v>603</v>
      </c>
      <c r="C17" s="37" t="s">
        <v>644</v>
      </c>
      <c r="D17" s="37" t="s">
        <v>648</v>
      </c>
      <c r="E17" s="33" t="s">
        <v>277</v>
      </c>
      <c r="F17" s="37" t="s">
        <v>641</v>
      </c>
      <c r="G17" s="38">
        <v>1</v>
      </c>
      <c r="H17" s="37" t="s">
        <v>642</v>
      </c>
      <c r="I17" s="39">
        <v>45</v>
      </c>
      <c r="J17" s="39">
        <v>50</v>
      </c>
      <c r="K17" s="38">
        <v>0.11111111111111116</v>
      </c>
      <c r="L17" s="37" t="s">
        <v>606</v>
      </c>
      <c r="M17" s="38">
        <v>5.4737843769686999E-3</v>
      </c>
      <c r="N17" s="38">
        <v>6.0819826410763332E-3</v>
      </c>
      <c r="O17" s="38">
        <v>0</v>
      </c>
      <c r="P17" s="38">
        <v>6.0819826410763332E-3</v>
      </c>
      <c r="Q17" s="38">
        <v>6.5638871217777797E-2</v>
      </c>
      <c r="R17" s="38">
        <v>0</v>
      </c>
      <c r="S17" s="38">
        <v>6.5638871217777783E-2</v>
      </c>
      <c r="T17" s="33" t="s">
        <v>277</v>
      </c>
      <c r="U17" s="38">
        <v>6.4891847375398003E-3</v>
      </c>
      <c r="V17" s="38">
        <v>5.1723581232549995E-4</v>
      </c>
      <c r="W17" s="38">
        <v>6.0819826410763356E-4</v>
      </c>
      <c r="X17" s="38">
        <v>-1.5326361728966004E-3</v>
      </c>
      <c r="Y17" s="33" t="s">
        <v>277</v>
      </c>
      <c r="Z17" s="38">
        <v>6.4891847375398003E-3</v>
      </c>
      <c r="AA17" s="38">
        <v>3.7546048639299992E-4</v>
      </c>
      <c r="AB17" s="38">
        <v>1.417753259325E-4</v>
      </c>
      <c r="AC17" s="33" t="s">
        <v>277</v>
      </c>
      <c r="AD17" s="38">
        <v>0</v>
      </c>
      <c r="AE17" s="38">
        <v>0</v>
      </c>
      <c r="AF17" s="38">
        <v>0</v>
      </c>
      <c r="AG17" s="38">
        <v>6.0819826410763356E-4</v>
      </c>
      <c r="AH17" s="38">
        <v>0</v>
      </c>
      <c r="AI17" s="33" t="s">
        <v>277</v>
      </c>
      <c r="AJ17" s="38">
        <v>3.1586755022459999E-4</v>
      </c>
      <c r="AK17" s="38">
        <v>3.1791355701000004E-4</v>
      </c>
      <c r="AL17" s="38">
        <v>1.5929998157389999E-4</v>
      </c>
      <c r="AM17" s="38">
        <v>0</v>
      </c>
      <c r="AN17" s="38">
        <v>-2.3257172617051004E-3</v>
      </c>
      <c r="AO17" s="33" t="s">
        <v>277</v>
      </c>
      <c r="AP17" s="38">
        <v>6.2751218538000003E-2</v>
      </c>
      <c r="AQ17" s="38">
        <v>5.3847497979999997E-3</v>
      </c>
      <c r="AR17" s="38">
        <v>6.5638871217777815E-3</v>
      </c>
      <c r="AS17" s="38">
        <v>-9.0609842400000019E-3</v>
      </c>
      <c r="AT17" s="33" t="s">
        <v>277</v>
      </c>
      <c r="AU17" s="38">
        <v>6.2751218538000003E-2</v>
      </c>
      <c r="AV17" s="38">
        <v>3.9891474709999996E-3</v>
      </c>
      <c r="AW17" s="38">
        <v>1.3956023269999999E-3</v>
      </c>
      <c r="AX17" s="33" t="s">
        <v>277</v>
      </c>
      <c r="AY17" s="38">
        <v>0</v>
      </c>
      <c r="AZ17" s="38">
        <v>0</v>
      </c>
      <c r="BA17" s="38">
        <v>0</v>
      </c>
      <c r="BB17" s="38">
        <v>6.5638871217777815E-3</v>
      </c>
      <c r="BC17" s="38">
        <v>0</v>
      </c>
      <c r="BD17" s="33" t="s">
        <v>277</v>
      </c>
      <c r="BE17" s="38">
        <v>3.3581681E-3</v>
      </c>
      <c r="BF17" s="38">
        <v>3.2726104579999999E-3</v>
      </c>
      <c r="BG17" s="38">
        <v>1.6136651909999999E-3</v>
      </c>
      <c r="BH17" s="38">
        <v>0</v>
      </c>
      <c r="BI17" s="38">
        <v>-1.7305427989000002E-2</v>
      </c>
      <c r="BJ17" s="33" t="s">
        <v>277</v>
      </c>
      <c r="BK17" s="37" t="s">
        <v>674</v>
      </c>
      <c r="BL17" s="33" t="s">
        <v>277</v>
      </c>
    </row>
    <row r="18" spans="2:64" ht="20.100000000000001" customHeight="1">
      <c r="B18" s="30" t="s">
        <v>603</v>
      </c>
      <c r="C18" s="30" t="s">
        <v>644</v>
      </c>
      <c r="D18" s="30" t="s">
        <v>233</v>
      </c>
      <c r="E18" s="33" t="s">
        <v>277</v>
      </c>
      <c r="F18" s="30" t="s">
        <v>604</v>
      </c>
      <c r="G18" s="35">
        <v>1</v>
      </c>
      <c r="H18" s="30" t="s">
        <v>613</v>
      </c>
      <c r="I18" s="36">
        <v>999</v>
      </c>
      <c r="J18" s="36">
        <v>50</v>
      </c>
      <c r="K18" s="35">
        <v>0</v>
      </c>
      <c r="L18" s="30" t="s">
        <v>606</v>
      </c>
      <c r="M18" s="35">
        <v>1.314868834871691</v>
      </c>
      <c r="N18" s="35">
        <v>1.0114375560110891</v>
      </c>
      <c r="O18" s="35">
        <v>0.30343127886060195</v>
      </c>
      <c r="P18" s="35">
        <v>1.3148688348716899</v>
      </c>
      <c r="Q18" s="35">
        <v>9.4157348511999999</v>
      </c>
      <c r="R18" s="35">
        <v>2.8247205676043068</v>
      </c>
      <c r="S18" s="35">
        <v>12.240455418804306</v>
      </c>
      <c r="T18" s="33" t="s">
        <v>277</v>
      </c>
      <c r="U18" s="35">
        <v>0</v>
      </c>
      <c r="V18" s="35">
        <v>1.0114375560110891</v>
      </c>
      <c r="W18" s="35">
        <v>0</v>
      </c>
      <c r="X18" s="35">
        <v>0</v>
      </c>
      <c r="Y18" s="33" t="s">
        <v>277</v>
      </c>
      <c r="Z18" s="35">
        <v>0</v>
      </c>
      <c r="AA18" s="35">
        <v>0</v>
      </c>
      <c r="AB18" s="35">
        <v>1.0114375560110891</v>
      </c>
      <c r="AC18" s="33" t="s">
        <v>277</v>
      </c>
      <c r="AD18" s="35">
        <v>0</v>
      </c>
      <c r="AE18" s="35">
        <v>0</v>
      </c>
      <c r="AF18" s="35">
        <v>0</v>
      </c>
      <c r="AG18" s="35">
        <v>0</v>
      </c>
      <c r="AH18" s="35">
        <v>0</v>
      </c>
      <c r="AI18" s="33" t="s">
        <v>277</v>
      </c>
      <c r="AJ18" s="35">
        <v>0</v>
      </c>
      <c r="AK18" s="35">
        <v>0</v>
      </c>
      <c r="AL18" s="35">
        <v>0</v>
      </c>
      <c r="AM18" s="35">
        <v>0</v>
      </c>
      <c r="AN18" s="35">
        <v>0</v>
      </c>
      <c r="AO18" s="33" t="s">
        <v>277</v>
      </c>
      <c r="AP18" s="35">
        <v>0</v>
      </c>
      <c r="AQ18" s="35">
        <v>9.4157348511999999</v>
      </c>
      <c r="AR18" s="35">
        <v>0</v>
      </c>
      <c r="AS18" s="35">
        <v>0</v>
      </c>
      <c r="AT18" s="33" t="s">
        <v>277</v>
      </c>
      <c r="AU18" s="35">
        <v>0</v>
      </c>
      <c r="AV18" s="35">
        <v>0</v>
      </c>
      <c r="AW18" s="35">
        <v>9.4157348511999999</v>
      </c>
      <c r="AX18" s="33" t="s">
        <v>277</v>
      </c>
      <c r="AY18" s="35">
        <v>0</v>
      </c>
      <c r="AZ18" s="35">
        <v>0</v>
      </c>
      <c r="BA18" s="35">
        <v>0</v>
      </c>
      <c r="BB18" s="35">
        <v>0</v>
      </c>
      <c r="BC18" s="35">
        <v>0</v>
      </c>
      <c r="BD18" s="33" t="s">
        <v>277</v>
      </c>
      <c r="BE18" s="35">
        <v>0</v>
      </c>
      <c r="BF18" s="35">
        <v>0</v>
      </c>
      <c r="BG18" s="35">
        <v>0</v>
      </c>
      <c r="BH18" s="35">
        <v>0</v>
      </c>
      <c r="BI18" s="35">
        <v>0</v>
      </c>
      <c r="BJ18" s="33" t="s">
        <v>277</v>
      </c>
      <c r="BK18" s="30" t="s">
        <v>674</v>
      </c>
      <c r="BL18" s="33" t="s">
        <v>277</v>
      </c>
    </row>
    <row r="19" spans="2:64" ht="20.100000000000001" customHeight="1">
      <c r="B19" s="37" t="s">
        <v>603</v>
      </c>
      <c r="C19" s="37" t="s">
        <v>644</v>
      </c>
      <c r="D19" s="37" t="s">
        <v>241</v>
      </c>
      <c r="E19" s="33" t="s">
        <v>277</v>
      </c>
      <c r="F19" s="37" t="s">
        <v>604</v>
      </c>
      <c r="G19" s="38">
        <v>1</v>
      </c>
      <c r="H19" s="37" t="s">
        <v>613</v>
      </c>
      <c r="I19" s="39">
        <v>999</v>
      </c>
      <c r="J19" s="39">
        <v>50</v>
      </c>
      <c r="K19" s="38">
        <v>0</v>
      </c>
      <c r="L19" s="37" t="s">
        <v>606</v>
      </c>
      <c r="M19" s="38">
        <v>2.4914863229604616</v>
      </c>
      <c r="N19" s="38">
        <v>1.9165279231643604</v>
      </c>
      <c r="O19" s="38">
        <v>0.5749583997961013</v>
      </c>
      <c r="P19" s="38">
        <v>2.4914863229604616</v>
      </c>
      <c r="Q19" s="38">
        <v>10.724770262231999</v>
      </c>
      <c r="R19" s="38">
        <v>3.2174312065188246</v>
      </c>
      <c r="S19" s="38">
        <v>13.942201468750824</v>
      </c>
      <c r="T19" s="33" t="s">
        <v>277</v>
      </c>
      <c r="U19" s="38">
        <v>0</v>
      </c>
      <c r="V19" s="38">
        <v>1.9165279231643604</v>
      </c>
      <c r="W19" s="38">
        <v>0</v>
      </c>
      <c r="X19" s="38">
        <v>0</v>
      </c>
      <c r="Y19" s="33" t="s">
        <v>277</v>
      </c>
      <c r="Z19" s="38">
        <v>0</v>
      </c>
      <c r="AA19" s="38">
        <v>0</v>
      </c>
      <c r="AB19" s="38">
        <v>1.9165279231643604</v>
      </c>
      <c r="AC19" s="33" t="s">
        <v>277</v>
      </c>
      <c r="AD19" s="38">
        <v>0</v>
      </c>
      <c r="AE19" s="38">
        <v>0</v>
      </c>
      <c r="AF19" s="38">
        <v>0</v>
      </c>
      <c r="AG19" s="38">
        <v>0</v>
      </c>
      <c r="AH19" s="38">
        <v>0</v>
      </c>
      <c r="AI19" s="33" t="s">
        <v>277</v>
      </c>
      <c r="AJ19" s="38">
        <v>0</v>
      </c>
      <c r="AK19" s="38">
        <v>0</v>
      </c>
      <c r="AL19" s="38">
        <v>0</v>
      </c>
      <c r="AM19" s="38">
        <v>0</v>
      </c>
      <c r="AN19" s="38">
        <v>0</v>
      </c>
      <c r="AO19" s="33" t="s">
        <v>277</v>
      </c>
      <c r="AP19" s="38">
        <v>0</v>
      </c>
      <c r="AQ19" s="38">
        <v>10.724770262231999</v>
      </c>
      <c r="AR19" s="38">
        <v>0</v>
      </c>
      <c r="AS19" s="38">
        <v>0</v>
      </c>
      <c r="AT19" s="33" t="s">
        <v>277</v>
      </c>
      <c r="AU19" s="38">
        <v>0</v>
      </c>
      <c r="AV19" s="38">
        <v>0</v>
      </c>
      <c r="AW19" s="38">
        <v>10.724770262231999</v>
      </c>
      <c r="AX19" s="33" t="s">
        <v>277</v>
      </c>
      <c r="AY19" s="38">
        <v>0</v>
      </c>
      <c r="AZ19" s="38">
        <v>0</v>
      </c>
      <c r="BA19" s="38">
        <v>0</v>
      </c>
      <c r="BB19" s="38">
        <v>0</v>
      </c>
      <c r="BC19" s="38">
        <v>0</v>
      </c>
      <c r="BD19" s="33" t="s">
        <v>277</v>
      </c>
      <c r="BE19" s="38">
        <v>0</v>
      </c>
      <c r="BF19" s="38">
        <v>0</v>
      </c>
      <c r="BG19" s="38">
        <v>0</v>
      </c>
      <c r="BH19" s="38">
        <v>0</v>
      </c>
      <c r="BI19" s="38">
        <v>0</v>
      </c>
      <c r="BJ19" s="33" t="s">
        <v>277</v>
      </c>
      <c r="BK19" s="37" t="s">
        <v>674</v>
      </c>
      <c r="BL19" s="33" t="s">
        <v>277</v>
      </c>
    </row>
    <row r="20" spans="2:64" ht="19.899999999999999" customHeight="1">
      <c r="B20" s="30" t="s">
        <v>603</v>
      </c>
      <c r="C20" s="30" t="s">
        <v>644</v>
      </c>
      <c r="D20" s="30" t="s">
        <v>473</v>
      </c>
      <c r="E20" s="33"/>
      <c r="F20" s="30" t="s">
        <v>641</v>
      </c>
      <c r="G20" s="35">
        <v>1</v>
      </c>
      <c r="H20" s="30" t="s">
        <v>112</v>
      </c>
      <c r="I20" s="36">
        <v>25</v>
      </c>
      <c r="J20" s="36">
        <v>50</v>
      </c>
      <c r="K20" s="35">
        <f>J20/I20-1</f>
        <v>1</v>
      </c>
      <c r="L20" s="30" t="s">
        <v>606</v>
      </c>
      <c r="M20" s="35"/>
      <c r="N20" s="92">
        <f>P20-O20</f>
        <v>14.350000000000001</v>
      </c>
      <c r="O20" s="92">
        <f>0.3*P20</f>
        <v>6.1499999999999995</v>
      </c>
      <c r="P20" s="35">
        <f>20.5</f>
        <v>20.5</v>
      </c>
      <c r="Q20" s="35"/>
      <c r="R20" s="35"/>
      <c r="S20" s="35"/>
      <c r="T20" s="33"/>
      <c r="U20" s="35"/>
      <c r="V20" s="35"/>
      <c r="W20" s="35"/>
      <c r="X20" s="35"/>
      <c r="Y20" s="33"/>
      <c r="Z20" s="35"/>
      <c r="AA20" s="35"/>
      <c r="AB20" s="35"/>
      <c r="AC20" s="33"/>
      <c r="AD20" s="35"/>
      <c r="AE20" s="35"/>
      <c r="AF20" s="35"/>
      <c r="AG20" s="35"/>
      <c r="AH20" s="35"/>
      <c r="AI20" s="33"/>
      <c r="AJ20" s="35"/>
      <c r="AK20" s="35"/>
      <c r="AL20" s="35"/>
      <c r="AM20" s="35"/>
      <c r="AN20" s="35"/>
      <c r="AO20" s="33"/>
      <c r="AP20" s="35"/>
      <c r="AQ20" s="35"/>
      <c r="AR20" s="35"/>
      <c r="AS20" s="35"/>
      <c r="AT20" s="33"/>
      <c r="AU20" s="35"/>
      <c r="AV20" s="35"/>
      <c r="AW20" s="35"/>
      <c r="AX20" s="33"/>
      <c r="AY20" s="35"/>
      <c r="AZ20" s="35"/>
      <c r="BA20" s="35"/>
      <c r="BB20" s="35"/>
      <c r="BC20" s="35"/>
      <c r="BD20" s="33"/>
      <c r="BE20" s="35"/>
      <c r="BF20" s="35"/>
      <c r="BG20" s="35"/>
      <c r="BH20" s="35"/>
      <c r="BI20" s="35"/>
      <c r="BJ20" s="33"/>
      <c r="BK20" s="30" t="s">
        <v>675</v>
      </c>
      <c r="BL20" s="33" t="s">
        <v>676</v>
      </c>
    </row>
    <row r="21" spans="2:64" ht="19.899999999999999" customHeight="1">
      <c r="B21" s="37" t="s">
        <v>603</v>
      </c>
      <c r="C21" s="37" t="s">
        <v>644</v>
      </c>
      <c r="D21" s="37" t="s">
        <v>677</v>
      </c>
      <c r="E21" s="33"/>
      <c r="F21" s="37" t="s">
        <v>641</v>
      </c>
      <c r="G21" s="38">
        <v>1</v>
      </c>
      <c r="H21" s="37" t="s">
        <v>112</v>
      </c>
      <c r="I21" s="39">
        <v>60</v>
      </c>
      <c r="J21" s="39">
        <v>50</v>
      </c>
      <c r="K21" s="38">
        <v>0</v>
      </c>
      <c r="L21" s="37" t="s">
        <v>606</v>
      </c>
      <c r="M21" s="38"/>
      <c r="N21" s="93">
        <f>P21-O21</f>
        <v>14.350000000000001</v>
      </c>
      <c r="O21" s="93">
        <f>0.3*P21</f>
        <v>6.1499999999999995</v>
      </c>
      <c r="P21" s="38">
        <f>20.5</f>
        <v>20.5</v>
      </c>
      <c r="Q21" s="38"/>
      <c r="R21" s="38"/>
      <c r="S21" s="38"/>
      <c r="T21" s="33"/>
      <c r="U21" s="38"/>
      <c r="V21" s="38"/>
      <c r="W21" s="38"/>
      <c r="X21" s="38"/>
      <c r="Y21" s="33"/>
      <c r="Z21" s="38"/>
      <c r="AA21" s="38"/>
      <c r="AB21" s="38"/>
      <c r="AC21" s="33"/>
      <c r="AD21" s="38"/>
      <c r="AE21" s="38"/>
      <c r="AF21" s="38"/>
      <c r="AG21" s="38"/>
      <c r="AH21" s="38"/>
      <c r="AI21" s="33"/>
      <c r="AJ21" s="38"/>
      <c r="AK21" s="38"/>
      <c r="AL21" s="38"/>
      <c r="AM21" s="38"/>
      <c r="AN21" s="38"/>
      <c r="AO21" s="33"/>
      <c r="AP21" s="38"/>
      <c r="AQ21" s="38"/>
      <c r="AR21" s="38"/>
      <c r="AS21" s="38"/>
      <c r="AT21" s="33"/>
      <c r="AU21" s="38"/>
      <c r="AV21" s="38"/>
      <c r="AW21" s="38"/>
      <c r="AX21" s="33"/>
      <c r="AY21" s="38"/>
      <c r="AZ21" s="38"/>
      <c r="BA21" s="38"/>
      <c r="BB21" s="38"/>
      <c r="BC21" s="38"/>
      <c r="BD21" s="33"/>
      <c r="BE21" s="38"/>
      <c r="BF21" s="38"/>
      <c r="BG21" s="38"/>
      <c r="BH21" s="38"/>
      <c r="BI21" s="38"/>
      <c r="BJ21" s="33"/>
      <c r="BK21" s="37" t="s">
        <v>678</v>
      </c>
      <c r="BL21" s="33" t="s">
        <v>676</v>
      </c>
    </row>
    <row r="22" spans="2:64" ht="19.899999999999999" customHeight="1">
      <c r="B22" s="30" t="s">
        <v>603</v>
      </c>
      <c r="C22" s="30" t="s">
        <v>644</v>
      </c>
      <c r="D22" s="30" t="s">
        <v>464</v>
      </c>
      <c r="E22" s="33"/>
      <c r="F22" s="30" t="s">
        <v>641</v>
      </c>
      <c r="G22" s="35">
        <v>1</v>
      </c>
      <c r="H22" s="30" t="s">
        <v>112</v>
      </c>
      <c r="I22" s="36">
        <v>25</v>
      </c>
      <c r="J22" s="36">
        <v>50</v>
      </c>
      <c r="K22" s="35">
        <f>J22/I22-1</f>
        <v>1</v>
      </c>
      <c r="L22" s="30" t="s">
        <v>606</v>
      </c>
      <c r="M22" s="35"/>
      <c r="N22" s="92">
        <f>P22-O22</f>
        <v>14.7</v>
      </c>
      <c r="O22" s="92">
        <f>0.3*P22</f>
        <v>6.3</v>
      </c>
      <c r="P22" s="35">
        <f>21</f>
        <v>21</v>
      </c>
      <c r="Q22" s="35"/>
      <c r="R22" s="35"/>
      <c r="S22" s="35"/>
      <c r="T22" s="33"/>
      <c r="U22" s="35"/>
      <c r="V22" s="35"/>
      <c r="W22" s="35"/>
      <c r="X22" s="35"/>
      <c r="Y22" s="33"/>
      <c r="Z22" s="35"/>
      <c r="AA22" s="35"/>
      <c r="AB22" s="35"/>
      <c r="AC22" s="33"/>
      <c r="AD22" s="35"/>
      <c r="AE22" s="35"/>
      <c r="AF22" s="35"/>
      <c r="AG22" s="35"/>
      <c r="AH22" s="35"/>
      <c r="AI22" s="33"/>
      <c r="AJ22" s="35"/>
      <c r="AK22" s="35"/>
      <c r="AL22" s="35"/>
      <c r="AM22" s="35"/>
      <c r="AN22" s="35"/>
      <c r="AO22" s="33"/>
      <c r="AP22" s="35"/>
      <c r="AQ22" s="35"/>
      <c r="AR22" s="35"/>
      <c r="AS22" s="35"/>
      <c r="AT22" s="33"/>
      <c r="AU22" s="35"/>
      <c r="AV22" s="35"/>
      <c r="AW22" s="35"/>
      <c r="AX22" s="33"/>
      <c r="AY22" s="35"/>
      <c r="AZ22" s="35"/>
      <c r="BA22" s="35"/>
      <c r="BB22" s="35"/>
      <c r="BC22" s="35"/>
      <c r="BD22" s="33"/>
      <c r="BE22" s="35"/>
      <c r="BF22" s="35"/>
      <c r="BG22" s="35"/>
      <c r="BH22" s="35"/>
      <c r="BI22" s="35"/>
      <c r="BJ22" s="33"/>
      <c r="BK22" s="30" t="s">
        <v>679</v>
      </c>
      <c r="BL22" s="33" t="s">
        <v>676</v>
      </c>
    </row>
    <row r="23" spans="2:64" ht="19.899999999999999" customHeight="1">
      <c r="B23" s="37" t="s">
        <v>603</v>
      </c>
      <c r="C23" s="37" t="s">
        <v>644</v>
      </c>
      <c r="D23" s="37" t="s">
        <v>390</v>
      </c>
      <c r="E23" s="33"/>
      <c r="F23" s="37" t="s">
        <v>641</v>
      </c>
      <c r="G23" s="38">
        <v>1</v>
      </c>
      <c r="H23" s="37" t="s">
        <v>112</v>
      </c>
      <c r="I23" s="39">
        <v>75</v>
      </c>
      <c r="J23" s="39">
        <v>50</v>
      </c>
      <c r="K23" s="38">
        <v>0</v>
      </c>
      <c r="L23" s="37" t="s">
        <v>606</v>
      </c>
      <c r="M23" s="38"/>
      <c r="N23" s="93">
        <f>P23-O23</f>
        <v>17.5</v>
      </c>
      <c r="O23" s="93">
        <f>0.3*P23</f>
        <v>7.5</v>
      </c>
      <c r="P23" s="38">
        <f>25</f>
        <v>25</v>
      </c>
      <c r="Q23" s="38"/>
      <c r="R23" s="38"/>
      <c r="S23" s="38"/>
      <c r="T23" s="33"/>
      <c r="U23" s="38"/>
      <c r="V23" s="38"/>
      <c r="W23" s="38"/>
      <c r="X23" s="38"/>
      <c r="Y23" s="33"/>
      <c r="Z23" s="38"/>
      <c r="AA23" s="38"/>
      <c r="AB23" s="38"/>
      <c r="AC23" s="33"/>
      <c r="AD23" s="38"/>
      <c r="AE23" s="38"/>
      <c r="AF23" s="38"/>
      <c r="AG23" s="38"/>
      <c r="AH23" s="38"/>
      <c r="AI23" s="33"/>
      <c r="AJ23" s="38"/>
      <c r="AK23" s="38"/>
      <c r="AL23" s="38"/>
      <c r="AM23" s="38"/>
      <c r="AN23" s="38"/>
      <c r="AO23" s="33"/>
      <c r="AP23" s="38"/>
      <c r="AQ23" s="38"/>
      <c r="AR23" s="38"/>
      <c r="AS23" s="38"/>
      <c r="AT23" s="33"/>
      <c r="AU23" s="38"/>
      <c r="AV23" s="38"/>
      <c r="AW23" s="38"/>
      <c r="AX23" s="33"/>
      <c r="AY23" s="38"/>
      <c r="AZ23" s="38"/>
      <c r="BA23" s="38"/>
      <c r="BB23" s="38"/>
      <c r="BC23" s="38"/>
      <c r="BD23" s="33"/>
      <c r="BE23" s="38"/>
      <c r="BF23" s="38"/>
      <c r="BG23" s="38"/>
      <c r="BH23" s="38"/>
      <c r="BI23" s="38"/>
      <c r="BJ23" s="33"/>
      <c r="BK23" s="37" t="s">
        <v>680</v>
      </c>
      <c r="BL23" s="33" t="s">
        <v>676</v>
      </c>
    </row>
    <row r="24" spans="2:64" ht="19.899999999999999" customHeight="1">
      <c r="B24" s="30" t="s">
        <v>603</v>
      </c>
      <c r="C24" s="30" t="s">
        <v>644</v>
      </c>
      <c r="D24" s="30" t="s">
        <v>282</v>
      </c>
      <c r="E24" s="33"/>
      <c r="F24" s="30" t="s">
        <v>641</v>
      </c>
      <c r="G24" s="35">
        <v>1</v>
      </c>
      <c r="H24" s="30" t="s">
        <v>112</v>
      </c>
      <c r="I24" s="36">
        <v>40</v>
      </c>
      <c r="J24" s="36">
        <v>50</v>
      </c>
      <c r="K24" s="35">
        <f>J24/I24-1</f>
        <v>0.25</v>
      </c>
      <c r="L24" s="30" t="s">
        <v>606</v>
      </c>
      <c r="M24" s="35"/>
      <c r="N24" s="92">
        <f>P24-O24</f>
        <v>22.4</v>
      </c>
      <c r="O24" s="92">
        <f>0.3*P24</f>
        <v>9.6</v>
      </c>
      <c r="P24" s="35">
        <f>32</f>
        <v>32</v>
      </c>
      <c r="Q24" s="35"/>
      <c r="R24" s="35"/>
      <c r="S24" s="35"/>
      <c r="T24" s="33"/>
      <c r="U24" s="35"/>
      <c r="V24" s="35"/>
      <c r="W24" s="35"/>
      <c r="X24" s="35"/>
      <c r="Y24" s="33"/>
      <c r="Z24" s="35"/>
      <c r="AA24" s="35"/>
      <c r="AB24" s="35"/>
      <c r="AC24" s="33"/>
      <c r="AD24" s="35"/>
      <c r="AE24" s="35"/>
      <c r="AF24" s="35"/>
      <c r="AG24" s="35"/>
      <c r="AH24" s="35"/>
      <c r="AI24" s="33"/>
      <c r="AJ24" s="35"/>
      <c r="AK24" s="35"/>
      <c r="AL24" s="35"/>
      <c r="AM24" s="35"/>
      <c r="AN24" s="35"/>
      <c r="AO24" s="33"/>
      <c r="AP24" s="35"/>
      <c r="AQ24" s="35"/>
      <c r="AR24" s="35"/>
      <c r="AS24" s="35"/>
      <c r="AT24" s="33"/>
      <c r="AU24" s="35"/>
      <c r="AV24" s="35"/>
      <c r="AW24" s="35"/>
      <c r="AX24" s="33"/>
      <c r="AY24" s="35"/>
      <c r="AZ24" s="35"/>
      <c r="BA24" s="35"/>
      <c r="BB24" s="35"/>
      <c r="BC24" s="35"/>
      <c r="BD24" s="33"/>
      <c r="BE24" s="35"/>
      <c r="BF24" s="35"/>
      <c r="BG24" s="35"/>
      <c r="BH24" s="35"/>
      <c r="BI24" s="35"/>
      <c r="BJ24" s="33"/>
      <c r="BK24" s="30" t="s">
        <v>681</v>
      </c>
      <c r="BL24" s="33" t="s">
        <v>676</v>
      </c>
    </row>
    <row r="25" spans="2:64" s="86" customFormat="1" ht="19.899999999999999" customHeight="1">
      <c r="B25" s="37" t="s">
        <v>603</v>
      </c>
      <c r="C25" s="37" t="s">
        <v>644</v>
      </c>
      <c r="D25" s="37" t="s">
        <v>640</v>
      </c>
      <c r="E25" s="33" t="s">
        <v>277</v>
      </c>
      <c r="F25" s="37" t="s">
        <v>628</v>
      </c>
      <c r="G25" s="38">
        <v>1</v>
      </c>
      <c r="H25" s="37" t="s">
        <v>629</v>
      </c>
      <c r="I25" s="39">
        <v>45</v>
      </c>
      <c r="J25" s="39">
        <v>45</v>
      </c>
      <c r="K25" s="38">
        <v>0.11111111111111094</v>
      </c>
      <c r="L25" s="37" t="s">
        <v>606</v>
      </c>
      <c r="M25" s="38">
        <v>5.0066290067240011</v>
      </c>
      <c r="N25" s="38">
        <v>5.5629211185822225</v>
      </c>
      <c r="O25" s="38">
        <v>0</v>
      </c>
      <c r="P25" s="38">
        <v>5.5629211185822225</v>
      </c>
      <c r="Q25" s="38">
        <v>40.445666666666675</v>
      </c>
      <c r="R25" s="38">
        <v>0</v>
      </c>
      <c r="S25" s="38">
        <v>40.445666666666682</v>
      </c>
      <c r="T25" s="33" t="s">
        <v>277</v>
      </c>
      <c r="U25" s="38">
        <v>6.6597328400000011</v>
      </c>
      <c r="V25" s="38">
        <v>0.65380077000000003</v>
      </c>
      <c r="W25" s="38">
        <v>0.55629211185822258</v>
      </c>
      <c r="X25" s="38">
        <v>-2.3069046032760006</v>
      </c>
      <c r="Y25" s="33" t="s">
        <v>277</v>
      </c>
      <c r="Z25" s="38">
        <v>6.6597328400000011</v>
      </c>
      <c r="AA25" s="38">
        <v>0.35290560599999998</v>
      </c>
      <c r="AB25" s="38">
        <v>0.30089516400000005</v>
      </c>
      <c r="AC25" s="33" t="s">
        <v>277</v>
      </c>
      <c r="AD25" s="38">
        <v>0</v>
      </c>
      <c r="AE25" s="38">
        <v>0</v>
      </c>
      <c r="AF25" s="38">
        <v>0</v>
      </c>
      <c r="AG25" s="38">
        <v>0.55629211185822258</v>
      </c>
      <c r="AH25" s="38">
        <v>0</v>
      </c>
      <c r="AI25" s="33" t="s">
        <v>277</v>
      </c>
      <c r="AJ25" s="38">
        <v>7.2038297519999989E-2</v>
      </c>
      <c r="AK25" s="38">
        <v>2.8048282599999995E-2</v>
      </c>
      <c r="AL25" s="38">
        <v>0.80339696599999999</v>
      </c>
      <c r="AM25" s="38">
        <v>6.8688626040000009E-3</v>
      </c>
      <c r="AN25" s="38">
        <v>-3.2172570120000006</v>
      </c>
      <c r="AO25" s="33" t="s">
        <v>277</v>
      </c>
      <c r="AP25" s="38">
        <v>46.7</v>
      </c>
      <c r="AQ25" s="38">
        <v>6.6</v>
      </c>
      <c r="AR25" s="38">
        <v>4.0445666666666691</v>
      </c>
      <c r="AS25" s="38">
        <v>-16.898899999999998</v>
      </c>
      <c r="AT25" s="33" t="s">
        <v>277</v>
      </c>
      <c r="AU25" s="38">
        <v>46.7</v>
      </c>
      <c r="AV25" s="38">
        <v>2.92</v>
      </c>
      <c r="AW25" s="38">
        <v>3.68</v>
      </c>
      <c r="AX25" s="33" t="s">
        <v>277</v>
      </c>
      <c r="AY25" s="38">
        <v>0</v>
      </c>
      <c r="AZ25" s="38">
        <v>0</v>
      </c>
      <c r="BA25" s="38">
        <v>0</v>
      </c>
      <c r="BB25" s="38">
        <v>4.0445666666666691</v>
      </c>
      <c r="BC25" s="38">
        <v>0</v>
      </c>
      <c r="BD25" s="33" t="s">
        <v>277</v>
      </c>
      <c r="BE25" s="38">
        <v>0.52700000000000002</v>
      </c>
      <c r="BF25" s="38">
        <v>0.23200000000000001</v>
      </c>
      <c r="BG25" s="38">
        <v>8.0500000000000007</v>
      </c>
      <c r="BH25" s="38">
        <v>9.2100000000000001E-2</v>
      </c>
      <c r="BI25" s="38">
        <v>-25.8</v>
      </c>
      <c r="BJ25" s="33" t="s">
        <v>277</v>
      </c>
      <c r="BK25" s="37" t="s">
        <v>674</v>
      </c>
      <c r="BL25" s="33" t="s">
        <v>277</v>
      </c>
    </row>
    <row r="26" spans="2:64" ht="19.899999999999999" customHeight="1">
      <c r="B26" s="30" t="s">
        <v>603</v>
      </c>
      <c r="C26" s="30" t="s">
        <v>644</v>
      </c>
      <c r="D26" s="30" t="s">
        <v>287</v>
      </c>
      <c r="E26" s="33"/>
      <c r="F26" s="30" t="s">
        <v>641</v>
      </c>
      <c r="G26" s="35">
        <v>1</v>
      </c>
      <c r="H26" s="30" t="s">
        <v>112</v>
      </c>
      <c r="I26" s="36">
        <v>40</v>
      </c>
      <c r="J26" s="36">
        <v>50</v>
      </c>
      <c r="K26" s="35">
        <f>J26/I26-1</f>
        <v>0.25</v>
      </c>
      <c r="L26" s="30" t="s">
        <v>606</v>
      </c>
      <c r="M26" s="35"/>
      <c r="N26" s="92">
        <f>P26-O26</f>
        <v>22.4</v>
      </c>
      <c r="O26" s="92">
        <f>0.3*P26</f>
        <v>9.6</v>
      </c>
      <c r="P26" s="35">
        <f>32</f>
        <v>32</v>
      </c>
      <c r="Q26" s="35"/>
      <c r="R26" s="35"/>
      <c r="S26" s="35"/>
      <c r="T26" s="33"/>
      <c r="U26" s="35"/>
      <c r="V26" s="35"/>
      <c r="W26" s="35"/>
      <c r="X26" s="35"/>
      <c r="Y26" s="33"/>
      <c r="Z26" s="35"/>
      <c r="AA26" s="35"/>
      <c r="AB26" s="35"/>
      <c r="AC26" s="33"/>
      <c r="AD26" s="35"/>
      <c r="AE26" s="35"/>
      <c r="AF26" s="35"/>
      <c r="AG26" s="35"/>
      <c r="AH26" s="35"/>
      <c r="AI26" s="33"/>
      <c r="AJ26" s="35"/>
      <c r="AK26" s="35"/>
      <c r="AL26" s="35"/>
      <c r="AM26" s="35"/>
      <c r="AN26" s="35"/>
      <c r="AO26" s="33"/>
      <c r="AP26" s="35"/>
      <c r="AQ26" s="35"/>
      <c r="AR26" s="35"/>
      <c r="AS26" s="35"/>
      <c r="AT26" s="33"/>
      <c r="AU26" s="35"/>
      <c r="AV26" s="35"/>
      <c r="AW26" s="35"/>
      <c r="AX26" s="33"/>
      <c r="AY26" s="35"/>
      <c r="AZ26" s="35"/>
      <c r="BA26" s="35"/>
      <c r="BB26" s="35"/>
      <c r="BC26" s="35"/>
      <c r="BD26" s="33"/>
      <c r="BE26" s="35"/>
      <c r="BF26" s="35"/>
      <c r="BG26" s="35"/>
      <c r="BH26" s="35"/>
      <c r="BI26" s="35"/>
      <c r="BJ26" s="33"/>
      <c r="BK26" s="30" t="s">
        <v>682</v>
      </c>
      <c r="BL26" s="33" t="s">
        <v>676</v>
      </c>
    </row>
    <row r="27" spans="2:64" s="86" customFormat="1" ht="19.899999999999999" customHeight="1">
      <c r="B27" s="37" t="s">
        <v>603</v>
      </c>
      <c r="C27" s="37" t="s">
        <v>644</v>
      </c>
      <c r="D27" s="37" t="s">
        <v>105</v>
      </c>
      <c r="E27" s="33" t="s">
        <v>277</v>
      </c>
      <c r="F27" s="37" t="s">
        <v>627</v>
      </c>
      <c r="G27" s="38">
        <v>1</v>
      </c>
      <c r="H27" s="37" t="s">
        <v>613</v>
      </c>
      <c r="I27" s="39">
        <v>999</v>
      </c>
      <c r="J27" s="39">
        <v>50</v>
      </c>
      <c r="K27" s="38">
        <v>0</v>
      </c>
      <c r="L27" s="37" t="s">
        <v>606</v>
      </c>
      <c r="M27" s="38">
        <v>1.6700055940885286</v>
      </c>
      <c r="N27" s="38">
        <v>1.6700055940885286</v>
      </c>
      <c r="O27" s="38">
        <v>0</v>
      </c>
      <c r="P27" s="38">
        <v>1.6700055940885286</v>
      </c>
      <c r="Q27" s="38">
        <v>11.222864138303999</v>
      </c>
      <c r="R27" s="38">
        <v>0</v>
      </c>
      <c r="S27" s="38">
        <v>11.222864138303999</v>
      </c>
      <c r="T27" s="33" t="s">
        <v>277</v>
      </c>
      <c r="U27" s="38">
        <v>0</v>
      </c>
      <c r="V27" s="38">
        <v>1.6700055940885286</v>
      </c>
      <c r="W27" s="38">
        <v>0</v>
      </c>
      <c r="X27" s="38">
        <v>0</v>
      </c>
      <c r="Y27" s="33" t="s">
        <v>277</v>
      </c>
      <c r="Z27" s="38">
        <v>0</v>
      </c>
      <c r="AA27" s="38">
        <v>0</v>
      </c>
      <c r="AB27" s="38">
        <v>1.6700055940885286</v>
      </c>
      <c r="AC27" s="33" t="s">
        <v>277</v>
      </c>
      <c r="AD27" s="38">
        <v>0</v>
      </c>
      <c r="AE27" s="38">
        <v>0</v>
      </c>
      <c r="AF27" s="38">
        <v>0</v>
      </c>
      <c r="AG27" s="38">
        <v>0</v>
      </c>
      <c r="AH27" s="38">
        <v>0</v>
      </c>
      <c r="AI27" s="33" t="s">
        <v>277</v>
      </c>
      <c r="AJ27" s="38">
        <v>0</v>
      </c>
      <c r="AK27" s="38">
        <v>0</v>
      </c>
      <c r="AL27" s="38">
        <v>0</v>
      </c>
      <c r="AM27" s="38">
        <v>0</v>
      </c>
      <c r="AN27" s="38">
        <v>0</v>
      </c>
      <c r="AO27" s="33" t="s">
        <v>277</v>
      </c>
      <c r="AP27" s="38">
        <v>0</v>
      </c>
      <c r="AQ27" s="38">
        <v>11.222864138303999</v>
      </c>
      <c r="AR27" s="38">
        <v>0</v>
      </c>
      <c r="AS27" s="38">
        <v>0</v>
      </c>
      <c r="AT27" s="33" t="s">
        <v>277</v>
      </c>
      <c r="AU27" s="38">
        <v>0</v>
      </c>
      <c r="AV27" s="38">
        <v>0</v>
      </c>
      <c r="AW27" s="38">
        <v>11.222864138303999</v>
      </c>
      <c r="AX27" s="33" t="s">
        <v>277</v>
      </c>
      <c r="AY27" s="38">
        <v>0</v>
      </c>
      <c r="AZ27" s="38">
        <v>0</v>
      </c>
      <c r="BA27" s="38">
        <v>0</v>
      </c>
      <c r="BB27" s="38">
        <v>0</v>
      </c>
      <c r="BC27" s="38">
        <v>0</v>
      </c>
      <c r="BD27" s="33" t="s">
        <v>277</v>
      </c>
      <c r="BE27" s="38">
        <v>0</v>
      </c>
      <c r="BF27" s="38">
        <v>0</v>
      </c>
      <c r="BG27" s="38">
        <v>0</v>
      </c>
      <c r="BH27" s="38">
        <v>0</v>
      </c>
      <c r="BI27" s="38">
        <v>0</v>
      </c>
      <c r="BJ27" s="33" t="s">
        <v>277</v>
      </c>
      <c r="BK27" s="37" t="s">
        <v>674</v>
      </c>
      <c r="BL27" s="33" t="s">
        <v>277</v>
      </c>
    </row>
    <row r="28" spans="2:64" ht="19.899999999999999" customHeight="1">
      <c r="B28" s="30" t="s">
        <v>603</v>
      </c>
      <c r="C28" s="30" t="s">
        <v>644</v>
      </c>
      <c r="D28" s="30" t="s">
        <v>151</v>
      </c>
      <c r="E28" s="33" t="s">
        <v>277</v>
      </c>
      <c r="F28" s="30" t="s">
        <v>604</v>
      </c>
      <c r="G28" s="35">
        <v>1</v>
      </c>
      <c r="H28" s="30" t="s">
        <v>613</v>
      </c>
      <c r="I28" s="36">
        <v>999</v>
      </c>
      <c r="J28" s="36">
        <v>50</v>
      </c>
      <c r="K28" s="35">
        <v>0</v>
      </c>
      <c r="L28" s="30" t="s">
        <v>606</v>
      </c>
      <c r="M28" s="35">
        <v>9.3981406053719019E-2</v>
      </c>
      <c r="N28" s="35">
        <v>7.2293388609165135E-2</v>
      </c>
      <c r="O28" s="35">
        <v>2.1688017444553891E-2</v>
      </c>
      <c r="P28" s="35">
        <v>9.3981406053719019E-2</v>
      </c>
      <c r="Q28" s="35">
        <v>0.67299774479999996</v>
      </c>
      <c r="R28" s="35">
        <v>0.20189933146275832</v>
      </c>
      <c r="S28" s="35">
        <v>0.87489707626275826</v>
      </c>
      <c r="T28" s="33" t="s">
        <v>277</v>
      </c>
      <c r="U28" s="35">
        <v>0</v>
      </c>
      <c r="V28" s="35">
        <v>7.2293388609165135E-2</v>
      </c>
      <c r="W28" s="35">
        <v>0</v>
      </c>
      <c r="X28" s="35">
        <v>0</v>
      </c>
      <c r="Y28" s="33" t="s">
        <v>277</v>
      </c>
      <c r="Z28" s="35">
        <v>0</v>
      </c>
      <c r="AA28" s="35">
        <v>0</v>
      </c>
      <c r="AB28" s="35">
        <v>7.2293388609165135E-2</v>
      </c>
      <c r="AC28" s="33" t="s">
        <v>277</v>
      </c>
      <c r="AD28" s="35">
        <v>0</v>
      </c>
      <c r="AE28" s="35">
        <v>0</v>
      </c>
      <c r="AF28" s="35">
        <v>0</v>
      </c>
      <c r="AG28" s="35">
        <v>0</v>
      </c>
      <c r="AH28" s="35">
        <v>0</v>
      </c>
      <c r="AI28" s="33" t="s">
        <v>277</v>
      </c>
      <c r="AJ28" s="35">
        <v>0</v>
      </c>
      <c r="AK28" s="35">
        <v>0</v>
      </c>
      <c r="AL28" s="35">
        <v>0</v>
      </c>
      <c r="AM28" s="35">
        <v>0</v>
      </c>
      <c r="AN28" s="35">
        <v>0</v>
      </c>
      <c r="AO28" s="33" t="s">
        <v>277</v>
      </c>
      <c r="AP28" s="35">
        <v>0</v>
      </c>
      <c r="AQ28" s="35">
        <v>0.67299774479999996</v>
      </c>
      <c r="AR28" s="35">
        <v>0</v>
      </c>
      <c r="AS28" s="35">
        <v>0</v>
      </c>
      <c r="AT28" s="33" t="s">
        <v>277</v>
      </c>
      <c r="AU28" s="35">
        <v>0</v>
      </c>
      <c r="AV28" s="35">
        <v>0</v>
      </c>
      <c r="AW28" s="35">
        <v>0.67299774479999996</v>
      </c>
      <c r="AX28" s="33" t="s">
        <v>277</v>
      </c>
      <c r="AY28" s="35">
        <v>0</v>
      </c>
      <c r="AZ28" s="35">
        <v>0</v>
      </c>
      <c r="BA28" s="35">
        <v>0</v>
      </c>
      <c r="BB28" s="35">
        <v>0</v>
      </c>
      <c r="BC28" s="35">
        <v>0</v>
      </c>
      <c r="BD28" s="33" t="s">
        <v>277</v>
      </c>
      <c r="BE28" s="35">
        <v>0</v>
      </c>
      <c r="BF28" s="35">
        <v>0</v>
      </c>
      <c r="BG28" s="35">
        <v>0</v>
      </c>
      <c r="BH28" s="35">
        <v>0</v>
      </c>
      <c r="BI28" s="35">
        <v>0</v>
      </c>
      <c r="BJ28" s="33" t="s">
        <v>277</v>
      </c>
      <c r="BK28" s="30" t="s">
        <v>277</v>
      </c>
      <c r="BL28" s="33" t="s">
        <v>277</v>
      </c>
    </row>
    <row r="29" spans="2:64" ht="19.899999999999999" customHeight="1">
      <c r="B29" s="37" t="s">
        <v>603</v>
      </c>
      <c r="C29" s="37" t="s">
        <v>644</v>
      </c>
      <c r="D29" s="37" t="s">
        <v>180</v>
      </c>
      <c r="E29" s="33" t="s">
        <v>277</v>
      </c>
      <c r="F29" s="37" t="s">
        <v>604</v>
      </c>
      <c r="G29" s="38">
        <v>1</v>
      </c>
      <c r="H29" s="37" t="s">
        <v>622</v>
      </c>
      <c r="I29" s="39">
        <v>999</v>
      </c>
      <c r="J29" s="39">
        <v>50</v>
      </c>
      <c r="K29" s="38">
        <v>0</v>
      </c>
      <c r="L29" s="37" t="s">
        <v>606</v>
      </c>
      <c r="M29" s="38">
        <v>5.9509486484054571E-3</v>
      </c>
      <c r="N29" s="38">
        <v>4.5776527644889103E-3</v>
      </c>
      <c r="O29" s="38">
        <v>1.3732958839165466E-3</v>
      </c>
      <c r="P29" s="38">
        <v>5.9509486484054571E-3</v>
      </c>
      <c r="Q29" s="38">
        <v>3.0807325180000001E-2</v>
      </c>
      <c r="R29" s="38">
        <v>9.2421979212519365E-3</v>
      </c>
      <c r="S29" s="38">
        <v>4.0049523101251934E-2</v>
      </c>
      <c r="T29" s="33" t="s">
        <v>277</v>
      </c>
      <c r="U29" s="38">
        <v>4.5776527644889103E-3</v>
      </c>
      <c r="V29" s="38">
        <v>0</v>
      </c>
      <c r="W29" s="38">
        <v>0</v>
      </c>
      <c r="X29" s="38">
        <v>0</v>
      </c>
      <c r="Y29" s="33" t="s">
        <v>277</v>
      </c>
      <c r="Z29" s="38">
        <v>4.5776527644889103E-3</v>
      </c>
      <c r="AA29" s="38">
        <v>0</v>
      </c>
      <c r="AB29" s="38">
        <v>0</v>
      </c>
      <c r="AC29" s="33" t="s">
        <v>277</v>
      </c>
      <c r="AD29" s="38">
        <v>0</v>
      </c>
      <c r="AE29" s="38">
        <v>0</v>
      </c>
      <c r="AF29" s="38">
        <v>0</v>
      </c>
      <c r="AG29" s="38">
        <v>0</v>
      </c>
      <c r="AH29" s="38">
        <v>0</v>
      </c>
      <c r="AI29" s="33" t="s">
        <v>277</v>
      </c>
      <c r="AJ29" s="38">
        <v>0</v>
      </c>
      <c r="AK29" s="38">
        <v>0</v>
      </c>
      <c r="AL29" s="38">
        <v>0</v>
      </c>
      <c r="AM29" s="38">
        <v>0</v>
      </c>
      <c r="AN29" s="38">
        <v>0</v>
      </c>
      <c r="AO29" s="33" t="s">
        <v>277</v>
      </c>
      <c r="AP29" s="38">
        <v>3.0807325180000001E-2</v>
      </c>
      <c r="AQ29" s="38">
        <v>0</v>
      </c>
      <c r="AR29" s="38">
        <v>0</v>
      </c>
      <c r="AS29" s="38">
        <v>0</v>
      </c>
      <c r="AT29" s="33" t="s">
        <v>277</v>
      </c>
      <c r="AU29" s="38">
        <v>3.0807325180000001E-2</v>
      </c>
      <c r="AV29" s="38">
        <v>0</v>
      </c>
      <c r="AW29" s="38">
        <v>0</v>
      </c>
      <c r="AX29" s="33" t="s">
        <v>277</v>
      </c>
      <c r="AY29" s="38">
        <v>0</v>
      </c>
      <c r="AZ29" s="38">
        <v>0</v>
      </c>
      <c r="BA29" s="38">
        <v>0</v>
      </c>
      <c r="BB29" s="38">
        <v>0</v>
      </c>
      <c r="BC29" s="38">
        <v>0</v>
      </c>
      <c r="BD29" s="33" t="s">
        <v>277</v>
      </c>
      <c r="BE29" s="38">
        <v>0</v>
      </c>
      <c r="BF29" s="38">
        <v>0</v>
      </c>
      <c r="BG29" s="38">
        <v>0</v>
      </c>
      <c r="BH29" s="38">
        <v>0</v>
      </c>
      <c r="BI29" s="38">
        <v>0</v>
      </c>
      <c r="BJ29" s="33" t="s">
        <v>277</v>
      </c>
      <c r="BK29" s="37" t="s">
        <v>277</v>
      </c>
      <c r="BL29" s="33" t="s">
        <v>277</v>
      </c>
    </row>
    <row r="30" spans="2:64" ht="19.899999999999999" customHeight="1">
      <c r="B30" s="30" t="s">
        <v>603</v>
      </c>
      <c r="C30" s="30" t="s">
        <v>644</v>
      </c>
      <c r="D30" s="30" t="s">
        <v>512</v>
      </c>
      <c r="E30" s="33" t="s">
        <v>277</v>
      </c>
      <c r="F30" s="30" t="s">
        <v>604</v>
      </c>
      <c r="G30" s="35">
        <v>1</v>
      </c>
      <c r="H30" s="30" t="s">
        <v>608</v>
      </c>
      <c r="I30" s="36">
        <v>12</v>
      </c>
      <c r="J30" s="36">
        <v>12</v>
      </c>
      <c r="K30" s="35">
        <v>3.166666666666667</v>
      </c>
      <c r="L30" s="30" t="s">
        <v>606</v>
      </c>
      <c r="M30" s="35">
        <v>5.1247356751098003</v>
      </c>
      <c r="N30" s="35">
        <v>16.272206787368685</v>
      </c>
      <c r="O30" s="35">
        <v>5.080858525588817</v>
      </c>
      <c r="P30" s="35">
        <v>21.353065312957501</v>
      </c>
      <c r="Q30" s="35">
        <v>136.69789014247954</v>
      </c>
      <c r="R30" s="35">
        <v>42.218388447151831</v>
      </c>
      <c r="S30" s="35">
        <v>178.91627858963139</v>
      </c>
      <c r="T30" s="33" t="s">
        <v>277</v>
      </c>
      <c r="U30" s="35">
        <v>3.8346874689066639</v>
      </c>
      <c r="V30" s="35">
        <v>0.13472318333184841</v>
      </c>
      <c r="W30" s="35">
        <v>12.3668771584002</v>
      </c>
      <c r="X30" s="35">
        <v>-6.4081023270028403E-2</v>
      </c>
      <c r="Y30" s="33" t="s">
        <v>277</v>
      </c>
      <c r="Z30" s="35">
        <v>3.8346874689066639</v>
      </c>
      <c r="AA30" s="35">
        <v>1.6334251517627494E-2</v>
      </c>
      <c r="AB30" s="35">
        <v>0.1183889318142209</v>
      </c>
      <c r="AC30" s="33" t="s">
        <v>277</v>
      </c>
      <c r="AD30" s="35">
        <v>0</v>
      </c>
      <c r="AE30" s="35">
        <v>0</v>
      </c>
      <c r="AF30" s="35">
        <v>0</v>
      </c>
      <c r="AG30" s="35">
        <v>12.3668771584002</v>
      </c>
      <c r="AH30" s="35">
        <v>0</v>
      </c>
      <c r="AI30" s="33" t="s">
        <v>277</v>
      </c>
      <c r="AJ30" s="35">
        <v>0</v>
      </c>
      <c r="AK30" s="35">
        <v>6.8184786232602101E-3</v>
      </c>
      <c r="AL30" s="35">
        <v>8.8457528093144666E-2</v>
      </c>
      <c r="AM30" s="35">
        <v>0</v>
      </c>
      <c r="AN30" s="35">
        <v>-0.15935702998643328</v>
      </c>
      <c r="AO30" s="33" t="s">
        <v>277</v>
      </c>
      <c r="AP30" s="35">
        <v>30.990074882299997</v>
      </c>
      <c r="AQ30" s="35">
        <v>1.1192540300636908</v>
      </c>
      <c r="AR30" s="35">
        <v>103.89039650828444</v>
      </c>
      <c r="AS30" s="35">
        <v>0.69816472183139999</v>
      </c>
      <c r="AT30" s="33" t="s">
        <v>277</v>
      </c>
      <c r="AU30" s="35">
        <v>30.990074882299997</v>
      </c>
      <c r="AV30" s="35">
        <v>0.1355246296083</v>
      </c>
      <c r="AW30" s="35">
        <v>0.98372940045539092</v>
      </c>
      <c r="AX30" s="33" t="s">
        <v>277</v>
      </c>
      <c r="AY30" s="35">
        <v>0</v>
      </c>
      <c r="AZ30" s="35">
        <v>0</v>
      </c>
      <c r="BA30" s="35">
        <v>0</v>
      </c>
      <c r="BB30" s="35">
        <v>103.89039650828444</v>
      </c>
      <c r="BC30" s="35">
        <v>0</v>
      </c>
      <c r="BD30" s="33" t="s">
        <v>277</v>
      </c>
      <c r="BE30" s="35">
        <v>0</v>
      </c>
      <c r="BF30" s="35">
        <v>5.6572643620200001E-2</v>
      </c>
      <c r="BG30" s="35">
        <v>1.6088078596511999</v>
      </c>
      <c r="BH30" s="35">
        <v>0</v>
      </c>
      <c r="BI30" s="35">
        <v>-0.96721578143999998</v>
      </c>
      <c r="BJ30" s="33" t="s">
        <v>277</v>
      </c>
      <c r="BK30" s="30" t="s">
        <v>277</v>
      </c>
      <c r="BL30" s="33" t="s">
        <v>277</v>
      </c>
    </row>
    <row r="31" spans="2:64" ht="19.899999999999999" customHeight="1">
      <c r="B31" s="37" t="s">
        <v>603</v>
      </c>
      <c r="C31" s="37" t="s">
        <v>353</v>
      </c>
      <c r="D31" s="37" t="s">
        <v>396</v>
      </c>
      <c r="E31" s="33"/>
      <c r="F31" s="37" t="s">
        <v>641</v>
      </c>
      <c r="G31" s="38">
        <v>1</v>
      </c>
      <c r="H31" s="37" t="s">
        <v>112</v>
      </c>
      <c r="I31" s="39">
        <v>25</v>
      </c>
      <c r="J31" s="39">
        <v>50</v>
      </c>
      <c r="K31" s="38">
        <v>1</v>
      </c>
      <c r="L31" s="37" t="s">
        <v>606</v>
      </c>
      <c r="M31" s="38"/>
      <c r="N31" s="38"/>
      <c r="O31" s="38"/>
      <c r="P31" s="38"/>
      <c r="Q31" s="38"/>
      <c r="R31" s="38"/>
      <c r="S31" s="38"/>
      <c r="T31" s="33"/>
      <c r="U31" s="38"/>
      <c r="V31" s="38"/>
      <c r="W31" s="38"/>
      <c r="X31" s="38"/>
      <c r="Y31" s="33"/>
      <c r="Z31" s="38">
        <v>10.5</v>
      </c>
      <c r="AA31" s="38">
        <v>2.8119999999999998</v>
      </c>
      <c r="AB31" s="38">
        <v>3.5840000000000001</v>
      </c>
      <c r="AC31" s="33"/>
      <c r="AD31" s="38">
        <v>0</v>
      </c>
      <c r="AE31" s="38">
        <v>0</v>
      </c>
      <c r="AF31" s="38">
        <v>0</v>
      </c>
      <c r="AG31" s="38">
        <v>0</v>
      </c>
      <c r="AH31" s="38">
        <v>0</v>
      </c>
      <c r="AI31" s="33"/>
      <c r="AJ31" s="38">
        <v>0.71799999999999997</v>
      </c>
      <c r="AK31" s="38">
        <v>0.95620000000000005</v>
      </c>
      <c r="AL31" s="38">
        <v>0.38779999999999998</v>
      </c>
      <c r="AM31" s="38">
        <v>1.704E-2</v>
      </c>
      <c r="AN31" s="38">
        <v>-0.79410000000000003</v>
      </c>
      <c r="AO31" s="33"/>
      <c r="AP31" s="38"/>
      <c r="AQ31" s="38"/>
      <c r="AR31" s="38"/>
      <c r="AS31" s="38"/>
      <c r="AT31" s="33"/>
      <c r="AU31" s="38">
        <v>123.6</v>
      </c>
      <c r="AV31" s="38">
        <v>31.66</v>
      </c>
      <c r="AW31" s="38">
        <v>16.57</v>
      </c>
      <c r="AX31" s="33"/>
      <c r="AY31" s="38">
        <v>0</v>
      </c>
      <c r="AZ31" s="38">
        <v>0</v>
      </c>
      <c r="BA31" s="38">
        <v>0</v>
      </c>
      <c r="BB31" s="38">
        <v>0</v>
      </c>
      <c r="BC31" s="38">
        <v>0</v>
      </c>
      <c r="BD31" s="33"/>
      <c r="BE31" s="38">
        <v>5.36</v>
      </c>
      <c r="BF31" s="38">
        <v>10.76</v>
      </c>
      <c r="BG31" s="38">
        <v>3.7549999999999999</v>
      </c>
      <c r="BH31" s="38">
        <v>0.1207</v>
      </c>
      <c r="BI31" s="38">
        <v>-6.1719999999999997</v>
      </c>
      <c r="BJ31" s="33"/>
      <c r="BK31" s="37"/>
      <c r="BL31" s="33" t="s">
        <v>277</v>
      </c>
    </row>
    <row r="32" spans="2:64" ht="19.899999999999999" customHeight="1">
      <c r="B32" s="30" t="s">
        <v>603</v>
      </c>
      <c r="C32" s="30" t="s">
        <v>353</v>
      </c>
      <c r="D32" s="30" t="s">
        <v>454</v>
      </c>
      <c r="E32" s="33"/>
      <c r="F32" s="30" t="s">
        <v>641</v>
      </c>
      <c r="G32" s="35">
        <v>1</v>
      </c>
      <c r="H32" s="30" t="s">
        <v>112</v>
      </c>
      <c r="I32" s="36">
        <v>25</v>
      </c>
      <c r="J32" s="36">
        <v>50</v>
      </c>
      <c r="K32" s="35">
        <v>1</v>
      </c>
      <c r="L32" s="30" t="s">
        <v>606</v>
      </c>
      <c r="M32" s="35"/>
      <c r="N32" s="35"/>
      <c r="O32" s="35"/>
      <c r="P32" s="35"/>
      <c r="Q32" s="35"/>
      <c r="R32" s="35"/>
      <c r="S32" s="35"/>
      <c r="T32" s="33"/>
      <c r="U32" s="35"/>
      <c r="V32" s="35"/>
      <c r="W32" s="35"/>
      <c r="X32" s="35"/>
      <c r="Y32" s="33"/>
      <c r="Z32" s="35">
        <v>10.5</v>
      </c>
      <c r="AA32" s="35">
        <v>2.8210000000000002</v>
      </c>
      <c r="AB32" s="35">
        <v>0.72889999999999999</v>
      </c>
      <c r="AC32" s="33"/>
      <c r="AD32" s="35">
        <v>0</v>
      </c>
      <c r="AE32" s="35">
        <v>0</v>
      </c>
      <c r="AF32" s="35">
        <v>0</v>
      </c>
      <c r="AG32" s="35">
        <v>0</v>
      </c>
      <c r="AH32" s="35">
        <v>0</v>
      </c>
      <c r="AI32" s="33"/>
      <c r="AJ32" s="35">
        <v>1.7949999999999999</v>
      </c>
      <c r="AK32" s="35">
        <v>0.95899999999999996</v>
      </c>
      <c r="AL32" s="35">
        <v>0.38900000000000001</v>
      </c>
      <c r="AM32" s="35">
        <v>1.7090000000000001E-2</v>
      </c>
      <c r="AN32" s="35">
        <v>-0.71809999999999996</v>
      </c>
      <c r="AO32" s="33"/>
      <c r="AP32" s="35"/>
      <c r="AQ32" s="35"/>
      <c r="AR32" s="35"/>
      <c r="AS32" s="35"/>
      <c r="AT32" s="33"/>
      <c r="AU32" s="35"/>
      <c r="AV32" s="35"/>
      <c r="AW32" s="35"/>
      <c r="AX32" s="33"/>
      <c r="AY32" s="35"/>
      <c r="AZ32" s="35"/>
      <c r="BA32" s="35"/>
      <c r="BB32" s="35"/>
      <c r="BC32" s="35"/>
      <c r="BD32" s="33"/>
      <c r="BE32" s="35"/>
      <c r="BF32" s="35"/>
      <c r="BG32" s="35"/>
      <c r="BH32" s="35"/>
      <c r="BI32" s="35"/>
      <c r="BJ32" s="33"/>
      <c r="BK32" s="30"/>
      <c r="BL32" s="33"/>
    </row>
    <row r="33" spans="2:64" ht="19.899999999999999" customHeight="1">
      <c r="B33" s="37" t="s">
        <v>603</v>
      </c>
      <c r="C33" s="37" t="s">
        <v>353</v>
      </c>
      <c r="D33" s="37" t="s">
        <v>458</v>
      </c>
      <c r="E33" s="33"/>
      <c r="F33" s="37" t="s">
        <v>641</v>
      </c>
      <c r="G33" s="38">
        <v>1</v>
      </c>
      <c r="H33" s="37" t="s">
        <v>112</v>
      </c>
      <c r="I33" s="39">
        <v>25</v>
      </c>
      <c r="J33" s="39">
        <v>50</v>
      </c>
      <c r="K33" s="38">
        <v>1</v>
      </c>
      <c r="L33" s="37" t="s">
        <v>606</v>
      </c>
      <c r="M33" s="38"/>
      <c r="N33" s="38"/>
      <c r="O33" s="38"/>
      <c r="P33" s="38"/>
      <c r="Q33" s="38"/>
      <c r="R33" s="38"/>
      <c r="S33" s="38"/>
      <c r="T33" s="33"/>
      <c r="U33" s="38"/>
      <c r="V33" s="38"/>
      <c r="W33" s="38"/>
      <c r="X33" s="38"/>
      <c r="Y33" s="33"/>
      <c r="Z33" s="38">
        <v>11.5</v>
      </c>
      <c r="AA33" s="38">
        <v>2.782</v>
      </c>
      <c r="AB33" s="38">
        <v>0.80979999999999996</v>
      </c>
      <c r="AC33" s="33"/>
      <c r="AD33" s="38">
        <v>0</v>
      </c>
      <c r="AE33" s="38">
        <v>0</v>
      </c>
      <c r="AF33" s="38">
        <v>0</v>
      </c>
      <c r="AG33" s="38">
        <v>0</v>
      </c>
      <c r="AH33" s="38">
        <v>0</v>
      </c>
      <c r="AI33" s="33"/>
      <c r="AJ33" s="38">
        <v>2.8719999999999999</v>
      </c>
      <c r="AK33" s="38">
        <v>0.94599999999999995</v>
      </c>
      <c r="AL33" s="38">
        <v>0.3836</v>
      </c>
      <c r="AM33" s="38">
        <v>1.685E-2</v>
      </c>
      <c r="AN33" s="38">
        <v>-0.69369999999999998</v>
      </c>
      <c r="AO33" s="33"/>
      <c r="AP33" s="38"/>
      <c r="AQ33" s="38"/>
      <c r="AR33" s="38"/>
      <c r="AS33" s="38"/>
      <c r="AT33" s="33"/>
      <c r="AU33" s="38"/>
      <c r="AV33" s="38"/>
      <c r="AW33" s="38"/>
      <c r="AX33" s="33"/>
      <c r="AY33" s="38"/>
      <c r="AZ33" s="38"/>
      <c r="BA33" s="38"/>
      <c r="BB33" s="38"/>
      <c r="BC33" s="38"/>
      <c r="BD33" s="33"/>
      <c r="BE33" s="38"/>
      <c r="BF33" s="38"/>
      <c r="BG33" s="38"/>
      <c r="BH33" s="38"/>
      <c r="BI33" s="38"/>
      <c r="BJ33" s="33"/>
      <c r="BK33" s="37"/>
      <c r="BL33" s="33" t="s">
        <v>277</v>
      </c>
    </row>
    <row r="34" spans="2:64" ht="19.899999999999999" customHeight="1">
      <c r="B34" s="30" t="s">
        <v>603</v>
      </c>
      <c r="C34" s="30" t="s">
        <v>353</v>
      </c>
      <c r="D34" s="30" t="s">
        <v>652</v>
      </c>
      <c r="E34" s="33"/>
      <c r="F34" s="30" t="s">
        <v>641</v>
      </c>
      <c r="G34" s="35">
        <v>1</v>
      </c>
      <c r="H34" s="30" t="s">
        <v>112</v>
      </c>
      <c r="I34" s="36">
        <v>25</v>
      </c>
      <c r="J34" s="36">
        <v>50</v>
      </c>
      <c r="K34" s="35">
        <v>1</v>
      </c>
      <c r="L34" s="30" t="s">
        <v>606</v>
      </c>
      <c r="M34" s="35"/>
      <c r="N34" s="35"/>
      <c r="O34" s="35"/>
      <c r="P34" s="35"/>
      <c r="Q34" s="35"/>
      <c r="R34" s="35"/>
      <c r="S34" s="35"/>
      <c r="T34" s="33"/>
      <c r="U34" s="35"/>
      <c r="V34" s="35"/>
      <c r="W34" s="35"/>
      <c r="X34" s="35"/>
      <c r="Y34" s="33"/>
      <c r="Z34" s="35">
        <v>11.5</v>
      </c>
      <c r="AA34" s="35">
        <v>2.8410000000000002</v>
      </c>
      <c r="AB34" s="35">
        <v>0.76180000000000003</v>
      </c>
      <c r="AC34" s="33"/>
      <c r="AD34" s="35">
        <v>0</v>
      </c>
      <c r="AE34" s="35">
        <v>0</v>
      </c>
      <c r="AF34" s="35">
        <v>0</v>
      </c>
      <c r="AG34" s="35">
        <v>0</v>
      </c>
      <c r="AH34" s="35">
        <v>0</v>
      </c>
      <c r="AI34" s="33"/>
      <c r="AJ34" s="35">
        <v>1.7949999999999999</v>
      </c>
      <c r="AK34" s="35">
        <v>0.96609999999999996</v>
      </c>
      <c r="AL34" s="35">
        <v>0.39179999999999998</v>
      </c>
      <c r="AM34" s="35">
        <v>1.721E-2</v>
      </c>
      <c r="AN34" s="35">
        <v>-0.71589999999999998</v>
      </c>
      <c r="AO34" s="33"/>
      <c r="AP34" s="35"/>
      <c r="AQ34" s="35"/>
      <c r="AR34" s="35"/>
      <c r="AS34" s="35"/>
      <c r="AT34" s="33"/>
      <c r="AU34" s="35"/>
      <c r="AV34" s="35"/>
      <c r="AW34" s="35"/>
      <c r="AX34" s="33"/>
      <c r="AY34" s="35"/>
      <c r="AZ34" s="35"/>
      <c r="BA34" s="35"/>
      <c r="BB34" s="35"/>
      <c r="BC34" s="35"/>
      <c r="BD34" s="33"/>
      <c r="BE34" s="35"/>
      <c r="BF34" s="35"/>
      <c r="BG34" s="35"/>
      <c r="BH34" s="35"/>
      <c r="BI34" s="35"/>
      <c r="BJ34" s="33"/>
      <c r="BK34" s="30"/>
      <c r="BL34" s="33"/>
    </row>
    <row r="35" spans="2:64" ht="19.899999999999999" customHeight="1">
      <c r="B35" s="37" t="s">
        <v>603</v>
      </c>
      <c r="C35" s="37" t="s">
        <v>353</v>
      </c>
      <c r="D35" s="37" t="s">
        <v>489</v>
      </c>
      <c r="E35" s="33"/>
      <c r="F35" s="37" t="s">
        <v>641</v>
      </c>
      <c r="G35" s="38">
        <v>1</v>
      </c>
      <c r="H35" s="37" t="s">
        <v>112</v>
      </c>
      <c r="I35" s="39">
        <v>25</v>
      </c>
      <c r="J35" s="39">
        <v>50</v>
      </c>
      <c r="K35" s="38">
        <v>1</v>
      </c>
      <c r="L35" s="37" t="s">
        <v>606</v>
      </c>
      <c r="M35" s="38"/>
      <c r="N35" s="38"/>
      <c r="O35" s="38"/>
      <c r="P35" s="38"/>
      <c r="Q35" s="38"/>
      <c r="R35" s="38"/>
      <c r="S35" s="38"/>
      <c r="T35" s="33"/>
      <c r="U35" s="38"/>
      <c r="V35" s="38"/>
      <c r="W35" s="38"/>
      <c r="X35" s="38"/>
      <c r="Y35" s="33"/>
      <c r="Z35" s="38">
        <v>8</v>
      </c>
      <c r="AA35" s="38">
        <v>2.831</v>
      </c>
      <c r="AB35" s="38">
        <v>0.62829999999999997</v>
      </c>
      <c r="AC35" s="33"/>
      <c r="AD35" s="38">
        <v>0</v>
      </c>
      <c r="AE35" s="38">
        <v>0</v>
      </c>
      <c r="AF35" s="38">
        <v>0</v>
      </c>
      <c r="AG35" s="38">
        <v>0</v>
      </c>
      <c r="AH35" s="38">
        <v>0</v>
      </c>
      <c r="AI35" s="33"/>
      <c r="AJ35" s="38">
        <v>1.1919999999999999</v>
      </c>
      <c r="AK35" s="38">
        <v>0.96240000000000003</v>
      </c>
      <c r="AL35" s="38">
        <v>0.39029999999999998</v>
      </c>
      <c r="AM35" s="38">
        <v>1.7149999999999999E-2</v>
      </c>
      <c r="AN35" s="38">
        <v>-0.57720000000000005</v>
      </c>
      <c r="AO35" s="33"/>
      <c r="AP35" s="38"/>
      <c r="AQ35" s="38"/>
      <c r="AR35" s="38"/>
      <c r="AS35" s="38"/>
      <c r="AT35" s="33"/>
      <c r="AU35" s="38"/>
      <c r="AV35" s="38"/>
      <c r="AW35" s="38"/>
      <c r="AX35" s="33"/>
      <c r="AY35" s="38"/>
      <c r="AZ35" s="38"/>
      <c r="BA35" s="38"/>
      <c r="BB35" s="38"/>
      <c r="BC35" s="38"/>
      <c r="BD35" s="33"/>
      <c r="BE35" s="38"/>
      <c r="BF35" s="38"/>
      <c r="BG35" s="38"/>
      <c r="BH35" s="38"/>
      <c r="BI35" s="38"/>
      <c r="BJ35" s="33"/>
      <c r="BK35" s="37"/>
      <c r="BL35" s="33" t="s">
        <v>277</v>
      </c>
    </row>
    <row r="36" spans="2:64" ht="19.899999999999999" hidden="1" customHeight="1">
      <c r="B36" s="30" t="s">
        <v>603</v>
      </c>
      <c r="C36" s="30" t="s">
        <v>353</v>
      </c>
      <c r="D36" s="30"/>
      <c r="E36" s="33"/>
      <c r="F36" s="30"/>
      <c r="G36" s="35"/>
      <c r="H36" s="30"/>
      <c r="I36" s="36"/>
      <c r="J36" s="36"/>
      <c r="K36" s="35"/>
      <c r="L36" s="30"/>
      <c r="M36" s="35"/>
      <c r="N36" s="35"/>
      <c r="O36" s="35"/>
      <c r="P36" s="35"/>
      <c r="Q36" s="35"/>
      <c r="R36" s="35"/>
      <c r="S36" s="35"/>
      <c r="T36" s="33"/>
      <c r="U36" s="35"/>
      <c r="V36" s="35"/>
      <c r="W36" s="35"/>
      <c r="X36" s="35"/>
      <c r="Y36" s="33"/>
      <c r="Z36" s="35"/>
      <c r="AA36" s="35"/>
      <c r="AB36" s="35"/>
      <c r="AC36" s="33"/>
      <c r="AD36" s="35"/>
      <c r="AE36" s="35"/>
      <c r="AF36" s="35"/>
      <c r="AG36" s="35"/>
      <c r="AH36" s="35"/>
      <c r="AI36" s="33"/>
      <c r="AJ36" s="35"/>
      <c r="AK36" s="35"/>
      <c r="AL36" s="35"/>
      <c r="AM36" s="35"/>
      <c r="AN36" s="35"/>
      <c r="AO36" s="33"/>
      <c r="AP36" s="35"/>
      <c r="AQ36" s="35"/>
      <c r="AR36" s="35"/>
      <c r="AS36" s="35"/>
      <c r="AT36" s="33"/>
      <c r="AU36" s="35"/>
      <c r="AV36" s="35"/>
      <c r="AW36" s="35"/>
      <c r="AX36" s="33"/>
      <c r="AY36" s="35"/>
      <c r="AZ36" s="35"/>
      <c r="BA36" s="35"/>
      <c r="BB36" s="35"/>
      <c r="BC36" s="35"/>
      <c r="BD36" s="33"/>
      <c r="BE36" s="35"/>
      <c r="BF36" s="35"/>
      <c r="BG36" s="35"/>
      <c r="BH36" s="35"/>
      <c r="BI36" s="35"/>
      <c r="BJ36" s="33"/>
      <c r="BK36" s="30"/>
      <c r="BL36" s="33"/>
    </row>
    <row r="37" spans="2:64" ht="19.899999999999999" hidden="1" customHeight="1">
      <c r="B37" s="37" t="s">
        <v>603</v>
      </c>
      <c r="C37" s="37" t="s">
        <v>353</v>
      </c>
      <c r="D37" s="37"/>
      <c r="E37" s="33"/>
      <c r="F37" s="37"/>
      <c r="G37" s="38"/>
      <c r="H37" s="37"/>
      <c r="I37" s="39"/>
      <c r="J37" s="39"/>
      <c r="K37" s="38"/>
      <c r="L37" s="37"/>
      <c r="M37" s="38"/>
      <c r="N37" s="38"/>
      <c r="O37" s="38"/>
      <c r="P37" s="38"/>
      <c r="Q37" s="38"/>
      <c r="R37" s="38"/>
      <c r="S37" s="38"/>
      <c r="T37" s="33"/>
      <c r="U37" s="38"/>
      <c r="V37" s="38"/>
      <c r="W37" s="38"/>
      <c r="X37" s="38"/>
      <c r="Y37" s="33"/>
      <c r="Z37" s="38"/>
      <c r="AA37" s="38"/>
      <c r="AB37" s="38"/>
      <c r="AC37" s="33"/>
      <c r="AD37" s="38"/>
      <c r="AE37" s="38"/>
      <c r="AF37" s="38"/>
      <c r="AG37" s="38"/>
      <c r="AH37" s="38"/>
      <c r="AI37" s="33"/>
      <c r="AJ37" s="38"/>
      <c r="AK37" s="38"/>
      <c r="AL37" s="38"/>
      <c r="AM37" s="38"/>
      <c r="AN37" s="38"/>
      <c r="AO37" s="33"/>
      <c r="AP37" s="38"/>
      <c r="AQ37" s="38"/>
      <c r="AR37" s="38"/>
      <c r="AS37" s="38"/>
      <c r="AT37" s="33"/>
      <c r="AU37" s="38"/>
      <c r="AV37" s="38"/>
      <c r="AW37" s="38"/>
      <c r="AX37" s="33"/>
      <c r="AY37" s="38"/>
      <c r="AZ37" s="38"/>
      <c r="BA37" s="38"/>
      <c r="BB37" s="38"/>
      <c r="BC37" s="38"/>
      <c r="BD37" s="33"/>
      <c r="BE37" s="38"/>
      <c r="BF37" s="38"/>
      <c r="BG37" s="38"/>
      <c r="BH37" s="38"/>
      <c r="BI37" s="38"/>
      <c r="BJ37" s="33"/>
      <c r="BK37" s="37"/>
      <c r="BL37" s="33" t="s">
        <v>277</v>
      </c>
    </row>
    <row r="38" spans="2:64" ht="19.899999999999999" hidden="1" customHeight="1">
      <c r="B38" s="30" t="s">
        <v>603</v>
      </c>
      <c r="C38" s="30" t="s">
        <v>353</v>
      </c>
      <c r="D38" s="30"/>
      <c r="E38" s="33"/>
      <c r="F38" s="30"/>
      <c r="G38" s="35"/>
      <c r="H38" s="30"/>
      <c r="I38" s="36"/>
      <c r="J38" s="36"/>
      <c r="K38" s="35"/>
      <c r="L38" s="30"/>
      <c r="M38" s="35"/>
      <c r="N38" s="35"/>
      <c r="O38" s="35"/>
      <c r="P38" s="35"/>
      <c r="Q38" s="35"/>
      <c r="R38" s="35"/>
      <c r="S38" s="35"/>
      <c r="T38" s="33"/>
      <c r="U38" s="35"/>
      <c r="V38" s="35"/>
      <c r="W38" s="35"/>
      <c r="X38" s="35"/>
      <c r="Y38" s="33"/>
      <c r="Z38" s="35"/>
      <c r="AA38" s="35"/>
      <c r="AB38" s="35"/>
      <c r="AC38" s="33"/>
      <c r="AD38" s="35"/>
      <c r="AE38" s="35"/>
      <c r="AF38" s="35"/>
      <c r="AG38" s="35"/>
      <c r="AH38" s="35"/>
      <c r="AI38" s="33"/>
      <c r="AJ38" s="35"/>
      <c r="AK38" s="35"/>
      <c r="AL38" s="35"/>
      <c r="AM38" s="35"/>
      <c r="AN38" s="35"/>
      <c r="AO38" s="33"/>
      <c r="AP38" s="35"/>
      <c r="AQ38" s="35"/>
      <c r="AR38" s="35"/>
      <c r="AS38" s="35"/>
      <c r="AT38" s="33"/>
      <c r="AU38" s="35"/>
      <c r="AV38" s="35"/>
      <c r="AW38" s="35"/>
      <c r="AX38" s="33"/>
      <c r="AY38" s="35"/>
      <c r="AZ38" s="35"/>
      <c r="BA38" s="35"/>
      <c r="BB38" s="35"/>
      <c r="BC38" s="35"/>
      <c r="BD38" s="33"/>
      <c r="BE38" s="35"/>
      <c r="BF38" s="35"/>
      <c r="BG38" s="35"/>
      <c r="BH38" s="35"/>
      <c r="BI38" s="35"/>
      <c r="BJ38" s="33"/>
      <c r="BK38" s="30"/>
      <c r="BL38" s="33"/>
    </row>
    <row r="39" spans="2:64" ht="19.899999999999999" customHeight="1">
      <c r="B39" s="40" t="s">
        <v>603</v>
      </c>
      <c r="C39" s="40" t="s">
        <v>277</v>
      </c>
      <c r="D39" s="40" t="s">
        <v>277</v>
      </c>
      <c r="E39" s="33" t="s">
        <v>277</v>
      </c>
      <c r="F39" s="40" t="s">
        <v>277</v>
      </c>
      <c r="G39" s="40" t="s">
        <v>277</v>
      </c>
      <c r="H39" s="40" t="s">
        <v>277</v>
      </c>
      <c r="I39" s="40" t="s">
        <v>277</v>
      </c>
      <c r="J39" s="40" t="s">
        <v>277</v>
      </c>
      <c r="K39" s="40" t="s">
        <v>277</v>
      </c>
      <c r="L39" s="40" t="s">
        <v>277</v>
      </c>
      <c r="M39" s="40" t="s">
        <v>277</v>
      </c>
      <c r="N39" s="41">
        <f t="shared" ref="N39:S39" si="1">SUM(N13:N28)</f>
        <v>126.76516846171245</v>
      </c>
      <c r="O39" s="41">
        <f t="shared" si="1"/>
        <v>46.20007769610126</v>
      </c>
      <c r="P39" s="41">
        <f t="shared" si="1"/>
        <v>172.96524615781374</v>
      </c>
      <c r="Q39" s="41">
        <f>SUM(Q13:Q30)</f>
        <v>209.91225936462644</v>
      </c>
      <c r="R39" s="41">
        <f>SUM(R13:R30)</f>
        <v>48.471681750658973</v>
      </c>
      <c r="S39" s="41">
        <f>SUM(S13:S30)</f>
        <v>258.38394111528544</v>
      </c>
      <c r="T39" s="33" t="s">
        <v>277</v>
      </c>
      <c r="U39" s="41">
        <f>SUM(U13:U30)</f>
        <v>10.527447244543502</v>
      </c>
      <c r="V39" s="41">
        <f>SUM(V13:V30)</f>
        <v>5.4605759826600249</v>
      </c>
      <c r="W39" s="41">
        <f>SUM(W13:W30)</f>
        <v>12.971390275235116</v>
      </c>
      <c r="X39" s="41">
        <f>SUM(X13:X30)</f>
        <v>-2.3774606005930017</v>
      </c>
      <c r="Y39" s="33" t="s">
        <v>277</v>
      </c>
      <c r="Z39" s="41">
        <f>SUM(Z13:Z28)</f>
        <v>6.688182122872349</v>
      </c>
      <c r="AA39" s="41">
        <f>SUM(AA13:AA28)</f>
        <v>0.35403198745917897</v>
      </c>
      <c r="AB39" s="41">
        <f>SUM(AB13:AB28)</f>
        <v>4.971820811868997</v>
      </c>
      <c r="AC39" s="33" t="s">
        <v>277</v>
      </c>
      <c r="AD39" s="41">
        <f>SUM(AD13:AD28)</f>
        <v>1.641597090478E-4</v>
      </c>
      <c r="AE39" s="41">
        <f>SUM(AE13:AE28)</f>
        <v>0</v>
      </c>
      <c r="AF39" s="41">
        <f>SUM(AF13:AF28)</f>
        <v>0</v>
      </c>
      <c r="AG39" s="41">
        <f>SUM(AG13:AG28)</f>
        <v>0.60434895712586767</v>
      </c>
      <c r="AH39" s="41">
        <f>SUM(AH13:AH28)</f>
        <v>0</v>
      </c>
      <c r="AI39" s="33" t="s">
        <v>277</v>
      </c>
      <c r="AJ39" s="41">
        <f>SUM(AJ13:AJ28)</f>
        <v>7.2624997134603395E-2</v>
      </c>
      <c r="AK39" s="41">
        <f>SUM(AK13:AK28)</f>
        <v>2.9002023271029995E-2</v>
      </c>
      <c r="AL39" s="41">
        <f>SUM(AL13:AL28)</f>
        <v>0.80387486594411584</v>
      </c>
      <c r="AM39" s="41">
        <f>SUM(AM13:AM28)</f>
        <v>6.8688626040000009E-3</v>
      </c>
      <c r="AN39" s="41">
        <f>SUM(AN13:AN28)</f>
        <v>-3.2257503262767226</v>
      </c>
      <c r="AO39" s="33" t="s">
        <v>277</v>
      </c>
      <c r="AP39" s="41">
        <f>SUM(AP13:AP28)</f>
        <v>46.960969127924002</v>
      </c>
      <c r="AQ39" s="41">
        <f>SUM(AQ13:AQ28)</f>
        <v>38.654789099706996</v>
      </c>
      <c r="AR39" s="41">
        <f>SUM(AR13:AR28)</f>
        <v>4.5089708948218759</v>
      </c>
      <c r="AS39" s="41">
        <f>SUM(AS13:AS28)</f>
        <v>-16.941167225485998</v>
      </c>
      <c r="AT39" s="33" t="s">
        <v>277</v>
      </c>
      <c r="AU39" s="41">
        <f>SUM(AU13:AU28)</f>
        <v>46.960969127924002</v>
      </c>
      <c r="AV39" s="41">
        <f>SUM(AV13:AV28)</f>
        <v>2.9319674424129998</v>
      </c>
      <c r="AW39" s="41">
        <f>SUM(AW13:AW28)</f>
        <v>35.722821657293998</v>
      </c>
      <c r="AX39" s="33" t="s">
        <v>277</v>
      </c>
      <c r="AY39" s="41">
        <f>SUM(AY13:AY28)</f>
        <v>0</v>
      </c>
      <c r="AZ39" s="41">
        <f>SUM(AZ13:AZ28)</f>
        <v>0</v>
      </c>
      <c r="BA39" s="41">
        <f>SUM(BA13:BA28)</f>
        <v>0</v>
      </c>
      <c r="BB39" s="41">
        <f>SUM(BB13:BB28)</f>
        <v>4.5089708948218759</v>
      </c>
      <c r="BC39" s="41">
        <f>SUM(BC13:BC28)</f>
        <v>0</v>
      </c>
      <c r="BD39" s="33" t="s">
        <v>277</v>
      </c>
      <c r="BE39" s="41">
        <f>SUM(BE13:BE28)</f>
        <v>0.53323659789700006</v>
      </c>
      <c r="BF39" s="41">
        <f>SUM(BF13:BF28)</f>
        <v>0.24181783137400001</v>
      </c>
      <c r="BG39" s="41">
        <f>SUM(BG13:BG28)</f>
        <v>8.0548409955690001</v>
      </c>
      <c r="BH39" s="41">
        <f>SUM(BH13:BH28)</f>
        <v>9.2100000000000001E-2</v>
      </c>
      <c r="BI39" s="41">
        <f>SUM(BI13:BI28)</f>
        <v>-25.863162650326</v>
      </c>
      <c r="BJ39" s="33" t="s">
        <v>277</v>
      </c>
      <c r="BK39" s="40" t="s">
        <v>277</v>
      </c>
    </row>
    <row r="40" spans="2:64" ht="15" customHeight="1"/>
    <row r="41" spans="2:64" ht="15" customHeight="1"/>
    <row r="42" spans="2:64" ht="15" customHeight="1" thickBot="1">
      <c r="J42" s="97"/>
    </row>
    <row r="43" spans="2:64" ht="15" customHeight="1">
      <c r="J43" s="98"/>
    </row>
    <row r="44" spans="2:64" ht="15" customHeight="1">
      <c r="J44" s="96"/>
    </row>
    <row r="45" spans="2:64" ht="15" customHeight="1">
      <c r="J45" s="99"/>
    </row>
    <row r="46" spans="2:64" ht="15" customHeight="1"/>
    <row r="47" spans="2:64" ht="15" customHeight="1"/>
    <row r="48" spans="2:6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sheetData>
  <mergeCells count="10">
    <mergeCell ref="AP11:AS11"/>
    <mergeCell ref="AU11:AW11"/>
    <mergeCell ref="AY11:BC11"/>
    <mergeCell ref="BE11:BI11"/>
    <mergeCell ref="B11:D11"/>
    <mergeCell ref="F11:S11"/>
    <mergeCell ref="U11:X11"/>
    <mergeCell ref="Z11:AB11"/>
    <mergeCell ref="AD11:AH11"/>
    <mergeCell ref="AJ11:AN11"/>
  </mergeCells>
  <pageMargins left="0.70866141732283472" right="0.70866141732283472" top="0.74803149606299213" bottom="0.74803149606299213" header="0.31496062992125984" footer="0.31496062992125984"/>
  <pageSetup paperSize="8" scale="50" orientation="landscape" r:id="rId1"/>
  <colBreaks count="1" manualBreakCount="1">
    <brk id="14" max="9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456E0-9BCF-4153-97A6-EFC13273F48F}">
  <sheetPr codeName="Sheet10"/>
  <dimension ref="B2:F22"/>
  <sheetViews>
    <sheetView showGridLines="0" topLeftCell="C1" zoomScaleNormal="100" workbookViewId="0">
      <selection activeCell="E8" sqref="E8"/>
    </sheetView>
  </sheetViews>
  <sheetFormatPr defaultRowHeight="14.45"/>
  <cols>
    <col min="5" max="5" width="78.7109375" style="17" customWidth="1"/>
    <col min="6" max="6" width="70.5703125" customWidth="1"/>
  </cols>
  <sheetData>
    <row r="2" spans="2:6" ht="15" thickBot="1">
      <c r="B2" s="8" t="s">
        <v>683</v>
      </c>
      <c r="C2" s="8" t="s">
        <v>684</v>
      </c>
      <c r="D2" s="8" t="s">
        <v>0</v>
      </c>
      <c r="E2" s="8" t="s">
        <v>1</v>
      </c>
      <c r="F2" s="8" t="s">
        <v>2</v>
      </c>
    </row>
    <row r="3" spans="2:6" ht="58.15" thickTop="1">
      <c r="B3" s="18">
        <v>44960</v>
      </c>
      <c r="C3" s="14" t="s">
        <v>685</v>
      </c>
      <c r="D3" s="14">
        <v>1</v>
      </c>
      <c r="E3" s="19" t="s">
        <v>686</v>
      </c>
      <c r="F3" s="14" t="s">
        <v>687</v>
      </c>
    </row>
    <row r="4" spans="2:6" ht="28.9">
      <c r="B4" s="18">
        <v>44960</v>
      </c>
      <c r="C4" s="14" t="s">
        <v>685</v>
      </c>
      <c r="D4" s="14">
        <v>2</v>
      </c>
      <c r="E4" s="19" t="s">
        <v>688</v>
      </c>
      <c r="F4" s="14" t="s">
        <v>689</v>
      </c>
    </row>
    <row r="5" spans="2:6" ht="28.9">
      <c r="B5" s="18">
        <v>44960</v>
      </c>
      <c r="C5" s="14" t="s">
        <v>685</v>
      </c>
      <c r="D5" s="14">
        <v>3</v>
      </c>
      <c r="E5" s="19" t="s">
        <v>690</v>
      </c>
      <c r="F5" s="14" t="s">
        <v>691</v>
      </c>
    </row>
    <row r="6" spans="2:6" ht="28.9">
      <c r="B6" s="18">
        <v>44960</v>
      </c>
      <c r="C6" s="14" t="s">
        <v>685</v>
      </c>
      <c r="D6" s="14">
        <v>4</v>
      </c>
      <c r="E6" s="19" t="s">
        <v>692</v>
      </c>
      <c r="F6" s="14" t="s">
        <v>693</v>
      </c>
    </row>
    <row r="7" spans="2:6" ht="28.9">
      <c r="B7" s="18">
        <v>44960</v>
      </c>
      <c r="C7" s="14" t="s">
        <v>685</v>
      </c>
      <c r="D7" s="14">
        <v>5</v>
      </c>
      <c r="E7" s="19" t="s">
        <v>694</v>
      </c>
      <c r="F7" s="14" t="s">
        <v>695</v>
      </c>
    </row>
    <row r="8" spans="2:6" ht="43.15">
      <c r="B8" s="18">
        <v>44960</v>
      </c>
      <c r="C8" s="14" t="s">
        <v>685</v>
      </c>
      <c r="D8" s="14">
        <v>6</v>
      </c>
      <c r="E8" s="19" t="s">
        <v>696</v>
      </c>
      <c r="F8" s="14" t="s">
        <v>697</v>
      </c>
    </row>
    <row r="9" spans="2:6" ht="28.9">
      <c r="B9" s="18">
        <v>44960</v>
      </c>
      <c r="C9" s="14" t="s">
        <v>685</v>
      </c>
      <c r="D9" s="14">
        <v>7</v>
      </c>
      <c r="E9" s="19" t="s">
        <v>698</v>
      </c>
      <c r="F9" s="14" t="s">
        <v>695</v>
      </c>
    </row>
    <row r="10" spans="2:6" ht="28.9">
      <c r="B10" s="18">
        <v>44960</v>
      </c>
      <c r="C10" s="14" t="s">
        <v>685</v>
      </c>
      <c r="D10" s="14">
        <v>8</v>
      </c>
      <c r="E10" s="19" t="s">
        <v>699</v>
      </c>
      <c r="F10" s="14" t="s">
        <v>700</v>
      </c>
    </row>
    <row r="11" spans="2:6">
      <c r="B11" s="18">
        <v>44960</v>
      </c>
      <c r="C11" s="14" t="s">
        <v>685</v>
      </c>
      <c r="D11" s="14">
        <v>9</v>
      </c>
      <c r="E11" s="19" t="s">
        <v>701</v>
      </c>
      <c r="F11" s="14" t="s">
        <v>702</v>
      </c>
    </row>
    <row r="12" spans="2:6" ht="43.15">
      <c r="B12" s="18">
        <v>44960</v>
      </c>
      <c r="C12" s="14" t="s">
        <v>685</v>
      </c>
      <c r="D12" s="14">
        <v>10</v>
      </c>
      <c r="E12" s="19" t="s">
        <v>703</v>
      </c>
      <c r="F12" s="14" t="s">
        <v>704</v>
      </c>
    </row>
    <row r="13" spans="2:6" ht="43.15">
      <c r="B13" s="18">
        <v>44960</v>
      </c>
      <c r="C13" s="14" t="s">
        <v>685</v>
      </c>
      <c r="D13" s="14">
        <v>11</v>
      </c>
      <c r="E13" s="19" t="s">
        <v>705</v>
      </c>
      <c r="F13" s="14" t="s">
        <v>706</v>
      </c>
    </row>
    <row r="14" spans="2:6">
      <c r="B14" s="18">
        <v>44960</v>
      </c>
      <c r="C14" s="14" t="s">
        <v>685</v>
      </c>
      <c r="D14" s="14">
        <v>12</v>
      </c>
      <c r="E14" s="19" t="s">
        <v>707</v>
      </c>
      <c r="F14" s="14" t="s">
        <v>706</v>
      </c>
    </row>
    <row r="15" spans="2:6">
      <c r="B15" s="18">
        <v>44960</v>
      </c>
      <c r="C15" s="14" t="s">
        <v>685</v>
      </c>
      <c r="D15" s="14">
        <v>13</v>
      </c>
      <c r="E15" s="19" t="s">
        <v>708</v>
      </c>
      <c r="F15" s="14" t="s">
        <v>709</v>
      </c>
    </row>
    <row r="16" spans="2:6">
      <c r="B16" s="14"/>
      <c r="C16" s="14"/>
      <c r="D16" s="14"/>
      <c r="E16" s="19"/>
      <c r="F16" s="14"/>
    </row>
    <row r="17" spans="2:6">
      <c r="B17" s="14"/>
      <c r="C17" s="14"/>
      <c r="D17" s="14"/>
      <c r="E17" s="19"/>
      <c r="F17" s="14"/>
    </row>
    <row r="18" spans="2:6">
      <c r="B18" s="14"/>
      <c r="C18" s="14"/>
      <c r="D18" s="14"/>
      <c r="E18" s="19"/>
      <c r="F18" s="14"/>
    </row>
    <row r="19" spans="2:6">
      <c r="B19" s="14"/>
      <c r="C19" s="14"/>
      <c r="D19" s="14"/>
      <c r="E19" s="19"/>
      <c r="F19" s="14"/>
    </row>
    <row r="20" spans="2:6">
      <c r="B20" s="14"/>
      <c r="C20" s="14"/>
      <c r="D20" s="14"/>
      <c r="E20" s="19"/>
      <c r="F20" s="14"/>
    </row>
    <row r="21" spans="2:6">
      <c r="B21" s="14"/>
      <c r="C21" s="14"/>
      <c r="D21" s="14"/>
      <c r="E21" s="19"/>
      <c r="F21" s="14"/>
    </row>
    <row r="22" spans="2:6">
      <c r="B22" s="14"/>
      <c r="C22" s="14"/>
      <c r="D22" s="14"/>
      <c r="E22" s="19"/>
      <c r="F22" s="14"/>
    </row>
  </sheetData>
  <pageMargins left="0.7" right="0.7" top="0.75" bottom="0.75" header="0.3" footer="0.3"/>
  <pageSetup paperSize="8"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3D27A-0923-4AB9-9DA6-82C6C0BF45EF}">
  <dimension ref="A1:I28"/>
  <sheetViews>
    <sheetView workbookViewId="0">
      <selection activeCell="E35" sqref="E35"/>
    </sheetView>
  </sheetViews>
  <sheetFormatPr defaultRowHeight="14.45"/>
  <cols>
    <col min="1" max="1" width="55.140625" bestFit="1" customWidth="1"/>
    <col min="2" max="2" width="58.85546875" bestFit="1" customWidth="1"/>
    <col min="3" max="3" width="13.28515625" customWidth="1"/>
    <col min="4" max="4" width="22.7109375" bestFit="1" customWidth="1"/>
    <col min="5" max="5" width="12" bestFit="1" customWidth="1"/>
    <col min="6" max="6" width="68.5703125" customWidth="1"/>
    <col min="7" max="7" width="48" hidden="1" customWidth="1"/>
  </cols>
  <sheetData>
    <row r="1" spans="1:9">
      <c r="A1" s="46" t="s">
        <v>710</v>
      </c>
    </row>
    <row r="2" spans="1:9">
      <c r="A2" s="47" t="s">
        <v>711</v>
      </c>
      <c r="B2" s="47" t="s">
        <v>712</v>
      </c>
      <c r="C2" s="47" t="s">
        <v>713</v>
      </c>
      <c r="D2" s="47" t="s">
        <v>714</v>
      </c>
      <c r="E2" s="47" t="s">
        <v>715</v>
      </c>
      <c r="F2" s="53" t="s">
        <v>716</v>
      </c>
      <c r="G2" s="53" t="s">
        <v>717</v>
      </c>
      <c r="H2" s="50"/>
      <c r="I2" s="50"/>
    </row>
    <row r="3" spans="1:9">
      <c r="A3" s="45" t="s">
        <v>718</v>
      </c>
      <c r="B3" s="45" t="s">
        <v>434</v>
      </c>
      <c r="C3" s="45">
        <v>1.29370915867316E-2</v>
      </c>
      <c r="D3" s="48">
        <v>3.5353501000000002E-2</v>
      </c>
      <c r="E3" s="52" t="s">
        <v>642</v>
      </c>
      <c r="F3" s="54" t="s">
        <v>719</v>
      </c>
      <c r="G3" s="14"/>
      <c r="H3" s="51"/>
    </row>
    <row r="4" spans="1:9">
      <c r="A4" s="45" t="s">
        <v>720</v>
      </c>
      <c r="B4" s="45" t="s">
        <v>428</v>
      </c>
      <c r="C4" s="45">
        <v>5.9086681484994E-3</v>
      </c>
      <c r="D4" s="48">
        <v>5.4369641999999999E-3</v>
      </c>
      <c r="E4" s="52" t="s">
        <v>642</v>
      </c>
      <c r="F4" s="14"/>
      <c r="G4" s="14"/>
      <c r="H4" s="51"/>
    </row>
    <row r="5" spans="1:9">
      <c r="A5" s="45" t="s">
        <v>721</v>
      </c>
      <c r="B5" s="45" t="s">
        <v>428</v>
      </c>
      <c r="C5" s="45">
        <v>5.9086681484994E-3</v>
      </c>
      <c r="D5" s="48">
        <f t="shared" ref="D5" si="0">0.7*C5</f>
        <v>4.1360677039495794E-3</v>
      </c>
      <c r="E5" s="52" t="s">
        <v>642</v>
      </c>
      <c r="F5" s="14"/>
      <c r="G5" s="14"/>
      <c r="H5" s="51"/>
    </row>
    <row r="7" spans="1:9">
      <c r="A7" s="46" t="s">
        <v>722</v>
      </c>
    </row>
    <row r="8" spans="1:9">
      <c r="A8" s="47" t="s">
        <v>711</v>
      </c>
      <c r="B8" s="47" t="s">
        <v>712</v>
      </c>
      <c r="C8" s="47" t="s">
        <v>723</v>
      </c>
      <c r="D8" s="47" t="s">
        <v>714</v>
      </c>
      <c r="E8" s="47" t="s">
        <v>715</v>
      </c>
      <c r="F8" s="47" t="s">
        <v>716</v>
      </c>
      <c r="G8" s="47" t="s">
        <v>717</v>
      </c>
    </row>
    <row r="9" spans="1:9">
      <c r="A9" s="55" t="s">
        <v>718</v>
      </c>
      <c r="B9" s="55" t="s">
        <v>724</v>
      </c>
      <c r="C9" s="55">
        <v>1.03124549774721E-2</v>
      </c>
      <c r="D9" s="56">
        <v>3.0566184699999999E-2</v>
      </c>
      <c r="E9" s="55" t="s">
        <v>642</v>
      </c>
      <c r="F9" s="57" t="s">
        <v>725</v>
      </c>
      <c r="G9" s="55" t="s">
        <v>726</v>
      </c>
    </row>
    <row r="10" spans="1:9">
      <c r="A10" s="55"/>
      <c r="B10" s="55" t="s">
        <v>727</v>
      </c>
      <c r="C10" s="58">
        <v>1.46205898E-2</v>
      </c>
      <c r="D10" s="56">
        <v>4.1365994599999997E-2</v>
      </c>
      <c r="E10" s="55" t="s">
        <v>642</v>
      </c>
      <c r="F10" s="57" t="s">
        <v>728</v>
      </c>
      <c r="G10" s="55" t="s">
        <v>729</v>
      </c>
    </row>
    <row r="11" spans="1:9">
      <c r="A11" s="55"/>
      <c r="B11" s="55" t="s">
        <v>730</v>
      </c>
      <c r="C11" s="55">
        <v>1.1647643157335999E-2</v>
      </c>
      <c r="D11" s="56">
        <v>3.5334713900000002E-2</v>
      </c>
      <c r="E11" s="61" t="s">
        <v>642</v>
      </c>
      <c r="F11" s="57" t="s">
        <v>731</v>
      </c>
      <c r="G11" s="55" t="s">
        <v>732</v>
      </c>
    </row>
    <row r="12" spans="1:9">
      <c r="A12" s="55"/>
      <c r="B12" s="55" t="s">
        <v>435</v>
      </c>
      <c r="C12" s="55"/>
      <c r="D12" s="59">
        <v>6.85</v>
      </c>
      <c r="E12" s="63" t="s">
        <v>384</v>
      </c>
      <c r="F12" s="64" t="s">
        <v>733</v>
      </c>
      <c r="G12" s="60" t="s">
        <v>726</v>
      </c>
    </row>
    <row r="13" spans="1:9">
      <c r="A13" s="45"/>
      <c r="B13" s="45"/>
      <c r="C13" s="45"/>
      <c r="D13" s="48"/>
      <c r="E13" s="62"/>
      <c r="F13" s="62"/>
      <c r="G13" s="45"/>
    </row>
    <row r="14" spans="1:9">
      <c r="A14" s="65" t="s">
        <v>734</v>
      </c>
      <c r="B14" s="65" t="s">
        <v>735</v>
      </c>
      <c r="C14" s="65">
        <v>6.4891847375398003E-3</v>
      </c>
      <c r="D14" s="66">
        <v>6.0819825999999999E-3</v>
      </c>
      <c r="E14" s="65" t="s">
        <v>642</v>
      </c>
      <c r="F14" s="67" t="s">
        <v>736</v>
      </c>
      <c r="G14" s="65" t="s">
        <v>729</v>
      </c>
    </row>
    <row r="15" spans="1:9">
      <c r="A15" s="65"/>
      <c r="B15" s="68" t="s">
        <v>429</v>
      </c>
      <c r="C15" s="65"/>
      <c r="D15" s="66">
        <v>3.91</v>
      </c>
      <c r="E15" s="65" t="s">
        <v>384</v>
      </c>
      <c r="F15" s="69" t="s">
        <v>733</v>
      </c>
      <c r="G15" s="65" t="s">
        <v>726</v>
      </c>
    </row>
    <row r="16" spans="1:9">
      <c r="A16" s="45"/>
      <c r="B16" s="45"/>
      <c r="C16" s="45"/>
      <c r="D16" s="48"/>
      <c r="E16" s="45"/>
      <c r="F16" s="45"/>
      <c r="G16" s="45"/>
    </row>
    <row r="18" spans="1:4">
      <c r="A18" s="49" t="s">
        <v>737</v>
      </c>
    </row>
    <row r="19" spans="1:4">
      <c r="A19" s="49"/>
    </row>
    <row r="28" spans="1:4">
      <c r="D28">
        <v>111111</v>
      </c>
    </row>
  </sheetData>
  <hyperlinks>
    <hyperlink ref="F9" r:id="rId1" display="https://milieudatabase.nl/nl/viewer/milieuverklaring/nmd_90876/" xr:uid="{76B97AD3-6B17-4121-82B2-05CC28969797}"/>
    <hyperlink ref="F11" r:id="rId2" display="https://milieudatabase.nl/nl/viewer/milieuverklaring/nmd_90878/" xr:uid="{F57DA5C3-59FD-4434-8452-CBE31365DE9C}"/>
    <hyperlink ref="F3" r:id="rId3" display="https://milieudatabase.nl/nl/viewer/milieuverklaring/nmd_90875/" xr:uid="{938125BE-DBAA-46F4-A637-11369DC3E80E}"/>
    <hyperlink ref="F10" r:id="rId4" display="https://milieudatabase.nl/nl/viewer/milieuverklaring/nmd_90877/" xr:uid="{4B861EFE-8FEB-4166-B3E7-F2081EF7C207}"/>
    <hyperlink ref="F12" r:id="rId5" display="https://moederbestek.nl/product/asfalt/" xr:uid="{F29052F1-1223-4497-B976-15B97A96070A}"/>
    <hyperlink ref="F14" r:id="rId6" display="https://milieudatabase.nl/nl/viewer/milieuverklaring/nmd_90882/" xr:uid="{5C335044-5CA8-48A1-9633-0930D7EB7213}"/>
    <hyperlink ref="F15" r:id="rId7" display="https://moederbestek.nl/product/asfalt/" xr:uid="{A1DD0D40-F893-4B87-B82E-F8B55D254543}"/>
  </hyperlinks>
  <pageMargins left="0.7" right="0.7" top="0.75" bottom="0.75" header="0.3" footer="0.3"/>
  <pageSetup paperSize="9"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DE7CD-D17D-4194-9E97-2F0E6F9D9F46}">
  <dimension ref="A1:H47"/>
  <sheetViews>
    <sheetView workbookViewId="0">
      <selection activeCell="K63" sqref="K63"/>
    </sheetView>
  </sheetViews>
  <sheetFormatPr defaultRowHeight="14.45"/>
  <cols>
    <col min="1" max="1" width="26.85546875" customWidth="1"/>
    <col min="2" max="2" width="13.28515625" bestFit="1" customWidth="1"/>
    <col min="5" max="5" width="15.42578125" customWidth="1"/>
    <col min="6" max="6" width="35" bestFit="1" customWidth="1"/>
    <col min="7" max="7" width="10.5703125" bestFit="1" customWidth="1"/>
  </cols>
  <sheetData>
    <row r="1" spans="1:8">
      <c r="A1" s="72" t="s">
        <v>738</v>
      </c>
    </row>
    <row r="2" spans="1:8">
      <c r="A2" s="73" t="s">
        <v>739</v>
      </c>
    </row>
    <row r="3" spans="1:8">
      <c r="A3" s="73" t="s">
        <v>740</v>
      </c>
    </row>
    <row r="4" spans="1:8">
      <c r="A4" s="73" t="s">
        <v>741</v>
      </c>
    </row>
    <row r="5" spans="1:8" ht="79.150000000000006">
      <c r="A5" s="73" t="s">
        <v>742</v>
      </c>
    </row>
    <row r="6" spans="1:8" hidden="1"/>
    <row r="7" spans="1:8" hidden="1">
      <c r="A7" s="78" t="s">
        <v>743</v>
      </c>
      <c r="B7" s="79">
        <v>313549.97915661341</v>
      </c>
    </row>
    <row r="8" spans="1:8" hidden="1"/>
    <row r="9" spans="1:8" hidden="1">
      <c r="A9" s="84" t="s">
        <v>744</v>
      </c>
      <c r="F9" s="84" t="s">
        <v>745</v>
      </c>
    </row>
    <row r="10" spans="1:8" hidden="1">
      <c r="A10" s="75">
        <v>4550</v>
      </c>
      <c r="B10" t="s">
        <v>118</v>
      </c>
      <c r="F10" s="26" t="e">
        <f>SUM('2. Berekening'!#REF!+'2. Berekening'!#REF!+'2. Berekening'!#REF!+'2. Berekening'!#REF!+'2. Berekening'!#REF!+'2. Berekening'!#REF!+'2. Berekening'!#REF!+'2. Berekening'!#REF!+'2. Berekening'!#REF!)</f>
        <v>#REF!</v>
      </c>
      <c r="G10" t="s">
        <v>118</v>
      </c>
    </row>
    <row r="11" spans="1:8" hidden="1">
      <c r="A11">
        <v>50</v>
      </c>
      <c r="B11" t="s">
        <v>746</v>
      </c>
      <c r="F11">
        <v>500</v>
      </c>
      <c r="G11" t="s">
        <v>746</v>
      </c>
    </row>
    <row r="12" spans="1:8" hidden="1">
      <c r="A12">
        <f>A10*A11/1000</f>
        <v>227.5</v>
      </c>
      <c r="B12" t="s">
        <v>112</v>
      </c>
      <c r="F12" t="e">
        <f>F10*F11/1000</f>
        <v>#REF!</v>
      </c>
      <c r="G12" t="s">
        <v>112</v>
      </c>
    </row>
    <row r="13" spans="1:8" hidden="1">
      <c r="A13" s="76" t="s">
        <v>747</v>
      </c>
      <c r="F13" s="76" t="s">
        <v>747</v>
      </c>
    </row>
    <row r="14" spans="1:8" hidden="1">
      <c r="A14" t="s">
        <v>748</v>
      </c>
      <c r="B14">
        <v>7.1523661573658597</v>
      </c>
    </row>
    <row r="15" spans="1:8" hidden="1">
      <c r="A15" t="s">
        <v>749</v>
      </c>
      <c r="B15">
        <v>0.5</v>
      </c>
      <c r="C15" t="s">
        <v>750</v>
      </c>
      <c r="F15" t="s">
        <v>749</v>
      </c>
      <c r="G15">
        <v>2E-3</v>
      </c>
      <c r="H15" t="s">
        <v>751</v>
      </c>
    </row>
    <row r="16" spans="1:8" hidden="1">
      <c r="A16" t="s">
        <v>752</v>
      </c>
      <c r="B16">
        <f>A12/B15</f>
        <v>455</v>
      </c>
      <c r="C16" t="s">
        <v>613</v>
      </c>
      <c r="F16" t="s">
        <v>752</v>
      </c>
      <c r="G16" t="e">
        <f>F10*G15</f>
        <v>#REF!</v>
      </c>
      <c r="H16" t="s">
        <v>613</v>
      </c>
    </row>
    <row r="17" spans="1:8" hidden="1">
      <c r="A17" t="s">
        <v>753</v>
      </c>
      <c r="B17">
        <f>7.15236615736586*B16</f>
        <v>3254.3266016014663</v>
      </c>
      <c r="F17" t="s">
        <v>754</v>
      </c>
      <c r="G17" t="e">
        <f>G16*B14</f>
        <v>#REF!</v>
      </c>
    </row>
    <row r="18" spans="1:8" hidden="1"/>
    <row r="19" spans="1:8" hidden="1">
      <c r="F19" t="s">
        <v>755</v>
      </c>
    </row>
    <row r="20" spans="1:8" hidden="1">
      <c r="A20" t="s">
        <v>756</v>
      </c>
      <c r="B20">
        <v>1.0114375560110891</v>
      </c>
      <c r="F20" t="s">
        <v>752</v>
      </c>
      <c r="G20">
        <v>32.1</v>
      </c>
      <c r="H20" t="s">
        <v>613</v>
      </c>
    </row>
    <row r="21" spans="1:8" hidden="1">
      <c r="A21" t="s">
        <v>752</v>
      </c>
      <c r="B21">
        <v>455</v>
      </c>
      <c r="C21" t="s">
        <v>613</v>
      </c>
      <c r="F21" t="s">
        <v>753</v>
      </c>
      <c r="G21">
        <f>G20*B20</f>
        <v>32.467145547955958</v>
      </c>
    </row>
    <row r="22" spans="1:8" hidden="1">
      <c r="A22" t="s">
        <v>753</v>
      </c>
      <c r="B22">
        <f>B20*B21</f>
        <v>460.20408798504553</v>
      </c>
      <c r="G22" s="25"/>
    </row>
    <row r="23" spans="1:8" hidden="1">
      <c r="B23" s="25"/>
      <c r="F23" t="s">
        <v>757</v>
      </c>
      <c r="G23">
        <v>10.080068130200001</v>
      </c>
      <c r="H23" t="s">
        <v>758</v>
      </c>
    </row>
    <row r="24" spans="1:8" hidden="1">
      <c r="A24" t="s">
        <v>759</v>
      </c>
      <c r="F24" t="s">
        <v>760</v>
      </c>
      <c r="G24">
        <v>7.0570013400000002</v>
      </c>
      <c r="H24" t="s">
        <v>758</v>
      </c>
    </row>
    <row r="25" spans="1:8" hidden="1">
      <c r="A25" t="s">
        <v>761</v>
      </c>
    </row>
    <row r="26" spans="1:8" hidden="1">
      <c r="A26" t="s">
        <v>762</v>
      </c>
      <c r="B26">
        <f>2*B17</f>
        <v>6508.6532032029327</v>
      </c>
      <c r="F26" t="s">
        <v>763</v>
      </c>
      <c r="G26" s="80">
        <f>G23*G20</f>
        <v>323.57018697942004</v>
      </c>
    </row>
    <row r="27" spans="1:8" hidden="1">
      <c r="A27" t="s">
        <v>764</v>
      </c>
      <c r="B27">
        <f>2*B22</f>
        <v>920.40817597009107</v>
      </c>
      <c r="F27" t="s">
        <v>765</v>
      </c>
      <c r="G27" t="e">
        <f>G24*G16</f>
        <v>#REF!</v>
      </c>
    </row>
    <row r="28" spans="1:8" hidden="1">
      <c r="B28" s="25"/>
    </row>
    <row r="29" spans="1:8" hidden="1">
      <c r="A29" t="s">
        <v>766</v>
      </c>
      <c r="B29">
        <f>B7-B26+B27</f>
        <v>307961.73412938055</v>
      </c>
      <c r="F29" t="s">
        <v>754</v>
      </c>
      <c r="G29" s="43" t="e">
        <f>G17+G26</f>
        <v>#REF!</v>
      </c>
    </row>
    <row r="30" spans="1:8" hidden="1">
      <c r="A30" t="s">
        <v>767</v>
      </c>
      <c r="B30" s="77">
        <f>(B7-B29)/B7</f>
        <v>1.7822501670273161E-2</v>
      </c>
      <c r="F30" t="s">
        <v>768</v>
      </c>
      <c r="G30" t="e">
        <f>G21+G27</f>
        <v>#REF!</v>
      </c>
    </row>
    <row r="31" spans="1:8" hidden="1">
      <c r="F31" t="s">
        <v>769</v>
      </c>
      <c r="G31" s="85" t="e">
        <f>G29-G30</f>
        <v>#REF!</v>
      </c>
    </row>
    <row r="32" spans="1:8" hidden="1">
      <c r="F32" t="s">
        <v>767</v>
      </c>
      <c r="G32" s="82" t="e">
        <f>G31/B7</f>
        <v>#REF!</v>
      </c>
    </row>
    <row r="33" spans="1:8" hidden="1">
      <c r="A33" s="76" t="s">
        <v>770</v>
      </c>
      <c r="F33" s="76" t="s">
        <v>770</v>
      </c>
    </row>
    <row r="34" spans="1:8" hidden="1">
      <c r="A34" t="s">
        <v>590</v>
      </c>
      <c r="B34">
        <v>85</v>
      </c>
      <c r="C34" t="s">
        <v>771</v>
      </c>
      <c r="F34" t="s">
        <v>590</v>
      </c>
      <c r="G34">
        <v>20.6</v>
      </c>
      <c r="H34" t="s">
        <v>771</v>
      </c>
    </row>
    <row r="35" spans="1:8" hidden="1">
      <c r="A35" t="s">
        <v>598</v>
      </c>
      <c r="B35">
        <v>85.85</v>
      </c>
      <c r="C35" t="s">
        <v>771</v>
      </c>
      <c r="F35" t="s">
        <v>598</v>
      </c>
      <c r="G35">
        <v>41.7</v>
      </c>
      <c r="H35" t="s">
        <v>771</v>
      </c>
    </row>
    <row r="36" spans="1:8" hidden="1"/>
    <row r="37" spans="1:8" hidden="1">
      <c r="A37" t="s">
        <v>772</v>
      </c>
      <c r="B37">
        <v>1.12540613E-2</v>
      </c>
      <c r="C37" t="s">
        <v>773</v>
      </c>
      <c r="F37" t="s">
        <v>772</v>
      </c>
      <c r="G37">
        <v>1.12540613E-2</v>
      </c>
      <c r="H37" t="s">
        <v>773</v>
      </c>
    </row>
    <row r="38" spans="1:8" hidden="1">
      <c r="A38" t="s">
        <v>774</v>
      </c>
      <c r="B38">
        <v>5.9509456000000002E-3</v>
      </c>
      <c r="C38" t="s">
        <v>773</v>
      </c>
      <c r="F38" t="s">
        <v>774</v>
      </c>
      <c r="G38">
        <v>5.9509456000000002E-3</v>
      </c>
      <c r="H38" t="s">
        <v>773</v>
      </c>
    </row>
    <row r="39" spans="1:8" hidden="1"/>
    <row r="40" spans="1:8" hidden="1">
      <c r="A40" t="s">
        <v>775</v>
      </c>
      <c r="B40">
        <f>(B34+B35)*B37</f>
        <v>1.9227563731049999</v>
      </c>
      <c r="F40" t="s">
        <v>775</v>
      </c>
      <c r="G40">
        <f>(G34+G35)*G37</f>
        <v>0.70112801898999999</v>
      </c>
    </row>
    <row r="41" spans="1:8" hidden="1">
      <c r="A41" t="s">
        <v>776</v>
      </c>
      <c r="B41">
        <f>(B34+B35)*B38</f>
        <v>1.0167190557600001</v>
      </c>
      <c r="F41" t="s">
        <v>776</v>
      </c>
      <c r="G41">
        <f>(G34+G35)*G38</f>
        <v>0.37074391088000003</v>
      </c>
    </row>
    <row r="42" spans="1:8" hidden="1"/>
    <row r="43" spans="1:8" hidden="1">
      <c r="A43" t="s">
        <v>754</v>
      </c>
      <c r="B43">
        <f>B40*A12</f>
        <v>437.42707488138745</v>
      </c>
      <c r="F43" t="s">
        <v>754</v>
      </c>
      <c r="G43" t="e">
        <f>G40*F10*2</f>
        <v>#REF!</v>
      </c>
      <c r="H43" t="s">
        <v>777</v>
      </c>
    </row>
    <row r="44" spans="1:8" hidden="1">
      <c r="A44" t="s">
        <v>778</v>
      </c>
      <c r="B44">
        <f>B41*A12</f>
        <v>231.30358518540001</v>
      </c>
      <c r="F44" t="s">
        <v>778</v>
      </c>
      <c r="G44" t="e">
        <f>G41*F10*2</f>
        <v>#REF!</v>
      </c>
      <c r="H44" t="s">
        <v>777</v>
      </c>
    </row>
    <row r="45" spans="1:8" hidden="1">
      <c r="A45" t="s">
        <v>779</v>
      </c>
      <c r="B45" s="81">
        <f>B7-B43+B44</f>
        <v>313343.8556669174</v>
      </c>
      <c r="F45" t="s">
        <v>779</v>
      </c>
      <c r="G45" s="81" t="e">
        <f>B7-G43+G44</f>
        <v>#REF!</v>
      </c>
    </row>
    <row r="46" spans="1:8" hidden="1">
      <c r="A46" t="s">
        <v>767</v>
      </c>
      <c r="B46" s="83">
        <f>(B7-B45)/B7</f>
        <v>6.5738639259501621E-4</v>
      </c>
      <c r="F46" t="s">
        <v>767</v>
      </c>
      <c r="G46" s="83" t="e">
        <f>(B7-G45)/B7</f>
        <v>#REF!</v>
      </c>
    </row>
    <row r="47" spans="1:8" hidden="1"/>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CD12-7C37-431F-A8E2-BF6E041A9641}">
  <dimension ref="A2:O79"/>
  <sheetViews>
    <sheetView workbookViewId="0"/>
  </sheetViews>
  <sheetFormatPr defaultRowHeight="14.45"/>
  <cols>
    <col min="2" max="6" width="10.5703125" customWidth="1"/>
    <col min="12" max="12" width="15.140625" bestFit="1" customWidth="1"/>
    <col min="13" max="13" width="16.140625" bestFit="1" customWidth="1"/>
    <col min="14" max="14" width="20" bestFit="1" customWidth="1"/>
    <col min="15" max="15" width="18.5703125" bestFit="1" customWidth="1"/>
  </cols>
  <sheetData>
    <row r="2" spans="1:15" ht="15" thickBot="1">
      <c r="B2" s="87" t="s">
        <v>73</v>
      </c>
      <c r="C2" s="87" t="s">
        <v>74</v>
      </c>
      <c r="D2" s="87" t="s">
        <v>780</v>
      </c>
      <c r="E2" s="87" t="s">
        <v>75</v>
      </c>
      <c r="F2" s="87" t="s">
        <v>76</v>
      </c>
      <c r="M2" s="87" t="s">
        <v>780</v>
      </c>
      <c r="N2" s="87" t="s">
        <v>75</v>
      </c>
      <c r="O2" s="87" t="s">
        <v>76</v>
      </c>
    </row>
    <row r="3" spans="1:15" ht="15" thickTop="1">
      <c r="A3" s="88" t="s">
        <v>781</v>
      </c>
      <c r="B3" s="16">
        <v>3637.1446601746334</v>
      </c>
      <c r="C3" s="16">
        <v>1334.8115377184197</v>
      </c>
      <c r="D3" s="16">
        <f t="shared" ref="D3:D34" si="0">SUM(B3:C3)</f>
        <v>4971.9561978930533</v>
      </c>
      <c r="E3" s="16">
        <v>5375.5043928573423</v>
      </c>
      <c r="F3" s="16">
        <v>403.54819496428934</v>
      </c>
      <c r="L3" s="88" t="s">
        <v>781</v>
      </c>
      <c r="M3" s="16">
        <f>SUM(D3:D43)/1000</f>
        <v>143.49816301268802</v>
      </c>
      <c r="N3" s="16">
        <f>SUM(E3:E43)/1000</f>
        <v>144.61241266760874</v>
      </c>
      <c r="O3" s="16">
        <f>SUM(F3:F43)/1000</f>
        <v>-14.382472764551018</v>
      </c>
    </row>
    <row r="4" spans="1:15">
      <c r="A4" s="89" t="s">
        <v>781</v>
      </c>
      <c r="B4" s="16">
        <v>138.80572693728732</v>
      </c>
      <c r="C4" s="16">
        <v>236.88799910806631</v>
      </c>
      <c r="D4" s="16">
        <f t="shared" si="0"/>
        <v>375.69372604535363</v>
      </c>
      <c r="E4" s="16">
        <v>0</v>
      </c>
      <c r="F4" s="16">
        <v>189.16895156509284</v>
      </c>
      <c r="L4" s="89" t="s">
        <v>782</v>
      </c>
      <c r="M4" s="16">
        <f>SUM(D44:D62)/1000</f>
        <v>4.1741923200946083</v>
      </c>
      <c r="N4" s="16">
        <f>SUM(E44:E62)/1000</f>
        <v>0.29607003081527739</v>
      </c>
      <c r="O4" s="16">
        <f>SUM(F44:F62)/1000</f>
        <v>0.18306452145325647</v>
      </c>
    </row>
    <row r="5" spans="1:15">
      <c r="A5" s="88" t="s">
        <v>781</v>
      </c>
      <c r="B5" s="16">
        <v>1348.865064119992</v>
      </c>
      <c r="C5" s="16">
        <v>497.08789982109806</v>
      </c>
      <c r="D5" s="16">
        <f t="shared" si="0"/>
        <v>1845.95296394109</v>
      </c>
      <c r="E5" s="16">
        <v>0</v>
      </c>
      <c r="F5" s="16">
        <v>-71.505881953981032</v>
      </c>
      <c r="L5" s="88" t="s">
        <v>89</v>
      </c>
      <c r="M5" s="16">
        <f>SUM(D63:D75)/1000</f>
        <v>2.933648850094944</v>
      </c>
      <c r="N5" s="16">
        <f>SUM(E63:E75)/1000</f>
        <v>0</v>
      </c>
      <c r="O5" s="16">
        <f>SUM(F63:F75)/1000</f>
        <v>0.33351926344671234</v>
      </c>
    </row>
    <row r="6" spans="1:15">
      <c r="A6" s="89" t="s">
        <v>781</v>
      </c>
      <c r="B6" s="16">
        <v>2893.1832524116408</v>
      </c>
      <c r="C6" s="16">
        <v>1061.7819050032886</v>
      </c>
      <c r="D6" s="16">
        <f t="shared" si="0"/>
        <v>3954.9651574149293</v>
      </c>
      <c r="E6" s="16">
        <v>4275.9694034092508</v>
      </c>
      <c r="F6" s="16">
        <v>321.00424599432108</v>
      </c>
      <c r="M6" s="44">
        <f>SUM(M3:M5)</f>
        <v>150.6060041828776</v>
      </c>
      <c r="N6" s="44">
        <f>SUM(N3:N5)</f>
        <v>144.90848269842402</v>
      </c>
      <c r="O6" s="44">
        <f>SUM(O3:O5)</f>
        <v>-13.865888979651048</v>
      </c>
    </row>
    <row r="7" spans="1:15">
      <c r="A7" s="88" t="s">
        <v>781</v>
      </c>
      <c r="B7" s="16">
        <v>126.18702448844302</v>
      </c>
      <c r="C7" s="16">
        <v>215.35272646187846</v>
      </c>
      <c r="D7" s="16">
        <f t="shared" si="0"/>
        <v>341.53975095032149</v>
      </c>
      <c r="E7" s="16">
        <v>0</v>
      </c>
      <c r="F7" s="16">
        <v>171.9717741500844</v>
      </c>
    </row>
    <row r="8" spans="1:15">
      <c r="A8" s="89" t="s">
        <v>781</v>
      </c>
      <c r="B8" s="16">
        <v>1226.2409673818108</v>
      </c>
      <c r="C8" s="16">
        <v>451.89809074645274</v>
      </c>
      <c r="D8" s="16">
        <f t="shared" si="0"/>
        <v>1678.1390581282635</v>
      </c>
      <c r="E8" s="16">
        <v>0</v>
      </c>
      <c r="F8" s="16">
        <v>-65.005347230891857</v>
      </c>
    </row>
    <row r="9" spans="1:15">
      <c r="A9" s="88" t="s">
        <v>781</v>
      </c>
      <c r="B9" s="16">
        <v>2149.2218446486472</v>
      </c>
      <c r="C9" s="16">
        <v>788.75227228815709</v>
      </c>
      <c r="D9" s="16">
        <f t="shared" si="0"/>
        <v>2937.9741169368044</v>
      </c>
      <c r="E9" s="16">
        <v>3176.4344139611571</v>
      </c>
      <c r="F9" s="16">
        <v>238.4602970243528</v>
      </c>
    </row>
    <row r="10" spans="1:15">
      <c r="A10" s="89" t="s">
        <v>781</v>
      </c>
      <c r="B10" s="16">
        <v>82.021565917487962</v>
      </c>
      <c r="C10" s="16">
        <v>139.979272200221</v>
      </c>
      <c r="D10" s="16">
        <f t="shared" si="0"/>
        <v>222.00083811770895</v>
      </c>
      <c r="E10" s="16">
        <v>0</v>
      </c>
      <c r="F10" s="16">
        <v>111.78165319755486</v>
      </c>
    </row>
    <row r="11" spans="1:15">
      <c r="A11" s="88" t="s">
        <v>781</v>
      </c>
      <c r="B11" s="16">
        <v>797.05662879817703</v>
      </c>
      <c r="C11" s="16">
        <v>293.7337589851943</v>
      </c>
      <c r="D11" s="16">
        <f t="shared" si="0"/>
        <v>1090.7903877833714</v>
      </c>
      <c r="E11" s="16">
        <v>0</v>
      </c>
      <c r="F11" s="16">
        <v>-42.253475700079704</v>
      </c>
    </row>
    <row r="12" spans="1:15">
      <c r="A12" s="89" t="s">
        <v>781</v>
      </c>
      <c r="B12" s="16">
        <v>1489.0274352851002</v>
      </c>
      <c r="C12" s="16">
        <v>577.68708088005485</v>
      </c>
      <c r="D12" s="16">
        <f t="shared" si="0"/>
        <v>2066.7145161651551</v>
      </c>
      <c r="E12" s="16">
        <v>2263.1474000318767</v>
      </c>
      <c r="F12" s="16">
        <v>196.43288386672157</v>
      </c>
    </row>
    <row r="13" spans="1:15">
      <c r="A13" s="88" t="s">
        <v>781</v>
      </c>
      <c r="B13" s="16">
        <v>100.94961959075441</v>
      </c>
      <c r="C13" s="16">
        <v>172.28218116950276</v>
      </c>
      <c r="D13" s="16">
        <f t="shared" si="0"/>
        <v>273.23180076025716</v>
      </c>
      <c r="E13" s="16">
        <v>0</v>
      </c>
      <c r="F13" s="16">
        <v>137.57741932006752</v>
      </c>
    </row>
    <row r="14" spans="1:15">
      <c r="A14" s="89" t="s">
        <v>781</v>
      </c>
      <c r="B14" s="16">
        <v>980.99277390544876</v>
      </c>
      <c r="C14" s="16">
        <v>361.5184725971622</v>
      </c>
      <c r="D14" s="16">
        <f t="shared" si="0"/>
        <v>1342.5112465026109</v>
      </c>
      <c r="E14" s="16">
        <v>0</v>
      </c>
      <c r="F14" s="16">
        <v>-52.00427778471348</v>
      </c>
    </row>
    <row r="15" spans="1:15">
      <c r="A15" s="88" t="s">
        <v>781</v>
      </c>
      <c r="B15" s="16">
        <v>1177.139087795108</v>
      </c>
      <c r="C15" s="16">
        <v>240.37471077395983</v>
      </c>
      <c r="D15" s="16">
        <f t="shared" si="0"/>
        <v>1417.5137985690678</v>
      </c>
      <c r="E15" s="16">
        <v>0</v>
      </c>
      <c r="F15" s="16">
        <v>121.44376310023831</v>
      </c>
    </row>
    <row r="16" spans="1:15">
      <c r="A16" s="89" t="s">
        <v>781</v>
      </c>
      <c r="B16" s="16">
        <v>37.856107346532902</v>
      </c>
      <c r="C16" s="16">
        <v>64.605817938563533</v>
      </c>
      <c r="D16" s="16">
        <f t="shared" si="0"/>
        <v>102.46192528509644</v>
      </c>
      <c r="E16" s="16">
        <v>0</v>
      </c>
      <c r="F16" s="16">
        <v>51.59153224502532</v>
      </c>
    </row>
    <row r="17" spans="1:6">
      <c r="A17" s="88" t="s">
        <v>781</v>
      </c>
      <c r="B17" s="16">
        <v>0</v>
      </c>
      <c r="C17" s="16">
        <v>119.97947389725634</v>
      </c>
      <c r="D17" s="16">
        <f t="shared" si="0"/>
        <v>119.97947389725634</v>
      </c>
      <c r="E17" s="16">
        <v>12.372722185500001</v>
      </c>
      <c r="F17" s="16">
        <v>165.68707085088462</v>
      </c>
    </row>
    <row r="18" spans="1:6">
      <c r="A18" s="89" t="s">
        <v>781</v>
      </c>
      <c r="B18" s="16">
        <v>367.87229021454328</v>
      </c>
      <c r="C18" s="16">
        <v>135.56942722393583</v>
      </c>
      <c r="D18" s="16">
        <f t="shared" si="0"/>
        <v>503.44171743847915</v>
      </c>
      <c r="E18" s="16">
        <v>0</v>
      </c>
      <c r="F18" s="16">
        <v>-19.501604169267555</v>
      </c>
    </row>
    <row r="19" spans="1:6">
      <c r="A19" s="88" t="s">
        <v>781</v>
      </c>
      <c r="B19" s="16">
        <v>110.75550397001238</v>
      </c>
      <c r="C19" s="16">
        <v>49.326260446522902</v>
      </c>
      <c r="D19" s="16">
        <f t="shared" si="0"/>
        <v>160.08176441653529</v>
      </c>
      <c r="E19" s="16">
        <v>0</v>
      </c>
      <c r="F19" s="16">
        <v>-19.01479342000161</v>
      </c>
    </row>
    <row r="20" spans="1:6">
      <c r="A20" s="89" t="s">
        <v>781</v>
      </c>
      <c r="B20" s="16">
        <v>162.09282287961005</v>
      </c>
      <c r="C20" s="16">
        <v>935.26697109933718</v>
      </c>
      <c r="D20" s="16">
        <f t="shared" si="0"/>
        <v>1097.3597939789472</v>
      </c>
      <c r="E20" s="16">
        <v>767.6920353897209</v>
      </c>
      <c r="F20" s="16">
        <v>54.17825910563387</v>
      </c>
    </row>
    <row r="21" spans="1:6">
      <c r="A21" s="88" t="s">
        <v>781</v>
      </c>
      <c r="B21" s="16">
        <v>0</v>
      </c>
      <c r="C21" s="16">
        <v>115.56475271429848</v>
      </c>
      <c r="D21" s="16">
        <f t="shared" si="0"/>
        <v>115.56475271429848</v>
      </c>
      <c r="E21" s="16">
        <v>8.2484814569999987</v>
      </c>
      <c r="F21" s="16">
        <v>73.460455097236618</v>
      </c>
    </row>
    <row r="22" spans="1:6">
      <c r="A22" s="89" t="s">
        <v>781</v>
      </c>
      <c r="B22" s="16">
        <v>10857.916153149734</v>
      </c>
      <c r="C22" s="16">
        <v>533.08560004163201</v>
      </c>
      <c r="D22" s="16">
        <f t="shared" si="0"/>
        <v>11391.001753191365</v>
      </c>
      <c r="E22" s="16">
        <v>21432.504039982559</v>
      </c>
      <c r="F22" s="16">
        <v>-3151.8174728267013</v>
      </c>
    </row>
    <row r="23" spans="1:6">
      <c r="A23" s="88" t="s">
        <v>781</v>
      </c>
      <c r="B23" s="16">
        <v>1555.9492791048417</v>
      </c>
      <c r="C23" s="16">
        <v>136.20542952384528</v>
      </c>
      <c r="D23" s="16">
        <f t="shared" si="0"/>
        <v>1692.1547086286869</v>
      </c>
      <c r="E23" s="16">
        <v>143.17339069730457</v>
      </c>
      <c r="F23" s="16">
        <v>-403.5941923529461</v>
      </c>
    </row>
    <row r="24" spans="1:6">
      <c r="A24" s="89" t="s">
        <v>781</v>
      </c>
      <c r="B24" s="16">
        <v>2178.3289907467783</v>
      </c>
      <c r="C24" s="16">
        <v>190.68760133338341</v>
      </c>
      <c r="D24" s="16">
        <f t="shared" si="0"/>
        <v>2369.0165920801619</v>
      </c>
      <c r="E24" s="16">
        <v>200.44274697622643</v>
      </c>
      <c r="F24" s="16">
        <v>-565.03186929412448</v>
      </c>
    </row>
    <row r="25" spans="1:6">
      <c r="A25" s="88" t="s">
        <v>781</v>
      </c>
      <c r="B25" s="16">
        <v>0</v>
      </c>
      <c r="C25" s="16">
        <v>933.17368586754935</v>
      </c>
      <c r="D25" s="16">
        <f t="shared" si="0"/>
        <v>933.17368586754935</v>
      </c>
      <c r="E25" s="16">
        <v>96.232283665000011</v>
      </c>
      <c r="F25" s="16">
        <v>1288.6772177291025</v>
      </c>
    </row>
    <row r="26" spans="1:6">
      <c r="A26" s="89" t="s">
        <v>781</v>
      </c>
      <c r="B26" s="16">
        <v>2452.4819347636217</v>
      </c>
      <c r="C26" s="16">
        <v>903.79618149290548</v>
      </c>
      <c r="D26" s="16">
        <f t="shared" si="0"/>
        <v>3356.278116256527</v>
      </c>
      <c r="E26" s="16">
        <v>0</v>
      </c>
      <c r="F26" s="16">
        <v>-130.01069446178371</v>
      </c>
    </row>
    <row r="27" spans="1:6">
      <c r="A27" s="88" t="s">
        <v>781</v>
      </c>
      <c r="B27" s="16">
        <v>18729.905364183291</v>
      </c>
      <c r="C27" s="16">
        <v>919.57266007181511</v>
      </c>
      <c r="D27" s="16">
        <f t="shared" si="0"/>
        <v>19649.478024255106</v>
      </c>
      <c r="E27" s="16">
        <v>36971.069468969916</v>
      </c>
      <c r="F27" s="16">
        <v>-5436.8851406260601</v>
      </c>
    </row>
    <row r="28" spans="1:6">
      <c r="A28" s="89" t="s">
        <v>781</v>
      </c>
      <c r="B28" s="16">
        <v>2684.0125064558515</v>
      </c>
      <c r="C28" s="16">
        <v>234.95436592863314</v>
      </c>
      <c r="D28" s="16">
        <f t="shared" si="0"/>
        <v>2918.9668723844848</v>
      </c>
      <c r="E28" s="16">
        <v>246.97409895285043</v>
      </c>
      <c r="F28" s="16">
        <v>-696.19998180883204</v>
      </c>
    </row>
    <row r="29" spans="1:6">
      <c r="A29" s="88" t="s">
        <v>781</v>
      </c>
      <c r="B29" s="16">
        <v>3757.6175090381926</v>
      </c>
      <c r="C29" s="16">
        <v>328.93611230008639</v>
      </c>
      <c r="D29" s="16">
        <f t="shared" si="0"/>
        <v>4086.5536213382788</v>
      </c>
      <c r="E29" s="16">
        <v>345.76373853399059</v>
      </c>
      <c r="F29" s="16">
        <v>-974.67997453236478</v>
      </c>
    </row>
    <row r="30" spans="1:6">
      <c r="A30" s="89" t="s">
        <v>781</v>
      </c>
      <c r="B30" s="16">
        <v>48.864399978610408</v>
      </c>
      <c r="C30" s="16">
        <v>1845.9360853186311</v>
      </c>
      <c r="D30" s="16">
        <f t="shared" si="0"/>
        <v>1894.8004852972415</v>
      </c>
      <c r="E30" s="16">
        <v>166.00068932212503</v>
      </c>
      <c r="F30" s="16">
        <v>1334.450289914899</v>
      </c>
    </row>
    <row r="31" spans="1:6">
      <c r="A31" s="88" t="s">
        <v>781</v>
      </c>
      <c r="B31" s="16">
        <v>4230.5313374672478</v>
      </c>
      <c r="C31" s="16">
        <v>1559.048413075262</v>
      </c>
      <c r="D31" s="16">
        <f t="shared" si="0"/>
        <v>5789.5797505425098</v>
      </c>
      <c r="E31" s="16">
        <v>0</v>
      </c>
      <c r="F31" s="16">
        <v>-224.26844794657688</v>
      </c>
    </row>
    <row r="32" spans="1:6">
      <c r="A32" s="89" t="s">
        <v>781</v>
      </c>
      <c r="B32" s="16">
        <v>31216.508940305484</v>
      </c>
      <c r="C32" s="16">
        <v>1532.6211001196921</v>
      </c>
      <c r="D32" s="16">
        <f t="shared" si="0"/>
        <v>32749.130040425178</v>
      </c>
      <c r="E32" s="16">
        <v>61618.449114949864</v>
      </c>
      <c r="F32" s="16">
        <v>-9061.4752343767668</v>
      </c>
    </row>
    <row r="33" spans="1:6">
      <c r="A33" s="88" t="s">
        <v>781</v>
      </c>
      <c r="B33" s="16">
        <v>4473.3541774264195</v>
      </c>
      <c r="C33" s="16">
        <v>391.59060988105523</v>
      </c>
      <c r="D33" s="16">
        <f t="shared" si="0"/>
        <v>4864.9447873074751</v>
      </c>
      <c r="E33" s="16">
        <v>411.6234982547507</v>
      </c>
      <c r="F33" s="16">
        <v>-1160.3333030147198</v>
      </c>
    </row>
    <row r="34" spans="1:6">
      <c r="A34" s="89" t="s">
        <v>781</v>
      </c>
      <c r="B34" s="16">
        <v>6262.6958483969875</v>
      </c>
      <c r="C34" s="16">
        <v>548.22685383347732</v>
      </c>
      <c r="D34" s="16">
        <f t="shared" si="0"/>
        <v>6810.9227022304649</v>
      </c>
      <c r="E34" s="16">
        <v>576.27289755665106</v>
      </c>
      <c r="F34" s="16">
        <v>-1624.4666242206079</v>
      </c>
    </row>
    <row r="35" spans="1:6">
      <c r="A35" s="88" t="s">
        <v>781</v>
      </c>
      <c r="B35" s="16">
        <v>0</v>
      </c>
      <c r="C35" s="16">
        <v>2682.8743468692046</v>
      </c>
      <c r="D35" s="16">
        <f t="shared" ref="D35:D66" si="1">SUM(B35:C35)</f>
        <v>2682.8743468692046</v>
      </c>
      <c r="E35" s="16">
        <v>276.66781553687508</v>
      </c>
      <c r="F35" s="16">
        <v>3704.9470009711699</v>
      </c>
    </row>
    <row r="36" spans="1:6">
      <c r="A36" s="89" t="s">
        <v>781</v>
      </c>
      <c r="B36" s="16">
        <v>7050.8855624454127</v>
      </c>
      <c r="C36" s="16">
        <v>2598.4140217921035</v>
      </c>
      <c r="D36" s="16">
        <f t="shared" si="1"/>
        <v>9649.2995842375167</v>
      </c>
      <c r="E36" s="16">
        <v>0</v>
      </c>
      <c r="F36" s="16">
        <v>-373.78074657762818</v>
      </c>
    </row>
    <row r="37" spans="1:6">
      <c r="A37" s="88" t="s">
        <v>781</v>
      </c>
      <c r="B37" s="16">
        <v>2314.5466019293135</v>
      </c>
      <c r="C37" s="16">
        <v>812.97888472880425</v>
      </c>
      <c r="D37" s="16">
        <f t="shared" si="1"/>
        <v>3127.5254866581176</v>
      </c>
      <c r="E37" s="16">
        <v>3349.849180259941</v>
      </c>
      <c r="F37" s="16">
        <v>222.32369360182312</v>
      </c>
    </row>
    <row r="38" spans="1:6">
      <c r="A38" s="89" t="s">
        <v>781</v>
      </c>
      <c r="B38" s="16">
        <v>88.330917141910106</v>
      </c>
      <c r="C38" s="16">
        <v>150.74690852331491</v>
      </c>
      <c r="D38" s="16">
        <f t="shared" si="1"/>
        <v>239.07782566522502</v>
      </c>
      <c r="E38" s="16">
        <v>0</v>
      </c>
      <c r="F38" s="16">
        <v>120.38024190505908</v>
      </c>
    </row>
    <row r="39" spans="1:6">
      <c r="A39" s="88" t="s">
        <v>781</v>
      </c>
      <c r="B39" s="16">
        <v>0</v>
      </c>
      <c r="C39" s="16">
        <v>373.2694743470197</v>
      </c>
      <c r="D39" s="16">
        <f t="shared" si="1"/>
        <v>373.2694743470197</v>
      </c>
      <c r="E39" s="16">
        <v>38.492913466000005</v>
      </c>
      <c r="F39" s="16">
        <v>515.47088709164098</v>
      </c>
    </row>
    <row r="40" spans="1:6">
      <c r="A40" s="89" t="s">
        <v>781</v>
      </c>
      <c r="B40" s="16">
        <v>772.53180945054089</v>
      </c>
      <c r="C40" s="16">
        <v>284.69579717026522</v>
      </c>
      <c r="D40" s="16">
        <f t="shared" si="1"/>
        <v>1057.227606620806</v>
      </c>
      <c r="E40" s="16">
        <v>0</v>
      </c>
      <c r="F40" s="16">
        <v>-40.953368755461867</v>
      </c>
    </row>
    <row r="41" spans="1:6">
      <c r="A41" s="88" t="s">
        <v>781</v>
      </c>
      <c r="B41" s="16">
        <v>260.5680928343134</v>
      </c>
      <c r="C41" s="16">
        <v>228.98946542520346</v>
      </c>
      <c r="D41" s="16">
        <f t="shared" si="1"/>
        <v>489.5575582595169</v>
      </c>
      <c r="E41" s="16">
        <v>0</v>
      </c>
      <c r="F41" s="16">
        <v>-21.034089324562068</v>
      </c>
    </row>
    <row r="42" spans="1:6">
      <c r="A42" s="89" t="s">
        <v>781</v>
      </c>
      <c r="B42" s="16">
        <v>1653.2475728066524</v>
      </c>
      <c r="C42" s="16">
        <v>766.5128191023914</v>
      </c>
      <c r="D42" s="16">
        <f t="shared" si="1"/>
        <v>2419.7603919090438</v>
      </c>
      <c r="E42" s="16">
        <v>2859.5279411928154</v>
      </c>
      <c r="F42" s="16">
        <v>343.21129966869563</v>
      </c>
    </row>
    <row r="43" spans="1:6">
      <c r="A43" s="88" t="s">
        <v>781</v>
      </c>
      <c r="B43" s="16">
        <v>178.6752636578149</v>
      </c>
      <c r="C43" s="16">
        <v>157.02134772013952</v>
      </c>
      <c r="D43" s="16">
        <f t="shared" si="1"/>
        <v>335.69661137795441</v>
      </c>
      <c r="E43" s="16">
        <v>0</v>
      </c>
      <c r="F43" s="16">
        <v>-14.42337553684256</v>
      </c>
    </row>
    <row r="44" spans="1:6">
      <c r="A44" s="89" t="s">
        <v>782</v>
      </c>
      <c r="B44" s="16">
        <v>1021.9769133194179</v>
      </c>
      <c r="C44" s="16">
        <v>511.37284270845595</v>
      </c>
      <c r="D44" s="16">
        <f t="shared" si="1"/>
        <v>1533.3497560278738</v>
      </c>
      <c r="E44" s="16">
        <v>0</v>
      </c>
      <c r="F44" s="16">
        <v>18.008102684541502</v>
      </c>
    </row>
    <row r="45" spans="1:6">
      <c r="A45" s="88" t="s">
        <v>782</v>
      </c>
      <c r="B45" s="16">
        <v>0</v>
      </c>
      <c r="C45" s="16">
        <v>9.9326192585367927</v>
      </c>
      <c r="D45" s="16">
        <f t="shared" si="1"/>
        <v>9.9326192585367927</v>
      </c>
      <c r="E45" s="16">
        <v>0</v>
      </c>
      <c r="F45" s="16">
        <v>0</v>
      </c>
    </row>
    <row r="46" spans="1:6">
      <c r="A46" s="89" t="s">
        <v>782</v>
      </c>
      <c r="B46" s="16">
        <v>0</v>
      </c>
      <c r="C46" s="16">
        <v>21.457098472097577</v>
      </c>
      <c r="D46" s="16">
        <f t="shared" si="1"/>
        <v>21.457098472097577</v>
      </c>
      <c r="E46" s="16">
        <v>0</v>
      </c>
      <c r="F46" s="16">
        <v>0</v>
      </c>
    </row>
    <row r="47" spans="1:6">
      <c r="A47" s="88" t="s">
        <v>782</v>
      </c>
      <c r="B47" s="16">
        <v>182.22674914279864</v>
      </c>
      <c r="C47" s="16">
        <v>172.56584224555772</v>
      </c>
      <c r="D47" s="16">
        <f t="shared" si="1"/>
        <v>354.79259138835636</v>
      </c>
      <c r="E47" s="16">
        <v>0</v>
      </c>
      <c r="F47" s="16">
        <v>6.1135403363155367</v>
      </c>
    </row>
    <row r="48" spans="1:6">
      <c r="A48" s="89" t="s">
        <v>782</v>
      </c>
      <c r="B48" s="16">
        <v>111.04672742350212</v>
      </c>
      <c r="C48" s="16">
        <v>55.565130616878065</v>
      </c>
      <c r="D48" s="16">
        <f t="shared" si="1"/>
        <v>166.61185804038018</v>
      </c>
      <c r="E48" s="16">
        <v>0</v>
      </c>
      <c r="F48" s="16">
        <v>1.9567378129213175</v>
      </c>
    </row>
    <row r="49" spans="1:6">
      <c r="A49" s="88" t="s">
        <v>782</v>
      </c>
      <c r="B49" s="16">
        <v>74.544484541912098</v>
      </c>
      <c r="C49" s="16">
        <v>3.0615383366124176</v>
      </c>
      <c r="D49" s="16">
        <f t="shared" si="1"/>
        <v>77.606022878524513</v>
      </c>
      <c r="E49" s="16">
        <v>0</v>
      </c>
      <c r="F49" s="16">
        <v>-6.0172284048458478</v>
      </c>
    </row>
    <row r="50" spans="1:6">
      <c r="A50" s="89" t="s">
        <v>782</v>
      </c>
      <c r="B50" s="16">
        <v>7.4315489139331596</v>
      </c>
      <c r="C50" s="16">
        <v>0.30521335066210847</v>
      </c>
      <c r="D50" s="16">
        <f t="shared" si="1"/>
        <v>7.7367622645952681</v>
      </c>
      <c r="E50" s="16">
        <v>0</v>
      </c>
      <c r="F50" s="16">
        <v>-0.59987439032834045</v>
      </c>
    </row>
    <row r="51" spans="1:6">
      <c r="A51" s="88" t="s">
        <v>782</v>
      </c>
      <c r="B51" s="16">
        <v>7.4315489139331596</v>
      </c>
      <c r="C51" s="16">
        <v>0.30521335066210847</v>
      </c>
      <c r="D51" s="16">
        <f t="shared" si="1"/>
        <v>7.7367622645952681</v>
      </c>
      <c r="E51" s="16">
        <v>0</v>
      </c>
      <c r="F51" s="16">
        <v>-0.59987439032834045</v>
      </c>
    </row>
    <row r="52" spans="1:6">
      <c r="A52" s="89" t="s">
        <v>782</v>
      </c>
      <c r="B52" s="16">
        <v>6.6883940225398435</v>
      </c>
      <c r="C52" s="16">
        <v>0.27469201559589762</v>
      </c>
      <c r="D52" s="16">
        <f t="shared" si="1"/>
        <v>6.9630860381357413</v>
      </c>
      <c r="E52" s="16">
        <v>0</v>
      </c>
      <c r="F52" s="16">
        <v>-0.53988695129550646</v>
      </c>
    </row>
    <row r="53" spans="1:6">
      <c r="A53" s="88" t="s">
        <v>782</v>
      </c>
      <c r="B53" s="16">
        <v>1.201415551158127</v>
      </c>
      <c r="C53" s="16">
        <v>5.8686440508699568E-2</v>
      </c>
      <c r="D53" s="16">
        <f t="shared" si="1"/>
        <v>1.2601019916668266</v>
      </c>
      <c r="E53" s="16">
        <v>0</v>
      </c>
      <c r="F53" s="16">
        <v>-0.1738674508707394</v>
      </c>
    </row>
    <row r="54" spans="1:6">
      <c r="A54" s="89" t="s">
        <v>782</v>
      </c>
      <c r="B54" s="16">
        <v>27.327905576877473</v>
      </c>
      <c r="C54" s="16">
        <v>13.674231362747337</v>
      </c>
      <c r="D54" s="16">
        <f t="shared" si="1"/>
        <v>41.002136939624812</v>
      </c>
      <c r="E54" s="16">
        <v>0</v>
      </c>
      <c r="F54" s="16">
        <v>0.48154094614860549</v>
      </c>
    </row>
    <row r="55" spans="1:6">
      <c r="A55" s="88" t="s">
        <v>782</v>
      </c>
      <c r="B55" s="16">
        <v>42.3641425</v>
      </c>
      <c r="C55" s="16">
        <v>5.4978035500000004</v>
      </c>
      <c r="D55" s="16">
        <f t="shared" si="1"/>
        <v>47.86194605</v>
      </c>
      <c r="E55" s="16">
        <v>0</v>
      </c>
      <c r="F55" s="16">
        <v>-5.5990780553000015</v>
      </c>
    </row>
    <row r="56" spans="1:6">
      <c r="A56" s="89" t="s">
        <v>782</v>
      </c>
      <c r="B56" s="16">
        <v>299.46978082741782</v>
      </c>
      <c r="C56" s="16">
        <v>240.80572576338201</v>
      </c>
      <c r="D56" s="16">
        <f t="shared" si="1"/>
        <v>540.27550659079986</v>
      </c>
      <c r="E56" s="16">
        <v>153.55093904806657</v>
      </c>
      <c r="F56" s="16">
        <v>73.928249601466462</v>
      </c>
    </row>
    <row r="57" spans="1:6">
      <c r="A57" s="88" t="s">
        <v>782</v>
      </c>
      <c r="B57" s="16">
        <v>304.98018724462128</v>
      </c>
      <c r="C57" s="16">
        <v>107.78384745707584</v>
      </c>
      <c r="D57" s="16">
        <f t="shared" si="1"/>
        <v>412.76403470169714</v>
      </c>
      <c r="E57" s="16">
        <v>121.40515224614252</v>
      </c>
      <c r="F57" s="16">
        <v>72.856574282872927</v>
      </c>
    </row>
    <row r="58" spans="1:6">
      <c r="A58" s="89" t="s">
        <v>782</v>
      </c>
      <c r="B58" s="16">
        <v>53.040032564281965</v>
      </c>
      <c r="C58" s="16">
        <v>18.745016949056669</v>
      </c>
      <c r="D58" s="16">
        <f t="shared" si="1"/>
        <v>71.785049513338635</v>
      </c>
      <c r="E58" s="16">
        <v>21.113939521068264</v>
      </c>
      <c r="F58" s="16">
        <v>12.670708570934421</v>
      </c>
    </row>
    <row r="59" spans="1:6">
      <c r="A59" s="88" t="s">
        <v>782</v>
      </c>
      <c r="B59" s="16">
        <v>0</v>
      </c>
      <c r="C59" s="16">
        <v>412.3648091084151</v>
      </c>
      <c r="D59" s="16">
        <f t="shared" si="1"/>
        <v>412.3648091084151</v>
      </c>
      <c r="E59" s="16">
        <v>0</v>
      </c>
      <c r="F59" s="16">
        <v>0</v>
      </c>
    </row>
    <row r="60" spans="1:6">
      <c r="A60" s="89" t="s">
        <v>782</v>
      </c>
      <c r="B60" s="16">
        <v>232.86652582140528</v>
      </c>
      <c r="C60" s="16">
        <v>125.30403200220682</v>
      </c>
      <c r="D60" s="16">
        <f t="shared" si="1"/>
        <v>358.17055782361211</v>
      </c>
      <c r="E60" s="16">
        <v>0</v>
      </c>
      <c r="F60" s="16">
        <v>3.5845957294629365</v>
      </c>
    </row>
    <row r="61" spans="1:6">
      <c r="A61" s="88" t="s">
        <v>782</v>
      </c>
      <c r="B61" s="16">
        <v>9.0030466311307951</v>
      </c>
      <c r="C61" s="16">
        <v>0.45854096921063081</v>
      </c>
      <c r="D61" s="16">
        <f t="shared" si="1"/>
        <v>9.4615876003414261</v>
      </c>
      <c r="E61" s="16">
        <v>0</v>
      </c>
      <c r="F61" s="16">
        <v>2.4150997723262608</v>
      </c>
    </row>
    <row r="62" spans="1:6">
      <c r="A62" s="89" t="s">
        <v>782</v>
      </c>
      <c r="B62" s="16">
        <v>84.869514493484544</v>
      </c>
      <c r="C62" s="16">
        <v>8.1905186485323913</v>
      </c>
      <c r="D62" s="16">
        <f t="shared" si="1"/>
        <v>93.060033142016934</v>
      </c>
      <c r="E62" s="16">
        <v>0</v>
      </c>
      <c r="F62" s="16">
        <v>4.5791813592352995</v>
      </c>
    </row>
    <row r="63" spans="1:6">
      <c r="A63" s="88" t="s">
        <v>89</v>
      </c>
      <c r="B63" s="16">
        <v>1615.6493516888768</v>
      </c>
      <c r="C63" s="16">
        <v>756.74789463839102</v>
      </c>
      <c r="D63" s="16">
        <f t="shared" si="1"/>
        <v>2372.3972463272676</v>
      </c>
      <c r="E63" s="16">
        <v>0</v>
      </c>
      <c r="F63" s="16">
        <v>-496.24820710616132</v>
      </c>
    </row>
    <row r="64" spans="1:6">
      <c r="A64" s="89" t="s">
        <v>89</v>
      </c>
      <c r="B64" s="16">
        <v>0</v>
      </c>
      <c r="C64" s="16">
        <v>150.20217194799835</v>
      </c>
      <c r="D64" s="16">
        <f t="shared" si="1"/>
        <v>150.20217194799835</v>
      </c>
      <c r="E64" s="16">
        <v>0</v>
      </c>
      <c r="F64" s="16">
        <v>0</v>
      </c>
    </row>
    <row r="65" spans="1:6">
      <c r="A65" s="88" t="s">
        <v>89</v>
      </c>
      <c r="B65" s="16">
        <v>0</v>
      </c>
      <c r="C65" s="16">
        <v>20.115356541873908</v>
      </c>
      <c r="D65" s="16">
        <f t="shared" si="1"/>
        <v>20.115356541873908</v>
      </c>
      <c r="E65" s="16">
        <v>0</v>
      </c>
      <c r="F65" s="16">
        <v>0</v>
      </c>
    </row>
    <row r="66" spans="1:6">
      <c r="A66" s="89" t="s">
        <v>89</v>
      </c>
      <c r="B66" s="16">
        <v>0</v>
      </c>
      <c r="C66" s="16">
        <v>22.924250504377746</v>
      </c>
      <c r="D66" s="16">
        <f t="shared" si="1"/>
        <v>22.924250504377746</v>
      </c>
      <c r="E66" s="16">
        <v>0</v>
      </c>
      <c r="F66" s="16">
        <v>0</v>
      </c>
    </row>
    <row r="67" spans="1:6">
      <c r="A67" s="88" t="s">
        <v>89</v>
      </c>
      <c r="B67" s="16">
        <v>0</v>
      </c>
      <c r="C67" s="16">
        <v>366.78800807004393</v>
      </c>
      <c r="D67" s="16">
        <f t="shared" ref="D67:D75" si="2">SUM(B67:C67)</f>
        <v>366.78800807004393</v>
      </c>
      <c r="E67" s="16">
        <v>0</v>
      </c>
      <c r="F67" s="16">
        <v>0</v>
      </c>
    </row>
    <row r="68" spans="1:6">
      <c r="A68" s="89" t="s">
        <v>89</v>
      </c>
      <c r="B68" s="16">
        <v>0</v>
      </c>
      <c r="C68" s="16">
        <v>0.87272621670166117</v>
      </c>
      <c r="D68" s="16">
        <f t="shared" si="2"/>
        <v>0.87272621670166117</v>
      </c>
      <c r="E68" s="16">
        <v>0</v>
      </c>
      <c r="F68" s="16">
        <v>0</v>
      </c>
    </row>
    <row r="69" spans="1:6">
      <c r="A69" s="88" t="s">
        <v>89</v>
      </c>
      <c r="B69" s="16">
        <v>0</v>
      </c>
      <c r="C69" s="16">
        <v>0.34909048668066445</v>
      </c>
      <c r="D69" s="16">
        <f t="shared" si="2"/>
        <v>0.34909048668066445</v>
      </c>
      <c r="E69" s="16">
        <v>0</v>
      </c>
      <c r="F69" s="16">
        <v>0</v>
      </c>
    </row>
    <row r="70" spans="1:6">
      <c r="A70" s="89" t="s">
        <v>89</v>
      </c>
      <c r="B70" s="16">
        <v>0</v>
      </c>
      <c r="C70" s="16">
        <v>0</v>
      </c>
      <c r="D70" s="16">
        <f t="shared" si="2"/>
        <v>0</v>
      </c>
      <c r="E70" s="16">
        <v>0</v>
      </c>
      <c r="F70" s="16">
        <v>1.883364724437659E-2</v>
      </c>
    </row>
    <row r="71" spans="1:6">
      <c r="A71" s="88" t="s">
        <v>89</v>
      </c>
      <c r="B71" s="16">
        <v>0</v>
      </c>
      <c r="C71" s="16">
        <v>0</v>
      </c>
      <c r="D71" s="16">
        <f t="shared" si="2"/>
        <v>0</v>
      </c>
      <c r="E71" s="16">
        <v>0</v>
      </c>
      <c r="F71" s="16">
        <v>7.5334588977506362E-2</v>
      </c>
    </row>
    <row r="72" spans="1:6">
      <c r="A72" s="89" t="s">
        <v>89</v>
      </c>
      <c r="B72" s="16">
        <v>0</v>
      </c>
      <c r="C72" s="16">
        <v>0</v>
      </c>
      <c r="D72" s="16">
        <f t="shared" si="2"/>
        <v>0</v>
      </c>
      <c r="E72" s="16">
        <v>0</v>
      </c>
      <c r="F72" s="16">
        <v>761.87159285741541</v>
      </c>
    </row>
    <row r="73" spans="1:6">
      <c r="A73" s="88" t="s">
        <v>89</v>
      </c>
      <c r="B73" s="16">
        <v>0</v>
      </c>
      <c r="C73" s="16">
        <v>0</v>
      </c>
      <c r="D73" s="16">
        <f t="shared" si="2"/>
        <v>0</v>
      </c>
      <c r="E73" s="16">
        <v>0</v>
      </c>
      <c r="F73" s="16">
        <v>45.036744405364459</v>
      </c>
    </row>
    <row r="74" spans="1:6">
      <c r="A74" s="89" t="s">
        <v>89</v>
      </c>
      <c r="B74" s="16">
        <v>0</v>
      </c>
      <c r="C74" s="16">
        <v>0</v>
      </c>
      <c r="D74" s="16">
        <f t="shared" si="2"/>
        <v>0</v>
      </c>
      <c r="E74" s="16">
        <v>0</v>
      </c>
      <c r="F74" s="16">
        <v>17.788822640746211</v>
      </c>
    </row>
    <row r="75" spans="1:6">
      <c r="A75" s="88" t="s">
        <v>89</v>
      </c>
      <c r="B75" s="16">
        <v>0</v>
      </c>
      <c r="C75" s="16">
        <v>0</v>
      </c>
      <c r="D75" s="16">
        <f t="shared" si="2"/>
        <v>0</v>
      </c>
      <c r="E75" s="16">
        <v>0</v>
      </c>
      <c r="F75" s="16">
        <v>4.9761424131256851</v>
      </c>
    </row>
    <row r="76" spans="1:6">
      <c r="B76" s="44">
        <v>121674.4829063255</v>
      </c>
      <c r="C76" s="44"/>
      <c r="D76" s="16">
        <f>SUM(D3:D75)</f>
        <v>150606.0041828776</v>
      </c>
      <c r="E76" s="16">
        <f>SUM(E3:E75)</f>
        <v>144908.48269842402</v>
      </c>
      <c r="F76" s="16">
        <f>SUM(F3:F75)</f>
        <v>-13865.888979651052</v>
      </c>
    </row>
    <row r="79" spans="1:6">
      <c r="B79" s="25"/>
      <c r="C79" s="25"/>
      <c r="D79" s="25"/>
      <c r="E79" s="25"/>
      <c r="F79" s="25"/>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4D326-D899-4913-A1CA-2DC86BA766B5}">
  <dimension ref="A1:K80"/>
  <sheetViews>
    <sheetView zoomScaleNormal="100" workbookViewId="0">
      <selection activeCell="B80" sqref="B80"/>
    </sheetView>
  </sheetViews>
  <sheetFormatPr defaultRowHeight="14.45"/>
  <cols>
    <col min="1" max="1" width="13.7109375" bestFit="1" customWidth="1"/>
    <col min="2" max="2" width="18.28515625" bestFit="1" customWidth="1"/>
    <col min="3" max="3" width="16.140625" customWidth="1"/>
    <col min="4" max="4" width="14.28515625" customWidth="1"/>
    <col min="5" max="5" width="9.85546875" bestFit="1" customWidth="1"/>
    <col min="7" max="7" width="31.5703125" bestFit="1" customWidth="1"/>
    <col min="8" max="8" width="15.5703125" customWidth="1"/>
    <col min="9" max="9" width="13.140625" customWidth="1"/>
    <col min="10" max="10" width="9.85546875" bestFit="1" customWidth="1"/>
  </cols>
  <sheetData>
    <row r="1" spans="1:10">
      <c r="H1" s="42" t="s">
        <v>781</v>
      </c>
      <c r="I1" s="44">
        <f>SUM(C3:C43)</f>
        <v>5688.796127631018</v>
      </c>
      <c r="J1" s="44">
        <f>I1/1000</f>
        <v>5.6887961276310177</v>
      </c>
    </row>
    <row r="2" spans="1:10" ht="15" thickBot="1">
      <c r="A2" s="8" t="s">
        <v>59</v>
      </c>
      <c r="B2" s="8" t="s">
        <v>60</v>
      </c>
      <c r="C2" s="8" t="s">
        <v>72</v>
      </c>
      <c r="D2" s="8" t="s">
        <v>81</v>
      </c>
      <c r="H2" s="42" t="s">
        <v>782</v>
      </c>
      <c r="I2" s="44">
        <f>SUM(C44:C62)</f>
        <v>1629.0103012359064</v>
      </c>
      <c r="J2" s="44">
        <f t="shared" ref="J2:J3" si="0">I2/1000</f>
        <v>1.6290103012359063</v>
      </c>
    </row>
    <row r="3" spans="1:10" ht="15" thickTop="1">
      <c r="A3" s="42" t="s">
        <v>781</v>
      </c>
      <c r="B3" t="s">
        <v>783</v>
      </c>
      <c r="C3" s="16">
        <f>Table1[[#This Row],[MKI A-D]]</f>
        <v>660.14781219518045</v>
      </c>
      <c r="D3" s="16">
        <f>Table1[[#This Row],[Totaal nieuw]]</f>
        <v>660.14781219518045</v>
      </c>
      <c r="H3" s="42" t="s">
        <v>89</v>
      </c>
      <c r="I3" s="44">
        <f>SUM(C63:C75)</f>
        <v>26830.490469770564</v>
      </c>
      <c r="J3" s="44">
        <f t="shared" si="0"/>
        <v>26.830490469770563</v>
      </c>
    </row>
    <row r="4" spans="1:10">
      <c r="A4" s="42" t="s">
        <v>781</v>
      </c>
      <c r="B4" t="s">
        <v>783</v>
      </c>
      <c r="C4" s="16">
        <f>Table1[[#This Row],[MKI A-D]]</f>
        <v>396.08868731710828</v>
      </c>
      <c r="D4" s="16">
        <f>Table1[[#This Row],[Totaal nieuw]]</f>
        <v>396.08868731710828</v>
      </c>
      <c r="I4" s="44">
        <f>SUM(I1:I3)</f>
        <v>34148.296898637491</v>
      </c>
    </row>
    <row r="5" spans="1:10">
      <c r="A5" s="42" t="s">
        <v>781</v>
      </c>
      <c r="B5" t="s">
        <v>783</v>
      </c>
      <c r="C5" s="16">
        <f>Table1[[#This Row],[MKI A-D]]</f>
        <v>113.16819637631664</v>
      </c>
      <c r="D5" s="16">
        <f>Table1[[#This Row],[Totaal nieuw]]</f>
        <v>113.16819637631664</v>
      </c>
    </row>
    <row r="6" spans="1:10">
      <c r="A6" s="42" t="s">
        <v>781</v>
      </c>
      <c r="B6" t="s">
        <v>783</v>
      </c>
      <c r="C6" s="16">
        <f>Table1[[#This Row],[MKI A-D]]</f>
        <v>943.06830313597209</v>
      </c>
      <c r="D6" s="16">
        <f>Table1[[#This Row],[Totaal nieuw]]</f>
        <v>943.06830313597209</v>
      </c>
    </row>
    <row r="7" spans="1:10">
      <c r="A7" s="42" t="s">
        <v>781</v>
      </c>
      <c r="B7" t="s">
        <v>783</v>
      </c>
      <c r="C7" s="16">
        <f>Table1[[#This Row],[MKI A-D]]</f>
        <v>52.29992748845963</v>
      </c>
      <c r="D7" s="16">
        <f>Table1[[#This Row],[Totaal nieuw]]</f>
        <v>52.29992748845963</v>
      </c>
    </row>
    <row r="8" spans="1:10">
      <c r="A8" s="42" t="s">
        <v>781</v>
      </c>
      <c r="B8" t="s">
        <v>783</v>
      </c>
      <c r="C8" s="16">
        <f>Table1[[#This Row],[MKI A-D]]</f>
        <v>0.59699774171379505</v>
      </c>
      <c r="D8" s="16">
        <f>Table1[[#This Row],[Totaal nieuw]]</f>
        <v>0.59699774171379505</v>
      </c>
    </row>
    <row r="9" spans="1:10">
      <c r="A9" s="42" t="s">
        <v>781</v>
      </c>
      <c r="B9" s="42" t="s">
        <v>784</v>
      </c>
      <c r="C9" s="16">
        <f>Table1[[#This Row],[MKI A-D]]</f>
        <v>25.496214650624072</v>
      </c>
      <c r="D9" s="16">
        <f>Table1[[#This Row],[Totaal nieuw]]</f>
        <v>25.496214650624072</v>
      </c>
    </row>
    <row r="10" spans="1:10">
      <c r="A10" s="42" t="s">
        <v>781</v>
      </c>
      <c r="B10" s="42" t="s">
        <v>784</v>
      </c>
      <c r="C10" s="16">
        <f>Table1[[#This Row],[MKI A-D]]</f>
        <v>0.34924367890257013</v>
      </c>
      <c r="D10" s="16">
        <f>Table1[[#This Row],[Totaal nieuw]]</f>
        <v>0.34924367890257013</v>
      </c>
    </row>
    <row r="11" spans="1:10">
      <c r="A11" s="42" t="s">
        <v>781</v>
      </c>
      <c r="B11" s="42" t="s">
        <v>784</v>
      </c>
      <c r="C11" s="16">
        <f>Table1[[#This Row],[MKI A-D]]</f>
        <v>48.357193016818321</v>
      </c>
      <c r="D11" s="16">
        <f>Table1[[#This Row],[Totaal nieuw]]</f>
        <v>11.290918324812377</v>
      </c>
    </row>
    <row r="12" spans="1:10">
      <c r="A12" s="42" t="s">
        <v>781</v>
      </c>
      <c r="B12" s="42" t="s">
        <v>784</v>
      </c>
      <c r="C12" s="16">
        <f>Table1[[#This Row],[MKI A-D]]</f>
        <v>462.07984438293067</v>
      </c>
      <c r="D12" s="16">
        <f>Table1[[#This Row],[Totaal nieuw]]</f>
        <v>107.89099732598496</v>
      </c>
    </row>
    <row r="13" spans="1:10">
      <c r="A13" s="42" t="s">
        <v>781</v>
      </c>
      <c r="B13" s="42" t="s">
        <v>784</v>
      </c>
      <c r="C13" s="16">
        <f>Table1[[#This Row],[MKI A-D]]</f>
        <v>11.345440921158666</v>
      </c>
      <c r="D13" s="16">
        <f>Table1[[#This Row],[Totaal nieuw]]</f>
        <v>1.7660309157486187</v>
      </c>
    </row>
    <row r="14" spans="1:10">
      <c r="A14" s="42" t="s">
        <v>781</v>
      </c>
      <c r="B14" s="42" t="s">
        <v>784</v>
      </c>
      <c r="C14" s="16">
        <f>Table1[[#This Row],[MKI A-D]]</f>
        <v>2.269088184231733</v>
      </c>
      <c r="D14" s="16">
        <f>Table1[[#This Row],[Totaal nieuw]]</f>
        <v>0.35320618314972374</v>
      </c>
    </row>
    <row r="15" spans="1:10">
      <c r="A15" s="42" t="s">
        <v>781</v>
      </c>
      <c r="B15" s="42" t="s">
        <v>785</v>
      </c>
      <c r="C15" s="16">
        <f>Table1[[#This Row],[MKI A-D]]</f>
        <v>2.4203607298471823</v>
      </c>
      <c r="D15" s="16">
        <f>Table1[[#This Row],[Totaal nieuw]]</f>
        <v>0.37675326202637205</v>
      </c>
    </row>
    <row r="16" spans="1:10">
      <c r="A16" s="42" t="s">
        <v>781</v>
      </c>
      <c r="B16" s="42" t="s">
        <v>785</v>
      </c>
      <c r="C16" s="16">
        <f>Table1[[#This Row],[MKI A-D]]</f>
        <v>2.980152592896943</v>
      </c>
      <c r="D16" s="16">
        <f>Table1[[#This Row],[Totaal nieuw]]</f>
        <v>0.69583566420355347</v>
      </c>
    </row>
    <row r="17" spans="1:11">
      <c r="A17" s="42" t="s">
        <v>781</v>
      </c>
      <c r="B17" s="42" t="s">
        <v>785</v>
      </c>
      <c r="C17" s="16">
        <f>Table1[[#This Row],[MKI A-D]]</f>
        <v>71.523662229526636</v>
      </c>
      <c r="D17" s="16">
        <f>Table1[[#This Row],[Totaal nieuw]]</f>
        <v>16.700055940885285</v>
      </c>
    </row>
    <row r="18" spans="1:11">
      <c r="A18" s="42" t="s">
        <v>781</v>
      </c>
      <c r="B18" s="42" t="s">
        <v>785</v>
      </c>
      <c r="C18" s="16">
        <f>Table1[[#This Row],[MKI A-D]]</f>
        <v>892.84323755272237</v>
      </c>
      <c r="D18" s="16">
        <f>Table1[[#This Row],[Totaal nieuw]]</f>
        <v>892.84323755272237</v>
      </c>
      <c r="F18" s="42"/>
    </row>
    <row r="19" spans="1:11">
      <c r="A19" s="42" t="s">
        <v>781</v>
      </c>
      <c r="B19" s="42" t="s">
        <v>785</v>
      </c>
      <c r="C19" s="16">
        <f>Table1[[#This Row],[MKI A-D]]</f>
        <v>52.778910594249595</v>
      </c>
      <c r="D19" s="16">
        <f>Table1[[#This Row],[Totaal nieuw]]</f>
        <v>52.778910594249595</v>
      </c>
      <c r="F19" s="42"/>
    </row>
    <row r="20" spans="1:11">
      <c r="A20" s="42" t="s">
        <v>781</v>
      </c>
      <c r="B20" s="42" t="s">
        <v>785</v>
      </c>
      <c r="C20" s="16">
        <f>Table1[[#This Row],[MKI A-D]]</f>
        <v>5.8315799464254958</v>
      </c>
      <c r="D20" s="16">
        <f>Table1[[#This Row],[Totaal nieuw]]</f>
        <v>5.8315799464254958</v>
      </c>
      <c r="F20" s="42"/>
      <c r="G20" s="42" t="s">
        <v>783</v>
      </c>
      <c r="H20" s="44">
        <f>SUM(C3:C8)</f>
        <v>2165.3699242547509</v>
      </c>
      <c r="I20" s="25">
        <f>H20/$H$33</f>
        <v>6.3410773623124639E-2</v>
      </c>
      <c r="J20" s="44">
        <f>SUM(D3:D8)</f>
        <v>2165.3699242547509</v>
      </c>
      <c r="K20" s="25">
        <f>J20/$J$33</f>
        <v>7.1591880716902714E-2</v>
      </c>
    </row>
    <row r="21" spans="1:11">
      <c r="A21" s="42" t="s">
        <v>781</v>
      </c>
      <c r="B21" s="42" t="s">
        <v>785</v>
      </c>
      <c r="C21" s="16">
        <f>Table1[[#This Row],[MKI A-D]]</f>
        <v>0</v>
      </c>
      <c r="D21" s="16">
        <f>Table1[[#This Row],[Totaal nieuw]]</f>
        <v>0</v>
      </c>
      <c r="F21" s="42"/>
      <c r="G21" s="42" t="s">
        <v>786</v>
      </c>
      <c r="H21" s="44">
        <f>SUM(C22:C26)</f>
        <v>527.60621504647497</v>
      </c>
      <c r="I21" s="25">
        <f>H21/$H$33</f>
        <v>1.5450440079415097E-2</v>
      </c>
      <c r="J21" s="44">
        <f>SUM(D22:D26)</f>
        <v>527.60621504647497</v>
      </c>
      <c r="K21" s="25">
        <f>J21/$J$33</f>
        <v>1.7443819086063895E-2</v>
      </c>
    </row>
    <row r="22" spans="1:11">
      <c r="A22" s="42" t="s">
        <v>781</v>
      </c>
      <c r="B22" s="42" t="s">
        <v>787</v>
      </c>
      <c r="C22" s="16">
        <f>Table1[[#This Row],[MKI A-D]]</f>
        <v>0</v>
      </c>
      <c r="D22" s="16">
        <f>Table1[[#This Row],[Totaal nieuw]]</f>
        <v>0</v>
      </c>
      <c r="F22" s="42"/>
      <c r="G22" s="42" t="s">
        <v>785</v>
      </c>
      <c r="H22" s="44">
        <f>SUM(C15:C21)</f>
        <v>1028.3779036456683</v>
      </c>
      <c r="I22" s="25">
        <f t="shared" ref="I22:I32" si="1">H22/$H$33</f>
        <v>3.0115056885507526E-2</v>
      </c>
      <c r="J22" s="44">
        <f>SUM(D15:D21)</f>
        <v>969.22637296051266</v>
      </c>
      <c r="K22" s="25">
        <f t="shared" ref="K22:K32" si="2">J22/$J$33</f>
        <v>3.20447504620009E-2</v>
      </c>
    </row>
    <row r="23" spans="1:11">
      <c r="A23" s="42" t="s">
        <v>781</v>
      </c>
      <c r="B23" s="42" t="s">
        <v>787</v>
      </c>
      <c r="C23" s="16">
        <f>Table1[[#This Row],[MKI A-D]]</f>
        <v>0</v>
      </c>
      <c r="D23" s="16">
        <f>Table1[[#This Row],[Totaal nieuw]]</f>
        <v>0</v>
      </c>
      <c r="F23" s="42"/>
      <c r="G23" s="42" t="s">
        <v>788</v>
      </c>
      <c r="H23" s="44">
        <f>SUM(C9:C14)</f>
        <v>549.89702483466601</v>
      </c>
      <c r="I23" s="25">
        <f t="shared" si="1"/>
        <v>1.6103204984627119E-2</v>
      </c>
      <c r="J23" s="44">
        <f>SUM(D9:D14)</f>
        <v>147.14661107922231</v>
      </c>
      <c r="K23" s="25">
        <f t="shared" si="2"/>
        <v>4.8649898154957466E-3</v>
      </c>
    </row>
    <row r="24" spans="1:11">
      <c r="A24" s="42" t="s">
        <v>781</v>
      </c>
      <c r="B24" s="42" t="s">
        <v>787</v>
      </c>
      <c r="C24" s="16">
        <f>Table1[[#This Row],[MKI A-D]]</f>
        <v>3.0993586966128222</v>
      </c>
      <c r="D24" s="16">
        <f>Table1[[#This Row],[Totaal nieuw]]</f>
        <v>3.0993586966128222</v>
      </c>
      <c r="F24" s="42"/>
      <c r="G24" s="42" t="s">
        <v>789</v>
      </c>
      <c r="H24" s="44">
        <f>SUM(C27:C36)</f>
        <v>1304.2624996177335</v>
      </c>
      <c r="I24" s="25">
        <f>H24/$H$33</f>
        <v>3.8194071683550733E-2</v>
      </c>
      <c r="J24" s="44">
        <f>SUM(D27:D36)</f>
        <v>162.53812830635243</v>
      </c>
      <c r="K24" s="25">
        <f>J24/$J$33</f>
        <v>5.3738671454309963E-3</v>
      </c>
    </row>
    <row r="25" spans="1:11">
      <c r="A25" s="42" t="s">
        <v>781</v>
      </c>
      <c r="B25" s="42" t="s">
        <v>787</v>
      </c>
      <c r="C25" s="16">
        <f>Table1[[#This Row],[MKI A-D]]</f>
        <v>524.50685634986212</v>
      </c>
      <c r="D25" s="16">
        <f>Table1[[#This Row],[Totaal nieuw]]</f>
        <v>524.50685634986212</v>
      </c>
      <c r="F25" s="42"/>
      <c r="G25" s="42" t="s">
        <v>790</v>
      </c>
      <c r="H25" s="44">
        <f>SUM(C37:C40)</f>
        <v>64.679481584449704</v>
      </c>
      <c r="I25" s="25">
        <f t="shared" si="1"/>
        <v>1.8940763510531151E-3</v>
      </c>
      <c r="J25" s="44">
        <f>SUM(D37:D40)</f>
        <v>24.124065809405842</v>
      </c>
      <c r="K25" s="25">
        <f t="shared" si="2"/>
        <v>7.9759454608112779E-4</v>
      </c>
    </row>
    <row r="26" spans="1:11">
      <c r="A26" s="42" t="s">
        <v>781</v>
      </c>
      <c r="B26" s="42" t="s">
        <v>787</v>
      </c>
      <c r="C26" s="16">
        <f>Table1[[#This Row],[MKI A-D]]</f>
        <v>0</v>
      </c>
      <c r="D26" s="16">
        <f>Table1[[#This Row],[Totaal nieuw]]</f>
        <v>0</v>
      </c>
      <c r="F26" s="42"/>
      <c r="G26" s="42" t="s">
        <v>791</v>
      </c>
      <c r="H26" s="44">
        <f>SUM(C41,C43)</f>
        <v>26.918628173875021</v>
      </c>
      <c r="I26" s="25">
        <f t="shared" si="1"/>
        <v>7.8828611142094964E-4</v>
      </c>
      <c r="J26" s="44">
        <f>SUM(D41,D43)</f>
        <v>10.040073631660231</v>
      </c>
      <c r="K26" s="25">
        <f t="shared" si="2"/>
        <v>3.3194686310890857E-4</v>
      </c>
    </row>
    <row r="27" spans="1:11">
      <c r="A27" s="42" t="s">
        <v>781</v>
      </c>
      <c r="B27" s="42" t="s">
        <v>789</v>
      </c>
      <c r="C27" s="16">
        <f>Table1[[#This Row],[MKI A-D]]</f>
        <v>0</v>
      </c>
      <c r="D27" s="16">
        <f>Table1[[#This Row],[Totaal nieuw]]</f>
        <v>0</v>
      </c>
      <c r="F27" s="42"/>
      <c r="G27" s="42" t="s">
        <v>792</v>
      </c>
      <c r="H27" s="44">
        <f>C42</f>
        <v>21.684450473399323</v>
      </c>
      <c r="I27" s="25">
        <f t="shared" si="1"/>
        <v>6.3500825642243163E-4</v>
      </c>
      <c r="J27" s="44">
        <f>D42</f>
        <v>8.0878370921707443</v>
      </c>
      <c r="K27" s="25">
        <f t="shared" si="2"/>
        <v>2.6740163972662086E-4</v>
      </c>
    </row>
    <row r="28" spans="1:11">
      <c r="A28" s="42" t="s">
        <v>781</v>
      </c>
      <c r="B28" s="42" t="s">
        <v>789</v>
      </c>
      <c r="C28" s="16">
        <f>Table1[[#This Row],[MKI A-D]]</f>
        <v>822.52211563955655</v>
      </c>
      <c r="D28" s="16">
        <f>Table1[[#This Row],[Totaal nieuw]]</f>
        <v>16.21179254426653</v>
      </c>
      <c r="F28" s="42"/>
      <c r="G28" s="42" t="s">
        <v>227</v>
      </c>
      <c r="H28" s="44">
        <f>SUM(C44:C54)</f>
        <v>845.45076523655064</v>
      </c>
      <c r="I28" s="25">
        <f t="shared" si="1"/>
        <v>2.4758211741748207E-2</v>
      </c>
      <c r="J28" s="44">
        <f>SUM(D44:D54)</f>
        <v>332.13891597987691</v>
      </c>
      <c r="K28" s="25">
        <f t="shared" si="2"/>
        <v>1.0981241305665811E-2</v>
      </c>
    </row>
    <row r="29" spans="1:11">
      <c r="A29" s="42" t="s">
        <v>781</v>
      </c>
      <c r="B29" s="42" t="s">
        <v>789</v>
      </c>
      <c r="C29" s="16">
        <f>Table1[[#This Row],[MKI A-D]]</f>
        <v>94.411234142975189</v>
      </c>
      <c r="D29" s="16">
        <f>Table1[[#This Row],[Totaal nieuw]]</f>
        <v>1.8608318398636365</v>
      </c>
      <c r="G29" s="42" t="s">
        <v>268</v>
      </c>
      <c r="H29" s="44">
        <f>SUM(C55:C58)</f>
        <v>379.46668957683102</v>
      </c>
      <c r="I29" s="25">
        <f t="shared" si="1"/>
        <v>1.1112316690440034E-2</v>
      </c>
      <c r="J29" s="44">
        <f>SUM(D55:D58)</f>
        <v>141.53297409900281</v>
      </c>
      <c r="K29" s="25">
        <f t="shared" si="2"/>
        <v>4.6793906600931488E-3</v>
      </c>
    </row>
    <row r="30" spans="1:11">
      <c r="A30" s="42" t="s">
        <v>781</v>
      </c>
      <c r="B30" s="42" t="s">
        <v>789</v>
      </c>
      <c r="C30" s="16">
        <f>Table1[[#This Row],[MKI A-D]]</f>
        <v>9.7206157294548685</v>
      </c>
      <c r="D30" s="16">
        <f>Table1[[#This Row],[Totaal nieuw]]</f>
        <v>3.6255821447661951</v>
      </c>
      <c r="G30" s="42" t="s">
        <v>292</v>
      </c>
      <c r="H30" s="44">
        <f>SUM(C59:C62)</f>
        <v>404.09284642252504</v>
      </c>
      <c r="I30" s="25">
        <f t="shared" si="1"/>
        <v>1.1833469985984814E-2</v>
      </c>
      <c r="J30" s="44">
        <f>SUM(D59:D62)</f>
        <v>150.71800486648971</v>
      </c>
      <c r="K30" s="25">
        <f t="shared" si="2"/>
        <v>4.9830679300696947E-3</v>
      </c>
    </row>
    <row r="31" spans="1:11">
      <c r="A31" s="42" t="s">
        <v>781</v>
      </c>
      <c r="B31" s="42" t="s">
        <v>789</v>
      </c>
      <c r="C31" s="16">
        <f>Table1[[#This Row],[MKI A-D]]</f>
        <v>49.35081831877087</v>
      </c>
      <c r="D31" s="16">
        <f>Table1[[#This Row],[Totaal nieuw]]</f>
        <v>18.406801658043761</v>
      </c>
      <c r="G31" s="42" t="s">
        <v>90</v>
      </c>
      <c r="H31" s="44">
        <f>SUM(C63:C65)</f>
        <v>958.61751707931353</v>
      </c>
      <c r="I31" s="25">
        <f t="shared" si="1"/>
        <v>2.807219112346309E-2</v>
      </c>
      <c r="J31" s="44">
        <f>SUM(D63:D65)</f>
        <v>355.01716085289286</v>
      </c>
      <c r="K31" s="25">
        <f t="shared" si="2"/>
        <v>1.1737646278144017E-2</v>
      </c>
    </row>
    <row r="32" spans="1:11">
      <c r="A32" s="42" t="s">
        <v>781</v>
      </c>
      <c r="B32" s="42" t="s">
        <v>789</v>
      </c>
      <c r="C32" s="16">
        <f>Table1[[#This Row],[MKI A-D]]</f>
        <v>103.1880746665209</v>
      </c>
      <c r="D32" s="16">
        <f>Table1[[#This Row],[Totaal nieuw]]</f>
        <v>38.486948921364231</v>
      </c>
      <c r="G32" s="42" t="s">
        <v>102</v>
      </c>
      <c r="H32" s="44">
        <f>SUM(C66:C75)</f>
        <v>25871.87295269125</v>
      </c>
      <c r="I32" s="25">
        <f t="shared" si="1"/>
        <v>0.75763289248324217</v>
      </c>
      <c r="J32" s="44">
        <f>SUM(D66:D75)</f>
        <v>25252.480256618983</v>
      </c>
      <c r="K32" s="25">
        <f t="shared" si="2"/>
        <v>0.83490240355121648</v>
      </c>
    </row>
    <row r="33" spans="1:11">
      <c r="A33" s="42" t="s">
        <v>781</v>
      </c>
      <c r="B33" s="42" t="s">
        <v>789</v>
      </c>
      <c r="C33" s="16">
        <f>Table1[[#This Row],[MKI A-D]]</f>
        <v>125.62026481141677</v>
      </c>
      <c r="D33" s="16">
        <f>Table1[[#This Row],[Totaal nieuw]]</f>
        <v>46.853676947747758</v>
      </c>
      <c r="H33" s="44">
        <f>SUM(H20:H32)</f>
        <v>34148.296898637491</v>
      </c>
      <c r="I33" s="25">
        <f>SUM(I20:I32)</f>
        <v>1</v>
      </c>
      <c r="J33" s="44">
        <f>SUM(J20:J32)</f>
        <v>30246.026540597795</v>
      </c>
      <c r="K33" s="25">
        <f>J33/$J$33</f>
        <v>1</v>
      </c>
    </row>
    <row r="34" spans="1:11">
      <c r="A34" s="42" t="s">
        <v>781</v>
      </c>
      <c r="B34" s="42" t="s">
        <v>789</v>
      </c>
      <c r="C34" s="16">
        <f>Table1[[#This Row],[MKI A-D]]</f>
        <v>6.3557872077204909</v>
      </c>
      <c r="D34" s="16">
        <f>Table1[[#This Row],[Totaal nieuw]]</f>
        <v>2.3705729408086662</v>
      </c>
    </row>
    <row r="35" spans="1:11">
      <c r="A35" s="42" t="s">
        <v>781</v>
      </c>
      <c r="B35" s="42" t="s">
        <v>789</v>
      </c>
      <c r="C35" s="16">
        <f>Table1[[#This Row],[MKI A-D]]</f>
        <v>89.728760579583394</v>
      </c>
      <c r="D35" s="16">
        <f>Table1[[#This Row],[Totaal nieuw]]</f>
        <v>33.466912105534114</v>
      </c>
      <c r="G35" s="42"/>
    </row>
    <row r="36" spans="1:11">
      <c r="A36" s="42" t="s">
        <v>781</v>
      </c>
      <c r="B36" s="42" t="s">
        <v>789</v>
      </c>
      <c r="C36" s="16">
        <f>Table1[[#This Row],[MKI A-D]]</f>
        <v>3.3648285217343772</v>
      </c>
      <c r="D36" s="16">
        <f>Table1[[#This Row],[Totaal nieuw]]</f>
        <v>1.2550092039575291</v>
      </c>
    </row>
    <row r="37" spans="1:11">
      <c r="A37" s="42" t="s">
        <v>781</v>
      </c>
      <c r="B37" s="42" t="s">
        <v>793</v>
      </c>
      <c r="C37" s="16">
        <f>Table1[[#This Row],[MKI A-D]]</f>
        <v>2.6170888502378493</v>
      </c>
      <c r="D37" s="16">
        <f>Table1[[#This Row],[Totaal nieuw]]</f>
        <v>0.97611826974474503</v>
      </c>
    </row>
    <row r="38" spans="1:11">
      <c r="A38" s="42" t="s">
        <v>781</v>
      </c>
      <c r="B38" s="42" t="s">
        <v>793</v>
      </c>
      <c r="C38" s="16">
        <f>Table1[[#This Row],[MKI A-D]]</f>
        <v>25.423148830881964</v>
      </c>
      <c r="D38" s="16">
        <f>Table1[[#This Row],[Totaal nieuw]]</f>
        <v>9.4822917632346648</v>
      </c>
    </row>
    <row r="39" spans="1:11">
      <c r="A39" s="42" t="s">
        <v>781</v>
      </c>
      <c r="B39" s="42" t="s">
        <v>793</v>
      </c>
      <c r="C39" s="16">
        <f>Table1[[#This Row],[MKI A-D]]</f>
        <v>15.702533101427097</v>
      </c>
      <c r="D39" s="16">
        <f>Table1[[#This Row],[Totaal nieuw]]</f>
        <v>5.8567096184684697</v>
      </c>
    </row>
    <row r="40" spans="1:11">
      <c r="A40" s="42" t="s">
        <v>781</v>
      </c>
      <c r="B40" s="42" t="s">
        <v>793</v>
      </c>
      <c r="C40" s="16">
        <f>Table1[[#This Row],[MKI A-D]]</f>
        <v>20.936710801902795</v>
      </c>
      <c r="D40" s="16">
        <f>Table1[[#This Row],[Totaal nieuw]]</f>
        <v>7.8089461579579602</v>
      </c>
    </row>
    <row r="41" spans="1:11">
      <c r="A41" s="42" t="s">
        <v>781</v>
      </c>
      <c r="B41" s="42" t="s">
        <v>791</v>
      </c>
      <c r="C41" s="16">
        <f>Table1[[#This Row],[MKI A-D]]</f>
        <v>11.963834743944453</v>
      </c>
      <c r="D41" s="16">
        <f>Table1[[#This Row],[Totaal nieuw]]</f>
        <v>4.4622549474045474</v>
      </c>
    </row>
    <row r="42" spans="1:11">
      <c r="A42" s="42" t="s">
        <v>781</v>
      </c>
      <c r="B42" s="42" t="s">
        <v>792</v>
      </c>
      <c r="C42" s="16">
        <f>Table1[[#This Row],[MKI A-D]]</f>
        <v>21.684450473399323</v>
      </c>
      <c r="D42" s="16">
        <f>Table1[[#This Row],[Totaal nieuw]]</f>
        <v>8.0878370921707443</v>
      </c>
      <c r="G42" s="13"/>
      <c r="H42" s="13"/>
      <c r="I42" s="13"/>
      <c r="J42" s="13"/>
      <c r="K42" s="13"/>
    </row>
    <row r="43" spans="1:11">
      <c r="A43" s="42" t="s">
        <v>781</v>
      </c>
      <c r="B43" t="s">
        <v>791</v>
      </c>
      <c r="C43" s="16">
        <f>Table1[[#This Row],[MKI A-D]]</f>
        <v>14.954793429930566</v>
      </c>
      <c r="D43" s="16">
        <f>Table1[[#This Row],[Totaal nieuw]]</f>
        <v>5.5778186842556847</v>
      </c>
      <c r="G43" s="13"/>
      <c r="H43" s="13"/>
      <c r="I43" s="13"/>
      <c r="J43" s="13"/>
      <c r="K43" s="13"/>
    </row>
    <row r="44" spans="1:11">
      <c r="A44" s="42" t="s">
        <v>782</v>
      </c>
      <c r="B44" s="42" t="s">
        <v>227</v>
      </c>
      <c r="C44" s="16">
        <f>Table1[[#This Row],[MKI A-D]]</f>
        <v>107.67451269550007</v>
      </c>
      <c r="D44" s="16">
        <f>Table1[[#This Row],[Totaal nieuw]]</f>
        <v>40.160294526640932</v>
      </c>
      <c r="E44" s="44"/>
      <c r="G44" s="13"/>
      <c r="H44" s="13" t="s">
        <v>753</v>
      </c>
      <c r="I44" s="90">
        <v>313549.97915661341</v>
      </c>
      <c r="J44" s="90">
        <f>I44-I45+I46</f>
        <v>270757.05233902612</v>
      </c>
      <c r="K44" s="91">
        <f>(I44-J44)/I44</f>
        <v>0.13647880613065796</v>
      </c>
    </row>
    <row r="45" spans="1:11">
      <c r="A45" s="42" t="s">
        <v>782</v>
      </c>
      <c r="B45" s="42" t="s">
        <v>227</v>
      </c>
      <c r="C45" s="16">
        <f>Table1[[#This Row],[MKI A-D]]</f>
        <v>35.891504231833359</v>
      </c>
      <c r="D45" s="16">
        <f>Table1[[#This Row],[Totaal nieuw]]</f>
        <v>13.386764842213644</v>
      </c>
      <c r="G45" s="13"/>
      <c r="H45" s="13"/>
      <c r="I45" s="90">
        <v>58828.926817587278</v>
      </c>
      <c r="J45" s="13"/>
      <c r="K45" s="13"/>
    </row>
    <row r="46" spans="1:11">
      <c r="A46" s="42" t="s">
        <v>782</v>
      </c>
      <c r="B46" s="42" t="s">
        <v>227</v>
      </c>
      <c r="C46" s="16">
        <f>Table1[[#This Row],[MKI A-D]]</f>
        <v>108.42225236699662</v>
      </c>
      <c r="D46" s="16">
        <f>Table1[[#This Row],[Totaal nieuw]]</f>
        <v>40.439185460853722</v>
      </c>
      <c r="G46" s="13"/>
      <c r="H46" s="13"/>
      <c r="I46" s="13">
        <v>16036</v>
      </c>
      <c r="J46" s="13"/>
      <c r="K46" s="13"/>
    </row>
    <row r="47" spans="1:11">
      <c r="A47" s="42" t="s">
        <v>782</v>
      </c>
      <c r="B47" s="42" t="s">
        <v>227</v>
      </c>
      <c r="C47" s="16">
        <f>Table1[[#This Row],[MKI A-D]]</f>
        <v>340.22155053092041</v>
      </c>
      <c r="D47" s="16">
        <f>Table1[[#This Row],[Totaal nieuw]]</f>
        <v>126.89537506681684</v>
      </c>
    </row>
    <row r="48" spans="1:11">
      <c r="A48" s="42" t="s">
        <v>782</v>
      </c>
      <c r="B48" s="42" t="s">
        <v>227</v>
      </c>
      <c r="C48" s="16">
        <f>Table1[[#This Row],[MKI A-D]]</f>
        <v>80.008144850128531</v>
      </c>
      <c r="D48" s="16">
        <f>Table1[[#This Row],[Totaal nieuw]]</f>
        <v>29.841329960767915</v>
      </c>
    </row>
    <row r="49" spans="1:5">
      <c r="A49" s="42" t="s">
        <v>782</v>
      </c>
      <c r="B49" s="42" t="s">
        <v>227</v>
      </c>
      <c r="C49" s="16">
        <f>Table1[[#This Row],[MKI A-D]]</f>
        <v>41.873421603805589</v>
      </c>
      <c r="D49" s="16">
        <f>Table1[[#This Row],[Totaal nieuw]]</f>
        <v>15.61789231591592</v>
      </c>
    </row>
    <row r="50" spans="1:5">
      <c r="A50" s="42" t="s">
        <v>782</v>
      </c>
      <c r="B50" s="42" t="s">
        <v>227</v>
      </c>
      <c r="C50" s="16">
        <f>Table1[[#This Row],[MKI A-D]]</f>
        <v>21.853980243912787</v>
      </c>
      <c r="D50" s="16">
        <f>Table1[[#This Row],[Totaal nieuw]]</f>
        <v>11.555998406622347</v>
      </c>
    </row>
    <row r="51" spans="1:5">
      <c r="A51" s="42" t="s">
        <v>782</v>
      </c>
      <c r="B51" s="42" t="s">
        <v>227</v>
      </c>
      <c r="C51" s="16">
        <f>Table1[[#This Row],[MKI A-D]]</f>
        <v>48.371362129832065</v>
      </c>
      <c r="D51" s="16">
        <f>Table1[[#This Row],[Totaal nieuw]]</f>
        <v>25.577921159427706</v>
      </c>
    </row>
    <row r="52" spans="1:5">
      <c r="A52" s="42" t="s">
        <v>782</v>
      </c>
      <c r="B52" s="42" t="s">
        <v>227</v>
      </c>
      <c r="C52" s="16">
        <f>Table1[[#This Row],[MKI A-D]]</f>
        <v>32.506652622221736</v>
      </c>
      <c r="D52" s="16">
        <f>Table1[[#This Row],[Totaal nieuw]]</f>
        <v>17.188943236628639</v>
      </c>
    </row>
    <row r="53" spans="1:5">
      <c r="A53" s="42" t="s">
        <v>782</v>
      </c>
      <c r="B53" s="42" t="s">
        <v>227</v>
      </c>
      <c r="C53" s="16">
        <f>Table1[[#This Row],[MKI A-D]]</f>
        <v>5.1205978814188953</v>
      </c>
      <c r="D53" s="16">
        <f>Table1[[#This Row],[Totaal nieuw]]</f>
        <v>2.7076816350244828</v>
      </c>
    </row>
    <row r="54" spans="1:5">
      <c r="A54" s="42" t="s">
        <v>782</v>
      </c>
      <c r="B54" s="42" t="s">
        <v>227</v>
      </c>
      <c r="C54" s="16">
        <f>Table1[[#This Row],[MKI A-D]]</f>
        <v>23.506786079980682</v>
      </c>
      <c r="D54" s="16">
        <f>Table1[[#This Row],[Totaal nieuw]]</f>
        <v>8.7675293689647749</v>
      </c>
    </row>
    <row r="55" spans="1:5">
      <c r="A55" s="42" t="s">
        <v>782</v>
      </c>
      <c r="B55" s="42" t="s">
        <v>268</v>
      </c>
      <c r="C55" s="16">
        <f>Table1[[#This Row],[MKI A-D]]</f>
        <v>5.0371684457101464</v>
      </c>
      <c r="D55" s="16">
        <f>Table1[[#This Row],[Totaal nieuw]]</f>
        <v>1.8787562933495947</v>
      </c>
    </row>
    <row r="56" spans="1:5">
      <c r="A56" s="42" t="s">
        <v>782</v>
      </c>
      <c r="B56" s="42" t="s">
        <v>268</v>
      </c>
      <c r="C56" s="16">
        <f>Table1[[#This Row],[MKI A-D]]</f>
        <v>253.53747843407734</v>
      </c>
      <c r="D56" s="16">
        <f>Table1[[#This Row],[Totaal nieuw]]</f>
        <v>94.564066765262936</v>
      </c>
    </row>
    <row r="57" spans="1:5">
      <c r="A57" s="42" t="s">
        <v>782</v>
      </c>
      <c r="B57" s="42" t="s">
        <v>268</v>
      </c>
      <c r="C57" s="16">
        <f>Table1[[#This Row],[MKI A-D]]</f>
        <v>58.207279817095021</v>
      </c>
      <c r="D57" s="16">
        <f>Table1[[#This Row],[Totaal nieuw]]</f>
        <v>21.710072723150873</v>
      </c>
    </row>
    <row r="58" spans="1:5">
      <c r="A58" s="42" t="s">
        <v>782</v>
      </c>
      <c r="B58" s="42" t="s">
        <v>268</v>
      </c>
      <c r="C58" s="16">
        <f>Table1[[#This Row],[MKI A-D]]</f>
        <v>62.684762879948487</v>
      </c>
      <c r="D58" s="16">
        <f>Table1[[#This Row],[Totaal nieuw]]</f>
        <v>23.380078317239398</v>
      </c>
    </row>
    <row r="59" spans="1:5">
      <c r="A59" s="42" t="s">
        <v>782</v>
      </c>
      <c r="B59" s="42" t="s">
        <v>292</v>
      </c>
      <c r="C59" s="16">
        <f>Table1[[#This Row],[MKI A-D]]</f>
        <v>286.55891602262164</v>
      </c>
      <c r="D59" s="16">
        <f>Table1[[#This Row],[Totaal nieuw]]</f>
        <v>106.88035802166583</v>
      </c>
    </row>
    <row r="60" spans="1:5">
      <c r="A60" s="42" t="s">
        <v>782</v>
      </c>
      <c r="B60" s="42" t="s">
        <v>292</v>
      </c>
      <c r="C60" s="16">
        <f>Table1[[#This Row],[MKI A-D]]</f>
        <v>58.207279817095021</v>
      </c>
      <c r="D60" s="16">
        <f>Table1[[#This Row],[Totaal nieuw]]</f>
        <v>21.710072723150873</v>
      </c>
    </row>
    <row r="61" spans="1:5">
      <c r="A61" s="42" t="s">
        <v>782</v>
      </c>
      <c r="B61" s="42" t="s">
        <v>292</v>
      </c>
      <c r="C61" s="16">
        <f>Table1[[#This Row],[MKI A-D]]</f>
        <v>31.342381439974243</v>
      </c>
      <c r="D61" s="16">
        <f>Table1[[#This Row],[Totaal nieuw]]</f>
        <v>11.690039158619699</v>
      </c>
    </row>
    <row r="62" spans="1:5">
      <c r="A62" s="42" t="s">
        <v>782</v>
      </c>
      <c r="B62" s="42" t="s">
        <v>292</v>
      </c>
      <c r="C62" s="16">
        <f>Table1[[#This Row],[MKI A-D]]</f>
        <v>27.984269142834144</v>
      </c>
      <c r="D62" s="16">
        <f>Table1[[#This Row],[Totaal nieuw]]</f>
        <v>10.437534963053304</v>
      </c>
    </row>
    <row r="63" spans="1:5">
      <c r="A63" s="42" t="s">
        <v>89</v>
      </c>
      <c r="B63" s="42" t="s">
        <v>90</v>
      </c>
      <c r="C63" s="16">
        <f>Table1[[#This Row],[MKI A-D]]</f>
        <v>951.46515085636088</v>
      </c>
      <c r="D63" s="16">
        <f>Table1[[#This Row],[Totaal nieuw]]</f>
        <v>354.87618874381229</v>
      </c>
      <c r="E63" s="44"/>
    </row>
    <row r="64" spans="1:5">
      <c r="A64" s="42" t="s">
        <v>89</v>
      </c>
      <c r="B64" s="42" t="s">
        <v>90</v>
      </c>
      <c r="C64" s="16">
        <f>Table1[[#This Row],[MKI A-D]]</f>
        <v>6.2940822761983464</v>
      </c>
      <c r="D64" s="16">
        <f>Table1[[#This Row],[Totaal nieuw]]</f>
        <v>0.12405545599090911</v>
      </c>
    </row>
    <row r="65" spans="1:4">
      <c r="A65" s="42" t="s">
        <v>89</v>
      </c>
      <c r="B65" s="42" t="s">
        <v>90</v>
      </c>
      <c r="C65" s="16">
        <f>Table1[[#This Row],[MKI A-D]]</f>
        <v>0.85828394675431985</v>
      </c>
      <c r="D65" s="16">
        <f>Table1[[#This Row],[Totaal nieuw]]</f>
        <v>1.6916653089669421E-2</v>
      </c>
    </row>
    <row r="66" spans="1:4">
      <c r="A66" s="42" t="s">
        <v>89</v>
      </c>
      <c r="B66" s="42" t="s">
        <v>102</v>
      </c>
      <c r="C66" s="16">
        <f>Table1[[#This Row],[MKI A-D]]</f>
        <v>149.54793429930567</v>
      </c>
      <c r="D66" s="16">
        <f>Table1[[#This Row],[Totaal nieuw]]</f>
        <v>55.778186842556849</v>
      </c>
    </row>
    <row r="67" spans="1:4">
      <c r="A67" s="42" t="s">
        <v>89</v>
      </c>
      <c r="B67" s="42" t="s">
        <v>102</v>
      </c>
      <c r="C67" s="16">
        <f>Table1[[#This Row],[MKI A-D]]</f>
        <v>16972.549788800388</v>
      </c>
      <c r="D67" s="16">
        <f>Table1[[#This Row],[Totaal nieuw]]</f>
        <v>16972.549788800388</v>
      </c>
    </row>
    <row r="68" spans="1:4">
      <c r="A68" s="42" t="s">
        <v>89</v>
      </c>
      <c r="B68" s="42" t="s">
        <v>102</v>
      </c>
      <c r="C68" s="16">
        <f>Table1[[#This Row],[MKI A-D]]</f>
        <v>5287.0600491274363</v>
      </c>
      <c r="D68" s="16">
        <f>Table1[[#This Row],[Totaal nieuw]]</f>
        <v>5287.0600491274363</v>
      </c>
    </row>
    <row r="69" spans="1:4">
      <c r="A69" s="42" t="s">
        <v>89</v>
      </c>
      <c r="B69" s="42" t="s">
        <v>102</v>
      </c>
      <c r="C69" s="16">
        <f>Table1[[#This Row],[MKI A-D]]</f>
        <v>459.69899950479748</v>
      </c>
      <c r="D69" s="16">
        <f>Table1[[#This Row],[Totaal nieuw]]</f>
        <v>459.69899950479748</v>
      </c>
    </row>
    <row r="70" spans="1:4">
      <c r="A70" s="42" t="s">
        <v>89</v>
      </c>
      <c r="B70" s="42" t="s">
        <v>102</v>
      </c>
      <c r="C70" s="16">
        <f>Table1[[#This Row],[MKI A-D]]</f>
        <v>19.342877206727334</v>
      </c>
      <c r="D70" s="16">
        <f>Table1[[#This Row],[Totaal nieuw]]</f>
        <v>19.342877206727334</v>
      </c>
    </row>
    <row r="71" spans="1:4">
      <c r="A71" s="42" t="s">
        <v>89</v>
      </c>
      <c r="B71" s="42" t="s">
        <v>102</v>
      </c>
      <c r="C71" s="16">
        <f>Table1[[#This Row],[MKI A-D]]</f>
        <v>304.24082722071557</v>
      </c>
      <c r="D71" s="16">
        <f>Table1[[#This Row],[Totaal nieuw]]</f>
        <v>304.24082722071557</v>
      </c>
    </row>
    <row r="72" spans="1:4">
      <c r="A72" s="42" t="s">
        <v>89</v>
      </c>
      <c r="B72" s="42" t="s">
        <v>102</v>
      </c>
      <c r="C72" s="16">
        <f>Table1[[#This Row],[MKI A-D]]</f>
        <v>157.02533101427096</v>
      </c>
      <c r="D72" s="16">
        <f>Table1[[#This Row],[Totaal nieuw]]</f>
        <v>58.450195793098501</v>
      </c>
    </row>
    <row r="73" spans="1:4">
      <c r="A73" s="42" t="s">
        <v>89</v>
      </c>
      <c r="B73" s="42" t="s">
        <v>102</v>
      </c>
      <c r="C73" s="16">
        <f>Table1[[#This Row],[MKI A-D]]</f>
        <v>488.14899471651944</v>
      </c>
      <c r="D73" s="16">
        <f>Table1[[#This Row],[Totaal nieuw]]</f>
        <v>69.030613830763727</v>
      </c>
    </row>
    <row r="74" spans="1:4">
      <c r="A74" s="42" t="s">
        <v>89</v>
      </c>
      <c r="B74" s="42" t="s">
        <v>102</v>
      </c>
      <c r="C74" s="16">
        <f>Table1[[#This Row],[MKI A-D]]</f>
        <v>2021.3457456465787</v>
      </c>
      <c r="D74" s="16">
        <f>Table1[[#This Row],[Totaal nieuw]]</f>
        <v>2021.3457456465787</v>
      </c>
    </row>
    <row r="75" spans="1:4">
      <c r="A75" s="42" t="s">
        <v>89</v>
      </c>
      <c r="B75" s="42" t="s">
        <v>102</v>
      </c>
      <c r="C75" s="16">
        <f>Table1[[#This Row],[MKI A-D]]</f>
        <v>12.91240515450388</v>
      </c>
      <c r="D75" s="16">
        <f>Table1[[#This Row],[Totaal nieuw]]</f>
        <v>4.9829726459209231</v>
      </c>
    </row>
    <row r="76" spans="1:4">
      <c r="A76" t="s">
        <v>540</v>
      </c>
      <c r="C76" s="16">
        <f>Table1[[#Totals],[MKI A-D]]</f>
        <v>396878.51411485305</v>
      </c>
      <c r="D76" s="16">
        <f>Table1[[#Totals],[Totaal nieuw]]</f>
        <v>260974.30213071813</v>
      </c>
    </row>
    <row r="79" spans="1:4">
      <c r="D79" s="25"/>
    </row>
    <row r="80" spans="1:4">
      <c r="D80" s="7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EA189-3725-4DD0-9B12-54F1ABF90C8E}">
  <sheetPr codeName="Sheet2">
    <pageSetUpPr fitToPage="1"/>
  </sheetPr>
  <dimension ref="B2:L29"/>
  <sheetViews>
    <sheetView showGridLines="0" zoomScaleNormal="100" zoomScaleSheetLayoutView="100" workbookViewId="0">
      <selection activeCell="C4" sqref="C4"/>
    </sheetView>
  </sheetViews>
  <sheetFormatPr defaultRowHeight="14.45"/>
  <cols>
    <col min="2" max="2" width="25.5703125" customWidth="1"/>
    <col min="3" max="3" width="15.85546875" customWidth="1"/>
    <col min="4" max="4" width="11.140625" customWidth="1"/>
    <col min="5" max="5" width="12.42578125" customWidth="1"/>
    <col min="6" max="6" width="20.85546875" customWidth="1"/>
    <col min="7" max="7" width="11" bestFit="1" customWidth="1"/>
    <col min="8" max="8" width="10.140625" customWidth="1"/>
    <col min="12" max="12" width="27.85546875" bestFit="1" customWidth="1"/>
  </cols>
  <sheetData>
    <row r="2" spans="2:12" ht="18.600000000000001" thickBot="1">
      <c r="B2" s="3" t="s">
        <v>23</v>
      </c>
      <c r="C2" s="4"/>
      <c r="D2" s="4"/>
      <c r="E2" s="4"/>
      <c r="F2" s="4"/>
      <c r="G2" s="4"/>
      <c r="H2" s="4"/>
      <c r="I2" s="4"/>
      <c r="J2" s="4"/>
      <c r="K2" s="4"/>
      <c r="L2" s="4"/>
    </row>
    <row r="3" spans="2:12" ht="15" thickTop="1"/>
    <row r="4" spans="2:12">
      <c r="B4" s="10" t="s">
        <v>24</v>
      </c>
      <c r="C4" t="s">
        <v>25</v>
      </c>
      <c r="H4" s="5"/>
    </row>
    <row r="5" spans="2:12">
      <c r="B5" s="11" t="s">
        <v>26</v>
      </c>
      <c r="C5" s="6">
        <v>45964</v>
      </c>
    </row>
    <row r="6" spans="2:12">
      <c r="B6" s="5" t="s">
        <v>27</v>
      </c>
      <c r="C6" s="2" t="s">
        <v>28</v>
      </c>
    </row>
    <row r="7" spans="2:12">
      <c r="B7" s="5" t="s">
        <v>29</v>
      </c>
      <c r="C7" s="6" t="s">
        <v>30</v>
      </c>
    </row>
    <row r="8" spans="2:12">
      <c r="B8" s="5" t="s">
        <v>31</v>
      </c>
      <c r="C8" t="s">
        <v>32</v>
      </c>
      <c r="K8" s="5" t="s">
        <v>33</v>
      </c>
      <c r="L8" t="s">
        <v>34</v>
      </c>
    </row>
    <row r="9" spans="2:12">
      <c r="B9" s="10" t="s">
        <v>35</v>
      </c>
      <c r="C9" t="s">
        <v>36</v>
      </c>
      <c r="K9" s="5"/>
      <c r="L9" s="7" t="s">
        <v>37</v>
      </c>
    </row>
    <row r="10" spans="2:12">
      <c r="B10" s="5" t="s">
        <v>38</v>
      </c>
      <c r="C10" t="s">
        <v>39</v>
      </c>
    </row>
    <row r="11" spans="2:12">
      <c r="B11" s="5" t="s">
        <v>40</v>
      </c>
      <c r="C11" t="s">
        <v>41</v>
      </c>
    </row>
    <row r="13" spans="2:12" ht="15" thickBot="1">
      <c r="B13" s="8" t="s">
        <v>42</v>
      </c>
      <c r="C13" s="8"/>
      <c r="D13" s="8"/>
      <c r="E13" s="8"/>
      <c r="F13" s="8"/>
      <c r="G13" s="8"/>
      <c r="H13" s="8"/>
      <c r="I13" s="8"/>
      <c r="J13" s="8"/>
      <c r="K13" s="8"/>
      <c r="L13" s="8"/>
    </row>
    <row r="14" spans="2:12" ht="15" thickTop="1"/>
    <row r="15" spans="2:12" ht="15" thickBot="1">
      <c r="B15" s="8" t="s">
        <v>43</v>
      </c>
      <c r="C15" s="8"/>
      <c r="D15" s="8" t="s">
        <v>44</v>
      </c>
      <c r="E15" s="8"/>
      <c r="F15" s="8"/>
      <c r="G15" s="8"/>
      <c r="H15" s="8"/>
      <c r="I15" s="8"/>
      <c r="J15" s="8"/>
      <c r="K15" s="8"/>
      <c r="L15" s="8"/>
    </row>
    <row r="17" spans="2:7">
      <c r="B17" s="15" t="s">
        <v>45</v>
      </c>
      <c r="D17" t="s">
        <v>46</v>
      </c>
    </row>
    <row r="18" spans="2:7">
      <c r="B18" s="12"/>
    </row>
    <row r="19" spans="2:7">
      <c r="B19" s="15" t="s">
        <v>47</v>
      </c>
      <c r="D19" t="s">
        <v>48</v>
      </c>
    </row>
    <row r="20" spans="2:7">
      <c r="B20" s="13"/>
    </row>
    <row r="21" spans="2:7" ht="15" customHeight="1">
      <c r="B21" s="15" t="s">
        <v>49</v>
      </c>
      <c r="D21" t="s">
        <v>50</v>
      </c>
    </row>
    <row r="23" spans="2:7" ht="15" thickBot="1">
      <c r="B23" s="8" t="s">
        <v>51</v>
      </c>
      <c r="C23" s="8"/>
      <c r="D23" s="8"/>
      <c r="E23" s="8"/>
      <c r="F23" s="8" t="s">
        <v>52</v>
      </c>
      <c r="G23" s="8"/>
    </row>
    <row r="24" spans="2:7" ht="15" thickTop="1">
      <c r="B24" s="9"/>
      <c r="C24" s="9"/>
    </row>
    <row r="25" spans="2:7" ht="14.45" customHeight="1">
      <c r="B25" s="143"/>
      <c r="C25" s="143"/>
      <c r="D25" s="143"/>
      <c r="E25" s="143"/>
      <c r="F25" s="143"/>
      <c r="G25" s="143"/>
    </row>
    <row r="26" spans="2:7">
      <c r="B26" s="143"/>
      <c r="C26" s="143"/>
      <c r="D26" s="143"/>
      <c r="E26" s="143"/>
      <c r="F26" s="143"/>
      <c r="G26" s="143"/>
    </row>
    <row r="27" spans="2:7" ht="14.45" customHeight="1">
      <c r="B27" s="143"/>
      <c r="C27" s="143"/>
      <c r="D27" s="143"/>
      <c r="E27" s="143"/>
      <c r="F27" s="143"/>
      <c r="G27" s="143"/>
    </row>
    <row r="28" spans="2:7">
      <c r="B28" s="143"/>
      <c r="C28" s="143"/>
      <c r="D28" s="143"/>
      <c r="E28" s="143"/>
      <c r="F28" s="143"/>
      <c r="G28" s="143"/>
    </row>
    <row r="29" spans="2:7" ht="14.45" customHeight="1">
      <c r="B29" s="143"/>
      <c r="C29" s="143"/>
      <c r="D29" s="143"/>
      <c r="E29" s="143"/>
      <c r="F29" s="143"/>
      <c r="G29" s="143"/>
    </row>
  </sheetData>
  <mergeCells count="1">
    <mergeCell ref="B25:G29"/>
  </mergeCells>
  <hyperlinks>
    <hyperlink ref="L9" r:id="rId1" display="caspar.aardenburg@rhdhv.com" xr:uid="{96425A2D-919F-4FBB-B5E0-F117129A6777}"/>
    <hyperlink ref="K27:L27" location="'2. Analyse'!A1" display="2. Analyse" xr:uid="{649A5251-4F46-4E67-AA44-2333F4961E22}"/>
    <hyperlink ref="K29:L29" location="'5. Kengetallen (DC-uitdraai)'!A1" display="3. Kengetallen (DC-uitdraai)" xr:uid="{FC459BE6-4A86-49C5-8DD2-92EB59034EF8}"/>
    <hyperlink ref="K25:L25" r:id="rId2" location="'1. Totaaloverzicht'!A1" display="1. Totaaloverzicht" xr:uid="{293945BC-E412-4C1E-8C15-24D0A07EE23A}"/>
  </hyperlinks>
  <pageMargins left="0.7" right="0.7" top="0.75" bottom="0.75" header="0.3" footer="0.3"/>
  <pageSetup paperSize="8"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D04CA-793B-4E95-A439-C66C5830566C}">
  <sheetPr codeName="Sheet4"/>
  <dimension ref="B2:S26"/>
  <sheetViews>
    <sheetView showGridLines="0" zoomScale="90" zoomScaleNormal="90" zoomScaleSheetLayoutView="100" workbookViewId="0">
      <selection activeCell="W21" sqref="W21"/>
    </sheetView>
  </sheetViews>
  <sheetFormatPr defaultRowHeight="14.45"/>
  <cols>
    <col min="15" max="15" width="17.28515625" bestFit="1" customWidth="1"/>
    <col min="16" max="16" width="15.28515625" bestFit="1" customWidth="1"/>
  </cols>
  <sheetData>
    <row r="2" spans="2:19" ht="18.600000000000001" thickBot="1">
      <c r="B2" s="3" t="s">
        <v>53</v>
      </c>
      <c r="C2" s="3"/>
      <c r="D2" s="3"/>
      <c r="E2" s="3"/>
      <c r="F2" s="3"/>
      <c r="G2" s="3"/>
      <c r="H2" s="3"/>
      <c r="I2" s="3"/>
      <c r="J2" s="3"/>
      <c r="K2" s="3"/>
      <c r="L2" s="3"/>
      <c r="M2" s="3"/>
      <c r="N2" s="3"/>
      <c r="O2" s="3"/>
      <c r="P2" s="3"/>
      <c r="Q2" s="3"/>
      <c r="R2" s="3"/>
      <c r="S2" s="3"/>
    </row>
    <row r="3" spans="2:19" ht="15" thickTop="1"/>
    <row r="22" spans="12:18" ht="18" thickBot="1">
      <c r="L22" s="21" t="s">
        <v>54</v>
      </c>
      <c r="M22" s="21"/>
      <c r="N22" s="21"/>
      <c r="O22" s="23">
        <f>Totaal!A2</f>
        <v>396878.51411485305</v>
      </c>
      <c r="P22" s="23">
        <f>Totaal!B2</f>
        <v>260974.30213071813</v>
      </c>
    </row>
    <row r="23" spans="12:18" ht="15" thickTop="1"/>
    <row r="24" spans="12:18" ht="15" thickBot="1">
      <c r="L24" s="22" t="s">
        <v>55</v>
      </c>
      <c r="M24" s="22"/>
      <c r="N24" s="22"/>
      <c r="O24" s="24">
        <f>'Per datacategorie'!B3*0.6+'Per datacategorie'!B2*0.8</f>
        <v>0</v>
      </c>
      <c r="P24" s="24">
        <f>'Per datacategorie'!C3*0.6+'Per datacategorie'!C2*0.8</f>
        <v>0</v>
      </c>
      <c r="Q24" s="25">
        <f>O24/O22</f>
        <v>0</v>
      </c>
      <c r="R24" s="25">
        <f>P24/P22</f>
        <v>0</v>
      </c>
    </row>
    <row r="25" spans="12:18">
      <c r="Q25" s="25"/>
      <c r="R25" s="25"/>
    </row>
    <row r="26" spans="12:18" ht="15" thickBot="1">
      <c r="L26" s="22" t="s">
        <v>56</v>
      </c>
      <c r="M26" s="22"/>
      <c r="N26" s="22"/>
      <c r="O26" s="24">
        <f>'Per datacategorie'!B3*0.3+'Per datacategorie'!B2*0.4</f>
        <v>0</v>
      </c>
      <c r="P26" s="24">
        <f>'Per datacategorie'!C3*0.3+'Per datacategorie'!C2*0.4</f>
        <v>0</v>
      </c>
      <c r="Q26" s="25">
        <f>O26/O22</f>
        <v>0</v>
      </c>
      <c r="R26" s="25">
        <f>P26/P22</f>
        <v>0</v>
      </c>
    </row>
  </sheetData>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AFF7D-9193-4E71-BD63-D4304D78E3E4}">
  <sheetPr codeName="Sheet1">
    <pageSetUpPr fitToPage="1"/>
  </sheetPr>
  <dimension ref="A2:BF197"/>
  <sheetViews>
    <sheetView showGridLines="0" topLeftCell="F123" zoomScale="85" zoomScaleNormal="85" zoomScaleSheetLayoutView="80" workbookViewId="0">
      <selection activeCell="Y130" sqref="Y130"/>
    </sheetView>
  </sheetViews>
  <sheetFormatPr defaultRowHeight="14.45"/>
  <cols>
    <col min="1" max="1" width="20.85546875" customWidth="1"/>
    <col min="2" max="2" width="17.28515625" bestFit="1" customWidth="1"/>
    <col min="3" max="3" width="23.28515625" customWidth="1"/>
    <col min="4" max="4" width="24.7109375" customWidth="1"/>
    <col min="5" max="5" width="51.85546875" bestFit="1" customWidth="1"/>
    <col min="6" max="6" width="47.28515625" bestFit="1" customWidth="1"/>
    <col min="7" max="7" width="29.7109375" customWidth="1"/>
    <col min="8" max="8" width="10.85546875" customWidth="1"/>
    <col min="9" max="9" width="9.42578125" bestFit="1" customWidth="1"/>
    <col min="10" max="10" width="6.5703125" bestFit="1" customWidth="1"/>
    <col min="11" max="11" width="6.28515625" customWidth="1"/>
    <col min="12" max="12" width="8.42578125" bestFit="1" customWidth="1"/>
    <col min="13" max="13" width="9.28515625" bestFit="1" customWidth="1"/>
    <col min="14" max="14" width="7.28515625" bestFit="1" customWidth="1"/>
    <col min="15" max="15" width="7.28515625" customWidth="1"/>
    <col min="16" max="16" width="16.140625" customWidth="1"/>
    <col min="17" max="20" width="10.5703125" customWidth="1"/>
    <col min="21" max="21" width="9.5703125" customWidth="1"/>
    <col min="22" max="22" width="14.42578125" bestFit="1" customWidth="1"/>
    <col min="23" max="23" width="8" customWidth="1"/>
    <col min="24" max="24" width="16.42578125" style="110" bestFit="1" customWidth="1"/>
    <col min="25" max="25" width="14.5703125" bestFit="1" customWidth="1"/>
    <col min="26" max="26" width="14.5703125" customWidth="1"/>
    <col min="27" max="27" width="42.5703125" bestFit="1" customWidth="1"/>
  </cols>
  <sheetData>
    <row r="2" spans="1:30" ht="15" thickBot="1">
      <c r="A2" s="105" t="s">
        <v>57</v>
      </c>
      <c r="B2" s="105" t="s">
        <v>58</v>
      </c>
      <c r="C2" s="8" t="s">
        <v>59</v>
      </c>
      <c r="D2" s="8" t="s">
        <v>60</v>
      </c>
      <c r="E2" s="8" t="s">
        <v>61</v>
      </c>
      <c r="F2" s="8" t="s">
        <v>62</v>
      </c>
      <c r="G2" s="8" t="s">
        <v>63</v>
      </c>
      <c r="H2" s="8" t="s">
        <v>64</v>
      </c>
      <c r="I2" s="8" t="s">
        <v>65</v>
      </c>
      <c r="J2" s="8" t="s">
        <v>66</v>
      </c>
      <c r="K2" s="8" t="s">
        <v>67</v>
      </c>
      <c r="L2" s="8" t="s">
        <v>68</v>
      </c>
      <c r="M2" s="8" t="s">
        <v>69</v>
      </c>
      <c r="N2" s="8" t="s">
        <v>70</v>
      </c>
      <c r="O2" s="8" t="s">
        <v>71</v>
      </c>
      <c r="P2" s="8" t="s">
        <v>72</v>
      </c>
      <c r="Q2" s="8" t="s">
        <v>73</v>
      </c>
      <c r="R2" s="8" t="s">
        <v>74</v>
      </c>
      <c r="S2" s="8" t="s">
        <v>75</v>
      </c>
      <c r="T2" s="8" t="s">
        <v>76</v>
      </c>
      <c r="U2" s="8" t="s">
        <v>77</v>
      </c>
      <c r="V2" s="8" t="s">
        <v>78</v>
      </c>
      <c r="W2" s="8" t="s">
        <v>79</v>
      </c>
      <c r="X2" s="107" t="s">
        <v>80</v>
      </c>
      <c r="Y2" s="8" t="s">
        <v>81</v>
      </c>
      <c r="Z2" s="8" t="s">
        <v>82</v>
      </c>
      <c r="AA2" s="8" t="s">
        <v>83</v>
      </c>
      <c r="AB2" s="8" t="s">
        <v>84</v>
      </c>
      <c r="AC2" s="8" t="s">
        <v>85</v>
      </c>
      <c r="AD2" s="8" t="s">
        <v>86</v>
      </c>
    </row>
    <row r="3" spans="1:30" ht="15" thickTop="1">
      <c r="A3" s="88" t="s">
        <v>87</v>
      </c>
      <c r="B3" s="88" t="s">
        <v>88</v>
      </c>
      <c r="C3" s="42" t="s">
        <v>89</v>
      </c>
      <c r="D3" s="42" t="s">
        <v>90</v>
      </c>
      <c r="E3" t="s">
        <v>91</v>
      </c>
      <c r="F3" t="s">
        <v>92</v>
      </c>
      <c r="H3" t="str">
        <f>IFERROR(INDEX('3. Kengetallen (DC-uitdraai)'!F:F,MATCH(Table1[[#This Row],[Milieuprofiel]],'3. Kengetallen (DC-uitdraai)'!D:D,0)),"")</f>
        <v>Cat.3 (30%)</v>
      </c>
      <c r="I3" s="26">
        <v>350</v>
      </c>
      <c r="J3" t="s">
        <v>93</v>
      </c>
      <c r="K3" t="str">
        <f>IF(ISTEXT(Table1[[#This Row],[Milieuprofiel]]),"Ja","Nee")</f>
        <v>Ja</v>
      </c>
      <c r="L3" s="27">
        <f>1.5</f>
        <v>1.5</v>
      </c>
      <c r="M3" s="26">
        <f>Table1[[#This Row],[Volume]]*Table1[[#This Row],[Factor]]</f>
        <v>525</v>
      </c>
      <c r="N3" t="str">
        <f>IFERROR(INDEX('3. Kengetallen (DC-uitdraai)'!H:H,MATCH(Table1[[#This Row],[Milieuprofiel]],'3. Kengetallen (DC-uitdraai)'!D:D,0)),"")</f>
        <v>m2</v>
      </c>
      <c r="O3">
        <f>IFERROR(INDEX('3. Kengetallen (DC-uitdraai)'!I:I,MATCH(Table1[[#This Row],[Milieuprofiel]],'3. Kengetallen (DC-uitdraai)'!D:D,0)),0)</f>
        <v>999</v>
      </c>
      <c r="P3" s="106">
        <f>IFERROR(INDEX('3. Kengetallen (DC-uitdraai)'!P:P,MATCH(Table1[[#This Row],[Milieuprofiel]],'3. Kengetallen (DC-uitdraai)'!D:D,0))*Table1[[#This Row],[Hvd]]*(1+INDEX('3. Kengetallen (DC-uitdraai)'!K:K,MATCH(Table1[[#This Row],[Milieuprofiel]],'3. Kengetallen (DC-uitdraai)'!D:D,0))),0)</f>
        <v>660.14781219518045</v>
      </c>
      <c r="Q3" s="16">
        <f>IFERROR(INDEX('3. Kengetallen (DC-uitdraai)'!U:U,MATCH(Table1[[#This Row],[Milieuprofiel]],'3. Kengetallen (DC-uitdraai)'!D:D,0))*Table1[[#This Row],[Hvd]]*(1+INDEX('3. Kengetallen (DC-uitdraai)'!K:K,MATCH(Table1[[#This Row],[Milieuprofiel]],'3. Kengetallen (DC-uitdraai)'!D:D,0))),0)</f>
        <v>392.69255075771315</v>
      </c>
      <c r="R3" s="16">
        <f>IFERROR(INDEX('3. Kengetallen (DC-uitdraai)'!V:V,MATCH(Table1[[#This Row],[Milieuprofiel]],'3. Kengetallen (DC-uitdraai)'!D:D,0))*Table1[[#This Row],[Hvd]]*(1+INDEX('3. Kengetallen (DC-uitdraai)'!K:K,MATCH(Table1[[#This Row],[Milieuprofiel]],'3. Kengetallen (DC-uitdraai)'!D:D,0))),0)</f>
        <v>183.93177994683114</v>
      </c>
      <c r="S3" s="16">
        <f>IFERROR(INDEX('3. Kengetallen (DC-uitdraai)'!W:W,MATCH(Table1[[#This Row],[Milieuprofiel]],'3. Kengetallen (DC-uitdraai)'!D:D,0))*Table1[[#This Row],[Hvd]]*(1+INDEX('3. Kengetallen (DC-uitdraai)'!K:K,MATCH(Table1[[#This Row],[Milieuprofiel]],'3. Kengetallen (DC-uitdraai)'!D:D,0))),0)</f>
        <v>0</v>
      </c>
      <c r="T3" s="16">
        <f>IFERROR(INDEX('3. Kengetallen (DC-uitdraai)'!X:X,MATCH(Table1[[#This Row],[Milieuprofiel]],'3. Kengetallen (DC-uitdraai)'!D:D,0))*Table1[[#This Row],[Hvd]]*(1+INDEX('3. Kengetallen (DC-uitdraai)'!K:K,MATCH(Table1[[#This Row],[Milieuprofiel]],'3. Kengetallen (DC-uitdraai)'!D:D,0))),0)</f>
        <v>-120.61588367163644</v>
      </c>
      <c r="U3" s="16"/>
      <c r="V3" s="112"/>
      <c r="W3" s="43" t="str">
        <f>IFERROR(INDEX('Eigen database'!H:H,MATCH(Table1[[#This Row],[Potentieel alternatief]],'Eigen database'!D:D,0)),"")</f>
        <v/>
      </c>
      <c r="X3" s="108">
        <f>IFERROR(INDEX('Eigen database'!P:P,MATCH(Table1[[#This Row],[Potentieel alternatief]],'Eigen database'!D:D,0))*Table1[[#This Row],[Hoeveelheid]]*(1+INDEX('Eigen database'!K:K,MATCH(Table1[[#This Row],[Potentieel alternatief]],'Eigen database'!D:D,0))),0)</f>
        <v>0</v>
      </c>
      <c r="Y3" s="16">
        <f>IF(Table1[[#This Row],[MKI A-D nieuw]]=0,Table1[[#This Row],[MKI A-D]],Table1[[#This Row],[MKI A-D nieuw]])</f>
        <v>660.14781219518045</v>
      </c>
      <c r="Z3" s="16"/>
      <c r="AA3" s="28">
        <f>IFERROR(INDEX('3. Kengetallen (DC-uitdraai)'!AM:AM,MATCH(Table1[[#This Row],[Milieuprofiel]],'3. Kengetallen (DC-uitdraai)'!C:C,0)),0)*Table1[[#This Row],[Hvd]]</f>
        <v>0</v>
      </c>
      <c r="AB3" s="28">
        <f>IFERROR(INDEX('3. Kengetallen (DC-uitdraai)'!AM:AM,MATCH(Table1[[#This Row],[Potentieel alternatief]],'3. Kengetallen (DC-uitdraai)'!C:C,0)),0)*Table1[[#This Row],[Hvd]]</f>
        <v>0</v>
      </c>
    </row>
    <row r="4" spans="1:30">
      <c r="A4" s="88" t="s">
        <v>87</v>
      </c>
      <c r="B4" s="88" t="s">
        <v>88</v>
      </c>
      <c r="C4" s="42" t="s">
        <v>89</v>
      </c>
      <c r="D4" s="42" t="s">
        <v>90</v>
      </c>
      <c r="E4" t="s">
        <v>91</v>
      </c>
      <c r="F4" t="s">
        <v>92</v>
      </c>
      <c r="H4" t="str">
        <f>IFERROR(INDEX('3. Kengetallen (DC-uitdraai)'!F:F,MATCH(Table1[[#This Row],[Milieuprofiel]],'3. Kengetallen (DC-uitdraai)'!D:D,0)),"")</f>
        <v>Cat.3 (30%)</v>
      </c>
      <c r="I4" s="26">
        <v>210</v>
      </c>
      <c r="J4" t="s">
        <v>93</v>
      </c>
      <c r="K4" t="str">
        <f>IF(ISTEXT(Table1[[#This Row],[Milieuprofiel]]),"Ja","Nee")</f>
        <v>Ja</v>
      </c>
      <c r="L4" s="27">
        <f>1.5</f>
        <v>1.5</v>
      </c>
      <c r="M4" s="26">
        <f>Table1[[#This Row],[Volume]]*Table1[[#This Row],[Factor]]</f>
        <v>315</v>
      </c>
      <c r="N4" t="str">
        <f>IFERROR(INDEX('3. Kengetallen (DC-uitdraai)'!H:H,MATCH(Table1[[#This Row],[Milieuprofiel]],'3. Kengetallen (DC-uitdraai)'!D:D,0)),"")</f>
        <v>m2</v>
      </c>
      <c r="O4">
        <f>IFERROR(INDEX('3. Kengetallen (DC-uitdraai)'!I:I,MATCH(Table1[[#This Row],[Milieuprofiel]],'3. Kengetallen (DC-uitdraai)'!D:D,0)),0)</f>
        <v>999</v>
      </c>
      <c r="P4" s="106">
        <f>IFERROR(INDEX('3. Kengetallen (DC-uitdraai)'!P:P,MATCH(Table1[[#This Row],[Milieuprofiel]],'3. Kengetallen (DC-uitdraai)'!D:D,0))*Table1[[#This Row],[Hvd]]*(1+INDEX('3. Kengetallen (DC-uitdraai)'!K:K,MATCH(Table1[[#This Row],[Milieuprofiel]],'3. Kengetallen (DC-uitdraai)'!D:D,0))),0)</f>
        <v>396.08868731710828</v>
      </c>
      <c r="Q4" s="16">
        <f>IFERROR(INDEX('3. Kengetallen (DC-uitdraai)'!U:U,MATCH(Table1[[#This Row],[Milieuprofiel]],'3. Kengetallen (DC-uitdraai)'!D:D,0))*Table1[[#This Row],[Hvd]]*(1+INDEX('3. Kengetallen (DC-uitdraai)'!K:K,MATCH(Table1[[#This Row],[Milieuprofiel]],'3. Kengetallen (DC-uitdraai)'!D:D,0))),0)</f>
        <v>235.61553045462787</v>
      </c>
      <c r="R4" s="16">
        <f>IFERROR(INDEX('3. Kengetallen (DC-uitdraai)'!V:V,MATCH(Table1[[#This Row],[Milieuprofiel]],'3. Kengetallen (DC-uitdraai)'!D:D,0))*Table1[[#This Row],[Hvd]]*(1+INDEX('3. Kengetallen (DC-uitdraai)'!K:K,MATCH(Table1[[#This Row],[Milieuprofiel]],'3. Kengetallen (DC-uitdraai)'!D:D,0))),0)</f>
        <v>110.35906796809869</v>
      </c>
      <c r="S4" s="16">
        <f>IFERROR(INDEX('3. Kengetallen (DC-uitdraai)'!W:W,MATCH(Table1[[#This Row],[Milieuprofiel]],'3. Kengetallen (DC-uitdraai)'!D:D,0))*Table1[[#This Row],[Hvd]]*(1+INDEX('3. Kengetallen (DC-uitdraai)'!K:K,MATCH(Table1[[#This Row],[Milieuprofiel]],'3. Kengetallen (DC-uitdraai)'!D:D,0))),0)</f>
        <v>0</v>
      </c>
      <c r="T4" s="16">
        <f>IFERROR(INDEX('3. Kengetallen (DC-uitdraai)'!X:X,MATCH(Table1[[#This Row],[Milieuprofiel]],'3. Kengetallen (DC-uitdraai)'!D:D,0))*Table1[[#This Row],[Hvd]]*(1+INDEX('3. Kengetallen (DC-uitdraai)'!K:K,MATCH(Table1[[#This Row],[Milieuprofiel]],'3. Kengetallen (DC-uitdraai)'!D:D,0))),0)</f>
        <v>-72.369530202981863</v>
      </c>
      <c r="U4" s="16"/>
      <c r="V4" s="112"/>
      <c r="W4" s="43" t="str">
        <f>IFERROR(INDEX('Eigen database'!H:H,MATCH(Table1[[#This Row],[Potentieel alternatief]],'Eigen database'!D:D,0)),"")</f>
        <v/>
      </c>
      <c r="X4" s="108">
        <f>IFERROR(INDEX('Eigen database'!P:P,MATCH(Table1[[#This Row],[Potentieel alternatief]],'Eigen database'!D:D,0))*Table1[[#This Row],[Hoeveelheid]]*(1+INDEX('Eigen database'!K:K,MATCH(Table1[[#This Row],[Potentieel alternatief]],'Eigen database'!D:D,0))),0)</f>
        <v>0</v>
      </c>
      <c r="Y4" s="16">
        <f>IF(Table1[[#This Row],[MKI A-D nieuw]]=0,Table1[[#This Row],[MKI A-D]],Table1[[#This Row],[MKI A-D nieuw]])</f>
        <v>396.08868731710828</v>
      </c>
      <c r="Z4" s="16"/>
      <c r="AA4" s="28">
        <f>IFERROR(INDEX('3. Kengetallen (DC-uitdraai)'!AM:AM,MATCH(Table1[[#This Row],[Milieuprofiel]],'3. Kengetallen (DC-uitdraai)'!C:C,0)),0)*Table1[[#This Row],[Hvd]]</f>
        <v>0</v>
      </c>
      <c r="AB4" s="28">
        <f>IFERROR(INDEX('3. Kengetallen (DC-uitdraai)'!AM:AM,MATCH(Table1[[#This Row],[Potentieel alternatief]],'3. Kengetallen (DC-uitdraai)'!C:C,0)),0)*Table1[[#This Row],[Hvd]]</f>
        <v>0</v>
      </c>
    </row>
    <row r="5" spans="1:30">
      <c r="A5" s="88" t="s">
        <v>87</v>
      </c>
      <c r="B5" s="88" t="s">
        <v>88</v>
      </c>
      <c r="C5" s="42" t="s">
        <v>89</v>
      </c>
      <c r="D5" s="42" t="s">
        <v>90</v>
      </c>
      <c r="E5" t="s">
        <v>91</v>
      </c>
      <c r="F5" t="s">
        <v>92</v>
      </c>
      <c r="H5" t="str">
        <f>IFERROR(INDEX('3. Kengetallen (DC-uitdraai)'!F:F,MATCH(Table1[[#This Row],[Milieuprofiel]],'3. Kengetallen (DC-uitdraai)'!D:D,0)),"")</f>
        <v>Cat.3 (30%)</v>
      </c>
      <c r="I5" s="26">
        <v>60</v>
      </c>
      <c r="J5" t="s">
        <v>93</v>
      </c>
      <c r="K5" t="str">
        <f>IF(ISTEXT(Table1[[#This Row],[Milieuprofiel]]),"Ja","Nee")</f>
        <v>Ja</v>
      </c>
      <c r="L5" s="27">
        <f>1.5</f>
        <v>1.5</v>
      </c>
      <c r="M5" s="26">
        <f>Table1[[#This Row],[Volume]]*Table1[[#This Row],[Factor]]</f>
        <v>90</v>
      </c>
      <c r="N5" t="str">
        <f>IFERROR(INDEX('3. Kengetallen (DC-uitdraai)'!H:H,MATCH(Table1[[#This Row],[Milieuprofiel]],'3. Kengetallen (DC-uitdraai)'!D:D,0)),"")</f>
        <v>m2</v>
      </c>
      <c r="O5">
        <f>IFERROR(INDEX('3. Kengetallen (DC-uitdraai)'!I:I,MATCH(Table1[[#This Row],[Milieuprofiel]],'3. Kengetallen (DC-uitdraai)'!D:D,0)),0)</f>
        <v>999</v>
      </c>
      <c r="P5" s="106">
        <f>IFERROR(INDEX('3. Kengetallen (DC-uitdraai)'!P:P,MATCH(Table1[[#This Row],[Milieuprofiel]],'3. Kengetallen (DC-uitdraai)'!D:D,0))*Table1[[#This Row],[Hvd]]*(1+INDEX('3. Kengetallen (DC-uitdraai)'!K:K,MATCH(Table1[[#This Row],[Milieuprofiel]],'3. Kengetallen (DC-uitdraai)'!D:D,0))),0)</f>
        <v>113.16819637631664</v>
      </c>
      <c r="Q5" s="16">
        <f>IFERROR(INDEX('3. Kengetallen (DC-uitdraai)'!U:U,MATCH(Table1[[#This Row],[Milieuprofiel]],'3. Kengetallen (DC-uitdraai)'!D:D,0))*Table1[[#This Row],[Hvd]]*(1+INDEX('3. Kengetallen (DC-uitdraai)'!K:K,MATCH(Table1[[#This Row],[Milieuprofiel]],'3. Kengetallen (DC-uitdraai)'!D:D,0))),0)</f>
        <v>67.318722987036537</v>
      </c>
      <c r="R5" s="16">
        <f>IFERROR(INDEX('3. Kengetallen (DC-uitdraai)'!V:V,MATCH(Table1[[#This Row],[Milieuprofiel]],'3. Kengetallen (DC-uitdraai)'!D:D,0))*Table1[[#This Row],[Hvd]]*(1+INDEX('3. Kengetallen (DC-uitdraai)'!K:K,MATCH(Table1[[#This Row],[Milieuprofiel]],'3. Kengetallen (DC-uitdraai)'!D:D,0))),0)</f>
        <v>31.531162276599623</v>
      </c>
      <c r="S5" s="16">
        <f>IFERROR(INDEX('3. Kengetallen (DC-uitdraai)'!W:W,MATCH(Table1[[#This Row],[Milieuprofiel]],'3. Kengetallen (DC-uitdraai)'!D:D,0))*Table1[[#This Row],[Hvd]]*(1+INDEX('3. Kengetallen (DC-uitdraai)'!K:K,MATCH(Table1[[#This Row],[Milieuprofiel]],'3. Kengetallen (DC-uitdraai)'!D:D,0))),0)</f>
        <v>0</v>
      </c>
      <c r="T5" s="16">
        <f>IFERROR(INDEX('3. Kengetallen (DC-uitdraai)'!X:X,MATCH(Table1[[#This Row],[Milieuprofiel]],'3. Kengetallen (DC-uitdraai)'!D:D,0))*Table1[[#This Row],[Hvd]]*(1+INDEX('3. Kengetallen (DC-uitdraai)'!K:K,MATCH(Table1[[#This Row],[Milieuprofiel]],'3. Kengetallen (DC-uitdraai)'!D:D,0))),0)</f>
        <v>-20.677008629423387</v>
      </c>
      <c r="U5" s="16"/>
      <c r="V5" s="112"/>
      <c r="W5" s="43" t="str">
        <f>IFERROR(INDEX('Eigen database'!H:H,MATCH(Table1[[#This Row],[Potentieel alternatief]],'Eigen database'!D:D,0)),"")</f>
        <v/>
      </c>
      <c r="X5" s="108">
        <f>IFERROR(INDEX('Eigen database'!P:P,MATCH(Table1[[#This Row],[Potentieel alternatief]],'Eigen database'!D:D,0))*Table1[[#This Row],[Hoeveelheid]]*(1+INDEX('Eigen database'!K:K,MATCH(Table1[[#This Row],[Potentieel alternatief]],'Eigen database'!D:D,0))),0)</f>
        <v>0</v>
      </c>
      <c r="Y5" s="16">
        <f>IF(Table1[[#This Row],[MKI A-D nieuw]]=0,Table1[[#This Row],[MKI A-D]],Table1[[#This Row],[MKI A-D nieuw]])</f>
        <v>113.16819637631664</v>
      </c>
      <c r="Z5" s="16"/>
      <c r="AA5" s="28">
        <f>IFERROR(INDEX('3. Kengetallen (DC-uitdraai)'!AM:AM,MATCH(Table1[[#This Row],[Milieuprofiel]],'3. Kengetallen (DC-uitdraai)'!C:C,0)),0)*Table1[[#This Row],[Hvd]]</f>
        <v>0</v>
      </c>
      <c r="AB5" s="28">
        <f>IFERROR(INDEX('3. Kengetallen (DC-uitdraai)'!AM:AM,MATCH(Table1[[#This Row],[Potentieel alternatief]],'3. Kengetallen (DC-uitdraai)'!C:C,0)),0)*Table1[[#This Row],[Hvd]]</f>
        <v>0</v>
      </c>
    </row>
    <row r="6" spans="1:30">
      <c r="A6" s="88" t="s">
        <v>87</v>
      </c>
      <c r="B6" s="88" t="s">
        <v>88</v>
      </c>
      <c r="C6" s="42" t="s">
        <v>89</v>
      </c>
      <c r="D6" s="42" t="s">
        <v>90</v>
      </c>
      <c r="E6" t="s">
        <v>91</v>
      </c>
      <c r="F6" t="s">
        <v>92</v>
      </c>
      <c r="H6" t="str">
        <f>IFERROR(INDEX('3. Kengetallen (DC-uitdraai)'!F:F,MATCH(Table1[[#This Row],[Milieuprofiel]],'3. Kengetallen (DC-uitdraai)'!D:D,0)),"")</f>
        <v>Cat.3 (30%)</v>
      </c>
      <c r="I6" s="26">
        <v>500</v>
      </c>
      <c r="J6" t="s">
        <v>93</v>
      </c>
      <c r="K6" t="str">
        <f>IF(ISTEXT(Table1[[#This Row],[Milieuprofiel]]),"Ja","Nee")</f>
        <v>Ja</v>
      </c>
      <c r="L6" s="27">
        <f>1.5</f>
        <v>1.5</v>
      </c>
      <c r="M6" s="26">
        <f>Table1[[#This Row],[Volume]]*Table1[[#This Row],[Factor]]</f>
        <v>750</v>
      </c>
      <c r="N6" t="str">
        <f>IFERROR(INDEX('3. Kengetallen (DC-uitdraai)'!H:H,MATCH(Table1[[#This Row],[Milieuprofiel]],'3. Kengetallen (DC-uitdraai)'!D:D,0)),"")</f>
        <v>m2</v>
      </c>
      <c r="O6">
        <f>IFERROR(INDEX('3. Kengetallen (DC-uitdraai)'!I:I,MATCH(Table1[[#This Row],[Milieuprofiel]],'3. Kengetallen (DC-uitdraai)'!D:D,0)),0)</f>
        <v>999</v>
      </c>
      <c r="P6" s="106">
        <f>IFERROR(INDEX('3. Kengetallen (DC-uitdraai)'!P:P,MATCH(Table1[[#This Row],[Milieuprofiel]],'3. Kengetallen (DC-uitdraai)'!D:D,0))*Table1[[#This Row],[Hvd]]*(1+INDEX('3. Kengetallen (DC-uitdraai)'!K:K,MATCH(Table1[[#This Row],[Milieuprofiel]],'3. Kengetallen (DC-uitdraai)'!D:D,0))),0)</f>
        <v>943.06830313597209</v>
      </c>
      <c r="Q6" s="16">
        <f>IFERROR(INDEX('3. Kengetallen (DC-uitdraai)'!U:U,MATCH(Table1[[#This Row],[Milieuprofiel]],'3. Kengetallen (DC-uitdraai)'!D:D,0))*Table1[[#This Row],[Hvd]]*(1+INDEX('3. Kengetallen (DC-uitdraai)'!K:K,MATCH(Table1[[#This Row],[Milieuprofiel]],'3. Kengetallen (DC-uitdraai)'!D:D,0))),0)</f>
        <v>560.9893582253045</v>
      </c>
      <c r="R6" s="16">
        <f>IFERROR(INDEX('3. Kengetallen (DC-uitdraai)'!V:V,MATCH(Table1[[#This Row],[Milieuprofiel]],'3. Kengetallen (DC-uitdraai)'!D:D,0))*Table1[[#This Row],[Hvd]]*(1+INDEX('3. Kengetallen (DC-uitdraai)'!K:K,MATCH(Table1[[#This Row],[Milieuprofiel]],'3. Kengetallen (DC-uitdraai)'!D:D,0))),0)</f>
        <v>262.75968563833021</v>
      </c>
      <c r="S6" s="16">
        <f>IFERROR(INDEX('3. Kengetallen (DC-uitdraai)'!W:W,MATCH(Table1[[#This Row],[Milieuprofiel]],'3. Kengetallen (DC-uitdraai)'!D:D,0))*Table1[[#This Row],[Hvd]]*(1+INDEX('3. Kengetallen (DC-uitdraai)'!K:K,MATCH(Table1[[#This Row],[Milieuprofiel]],'3. Kengetallen (DC-uitdraai)'!D:D,0))),0)</f>
        <v>0</v>
      </c>
      <c r="T6" s="16">
        <f>IFERROR(INDEX('3. Kengetallen (DC-uitdraai)'!X:X,MATCH(Table1[[#This Row],[Milieuprofiel]],'3. Kengetallen (DC-uitdraai)'!D:D,0))*Table1[[#This Row],[Hvd]]*(1+INDEX('3. Kengetallen (DC-uitdraai)'!K:K,MATCH(Table1[[#This Row],[Milieuprofiel]],'3. Kengetallen (DC-uitdraai)'!D:D,0))),0)</f>
        <v>-172.3084052451949</v>
      </c>
      <c r="U6" s="16"/>
      <c r="V6" s="112"/>
      <c r="W6" s="43" t="str">
        <f>IFERROR(INDEX('Eigen database'!H:H,MATCH(Table1[[#This Row],[Potentieel alternatief]],'Eigen database'!D:D,0)),"")</f>
        <v/>
      </c>
      <c r="X6" s="108">
        <f>IFERROR(INDEX('Eigen database'!P:P,MATCH(Table1[[#This Row],[Potentieel alternatief]],'Eigen database'!D:D,0))*Table1[[#This Row],[Hoeveelheid]]*(1+INDEX('Eigen database'!K:K,MATCH(Table1[[#This Row],[Potentieel alternatief]],'Eigen database'!D:D,0))),0)</f>
        <v>0</v>
      </c>
      <c r="Y6" s="16">
        <f>IF(Table1[[#This Row],[MKI A-D nieuw]]=0,Table1[[#This Row],[MKI A-D]],Table1[[#This Row],[MKI A-D nieuw]])</f>
        <v>943.06830313597209</v>
      </c>
      <c r="Z6" s="16"/>
      <c r="AA6" s="28">
        <f>IFERROR(INDEX('3. Kengetallen (DC-uitdraai)'!AM:AM,MATCH(Table1[[#This Row],[Milieuprofiel]],'3. Kengetallen (DC-uitdraai)'!C:C,0)),0)*Table1[[#This Row],[Hvd]]</f>
        <v>0</v>
      </c>
      <c r="AB6" s="28">
        <f>IFERROR(INDEX('3. Kengetallen (DC-uitdraai)'!AM:AM,MATCH(Table1[[#This Row],[Potentieel alternatief]],'3. Kengetallen (DC-uitdraai)'!C:C,0)),0)*Table1[[#This Row],[Hvd]]</f>
        <v>0</v>
      </c>
    </row>
    <row r="7" spans="1:30">
      <c r="A7" s="89" t="s">
        <v>94</v>
      </c>
      <c r="B7" s="89"/>
      <c r="C7" s="42"/>
      <c r="D7" s="42"/>
      <c r="E7" t="s">
        <v>95</v>
      </c>
      <c r="F7" t="s">
        <v>96</v>
      </c>
      <c r="H7" t="str">
        <f>IFERROR(INDEX('3. Kengetallen (DC-uitdraai)'!F:F,MATCH(Table1[[#This Row],[Milieuprofiel]],'3. Kengetallen (DC-uitdraai)'!D:D,0)),"")</f>
        <v>Cat.3 (30%)</v>
      </c>
      <c r="I7" s="26">
        <v>80</v>
      </c>
      <c r="J7" t="s">
        <v>93</v>
      </c>
      <c r="K7" t="str">
        <f>IF(ISTEXT(Table1[[#This Row],[Milieuprofiel]]),"Ja","Nee")</f>
        <v>Ja</v>
      </c>
      <c r="L7" s="27">
        <v>1</v>
      </c>
      <c r="M7" s="26">
        <f>Table1[[#This Row],[Volume]]*Table1[[#This Row],[Factor]]</f>
        <v>80</v>
      </c>
      <c r="N7" t="str">
        <f>IFERROR(INDEX('3. Kengetallen (DC-uitdraai)'!H:H,MATCH(Table1[[#This Row],[Milieuprofiel]],'3. Kengetallen (DC-uitdraai)'!D:D,0)),"")</f>
        <v>m1</v>
      </c>
      <c r="O7">
        <f>IFERROR(INDEX('3. Kengetallen (DC-uitdraai)'!I:I,MATCH(Table1[[#This Row],[Milieuprofiel]],'3. Kengetallen (DC-uitdraai)'!D:D,0)),0)</f>
        <v>999</v>
      </c>
      <c r="P7" s="125">
        <f>IFERROR(INDEX('3. Kengetallen (DC-uitdraai)'!P:P,MATCH(Table1[[#This Row],[Milieuprofiel]],'3. Kengetallen (DC-uitdraai)'!D:D,0))*Table1[[#This Row],[Hvd]]*(1+INDEX('3. Kengetallen (DC-uitdraai)'!K:K,MATCH(Table1[[#This Row],[Milieuprofiel]],'3. Kengetallen (DC-uitdraai)'!D:D,0))),0)</f>
        <v>52.29992748845963</v>
      </c>
      <c r="Q7" s="126">
        <f>IFERROR(INDEX('3. Kengetallen (DC-uitdraai)'!U:U,MATCH(Table1[[#This Row],[Milieuprofiel]],'3. Kengetallen (DC-uitdraai)'!D:D,0))*Table1[[#This Row],[Hvd]]*(1+INDEX('3. Kengetallen (DC-uitdraai)'!K:K,MATCH(Table1[[#This Row],[Milieuprofiel]],'3. Kengetallen (DC-uitdraai)'!D:D,0))),0)</f>
        <v>0</v>
      </c>
      <c r="R7" s="126">
        <f>IFERROR(INDEX('3. Kengetallen (DC-uitdraai)'!V:V,MATCH(Table1[[#This Row],[Milieuprofiel]],'3. Kengetallen (DC-uitdraai)'!D:D,0))*Table1[[#This Row],[Hvd]]*(1+INDEX('3. Kengetallen (DC-uitdraai)'!K:K,MATCH(Table1[[#This Row],[Milieuprofiel]],'3. Kengetallen (DC-uitdraai)'!D:D,0))),0)</f>
        <v>40.230713083747816</v>
      </c>
      <c r="S7" s="126">
        <f>IFERROR(INDEX('3. Kengetallen (DC-uitdraai)'!W:W,MATCH(Table1[[#This Row],[Milieuprofiel]],'3. Kengetallen (DC-uitdraai)'!D:D,0))*Table1[[#This Row],[Hvd]]*(1+INDEX('3. Kengetallen (DC-uitdraai)'!K:K,MATCH(Table1[[#This Row],[Milieuprofiel]],'3. Kengetallen (DC-uitdraai)'!D:D,0))),0)</f>
        <v>0</v>
      </c>
      <c r="T7" s="126">
        <f>IFERROR(INDEX('3. Kengetallen (DC-uitdraai)'!X:X,MATCH(Table1[[#This Row],[Milieuprofiel]],'3. Kengetallen (DC-uitdraai)'!D:D,0))*Table1[[#This Row],[Hvd]]*(1+INDEX('3. Kengetallen (DC-uitdraai)'!K:K,MATCH(Table1[[#This Row],[Milieuprofiel]],'3. Kengetallen (DC-uitdraai)'!D:D,0))),0)</f>
        <v>0</v>
      </c>
      <c r="U7" s="126"/>
      <c r="V7" s="112"/>
      <c r="W7" s="43" t="str">
        <f>IFERROR(INDEX('Eigen database'!H:H,MATCH(Table1[[#This Row],[Potentieel alternatief]],'Eigen database'!D:D,0)),"")</f>
        <v/>
      </c>
      <c r="X7" s="114">
        <f>IFERROR(INDEX('Eigen database'!P:P,MATCH(Table1[[#This Row],[Potentieel alternatief]],'Eigen database'!D:D,0))*Table1[[#This Row],[Hoeveelheid]]*(1+INDEX('Eigen database'!K:K,MATCH(Table1[[#This Row],[Potentieel alternatief]],'Eigen database'!D:D,0))),0)</f>
        <v>0</v>
      </c>
      <c r="Y7" s="126">
        <f>IF(Table1[[#This Row],[MKI A-D nieuw]]=0,Table1[[#This Row],[MKI A-D]],Table1[[#This Row],[MKI A-D nieuw]])</f>
        <v>52.29992748845963</v>
      </c>
      <c r="Z7" s="126"/>
      <c r="AA7" s="127">
        <f>IFERROR(INDEX('3. Kengetallen (DC-uitdraai)'!AM:AM,MATCH(Table1[[#This Row],[Milieuprofiel]],'3. Kengetallen (DC-uitdraai)'!C:C,0)),0)*Table1[[#This Row],[Hvd]]</f>
        <v>0</v>
      </c>
      <c r="AB7" s="127">
        <f>IFERROR(INDEX('3. Kengetallen (DC-uitdraai)'!AM:AM,MATCH(Table1[[#This Row],[Potentieel alternatief]],'3. Kengetallen (DC-uitdraai)'!C:C,0)),0)*Table1[[#This Row],[Hvd]]</f>
        <v>0</v>
      </c>
    </row>
    <row r="8" spans="1:30">
      <c r="A8" s="89" t="s">
        <v>94</v>
      </c>
      <c r="B8" s="89"/>
      <c r="C8" s="42"/>
      <c r="D8" s="42"/>
      <c r="E8" t="s">
        <v>95</v>
      </c>
      <c r="F8" t="s">
        <v>97</v>
      </c>
      <c r="H8" t="str">
        <f>IFERROR(INDEX('3. Kengetallen (DC-uitdraai)'!F:F,MATCH(Table1[[#This Row],[Milieuprofiel]],'3. Kengetallen (DC-uitdraai)'!D:D,0)),"")</f>
        <v>Cat.3a</v>
      </c>
      <c r="I8" s="26">
        <v>80</v>
      </c>
      <c r="J8" t="s">
        <v>93</v>
      </c>
      <c r="K8" t="str">
        <f>IF(ISTEXT(Table1[[#This Row],[Milieuprofiel]]),"Ja","Nee")</f>
        <v>Ja</v>
      </c>
      <c r="L8" s="27">
        <f>1/30*0.05</f>
        <v>1.6666666666666668E-3</v>
      </c>
      <c r="M8" s="26">
        <f>Table1[[#This Row],[Volume]]*Table1[[#This Row],[Factor]]</f>
        <v>0.13333333333333333</v>
      </c>
      <c r="N8" t="str">
        <f>IFERROR(INDEX('3. Kengetallen (DC-uitdraai)'!H:H,MATCH(Table1[[#This Row],[Milieuprofiel]],'3. Kengetallen (DC-uitdraai)'!D:D,0)),"")</f>
        <v>uur</v>
      </c>
      <c r="O8">
        <f>IFERROR(INDEX('3. Kengetallen (DC-uitdraai)'!I:I,MATCH(Table1[[#This Row],[Milieuprofiel]],'3. Kengetallen (DC-uitdraai)'!D:D,0)),0)</f>
        <v>999</v>
      </c>
      <c r="P8" s="125">
        <f>IFERROR(INDEX('3. Kengetallen (DC-uitdraai)'!P:P,MATCH(Table1[[#This Row],[Milieuprofiel]],'3. Kengetallen (DC-uitdraai)'!D:D,0))*Table1[[#This Row],[Hvd]]*(1+INDEX('3. Kengetallen (DC-uitdraai)'!K:K,MATCH(Table1[[#This Row],[Milieuprofiel]],'3. Kengetallen (DC-uitdraai)'!D:D,0))),0)</f>
        <v>0.59699774171379505</v>
      </c>
      <c r="Q8" s="126">
        <f>IFERROR(INDEX('3. Kengetallen (DC-uitdraai)'!U:U,MATCH(Table1[[#This Row],[Milieuprofiel]],'3. Kengetallen (DC-uitdraai)'!D:D,0))*Table1[[#This Row],[Hvd]]*(1+INDEX('3. Kengetallen (DC-uitdraai)'!K:K,MATCH(Table1[[#This Row],[Milieuprofiel]],'3. Kengetallen (DC-uitdraai)'!D:D,0))),0)</f>
        <v>0</v>
      </c>
      <c r="R8" s="126">
        <f>IFERROR(INDEX('3. Kengetallen (DC-uitdraai)'!V:V,MATCH(Table1[[#This Row],[Milieuprofiel]],'3. Kengetallen (DC-uitdraai)'!D:D,0))*Table1[[#This Row],[Hvd]]*(1+INDEX('3. Kengetallen (DC-uitdraai)'!K:K,MATCH(Table1[[#This Row],[Milieuprofiel]],'3. Kengetallen (DC-uitdraai)'!D:D,0))),0)</f>
        <v>0.59699774171379505</v>
      </c>
      <c r="S8" s="126">
        <f>IFERROR(INDEX('3. Kengetallen (DC-uitdraai)'!W:W,MATCH(Table1[[#This Row],[Milieuprofiel]],'3. Kengetallen (DC-uitdraai)'!D:D,0))*Table1[[#This Row],[Hvd]]*(1+INDEX('3. Kengetallen (DC-uitdraai)'!K:K,MATCH(Table1[[#This Row],[Milieuprofiel]],'3. Kengetallen (DC-uitdraai)'!D:D,0))),0)</f>
        <v>0</v>
      </c>
      <c r="T8" s="126">
        <f>IFERROR(INDEX('3. Kengetallen (DC-uitdraai)'!X:X,MATCH(Table1[[#This Row],[Milieuprofiel]],'3. Kengetallen (DC-uitdraai)'!D:D,0))*Table1[[#This Row],[Hvd]]*(1+INDEX('3. Kengetallen (DC-uitdraai)'!K:K,MATCH(Table1[[#This Row],[Milieuprofiel]],'3. Kengetallen (DC-uitdraai)'!D:D,0))),0)</f>
        <v>0</v>
      </c>
      <c r="U8" s="126"/>
      <c r="V8" s="112"/>
      <c r="W8" s="43" t="str">
        <f>IFERROR(INDEX('Eigen database'!H:H,MATCH(Table1[[#This Row],[Potentieel alternatief]],'Eigen database'!D:D,0)),"")</f>
        <v/>
      </c>
      <c r="X8" s="114">
        <f>IFERROR(INDEX('Eigen database'!P:P,MATCH(Table1[[#This Row],[Potentieel alternatief]],'Eigen database'!D:D,0))*Table1[[#This Row],[Hoeveelheid]]*(1+INDEX('Eigen database'!K:K,MATCH(Table1[[#This Row],[Potentieel alternatief]],'Eigen database'!D:D,0))),0)</f>
        <v>0</v>
      </c>
      <c r="Y8" s="126">
        <f>IF(Table1[[#This Row],[MKI A-D nieuw]]=0,Table1[[#This Row],[MKI A-D]],Table1[[#This Row],[MKI A-D nieuw]])</f>
        <v>0.59699774171379505</v>
      </c>
      <c r="Z8" s="126"/>
      <c r="AA8" s="127">
        <f>IFERROR(INDEX('3. Kengetallen (DC-uitdraai)'!AM:AM,MATCH(Table1[[#This Row],[Milieuprofiel]],'3. Kengetallen (DC-uitdraai)'!C:C,0)),0)*Table1[[#This Row],[Hvd]]</f>
        <v>0</v>
      </c>
      <c r="AB8" s="127">
        <f>IFERROR(INDEX('3. Kengetallen (DC-uitdraai)'!AM:AM,MATCH(Table1[[#This Row],[Potentieel alternatief]],'3. Kengetallen (DC-uitdraai)'!C:C,0)),0)*Table1[[#This Row],[Hvd]]</f>
        <v>0</v>
      </c>
    </row>
    <row r="9" spans="1:30">
      <c r="A9" s="89" t="s">
        <v>98</v>
      </c>
      <c r="B9" s="89"/>
      <c r="C9" s="42"/>
      <c r="D9" s="42"/>
      <c r="E9" t="s">
        <v>99</v>
      </c>
      <c r="F9" t="s">
        <v>96</v>
      </c>
      <c r="H9" t="str">
        <f>IFERROR(INDEX('3. Kengetallen (DC-uitdraai)'!F:F,MATCH(Table1[[#This Row],[Milieuprofiel]],'3. Kengetallen (DC-uitdraai)'!D:D,0)),"")</f>
        <v>Cat.3 (30%)</v>
      </c>
      <c r="I9" s="26">
        <v>39</v>
      </c>
      <c r="J9" t="s">
        <v>93</v>
      </c>
      <c r="K9" t="str">
        <f>IF(ISTEXT(Table1[[#This Row],[Milieuprofiel]]),"Ja","Nee")</f>
        <v>Ja</v>
      </c>
      <c r="L9" s="27">
        <v>1</v>
      </c>
      <c r="M9" s="26">
        <f>Table1[[#This Row],[Volume]]*Table1[[#This Row],[Factor]]</f>
        <v>39</v>
      </c>
      <c r="N9" t="str">
        <f>IFERROR(INDEX('3. Kengetallen (DC-uitdraai)'!H:H,MATCH(Table1[[#This Row],[Milieuprofiel]],'3. Kengetallen (DC-uitdraai)'!D:D,0)),"")</f>
        <v>m1</v>
      </c>
      <c r="O9">
        <f>IFERROR(INDEX('3. Kengetallen (DC-uitdraai)'!I:I,MATCH(Table1[[#This Row],[Milieuprofiel]],'3. Kengetallen (DC-uitdraai)'!D:D,0)),0)</f>
        <v>999</v>
      </c>
      <c r="P9" s="125">
        <f>IFERROR(INDEX('3. Kengetallen (DC-uitdraai)'!P:P,MATCH(Table1[[#This Row],[Milieuprofiel]],'3. Kengetallen (DC-uitdraai)'!D:D,0))*Table1[[#This Row],[Hvd]]*(1+INDEX('3. Kengetallen (DC-uitdraai)'!K:K,MATCH(Table1[[#This Row],[Milieuprofiel]],'3. Kengetallen (DC-uitdraai)'!D:D,0))),0)</f>
        <v>25.496214650624072</v>
      </c>
      <c r="Q9" s="126">
        <f>IFERROR(INDEX('3. Kengetallen (DC-uitdraai)'!U:U,MATCH(Table1[[#This Row],[Milieuprofiel]],'3. Kengetallen (DC-uitdraai)'!D:D,0))*Table1[[#This Row],[Hvd]]*(1+INDEX('3. Kengetallen (DC-uitdraai)'!K:K,MATCH(Table1[[#This Row],[Milieuprofiel]],'3. Kengetallen (DC-uitdraai)'!D:D,0))),0)</f>
        <v>0</v>
      </c>
      <c r="R9" s="126">
        <f>IFERROR(INDEX('3. Kengetallen (DC-uitdraai)'!V:V,MATCH(Table1[[#This Row],[Milieuprofiel]],'3. Kengetallen (DC-uitdraai)'!D:D,0))*Table1[[#This Row],[Hvd]]*(1+INDEX('3. Kengetallen (DC-uitdraai)'!K:K,MATCH(Table1[[#This Row],[Milieuprofiel]],'3. Kengetallen (DC-uitdraai)'!D:D,0))),0)</f>
        <v>19.612472628327062</v>
      </c>
      <c r="S9" s="126">
        <f>IFERROR(INDEX('3. Kengetallen (DC-uitdraai)'!W:W,MATCH(Table1[[#This Row],[Milieuprofiel]],'3. Kengetallen (DC-uitdraai)'!D:D,0))*Table1[[#This Row],[Hvd]]*(1+INDEX('3. Kengetallen (DC-uitdraai)'!K:K,MATCH(Table1[[#This Row],[Milieuprofiel]],'3. Kengetallen (DC-uitdraai)'!D:D,0))),0)</f>
        <v>0</v>
      </c>
      <c r="T9" s="126">
        <f>IFERROR(INDEX('3. Kengetallen (DC-uitdraai)'!X:X,MATCH(Table1[[#This Row],[Milieuprofiel]],'3. Kengetallen (DC-uitdraai)'!D:D,0))*Table1[[#This Row],[Hvd]]*(1+INDEX('3. Kengetallen (DC-uitdraai)'!K:K,MATCH(Table1[[#This Row],[Milieuprofiel]],'3. Kengetallen (DC-uitdraai)'!D:D,0))),0)</f>
        <v>0</v>
      </c>
      <c r="U9" s="126"/>
      <c r="V9" s="112"/>
      <c r="W9" s="43" t="str">
        <f>IFERROR(INDEX('Eigen database'!H:H,MATCH(Table1[[#This Row],[Potentieel alternatief]],'Eigen database'!D:D,0)),"")</f>
        <v/>
      </c>
      <c r="X9" s="114">
        <f>IFERROR(INDEX('Eigen database'!P:P,MATCH(Table1[[#This Row],[Potentieel alternatief]],'Eigen database'!D:D,0))*Table1[[#This Row],[Hoeveelheid]]*(1+INDEX('Eigen database'!K:K,MATCH(Table1[[#This Row],[Potentieel alternatief]],'Eigen database'!D:D,0))),0)</f>
        <v>0</v>
      </c>
      <c r="Y9" s="126">
        <f>IF(Table1[[#This Row],[MKI A-D nieuw]]=0,Table1[[#This Row],[MKI A-D]],Table1[[#This Row],[MKI A-D nieuw]])</f>
        <v>25.496214650624072</v>
      </c>
      <c r="Z9" s="126"/>
      <c r="AA9" s="127">
        <f>IFERROR(INDEX('3. Kengetallen (DC-uitdraai)'!AM:AM,MATCH(Table1[[#This Row],[Milieuprofiel]],'3. Kengetallen (DC-uitdraai)'!C:C,0)),0)*Table1[[#This Row],[Hvd]]</f>
        <v>0</v>
      </c>
      <c r="AB9" s="127">
        <f>IFERROR(INDEX('3. Kengetallen (DC-uitdraai)'!AM:AM,MATCH(Table1[[#This Row],[Potentieel alternatief]],'3. Kengetallen (DC-uitdraai)'!C:C,0)),0)*Table1[[#This Row],[Hvd]]</f>
        <v>0</v>
      </c>
    </row>
    <row r="10" spans="1:30">
      <c r="A10" s="89" t="s">
        <v>98</v>
      </c>
      <c r="B10" s="89"/>
      <c r="C10" s="42"/>
      <c r="D10" s="42"/>
      <c r="E10" t="s">
        <v>99</v>
      </c>
      <c r="F10" t="s">
        <v>97</v>
      </c>
      <c r="H10" t="str">
        <f>IFERROR(INDEX('3. Kengetallen (DC-uitdraai)'!F:F,MATCH(Table1[[#This Row],[Milieuprofiel]],'3. Kengetallen (DC-uitdraai)'!D:D,0)),"")</f>
        <v>Cat.3a</v>
      </c>
      <c r="I10" s="26">
        <v>39</v>
      </c>
      <c r="J10" t="s">
        <v>93</v>
      </c>
      <c r="K10" t="str">
        <f>IF(ISTEXT(Table1[[#This Row],[Milieuprofiel]]),"Ja","Nee")</f>
        <v>Ja</v>
      </c>
      <c r="L10" s="27">
        <f>1/25*0.05</f>
        <v>2E-3</v>
      </c>
      <c r="M10" s="26">
        <f>Table1[[#This Row],[Volume]]*Table1[[#This Row],[Factor]]</f>
        <v>7.8E-2</v>
      </c>
      <c r="N10" t="str">
        <f>IFERROR(INDEX('3. Kengetallen (DC-uitdraai)'!H:H,MATCH(Table1[[#This Row],[Milieuprofiel]],'3. Kengetallen (DC-uitdraai)'!D:D,0)),"")</f>
        <v>uur</v>
      </c>
      <c r="O10">
        <f>IFERROR(INDEX('3. Kengetallen (DC-uitdraai)'!I:I,MATCH(Table1[[#This Row],[Milieuprofiel]],'3. Kengetallen (DC-uitdraai)'!D:D,0)),0)</f>
        <v>999</v>
      </c>
      <c r="P10" s="125">
        <f>IFERROR(INDEX('3. Kengetallen (DC-uitdraai)'!P:P,MATCH(Table1[[#This Row],[Milieuprofiel]],'3. Kengetallen (DC-uitdraai)'!D:D,0))*Table1[[#This Row],[Hvd]]*(1+INDEX('3. Kengetallen (DC-uitdraai)'!K:K,MATCH(Table1[[#This Row],[Milieuprofiel]],'3. Kengetallen (DC-uitdraai)'!D:D,0))),0)</f>
        <v>0.34924367890257013</v>
      </c>
      <c r="Q10" s="126">
        <f>IFERROR(INDEX('3. Kengetallen (DC-uitdraai)'!U:U,MATCH(Table1[[#This Row],[Milieuprofiel]],'3. Kengetallen (DC-uitdraai)'!D:D,0))*Table1[[#This Row],[Hvd]]*(1+INDEX('3. Kengetallen (DC-uitdraai)'!K:K,MATCH(Table1[[#This Row],[Milieuprofiel]],'3. Kengetallen (DC-uitdraai)'!D:D,0))),0)</f>
        <v>0</v>
      </c>
      <c r="R10" s="126">
        <f>IFERROR(INDEX('3. Kengetallen (DC-uitdraai)'!V:V,MATCH(Table1[[#This Row],[Milieuprofiel]],'3. Kengetallen (DC-uitdraai)'!D:D,0))*Table1[[#This Row],[Hvd]]*(1+INDEX('3. Kengetallen (DC-uitdraai)'!K:K,MATCH(Table1[[#This Row],[Milieuprofiel]],'3. Kengetallen (DC-uitdraai)'!D:D,0))),0)</f>
        <v>0.34924367890257013</v>
      </c>
      <c r="S10" s="126">
        <f>IFERROR(INDEX('3. Kengetallen (DC-uitdraai)'!W:W,MATCH(Table1[[#This Row],[Milieuprofiel]],'3. Kengetallen (DC-uitdraai)'!D:D,0))*Table1[[#This Row],[Hvd]]*(1+INDEX('3. Kengetallen (DC-uitdraai)'!K:K,MATCH(Table1[[#This Row],[Milieuprofiel]],'3. Kengetallen (DC-uitdraai)'!D:D,0))),0)</f>
        <v>0</v>
      </c>
      <c r="T10" s="126">
        <f>IFERROR(INDEX('3. Kengetallen (DC-uitdraai)'!X:X,MATCH(Table1[[#This Row],[Milieuprofiel]],'3. Kengetallen (DC-uitdraai)'!D:D,0))*Table1[[#This Row],[Hvd]]*(1+INDEX('3. Kengetallen (DC-uitdraai)'!K:K,MATCH(Table1[[#This Row],[Milieuprofiel]],'3. Kengetallen (DC-uitdraai)'!D:D,0))),0)</f>
        <v>0</v>
      </c>
      <c r="U10" s="126"/>
      <c r="V10" s="112"/>
      <c r="W10" s="43" t="str">
        <f>IFERROR(INDEX('Eigen database'!H:H,MATCH(Table1[[#This Row],[Potentieel alternatief]],'Eigen database'!D:D,0)),"")</f>
        <v/>
      </c>
      <c r="X10" s="114">
        <f>IFERROR(INDEX('Eigen database'!P:P,MATCH(Table1[[#This Row],[Potentieel alternatief]],'Eigen database'!D:D,0))*Table1[[#This Row],[Hoeveelheid]]*(1+INDEX('Eigen database'!K:K,MATCH(Table1[[#This Row],[Potentieel alternatief]],'Eigen database'!D:D,0))),0)</f>
        <v>0</v>
      </c>
      <c r="Y10" s="126">
        <f>IF(Table1[[#This Row],[MKI A-D nieuw]]=0,Table1[[#This Row],[MKI A-D]],Table1[[#This Row],[MKI A-D nieuw]])</f>
        <v>0.34924367890257013</v>
      </c>
      <c r="Z10" s="126"/>
      <c r="AA10" s="127">
        <f>IFERROR(INDEX('3. Kengetallen (DC-uitdraai)'!AM:AM,MATCH(Table1[[#This Row],[Milieuprofiel]],'3. Kengetallen (DC-uitdraai)'!C:C,0)),0)*Table1[[#This Row],[Hvd]]</f>
        <v>0</v>
      </c>
      <c r="AB10" s="127">
        <f>IFERROR(INDEX('3. Kengetallen (DC-uitdraai)'!AM:AM,MATCH(Table1[[#This Row],[Potentieel alternatief]],'3. Kengetallen (DC-uitdraai)'!C:C,0)),0)*Table1[[#This Row],[Hvd]]</f>
        <v>0</v>
      </c>
    </row>
    <row r="11" spans="1:30">
      <c r="A11" s="89" t="s">
        <v>100</v>
      </c>
      <c r="B11" s="89" t="s">
        <v>101</v>
      </c>
      <c r="C11" s="42" t="s">
        <v>89</v>
      </c>
      <c r="D11" s="42" t="s">
        <v>102</v>
      </c>
      <c r="E11" t="s">
        <v>103</v>
      </c>
      <c r="F11" t="s">
        <v>104</v>
      </c>
      <c r="G11" t="s">
        <v>105</v>
      </c>
      <c r="H11" t="str">
        <f>IFERROR(INDEX('3. Kengetallen (DC-uitdraai)'!F:F,MATCH(Table1[[#This Row],[Milieuprofiel]],'3. Kengetallen (DC-uitdraai)'!D:D,0)),"")</f>
        <v>Cat.3 (30%)</v>
      </c>
      <c r="I11" s="129">
        <v>90</v>
      </c>
      <c r="J11" t="s">
        <v>93</v>
      </c>
      <c r="K11" t="str">
        <f>IF(ISTEXT(Table1[[#This Row],[Milieuprofiel]]),"Ja","Nee")</f>
        <v>Ja</v>
      </c>
      <c r="L11" s="27">
        <f>(5/60)*(0.43/0.477)</f>
        <v>7.5122292103424179E-2</v>
      </c>
      <c r="M11" s="26">
        <f>Table1[[#This Row],[Volume]]*Table1[[#This Row],[Factor]]</f>
        <v>6.7610062893081757</v>
      </c>
      <c r="N11" t="str">
        <f>IFERROR(INDEX('3. Kengetallen (DC-uitdraai)'!H:H,MATCH(Table1[[#This Row],[Milieuprofiel]],'3. Kengetallen (DC-uitdraai)'!D:D,0)),"")</f>
        <v>uur</v>
      </c>
      <c r="O11">
        <f>IFERROR(INDEX('3. Kengetallen (DC-uitdraai)'!I:I,MATCH(Table1[[#This Row],[Milieuprofiel]],'3. Kengetallen (DC-uitdraai)'!D:D,0)),0)</f>
        <v>999</v>
      </c>
      <c r="P11" s="106">
        <f>IFERROR(INDEX('3. Kengetallen (DC-uitdraai)'!P:P,MATCH(Table1[[#This Row],[Milieuprofiel]],'3. Kengetallen (DC-uitdraai)'!D:D,0))*Table1[[#This Row],[Hvd]]*(1+INDEX('3. Kengetallen (DC-uitdraai)'!K:K,MATCH(Table1[[#This Row],[Milieuprofiel]],'3. Kengetallen (DC-uitdraai)'!D:D,0))),0)</f>
        <v>48.357193016818321</v>
      </c>
      <c r="Q11" s="16">
        <f>IFERROR(INDEX('3. Kengetallen (DC-uitdraai)'!U:U,MATCH(Table1[[#This Row],[Milieuprofiel]],'3. Kengetallen (DC-uitdraai)'!D:D,0))*Table1[[#This Row],[Hvd]]*(1+INDEX('3. Kengetallen (DC-uitdraai)'!K:K,MATCH(Table1[[#This Row],[Milieuprofiel]],'3. Kengetallen (DC-uitdraai)'!D:D,0))),0)</f>
        <v>0</v>
      </c>
      <c r="R11" s="16">
        <f>IFERROR(INDEX('3. Kengetallen (DC-uitdraai)'!V:V,MATCH(Table1[[#This Row],[Milieuprofiel]],'3. Kengetallen (DC-uitdraai)'!D:D,0))*Table1[[#This Row],[Hvd]]*(1+INDEX('3. Kengetallen (DC-uitdraai)'!K:K,MATCH(Table1[[#This Row],[Milieuprofiel]],'3. Kengetallen (DC-uitdraai)'!D:D,0))),0)</f>
        <v>37.197840441065779</v>
      </c>
      <c r="S11" s="16">
        <f>IFERROR(INDEX('3. Kengetallen (DC-uitdraai)'!W:W,MATCH(Table1[[#This Row],[Milieuprofiel]],'3. Kengetallen (DC-uitdraai)'!D:D,0))*Table1[[#This Row],[Hvd]]*(1+INDEX('3. Kengetallen (DC-uitdraai)'!K:K,MATCH(Table1[[#This Row],[Milieuprofiel]],'3. Kengetallen (DC-uitdraai)'!D:D,0))),0)</f>
        <v>0</v>
      </c>
      <c r="T11" s="16">
        <f>IFERROR(INDEX('3. Kengetallen (DC-uitdraai)'!X:X,MATCH(Table1[[#This Row],[Milieuprofiel]],'3. Kengetallen (DC-uitdraai)'!D:D,0))*Table1[[#This Row],[Hvd]]*(1+INDEX('3. Kengetallen (DC-uitdraai)'!K:K,MATCH(Table1[[#This Row],[Milieuprofiel]],'3. Kengetallen (DC-uitdraai)'!D:D,0))),0)</f>
        <v>0</v>
      </c>
      <c r="U11" s="111">
        <f>Table1[[#This Row],[Factor]]</f>
        <v>7.5122292103424179E-2</v>
      </c>
      <c r="V11" s="112">
        <f>Table1[[#This Row],[Volume]]*Table1[[#This Row],[omrekenfactor]]</f>
        <v>6.7610062893081757</v>
      </c>
      <c r="W11" s="43" t="str">
        <f>IFERROR(INDEX('Eigen database'!H:H,MATCH(Table1[[#This Row],[Potentieel alternatief]],'Eigen database'!D:D,0)),"")</f>
        <v>uur</v>
      </c>
      <c r="X11" s="108">
        <f>IFERROR(INDEX('Eigen database'!P:P,MATCH(Table1[[#This Row],[Potentieel alternatief]],'Eigen database'!D:D,0))*Table1[[#This Row],[Hoeveelheid]]*(1+INDEX('Eigen database'!K:K,MATCH(Table1[[#This Row],[Potentieel alternatief]],'Eigen database'!D:D,0))),0)</f>
        <v>11.290918324812377</v>
      </c>
      <c r="Y11" s="16">
        <f>IF(Table1[[#This Row],[MKI A-D nieuw]]=0,Table1[[#This Row],[MKI A-D]],Table1[[#This Row],[MKI A-D nieuw]])</f>
        <v>11.290918324812377</v>
      </c>
      <c r="Z11" s="16"/>
      <c r="AA11" s="28">
        <f>IFERROR(INDEX('3. Kengetallen (DC-uitdraai)'!AM:AM,MATCH(Table1[[#This Row],[Milieuprofiel]],'3. Kengetallen (DC-uitdraai)'!C:C,0)),0)*Table1[[#This Row],[Hvd]]</f>
        <v>0</v>
      </c>
      <c r="AB11" s="28">
        <f>IFERROR(INDEX('3. Kengetallen (DC-uitdraai)'!AM:AM,MATCH(Table1[[#This Row],[Potentieel alternatief]],'3. Kengetallen (DC-uitdraai)'!C:C,0)),0)*Table1[[#This Row],[Hvd]]</f>
        <v>0</v>
      </c>
    </row>
    <row r="12" spans="1:30">
      <c r="A12" s="88" t="s">
        <v>106</v>
      </c>
      <c r="B12" s="89" t="s">
        <v>101</v>
      </c>
      <c r="C12" s="42" t="s">
        <v>89</v>
      </c>
      <c r="D12" s="42" t="s">
        <v>102</v>
      </c>
      <c r="E12" t="s">
        <v>107</v>
      </c>
      <c r="F12" t="s">
        <v>104</v>
      </c>
      <c r="G12" t="s">
        <v>105</v>
      </c>
      <c r="H12" t="str">
        <f>IFERROR(INDEX('3. Kengetallen (DC-uitdraai)'!F:F,MATCH(Table1[[#This Row],[Milieuprofiel]],'3. Kengetallen (DC-uitdraai)'!D:D,0)),"")</f>
        <v>Cat.3 (30%)</v>
      </c>
      <c r="I12" s="26">
        <v>215</v>
      </c>
      <c r="J12" t="s">
        <v>93</v>
      </c>
      <c r="K12" t="str">
        <f>IF(ISTEXT(Table1[[#This Row],[Milieuprofiel]]),"Ja","Nee")</f>
        <v>Ja</v>
      </c>
      <c r="L12" s="27">
        <f>20/60*(0.43/0.477)</f>
        <v>0.30048916841369672</v>
      </c>
      <c r="M12" s="26">
        <f>Table1[[#This Row],[Volume]]*Table1[[#This Row],[Factor]]</f>
        <v>64.605171208944796</v>
      </c>
      <c r="N12" t="str">
        <f>IFERROR(INDEX('3. Kengetallen (DC-uitdraai)'!H:H,MATCH(Table1[[#This Row],[Milieuprofiel]],'3. Kengetallen (DC-uitdraai)'!D:D,0)),"")</f>
        <v>uur</v>
      </c>
      <c r="O12">
        <f>IFERROR(INDEX('3. Kengetallen (DC-uitdraai)'!I:I,MATCH(Table1[[#This Row],[Milieuprofiel]],'3. Kengetallen (DC-uitdraai)'!D:D,0)),0)</f>
        <v>999</v>
      </c>
      <c r="P12" s="106">
        <f>IFERROR(INDEX('3. Kengetallen (DC-uitdraai)'!P:P,MATCH(Table1[[#This Row],[Milieuprofiel]],'3. Kengetallen (DC-uitdraai)'!D:D,0))*Table1[[#This Row],[Hvd]]*(1+INDEX('3. Kengetallen (DC-uitdraai)'!K:K,MATCH(Table1[[#This Row],[Milieuprofiel]],'3. Kengetallen (DC-uitdraai)'!D:D,0))),0)</f>
        <v>462.07984438293067</v>
      </c>
      <c r="Q12" s="16">
        <f>IFERROR(INDEX('3. Kengetallen (DC-uitdraai)'!U:U,MATCH(Table1[[#This Row],[Milieuprofiel]],'3. Kengetallen (DC-uitdraai)'!D:D,0))*Table1[[#This Row],[Hvd]]*(1+INDEX('3. Kengetallen (DC-uitdraai)'!K:K,MATCH(Table1[[#This Row],[Milieuprofiel]],'3. Kengetallen (DC-uitdraai)'!D:D,0))),0)</f>
        <v>0</v>
      </c>
      <c r="R12" s="16">
        <f>IFERROR(INDEX('3. Kengetallen (DC-uitdraai)'!V:V,MATCH(Table1[[#This Row],[Milieuprofiel]],'3. Kengetallen (DC-uitdraai)'!D:D,0))*Table1[[#This Row],[Hvd]]*(1+INDEX('3. Kengetallen (DC-uitdraai)'!K:K,MATCH(Table1[[#This Row],[Milieuprofiel]],'3. Kengetallen (DC-uitdraai)'!D:D,0))),0)</f>
        <v>355.44603088129526</v>
      </c>
      <c r="S12" s="16">
        <f>IFERROR(INDEX('3. Kengetallen (DC-uitdraai)'!W:W,MATCH(Table1[[#This Row],[Milieuprofiel]],'3. Kengetallen (DC-uitdraai)'!D:D,0))*Table1[[#This Row],[Hvd]]*(1+INDEX('3. Kengetallen (DC-uitdraai)'!K:K,MATCH(Table1[[#This Row],[Milieuprofiel]],'3. Kengetallen (DC-uitdraai)'!D:D,0))),0)</f>
        <v>0</v>
      </c>
      <c r="T12" s="16">
        <f>IFERROR(INDEX('3. Kengetallen (DC-uitdraai)'!X:X,MATCH(Table1[[#This Row],[Milieuprofiel]],'3. Kengetallen (DC-uitdraai)'!D:D,0))*Table1[[#This Row],[Hvd]]*(1+INDEX('3. Kengetallen (DC-uitdraai)'!K:K,MATCH(Table1[[#This Row],[Milieuprofiel]],'3. Kengetallen (DC-uitdraai)'!D:D,0))),0)</f>
        <v>0</v>
      </c>
      <c r="U12" s="111">
        <f>Table1[[#This Row],[Factor]]</f>
        <v>0.30048916841369672</v>
      </c>
      <c r="V12" s="112">
        <f>Table1[[#This Row],[Volume]]*Table1[[#This Row],[omrekenfactor]]</f>
        <v>64.605171208944796</v>
      </c>
      <c r="W12" s="43" t="str">
        <f>IFERROR(INDEX('Eigen database'!H:H,MATCH(Table1[[#This Row],[Potentieel alternatief]],'Eigen database'!D:D,0)),"")</f>
        <v>uur</v>
      </c>
      <c r="X12" s="108">
        <f>IFERROR(INDEX('Eigen database'!P:P,MATCH(Table1[[#This Row],[Potentieel alternatief]],'Eigen database'!D:D,0))*Table1[[#This Row],[Hoeveelheid]]*(1+INDEX('Eigen database'!K:K,MATCH(Table1[[#This Row],[Potentieel alternatief]],'Eigen database'!D:D,0))),0)</f>
        <v>107.89099732598496</v>
      </c>
      <c r="Y12" s="16">
        <f>IF(Table1[[#This Row],[MKI A-D nieuw]]=0,Table1[[#This Row],[MKI A-D]],Table1[[#This Row],[MKI A-D nieuw]])</f>
        <v>107.89099732598496</v>
      </c>
      <c r="Z12" s="16"/>
      <c r="AA12" s="28">
        <f>IFERROR(INDEX('3. Kengetallen (DC-uitdraai)'!AM:AM,MATCH(Table1[[#This Row],[Milieuprofiel]],'3. Kengetallen (DC-uitdraai)'!C:C,0)),0)*Table1[[#This Row],[Hvd]]</f>
        <v>0</v>
      </c>
      <c r="AB12" s="28">
        <f>IFERROR(INDEX('3. Kengetallen (DC-uitdraai)'!AM:AM,MATCH(Table1[[#This Row],[Potentieel alternatief]],'3. Kengetallen (DC-uitdraai)'!C:C,0)),0)*Table1[[#This Row],[Hvd]]</f>
        <v>0</v>
      </c>
    </row>
    <row r="13" spans="1:30">
      <c r="A13" s="89" t="s">
        <v>108</v>
      </c>
      <c r="B13" s="89" t="s">
        <v>109</v>
      </c>
      <c r="C13" s="42" t="s">
        <v>89</v>
      </c>
      <c r="D13" s="42" t="s">
        <v>102</v>
      </c>
      <c r="E13" t="s">
        <v>110</v>
      </c>
      <c r="F13" t="s">
        <v>111</v>
      </c>
      <c r="G13" t="s">
        <v>105</v>
      </c>
      <c r="H13" t="str">
        <f>IFERROR(INDEX('3. Kengetallen (DC-uitdraai)'!F:F,MATCH(Table1[[#This Row],[Milieuprofiel]],'3. Kengetallen (DC-uitdraai)'!D:D,0)),"")</f>
        <v>Cat.3 (30%)</v>
      </c>
      <c r="I13" s="136">
        <v>7.5</v>
      </c>
      <c r="J13" t="s">
        <v>112</v>
      </c>
      <c r="K13" t="str">
        <f>IF(ISTEXT(Table1[[#This Row],[Milieuprofiel]]),"Ja","Nee")</f>
        <v>Ja</v>
      </c>
      <c r="L13" s="43">
        <f>2.35/(400/24)</f>
        <v>0.14099999999999999</v>
      </c>
      <c r="M13" s="26">
        <f>Table1[[#This Row],[Volume]]*Table1[[#This Row],[Factor]]</f>
        <v>1.0574999999999999</v>
      </c>
      <c r="N13" t="str">
        <f>IFERROR(INDEX('3. Kengetallen (DC-uitdraai)'!H:H,MATCH(Table1[[#This Row],[Milieuprofiel]],'3. Kengetallen (DC-uitdraai)'!D:D,0)),"")</f>
        <v>uur</v>
      </c>
      <c r="O13">
        <f>IFERROR(INDEX('3. Kengetallen (DC-uitdraai)'!I:I,MATCH(Table1[[#This Row],[Milieuprofiel]],'3. Kengetallen (DC-uitdraai)'!D:D,0)),0)</f>
        <v>999</v>
      </c>
      <c r="P13" s="125">
        <f>IFERROR(INDEX('3. Kengetallen (DC-uitdraai)'!P:P,MATCH(Table1[[#This Row],[Milieuprofiel]],'3. Kengetallen (DC-uitdraai)'!D:D,0))*Table1[[#This Row],[Hvd]]*(1+INDEX('3. Kengetallen (DC-uitdraai)'!K:K,MATCH(Table1[[#This Row],[Milieuprofiel]],'3. Kengetallen (DC-uitdraai)'!D:D,0))),0)</f>
        <v>11.345440921158666</v>
      </c>
      <c r="Q13" s="126">
        <f>IFERROR(INDEX('3. Kengetallen (DC-uitdraai)'!U:U,MATCH(Table1[[#This Row],[Milieuprofiel]],'3. Kengetallen (DC-uitdraai)'!D:D,0))*Table1[[#This Row],[Hvd]]*(1+INDEX('3. Kengetallen (DC-uitdraai)'!K:K,MATCH(Table1[[#This Row],[Milieuprofiel]],'3. Kengetallen (DC-uitdraai)'!D:D,0))),0)</f>
        <v>0</v>
      </c>
      <c r="R13" s="126">
        <f>IFERROR(INDEX('3. Kengetallen (DC-uitdraai)'!V:V,MATCH(Table1[[#This Row],[Milieuprofiel]],'3. Kengetallen (DC-uitdraai)'!D:D,0))*Table1[[#This Row],[Hvd]]*(1+INDEX('3. Kengetallen (DC-uitdraai)'!K:K,MATCH(Table1[[#This Row],[Milieuprofiel]],'3. Kengetallen (DC-uitdraai)'!D:D,0))),0)</f>
        <v>8.72726216701661</v>
      </c>
      <c r="S13" s="126">
        <f>IFERROR(INDEX('3. Kengetallen (DC-uitdraai)'!W:W,MATCH(Table1[[#This Row],[Milieuprofiel]],'3. Kengetallen (DC-uitdraai)'!D:D,0))*Table1[[#This Row],[Hvd]]*(1+INDEX('3. Kengetallen (DC-uitdraai)'!K:K,MATCH(Table1[[#This Row],[Milieuprofiel]],'3. Kengetallen (DC-uitdraai)'!D:D,0))),0)</f>
        <v>0</v>
      </c>
      <c r="T13" s="126">
        <f>IFERROR(INDEX('3. Kengetallen (DC-uitdraai)'!X:X,MATCH(Table1[[#This Row],[Milieuprofiel]],'3. Kengetallen (DC-uitdraai)'!D:D,0))*Table1[[#This Row],[Hvd]]*(1+INDEX('3. Kengetallen (DC-uitdraai)'!K:K,MATCH(Table1[[#This Row],[Milieuprofiel]],'3. Kengetallen (DC-uitdraai)'!D:D,0))),0)</f>
        <v>0</v>
      </c>
      <c r="U13" s="135">
        <f>Table1[[#This Row],[Factor]]</f>
        <v>0.14099999999999999</v>
      </c>
      <c r="V13" s="112">
        <f>Table1[[#This Row],[Volume]]*Table1[[#This Row],[omrekenfactor]]</f>
        <v>1.0574999999999999</v>
      </c>
      <c r="W13" s="43" t="str">
        <f>IFERROR(INDEX('Eigen database'!H:H,MATCH(Table1[[#This Row],[Potentieel alternatief]],'Eigen database'!D:D,0)),"")</f>
        <v>uur</v>
      </c>
      <c r="X13" s="114">
        <f>IFERROR(INDEX('Eigen database'!P:P,MATCH(Table1[[#This Row],[Potentieel alternatief]],'Eigen database'!D:D,0))*Table1[[#This Row],[Hoeveelheid]]*(1+INDEX('Eigen database'!K:K,MATCH(Table1[[#This Row],[Potentieel alternatief]],'Eigen database'!D:D,0))),0)</f>
        <v>1.7660309157486187</v>
      </c>
      <c r="Y13" s="126">
        <f>IF(Table1[[#This Row],[MKI A-D nieuw]]=0,Table1[[#This Row],[MKI A-D]],Table1[[#This Row],[MKI A-D nieuw]])</f>
        <v>1.7660309157486187</v>
      </c>
      <c r="Z13" s="126"/>
      <c r="AA13" s="127">
        <f>IFERROR(INDEX('3. Kengetallen (DC-uitdraai)'!AM:AM,MATCH(Table1[[#This Row],[Milieuprofiel]],'3. Kengetallen (DC-uitdraai)'!C:C,0)),0)*Table1[[#This Row],[Hvd]]</f>
        <v>0</v>
      </c>
      <c r="AB13" s="127">
        <f>IFERROR(INDEX('3. Kengetallen (DC-uitdraai)'!AM:AM,MATCH(Table1[[#This Row],[Potentieel alternatief]],'3. Kengetallen (DC-uitdraai)'!C:C,0)),0)*Table1[[#This Row],[Hvd]]</f>
        <v>0</v>
      </c>
    </row>
    <row r="14" spans="1:30">
      <c r="A14" s="89" t="s">
        <v>113</v>
      </c>
      <c r="B14" s="89" t="s">
        <v>109</v>
      </c>
      <c r="C14" s="42" t="s">
        <v>89</v>
      </c>
      <c r="D14" s="42" t="s">
        <v>102</v>
      </c>
      <c r="E14" t="s">
        <v>110</v>
      </c>
      <c r="F14" t="s">
        <v>111</v>
      </c>
      <c r="G14" t="s">
        <v>105</v>
      </c>
      <c r="H14" t="str">
        <f>IFERROR(INDEX('3. Kengetallen (DC-uitdraai)'!F:F,MATCH(Table1[[#This Row],[Milieuprofiel]],'3. Kengetallen (DC-uitdraai)'!D:D,0)),"")</f>
        <v>Cat.3 (30%)</v>
      </c>
      <c r="I14" s="104">
        <v>1.5</v>
      </c>
      <c r="J14" t="s">
        <v>112</v>
      </c>
      <c r="K14" t="str">
        <f>IF(ISTEXT(Table1[[#This Row],[Milieuprofiel]]),"Ja","Nee")</f>
        <v>Ja</v>
      </c>
      <c r="L14" s="43">
        <f>2.35/(400/24)</f>
        <v>0.14099999999999999</v>
      </c>
      <c r="M14" s="26">
        <f>Table1[[#This Row],[Volume]]*Table1[[#This Row],[Factor]]</f>
        <v>0.21149999999999997</v>
      </c>
      <c r="N14" t="str">
        <f>IFERROR(INDEX('3. Kengetallen (DC-uitdraai)'!H:H,MATCH(Table1[[#This Row],[Milieuprofiel]],'3. Kengetallen (DC-uitdraai)'!D:D,0)),"")</f>
        <v>uur</v>
      </c>
      <c r="O14">
        <f>IFERROR(INDEX('3. Kengetallen (DC-uitdraai)'!I:I,MATCH(Table1[[#This Row],[Milieuprofiel]],'3. Kengetallen (DC-uitdraai)'!D:D,0)),0)</f>
        <v>999</v>
      </c>
      <c r="P14" s="125">
        <f>IFERROR(INDEX('3. Kengetallen (DC-uitdraai)'!P:P,MATCH(Table1[[#This Row],[Milieuprofiel]],'3. Kengetallen (DC-uitdraai)'!D:D,0))*Table1[[#This Row],[Hvd]]*(1+INDEX('3. Kengetallen (DC-uitdraai)'!K:K,MATCH(Table1[[#This Row],[Milieuprofiel]],'3. Kengetallen (DC-uitdraai)'!D:D,0))),0)</f>
        <v>2.269088184231733</v>
      </c>
      <c r="Q14" s="126">
        <f>IFERROR(INDEX('3. Kengetallen (DC-uitdraai)'!U:U,MATCH(Table1[[#This Row],[Milieuprofiel]],'3. Kengetallen (DC-uitdraai)'!D:D,0))*Table1[[#This Row],[Hvd]]*(1+INDEX('3. Kengetallen (DC-uitdraai)'!K:K,MATCH(Table1[[#This Row],[Milieuprofiel]],'3. Kengetallen (DC-uitdraai)'!D:D,0))),0)</f>
        <v>0</v>
      </c>
      <c r="R14" s="126">
        <f>IFERROR(INDEX('3. Kengetallen (DC-uitdraai)'!V:V,MATCH(Table1[[#This Row],[Milieuprofiel]],'3. Kengetallen (DC-uitdraai)'!D:D,0))*Table1[[#This Row],[Hvd]]*(1+INDEX('3. Kengetallen (DC-uitdraai)'!K:K,MATCH(Table1[[#This Row],[Milieuprofiel]],'3. Kengetallen (DC-uitdraai)'!D:D,0))),0)</f>
        <v>1.7454524334033219</v>
      </c>
      <c r="S14" s="126">
        <f>IFERROR(INDEX('3. Kengetallen (DC-uitdraai)'!W:W,MATCH(Table1[[#This Row],[Milieuprofiel]],'3. Kengetallen (DC-uitdraai)'!D:D,0))*Table1[[#This Row],[Hvd]]*(1+INDEX('3. Kengetallen (DC-uitdraai)'!K:K,MATCH(Table1[[#This Row],[Milieuprofiel]],'3. Kengetallen (DC-uitdraai)'!D:D,0))),0)</f>
        <v>0</v>
      </c>
      <c r="T14" s="126">
        <f>IFERROR(INDEX('3. Kengetallen (DC-uitdraai)'!X:X,MATCH(Table1[[#This Row],[Milieuprofiel]],'3. Kengetallen (DC-uitdraai)'!D:D,0))*Table1[[#This Row],[Hvd]]*(1+INDEX('3. Kengetallen (DC-uitdraai)'!K:K,MATCH(Table1[[#This Row],[Milieuprofiel]],'3. Kengetallen (DC-uitdraai)'!D:D,0))),0)</f>
        <v>0</v>
      </c>
      <c r="U14" s="135">
        <f>Table1[[#This Row],[Factor]]</f>
        <v>0.14099999999999999</v>
      </c>
      <c r="V14" s="112">
        <f>Table1[[#This Row],[Volume]]*Table1[[#This Row],[omrekenfactor]]</f>
        <v>0.21149999999999997</v>
      </c>
      <c r="W14" s="43" t="str">
        <f>IFERROR(INDEX('Eigen database'!H:H,MATCH(Table1[[#This Row],[Potentieel alternatief]],'Eigen database'!D:D,0)),"")</f>
        <v>uur</v>
      </c>
      <c r="X14" s="114">
        <f>IFERROR(INDEX('Eigen database'!P:P,MATCH(Table1[[#This Row],[Potentieel alternatief]],'Eigen database'!D:D,0))*Table1[[#This Row],[Hoeveelheid]]*(1+INDEX('Eigen database'!K:K,MATCH(Table1[[#This Row],[Potentieel alternatief]],'Eigen database'!D:D,0))),0)</f>
        <v>0.35320618314972374</v>
      </c>
      <c r="Y14" s="126">
        <f>IF(Table1[[#This Row],[MKI A-D nieuw]]=0,Table1[[#This Row],[MKI A-D]],Table1[[#This Row],[MKI A-D nieuw]])</f>
        <v>0.35320618314972374</v>
      </c>
      <c r="Z14" s="126"/>
      <c r="AA14" s="127">
        <f>IFERROR(INDEX('3. Kengetallen (DC-uitdraai)'!AM:AM,MATCH(Table1[[#This Row],[Milieuprofiel]],'3. Kengetallen (DC-uitdraai)'!C:C,0)),0)*Table1[[#This Row],[Hvd]]</f>
        <v>0</v>
      </c>
      <c r="AB14" s="127">
        <f>IFERROR(INDEX('3. Kengetallen (DC-uitdraai)'!AM:AM,MATCH(Table1[[#This Row],[Potentieel alternatief]],'3. Kengetallen (DC-uitdraai)'!C:C,0)),0)*Table1[[#This Row],[Hvd]]</f>
        <v>0</v>
      </c>
    </row>
    <row r="15" spans="1:30">
      <c r="A15" s="89" t="s">
        <v>114</v>
      </c>
      <c r="B15" s="89" t="s">
        <v>109</v>
      </c>
      <c r="C15" s="42" t="s">
        <v>89</v>
      </c>
      <c r="D15" s="42" t="s">
        <v>102</v>
      </c>
      <c r="E15" t="s">
        <v>110</v>
      </c>
      <c r="F15" t="s">
        <v>111</v>
      </c>
      <c r="G15" t="s">
        <v>105</v>
      </c>
      <c r="H15" t="str">
        <f>IFERROR(INDEX('3. Kengetallen (DC-uitdraai)'!F:F,MATCH(Table1[[#This Row],[Milieuprofiel]],'3. Kengetallen (DC-uitdraai)'!D:D,0)),"")</f>
        <v>Cat.3 (30%)</v>
      </c>
      <c r="I15" s="104">
        <v>1.6</v>
      </c>
      <c r="J15" t="s">
        <v>112</v>
      </c>
      <c r="K15" t="str">
        <f>IF(ISTEXT(Table1[[#This Row],[Milieuprofiel]]),"Ja","Nee")</f>
        <v>Ja</v>
      </c>
      <c r="L15" s="43">
        <f>2.35/(400/24)</f>
        <v>0.14099999999999999</v>
      </c>
      <c r="M15" s="26">
        <f>Table1[[#This Row],[Volume]]*Table1[[#This Row],[Factor]]</f>
        <v>0.22559999999999999</v>
      </c>
      <c r="N15" t="str">
        <f>IFERROR(INDEX('3. Kengetallen (DC-uitdraai)'!H:H,MATCH(Table1[[#This Row],[Milieuprofiel]],'3. Kengetallen (DC-uitdraai)'!D:D,0)),"")</f>
        <v>uur</v>
      </c>
      <c r="O15">
        <f>IFERROR(INDEX('3. Kengetallen (DC-uitdraai)'!I:I,MATCH(Table1[[#This Row],[Milieuprofiel]],'3. Kengetallen (DC-uitdraai)'!D:D,0)),0)</f>
        <v>999</v>
      </c>
      <c r="P15" s="125">
        <f>IFERROR(INDEX('3. Kengetallen (DC-uitdraai)'!P:P,MATCH(Table1[[#This Row],[Milieuprofiel]],'3. Kengetallen (DC-uitdraai)'!D:D,0))*Table1[[#This Row],[Hvd]]*(1+INDEX('3. Kengetallen (DC-uitdraai)'!K:K,MATCH(Table1[[#This Row],[Milieuprofiel]],'3. Kengetallen (DC-uitdraai)'!D:D,0))),0)</f>
        <v>2.4203607298471823</v>
      </c>
      <c r="Q15" s="126">
        <f>IFERROR(INDEX('3. Kengetallen (DC-uitdraai)'!U:U,MATCH(Table1[[#This Row],[Milieuprofiel]],'3. Kengetallen (DC-uitdraai)'!D:D,0))*Table1[[#This Row],[Hvd]]*(1+INDEX('3. Kengetallen (DC-uitdraai)'!K:K,MATCH(Table1[[#This Row],[Milieuprofiel]],'3. Kengetallen (DC-uitdraai)'!D:D,0))),0)</f>
        <v>0</v>
      </c>
      <c r="R15" s="126">
        <f>IFERROR(INDEX('3. Kengetallen (DC-uitdraai)'!V:V,MATCH(Table1[[#This Row],[Milieuprofiel]],'3. Kengetallen (DC-uitdraai)'!D:D,0))*Table1[[#This Row],[Hvd]]*(1+INDEX('3. Kengetallen (DC-uitdraai)'!K:K,MATCH(Table1[[#This Row],[Milieuprofiel]],'3. Kengetallen (DC-uitdraai)'!D:D,0))),0)</f>
        <v>1.8618159289635436</v>
      </c>
      <c r="S15" s="126">
        <f>IFERROR(INDEX('3. Kengetallen (DC-uitdraai)'!W:W,MATCH(Table1[[#This Row],[Milieuprofiel]],'3. Kengetallen (DC-uitdraai)'!D:D,0))*Table1[[#This Row],[Hvd]]*(1+INDEX('3. Kengetallen (DC-uitdraai)'!K:K,MATCH(Table1[[#This Row],[Milieuprofiel]],'3. Kengetallen (DC-uitdraai)'!D:D,0))),0)</f>
        <v>0</v>
      </c>
      <c r="T15" s="126">
        <f>IFERROR(INDEX('3. Kengetallen (DC-uitdraai)'!X:X,MATCH(Table1[[#This Row],[Milieuprofiel]],'3. Kengetallen (DC-uitdraai)'!D:D,0))*Table1[[#This Row],[Hvd]]*(1+INDEX('3. Kengetallen (DC-uitdraai)'!K:K,MATCH(Table1[[#This Row],[Milieuprofiel]],'3. Kengetallen (DC-uitdraai)'!D:D,0))),0)</f>
        <v>0</v>
      </c>
      <c r="U15" s="135">
        <f>Table1[[#This Row],[Factor]]</f>
        <v>0.14099999999999999</v>
      </c>
      <c r="V15" s="112">
        <f>Table1[[#This Row],[Volume]]*Table1[[#This Row],[omrekenfactor]]</f>
        <v>0.22559999999999999</v>
      </c>
      <c r="W15" s="43" t="str">
        <f>IFERROR(INDEX('Eigen database'!H:H,MATCH(Table1[[#This Row],[Potentieel alternatief]],'Eigen database'!D:D,0)),"")</f>
        <v>uur</v>
      </c>
      <c r="X15" s="114">
        <f>IFERROR(INDEX('Eigen database'!P:P,MATCH(Table1[[#This Row],[Potentieel alternatief]],'Eigen database'!D:D,0))*Table1[[#This Row],[Hoeveelheid]]*(1+INDEX('Eigen database'!K:K,MATCH(Table1[[#This Row],[Potentieel alternatief]],'Eigen database'!D:D,0))),0)</f>
        <v>0.37675326202637205</v>
      </c>
      <c r="Y15" s="126">
        <f>IF(Table1[[#This Row],[MKI A-D nieuw]]=0,Table1[[#This Row],[MKI A-D]],Table1[[#This Row],[MKI A-D nieuw]])</f>
        <v>0.37675326202637205</v>
      </c>
      <c r="Z15" s="126"/>
      <c r="AA15" s="127">
        <f>IFERROR(INDEX('3. Kengetallen (DC-uitdraai)'!AM:AM,MATCH(Table1[[#This Row],[Milieuprofiel]],'3. Kengetallen (DC-uitdraai)'!C:C,0)),0)*Table1[[#This Row],[Hvd]]</f>
        <v>0</v>
      </c>
      <c r="AB15" s="127">
        <f>IFERROR(INDEX('3. Kengetallen (DC-uitdraai)'!AM:AM,MATCH(Table1[[#This Row],[Potentieel alternatief]],'3. Kengetallen (DC-uitdraai)'!C:C,0)),0)*Table1[[#This Row],[Hvd]]</f>
        <v>0</v>
      </c>
    </row>
    <row r="16" spans="1:30">
      <c r="A16" s="89" t="s">
        <v>115</v>
      </c>
      <c r="B16" s="89" t="s">
        <v>116</v>
      </c>
      <c r="C16" s="42" t="s">
        <v>89</v>
      </c>
      <c r="D16" s="42" t="s">
        <v>102</v>
      </c>
      <c r="E16" t="s">
        <v>117</v>
      </c>
      <c r="F16" t="s">
        <v>104</v>
      </c>
      <c r="G16" t="s">
        <v>105</v>
      </c>
      <c r="H16" t="str">
        <f>IFERROR(INDEX('3. Kengetallen (DC-uitdraai)'!F:F,MATCH(Table1[[#This Row],[Milieuprofiel]],'3. Kengetallen (DC-uitdraai)'!D:D,0)),"")</f>
        <v>Cat.3 (30%)</v>
      </c>
      <c r="I16" s="26">
        <v>5</v>
      </c>
      <c r="J16" t="s">
        <v>118</v>
      </c>
      <c r="K16" t="str">
        <f>IF(ISTEXT(Table1[[#This Row],[Milieuprofiel]]),"Ja","Nee")</f>
        <v>Ja</v>
      </c>
      <c r="L16" s="27">
        <f>5/60</f>
        <v>8.3333333333333329E-2</v>
      </c>
      <c r="M16" s="26">
        <f>Table1[[#This Row],[Volume]]*Table1[[#This Row],[Factor]]</f>
        <v>0.41666666666666663</v>
      </c>
      <c r="N16" t="str">
        <f>IFERROR(INDEX('3. Kengetallen (DC-uitdraai)'!H:H,MATCH(Table1[[#This Row],[Milieuprofiel]],'3. Kengetallen (DC-uitdraai)'!D:D,0)),"")</f>
        <v>uur</v>
      </c>
      <c r="O16">
        <f>IFERROR(INDEX('3. Kengetallen (DC-uitdraai)'!I:I,MATCH(Table1[[#This Row],[Milieuprofiel]],'3. Kengetallen (DC-uitdraai)'!D:D,0)),0)</f>
        <v>999</v>
      </c>
      <c r="P16" s="125">
        <f>IFERROR(INDEX('3. Kengetallen (DC-uitdraai)'!P:P,MATCH(Table1[[#This Row],[Milieuprofiel]],'3. Kengetallen (DC-uitdraai)'!D:D,0))*Table1[[#This Row],[Hvd]]*(1+INDEX('3. Kengetallen (DC-uitdraai)'!K:K,MATCH(Table1[[#This Row],[Milieuprofiel]],'3. Kengetallen (DC-uitdraai)'!D:D,0))),0)</f>
        <v>2.980152592896943</v>
      </c>
      <c r="Q16" s="126">
        <f>IFERROR(INDEX('3. Kengetallen (DC-uitdraai)'!U:U,MATCH(Table1[[#This Row],[Milieuprofiel]],'3. Kengetallen (DC-uitdraai)'!D:D,0))*Table1[[#This Row],[Hvd]]*(1+INDEX('3. Kengetallen (DC-uitdraai)'!K:K,MATCH(Table1[[#This Row],[Milieuprofiel]],'3. Kengetallen (DC-uitdraai)'!D:D,0))),0)</f>
        <v>0</v>
      </c>
      <c r="R16" s="126">
        <f>IFERROR(INDEX('3. Kengetallen (DC-uitdraai)'!V:V,MATCH(Table1[[#This Row],[Milieuprofiel]],'3. Kengetallen (DC-uitdraai)'!D:D,0))*Table1[[#This Row],[Hvd]]*(1+INDEX('3. Kengetallen (DC-uitdraai)'!K:K,MATCH(Table1[[#This Row],[Milieuprofiel]],'3. Kengetallen (DC-uitdraai)'!D:D,0))),0)</f>
        <v>2.2924250504377746</v>
      </c>
      <c r="S16" s="126">
        <f>IFERROR(INDEX('3. Kengetallen (DC-uitdraai)'!W:W,MATCH(Table1[[#This Row],[Milieuprofiel]],'3. Kengetallen (DC-uitdraai)'!D:D,0))*Table1[[#This Row],[Hvd]]*(1+INDEX('3. Kengetallen (DC-uitdraai)'!K:K,MATCH(Table1[[#This Row],[Milieuprofiel]],'3. Kengetallen (DC-uitdraai)'!D:D,0))),0)</f>
        <v>0</v>
      </c>
      <c r="T16" s="126">
        <f>IFERROR(INDEX('3. Kengetallen (DC-uitdraai)'!X:X,MATCH(Table1[[#This Row],[Milieuprofiel]],'3. Kengetallen (DC-uitdraai)'!D:D,0))*Table1[[#This Row],[Hvd]]*(1+INDEX('3. Kengetallen (DC-uitdraai)'!K:K,MATCH(Table1[[#This Row],[Milieuprofiel]],'3. Kengetallen (DC-uitdraai)'!D:D,0))),0)</f>
        <v>0</v>
      </c>
      <c r="U16" s="135">
        <f>Table1[[#This Row],[Factor]]</f>
        <v>8.3333333333333329E-2</v>
      </c>
      <c r="V16" s="112">
        <f>Table1[[#This Row],[Volume]]*Table1[[#This Row],[omrekenfactor]]</f>
        <v>0.41666666666666663</v>
      </c>
      <c r="W16" s="43" t="str">
        <f>IFERROR(INDEX('Eigen database'!H:H,MATCH(Table1[[#This Row],[Potentieel alternatief]],'Eigen database'!D:D,0)),"")</f>
        <v>uur</v>
      </c>
      <c r="X16" s="114">
        <f>IFERROR(INDEX('Eigen database'!P:P,MATCH(Table1[[#This Row],[Potentieel alternatief]],'Eigen database'!D:D,0))*Table1[[#This Row],[Hoeveelheid]]*(1+INDEX('Eigen database'!K:K,MATCH(Table1[[#This Row],[Potentieel alternatief]],'Eigen database'!D:D,0))),0)</f>
        <v>0.69583566420355347</v>
      </c>
      <c r="Y16" s="126">
        <f>IF(Table1[[#This Row],[MKI A-D nieuw]]=0,Table1[[#This Row],[MKI A-D]],Table1[[#This Row],[MKI A-D nieuw]])</f>
        <v>0.69583566420355347</v>
      </c>
      <c r="Z16" s="126"/>
      <c r="AA16" s="127">
        <f>IFERROR(INDEX('3. Kengetallen (DC-uitdraai)'!AM:AM,MATCH(Table1[[#This Row],[Milieuprofiel]],'3. Kengetallen (DC-uitdraai)'!C:C,0)),0)*Table1[[#This Row],[Hvd]]</f>
        <v>0</v>
      </c>
      <c r="AB16" s="127">
        <f>IFERROR(INDEX('3. Kengetallen (DC-uitdraai)'!AM:AM,MATCH(Table1[[#This Row],[Potentieel alternatief]],'3. Kengetallen (DC-uitdraai)'!C:C,0)),0)*Table1[[#This Row],[Hvd]]</f>
        <v>0</v>
      </c>
    </row>
    <row r="17" spans="1:28">
      <c r="A17" s="89" t="s">
        <v>119</v>
      </c>
      <c r="B17" s="89" t="s">
        <v>116</v>
      </c>
      <c r="C17" s="42" t="s">
        <v>89</v>
      </c>
      <c r="D17" s="42" t="s">
        <v>102</v>
      </c>
      <c r="E17" t="s">
        <v>120</v>
      </c>
      <c r="F17" t="s">
        <v>104</v>
      </c>
      <c r="G17" t="s">
        <v>105</v>
      </c>
      <c r="H17" t="str">
        <f>IFERROR(INDEX('3. Kengetallen (DC-uitdraai)'!F:F,MATCH(Table1[[#This Row],[Milieuprofiel]],'3. Kengetallen (DC-uitdraai)'!D:D,0)),"")</f>
        <v>Cat.3 (30%)</v>
      </c>
      <c r="I17" s="26">
        <v>30</v>
      </c>
      <c r="J17" t="s">
        <v>118</v>
      </c>
      <c r="K17" t="str">
        <f>IF(ISTEXT(Table1[[#This Row],[Milieuprofiel]]),"Ja","Nee")</f>
        <v>Ja</v>
      </c>
      <c r="L17" s="27">
        <f>20/60</f>
        <v>0.33333333333333331</v>
      </c>
      <c r="M17" s="26">
        <f>Table1[[#This Row],[Volume]]*Table1[[#This Row],[Factor]]</f>
        <v>10</v>
      </c>
      <c r="N17" t="str">
        <f>IFERROR(INDEX('3. Kengetallen (DC-uitdraai)'!H:H,MATCH(Table1[[#This Row],[Milieuprofiel]],'3. Kengetallen (DC-uitdraai)'!D:D,0)),"")</f>
        <v>uur</v>
      </c>
      <c r="O17">
        <f>IFERROR(INDEX('3. Kengetallen (DC-uitdraai)'!I:I,MATCH(Table1[[#This Row],[Milieuprofiel]],'3. Kengetallen (DC-uitdraai)'!D:D,0)),0)</f>
        <v>999</v>
      </c>
      <c r="P17" s="125">
        <f>IFERROR(INDEX('3. Kengetallen (DC-uitdraai)'!P:P,MATCH(Table1[[#This Row],[Milieuprofiel]],'3. Kengetallen (DC-uitdraai)'!D:D,0))*Table1[[#This Row],[Hvd]]*(1+INDEX('3. Kengetallen (DC-uitdraai)'!K:K,MATCH(Table1[[#This Row],[Milieuprofiel]],'3. Kengetallen (DC-uitdraai)'!D:D,0))),0)</f>
        <v>71.523662229526636</v>
      </c>
      <c r="Q17" s="126">
        <f>IFERROR(INDEX('3. Kengetallen (DC-uitdraai)'!U:U,MATCH(Table1[[#This Row],[Milieuprofiel]],'3. Kengetallen (DC-uitdraai)'!D:D,0))*Table1[[#This Row],[Hvd]]*(1+INDEX('3. Kengetallen (DC-uitdraai)'!K:K,MATCH(Table1[[#This Row],[Milieuprofiel]],'3. Kengetallen (DC-uitdraai)'!D:D,0))),0)</f>
        <v>0</v>
      </c>
      <c r="R17" s="126">
        <f>IFERROR(INDEX('3. Kengetallen (DC-uitdraai)'!V:V,MATCH(Table1[[#This Row],[Milieuprofiel]],'3. Kengetallen (DC-uitdraai)'!D:D,0))*Table1[[#This Row],[Hvd]]*(1+INDEX('3. Kengetallen (DC-uitdraai)'!K:K,MATCH(Table1[[#This Row],[Milieuprofiel]],'3. Kengetallen (DC-uitdraai)'!D:D,0))),0)</f>
        <v>55.018201210506597</v>
      </c>
      <c r="S17" s="126">
        <f>IFERROR(INDEX('3. Kengetallen (DC-uitdraai)'!W:W,MATCH(Table1[[#This Row],[Milieuprofiel]],'3. Kengetallen (DC-uitdraai)'!D:D,0))*Table1[[#This Row],[Hvd]]*(1+INDEX('3. Kengetallen (DC-uitdraai)'!K:K,MATCH(Table1[[#This Row],[Milieuprofiel]],'3. Kengetallen (DC-uitdraai)'!D:D,0))),0)</f>
        <v>0</v>
      </c>
      <c r="T17" s="126">
        <f>IFERROR(INDEX('3. Kengetallen (DC-uitdraai)'!X:X,MATCH(Table1[[#This Row],[Milieuprofiel]],'3. Kengetallen (DC-uitdraai)'!D:D,0))*Table1[[#This Row],[Hvd]]*(1+INDEX('3. Kengetallen (DC-uitdraai)'!K:K,MATCH(Table1[[#This Row],[Milieuprofiel]],'3. Kengetallen (DC-uitdraai)'!D:D,0))),0)</f>
        <v>0</v>
      </c>
      <c r="U17" s="135">
        <f>Table1[[#This Row],[Factor]]</f>
        <v>0.33333333333333331</v>
      </c>
      <c r="V17" s="112">
        <f>Table1[[#This Row],[Volume]]*Table1[[#This Row],[omrekenfactor]]</f>
        <v>10</v>
      </c>
      <c r="W17" s="43" t="str">
        <f>IFERROR(INDEX('Eigen database'!H:H,MATCH(Table1[[#This Row],[Potentieel alternatief]],'Eigen database'!D:D,0)),"")</f>
        <v>uur</v>
      </c>
      <c r="X17" s="114">
        <f>IFERROR(INDEX('Eigen database'!P:P,MATCH(Table1[[#This Row],[Potentieel alternatief]],'Eigen database'!D:D,0))*Table1[[#This Row],[Hoeveelheid]]*(1+INDEX('Eigen database'!K:K,MATCH(Table1[[#This Row],[Potentieel alternatief]],'Eigen database'!D:D,0))),0)</f>
        <v>16.700055940885285</v>
      </c>
      <c r="Y17" s="126">
        <f>IF(Table1[[#This Row],[MKI A-D nieuw]]=0,Table1[[#This Row],[MKI A-D]],Table1[[#This Row],[MKI A-D nieuw]])</f>
        <v>16.700055940885285</v>
      </c>
      <c r="Z17" s="126"/>
      <c r="AA17" s="127">
        <f>IFERROR(INDEX('3. Kengetallen (DC-uitdraai)'!AM:AM,MATCH(Table1[[#This Row],[Milieuprofiel]],'3. Kengetallen (DC-uitdraai)'!C:C,0)),0)*Table1[[#This Row],[Hvd]]</f>
        <v>0</v>
      </c>
      <c r="AB17" s="127">
        <f>IFERROR(INDEX('3. Kengetallen (DC-uitdraai)'!AM:AM,MATCH(Table1[[#This Row],[Potentieel alternatief]],'3. Kengetallen (DC-uitdraai)'!C:C,0)),0)*Table1[[#This Row],[Hvd]]</f>
        <v>0</v>
      </c>
    </row>
    <row r="18" spans="1:28">
      <c r="A18" s="89" t="s">
        <v>121</v>
      </c>
      <c r="B18" s="89" t="s">
        <v>122</v>
      </c>
      <c r="C18" s="42" t="s">
        <v>89</v>
      </c>
      <c r="D18" s="42" t="s">
        <v>102</v>
      </c>
      <c r="E18" s="42" t="s">
        <v>123</v>
      </c>
      <c r="F18" t="s">
        <v>124</v>
      </c>
      <c r="H18" t="str">
        <f>IFERROR(INDEX('3. Kengetallen (DC-uitdraai)'!F:F,MATCH(Table1[[#This Row],[Milieuprofiel]],'3. Kengetallen (DC-uitdraai)'!D:D,0)),"")</f>
        <v>Cat.3 (30%)</v>
      </c>
      <c r="I18" s="26">
        <v>406</v>
      </c>
      <c r="J18" t="s">
        <v>118</v>
      </c>
      <c r="K18" t="str">
        <f>IF(ISTEXT(Table1[[#This Row],[Milieuprofiel]]),"Ja","Nee")</f>
        <v>Ja</v>
      </c>
      <c r="L18" s="27">
        <f>654/1000*(0.43/0.477)</f>
        <v>0.589559748427673</v>
      </c>
      <c r="M18" s="26">
        <f>Table1[[#This Row],[Volume]]*Table1[[#This Row],[Factor]]</f>
        <v>239.36125786163524</v>
      </c>
      <c r="N18" t="str">
        <f>IFERROR(INDEX('3. Kengetallen (DC-uitdraai)'!H:H,MATCH(Table1[[#This Row],[Milieuprofiel]],'3. Kengetallen (DC-uitdraai)'!D:D,0)),"")</f>
        <v>ton</v>
      </c>
      <c r="O18">
        <f>IFERROR(INDEX('3. Kengetallen (DC-uitdraai)'!I:I,MATCH(Table1[[#This Row],[Milieuprofiel]],'3. Kengetallen (DC-uitdraai)'!D:D,0)),0)</f>
        <v>999</v>
      </c>
      <c r="P18" s="125">
        <f>IFERROR(INDEX('3. Kengetallen (DC-uitdraai)'!P:P,MATCH(Table1[[#This Row],[Milieuprofiel]],'3. Kengetallen (DC-uitdraai)'!D:D,0))*Table1[[#This Row],[Hvd]]*(1+INDEX('3. Kengetallen (DC-uitdraai)'!K:K,MATCH(Table1[[#This Row],[Milieuprofiel]],'3. Kengetallen (DC-uitdraai)'!D:D,0))),0)</f>
        <v>892.84323755272237</v>
      </c>
      <c r="Q18" s="126">
        <f>IFERROR(INDEX('3. Kengetallen (DC-uitdraai)'!U:U,MATCH(Table1[[#This Row],[Milieuprofiel]],'3. Kengetallen (DC-uitdraai)'!D:D,0))*Table1[[#This Row],[Hvd]]*(1+INDEX('3. Kengetallen (DC-uitdraai)'!K:K,MATCH(Table1[[#This Row],[Milieuprofiel]],'3. Kengetallen (DC-uitdraai)'!D:D,0))),0)</f>
        <v>0</v>
      </c>
      <c r="R18" s="126">
        <f>IFERROR(INDEX('3. Kengetallen (DC-uitdraai)'!V:V,MATCH(Table1[[#This Row],[Milieuprofiel]],'3. Kengetallen (DC-uitdraai)'!D:D,0))*Table1[[#This Row],[Hvd]]*(1+INDEX('3. Kengetallen (DC-uitdraai)'!K:K,MATCH(Table1[[#This Row],[Milieuprofiel]],'3. Kengetallen (DC-uitdraai)'!D:D,0))),0)</f>
        <v>0</v>
      </c>
      <c r="S18" s="126">
        <f>IFERROR(INDEX('3. Kengetallen (DC-uitdraai)'!W:W,MATCH(Table1[[#This Row],[Milieuprofiel]],'3. Kengetallen (DC-uitdraai)'!D:D,0))*Table1[[#This Row],[Hvd]]*(1+INDEX('3. Kengetallen (DC-uitdraai)'!K:K,MATCH(Table1[[#This Row],[Milieuprofiel]],'3. Kengetallen (DC-uitdraai)'!D:D,0))),0)</f>
        <v>0</v>
      </c>
      <c r="T18" s="126">
        <f>IFERROR(INDEX('3. Kengetallen (DC-uitdraai)'!X:X,MATCH(Table1[[#This Row],[Milieuprofiel]],'3. Kengetallen (DC-uitdraai)'!D:D,0))*Table1[[#This Row],[Hvd]]*(1+INDEX('3. Kengetallen (DC-uitdraai)'!K:K,MATCH(Table1[[#This Row],[Milieuprofiel]],'3. Kengetallen (DC-uitdraai)'!D:D,0))),0)</f>
        <v>686.80248412722983</v>
      </c>
      <c r="U18" s="135"/>
      <c r="V18" s="112"/>
      <c r="W18" s="43" t="str">
        <f>IFERROR(INDEX('Eigen database'!H:H,MATCH(Table1[[#This Row],[Potentieel alternatief]],'Eigen database'!D:D,0)),"")</f>
        <v/>
      </c>
      <c r="X18" s="114">
        <f>IFERROR(INDEX('Eigen database'!P:P,MATCH(Table1[[#This Row],[Potentieel alternatief]],'Eigen database'!D:D,0))*Table1[[#This Row],[Hoeveelheid]]*(1+INDEX('Eigen database'!K:K,MATCH(Table1[[#This Row],[Potentieel alternatief]],'Eigen database'!D:D,0))),0)</f>
        <v>0</v>
      </c>
      <c r="Y18" s="126">
        <f>IF(Table1[[#This Row],[MKI A-D nieuw]]=0,Table1[[#This Row],[MKI A-D]],Table1[[#This Row],[MKI A-D nieuw]])</f>
        <v>892.84323755272237</v>
      </c>
      <c r="Z18" s="126"/>
      <c r="AA18" s="127">
        <f>IFERROR(INDEX('3. Kengetallen (DC-uitdraai)'!AM:AM,MATCH(Table1[[#This Row],[Milieuprofiel]],'3. Kengetallen (DC-uitdraai)'!C:C,0)),0)*Table1[[#This Row],[Hvd]]</f>
        <v>0</v>
      </c>
      <c r="AB18" s="127">
        <f>IFERROR(INDEX('3. Kengetallen (DC-uitdraai)'!AM:AM,MATCH(Table1[[#This Row],[Potentieel alternatief]],'3. Kengetallen (DC-uitdraai)'!C:C,0)),0)*Table1[[#This Row],[Hvd]]</f>
        <v>0</v>
      </c>
    </row>
    <row r="19" spans="1:28">
      <c r="A19" s="89" t="s">
        <v>125</v>
      </c>
      <c r="B19" s="89" t="s">
        <v>122</v>
      </c>
      <c r="C19" s="42" t="s">
        <v>89</v>
      </c>
      <c r="D19" s="42" t="s">
        <v>102</v>
      </c>
      <c r="E19" s="42" t="s">
        <v>123</v>
      </c>
      <c r="F19" t="s">
        <v>124</v>
      </c>
      <c r="H19" t="str">
        <f>IFERROR(INDEX('3. Kengetallen (DC-uitdraai)'!F:F,MATCH(Table1[[#This Row],[Milieuprofiel]],'3. Kengetallen (DC-uitdraai)'!D:D,0)),"")</f>
        <v>Cat.3 (30%)</v>
      </c>
      <c r="I19" s="26">
        <v>24</v>
      </c>
      <c r="J19" t="s">
        <v>118</v>
      </c>
      <c r="K19" t="str">
        <f>IF(ISTEXT(Table1[[#This Row],[Milieuprofiel]]),"Ja","Nee")</f>
        <v>Ja</v>
      </c>
      <c r="L19" s="27">
        <f>654/1000*(0.43/0.477)</f>
        <v>0.589559748427673</v>
      </c>
      <c r="M19" s="26">
        <f>Table1[[#This Row],[Volume]]*Table1[[#This Row],[Factor]]</f>
        <v>14.149433962264151</v>
      </c>
      <c r="N19" t="str">
        <f>IFERROR(INDEX('3. Kengetallen (DC-uitdraai)'!H:H,MATCH(Table1[[#This Row],[Milieuprofiel]],'3. Kengetallen (DC-uitdraai)'!D:D,0)),"")</f>
        <v>ton</v>
      </c>
      <c r="O19">
        <f>IFERROR(INDEX('3. Kengetallen (DC-uitdraai)'!I:I,MATCH(Table1[[#This Row],[Milieuprofiel]],'3. Kengetallen (DC-uitdraai)'!D:D,0)),0)</f>
        <v>999</v>
      </c>
      <c r="P19" s="125">
        <f>IFERROR(INDEX('3. Kengetallen (DC-uitdraai)'!P:P,MATCH(Table1[[#This Row],[Milieuprofiel]],'3. Kengetallen (DC-uitdraai)'!D:D,0))*Table1[[#This Row],[Hvd]]*(1+INDEX('3. Kengetallen (DC-uitdraai)'!K:K,MATCH(Table1[[#This Row],[Milieuprofiel]],'3. Kengetallen (DC-uitdraai)'!D:D,0))),0)</f>
        <v>52.778910594249595</v>
      </c>
      <c r="Q19" s="126">
        <f>IFERROR(INDEX('3. Kengetallen (DC-uitdraai)'!U:U,MATCH(Table1[[#This Row],[Milieuprofiel]],'3. Kengetallen (DC-uitdraai)'!D:D,0))*Table1[[#This Row],[Hvd]]*(1+INDEX('3. Kengetallen (DC-uitdraai)'!K:K,MATCH(Table1[[#This Row],[Milieuprofiel]],'3. Kengetallen (DC-uitdraai)'!D:D,0))),0)</f>
        <v>0</v>
      </c>
      <c r="R19" s="126">
        <f>IFERROR(INDEX('3. Kengetallen (DC-uitdraai)'!V:V,MATCH(Table1[[#This Row],[Milieuprofiel]],'3. Kengetallen (DC-uitdraai)'!D:D,0))*Table1[[#This Row],[Hvd]]*(1+INDEX('3. Kengetallen (DC-uitdraai)'!K:K,MATCH(Table1[[#This Row],[Milieuprofiel]],'3. Kengetallen (DC-uitdraai)'!D:D,0))),0)</f>
        <v>0</v>
      </c>
      <c r="S19" s="126">
        <f>IFERROR(INDEX('3. Kengetallen (DC-uitdraai)'!W:W,MATCH(Table1[[#This Row],[Milieuprofiel]],'3. Kengetallen (DC-uitdraai)'!D:D,0))*Table1[[#This Row],[Hvd]]*(1+INDEX('3. Kengetallen (DC-uitdraai)'!K:K,MATCH(Table1[[#This Row],[Milieuprofiel]],'3. Kengetallen (DC-uitdraai)'!D:D,0))),0)</f>
        <v>0</v>
      </c>
      <c r="T19" s="126">
        <f>IFERROR(INDEX('3. Kengetallen (DC-uitdraai)'!X:X,MATCH(Table1[[#This Row],[Milieuprofiel]],'3. Kengetallen (DC-uitdraai)'!D:D,0))*Table1[[#This Row],[Hvd]]*(1+INDEX('3. Kengetallen (DC-uitdraai)'!K:K,MATCH(Table1[[#This Row],[Milieuprofiel]],'3. Kengetallen (DC-uitdraai)'!D:D,0))),0)</f>
        <v>40.599161623284516</v>
      </c>
      <c r="U19" s="135"/>
      <c r="V19" s="112"/>
      <c r="W19" s="43" t="str">
        <f>IFERROR(INDEX('Eigen database'!H:H,MATCH(Table1[[#This Row],[Potentieel alternatief]],'Eigen database'!D:D,0)),"")</f>
        <v/>
      </c>
      <c r="X19" s="114">
        <f>IFERROR(INDEX('Eigen database'!P:P,MATCH(Table1[[#This Row],[Potentieel alternatief]],'Eigen database'!D:D,0))*Table1[[#This Row],[Hoeveelheid]]*(1+INDEX('Eigen database'!K:K,MATCH(Table1[[#This Row],[Potentieel alternatief]],'Eigen database'!D:D,0))),0)</f>
        <v>0</v>
      </c>
      <c r="Y19" s="126">
        <f>IF(Table1[[#This Row],[MKI A-D nieuw]]=0,Table1[[#This Row],[MKI A-D]],Table1[[#This Row],[MKI A-D nieuw]])</f>
        <v>52.778910594249595</v>
      </c>
      <c r="Z19" s="126"/>
      <c r="AA19" s="127">
        <f>IFERROR(INDEX('3. Kengetallen (DC-uitdraai)'!AM:AM,MATCH(Table1[[#This Row],[Milieuprofiel]],'3. Kengetallen (DC-uitdraai)'!C:C,0)),0)*Table1[[#This Row],[Hvd]]</f>
        <v>0</v>
      </c>
      <c r="AB19" s="127">
        <f>IFERROR(INDEX('3. Kengetallen (DC-uitdraai)'!AM:AM,MATCH(Table1[[#This Row],[Potentieel alternatief]],'3. Kengetallen (DC-uitdraai)'!C:C,0)),0)*Table1[[#This Row],[Hvd]]</f>
        <v>0</v>
      </c>
    </row>
    <row r="20" spans="1:28">
      <c r="A20" s="89" t="s">
        <v>126</v>
      </c>
      <c r="B20" s="89" t="s">
        <v>127</v>
      </c>
      <c r="C20" s="42" t="s">
        <v>89</v>
      </c>
      <c r="D20" s="42" t="s">
        <v>102</v>
      </c>
      <c r="E20" t="s">
        <v>128</v>
      </c>
      <c r="F20" t="s">
        <v>129</v>
      </c>
      <c r="H20" t="str">
        <f>IFERROR(INDEX('3. Kengetallen (DC-uitdraai)'!F:F,MATCH(Table1[[#This Row],[Milieuprofiel]],'3. Kengetallen (DC-uitdraai)'!D:D,0)),"")</f>
        <v>Cat.3 (30%)</v>
      </c>
      <c r="I20" s="26">
        <v>6</v>
      </c>
      <c r="J20" t="s">
        <v>93</v>
      </c>
      <c r="K20" t="str">
        <f>IF(ISTEXT(Table1[[#This Row],[Milieuprofiel]]),"Ja","Nee")</f>
        <v>Ja</v>
      </c>
      <c r="L20" s="27">
        <f>126.3/1000*(0.43/0.477)</f>
        <v>0.11385534591194969</v>
      </c>
      <c r="M20" s="26">
        <f>Table1[[#This Row],[Volume]]*Table1[[#This Row],[Factor]]</f>
        <v>0.68313207547169819</v>
      </c>
      <c r="N20" t="str">
        <f>IFERROR(INDEX('3. Kengetallen (DC-uitdraai)'!H:H,MATCH(Table1[[#This Row],[Milieuprofiel]],'3. Kengetallen (DC-uitdraai)'!D:D,0)),"")</f>
        <v>ton</v>
      </c>
      <c r="O20">
        <f>IFERROR(INDEX('3. Kengetallen (DC-uitdraai)'!I:I,MATCH(Table1[[#This Row],[Milieuprofiel]],'3. Kengetallen (DC-uitdraai)'!D:D,0)),0)</f>
        <v>999</v>
      </c>
      <c r="P20" s="125">
        <f>IFERROR(INDEX('3. Kengetallen (DC-uitdraai)'!P:P,MATCH(Table1[[#This Row],[Milieuprofiel]],'3. Kengetallen (DC-uitdraai)'!D:D,0))*Table1[[#This Row],[Hvd]]*(1+INDEX('3. Kengetallen (DC-uitdraai)'!K:K,MATCH(Table1[[#This Row],[Milieuprofiel]],'3. Kengetallen (DC-uitdraai)'!D:D,0))),0)</f>
        <v>5.8315799464254958</v>
      </c>
      <c r="Q20" s="126">
        <f>IFERROR(INDEX('3. Kengetallen (DC-uitdraai)'!U:U,MATCH(Table1[[#This Row],[Milieuprofiel]],'3. Kengetallen (DC-uitdraai)'!D:D,0))*Table1[[#This Row],[Hvd]]*(1+INDEX('3. Kengetallen (DC-uitdraai)'!K:K,MATCH(Table1[[#This Row],[Milieuprofiel]],'3. Kengetallen (DC-uitdraai)'!D:D,0))),0)</f>
        <v>0</v>
      </c>
      <c r="R20" s="126">
        <f>IFERROR(INDEX('3. Kengetallen (DC-uitdraai)'!V:V,MATCH(Table1[[#This Row],[Milieuprofiel]],'3. Kengetallen (DC-uitdraai)'!D:D,0))*Table1[[#This Row],[Hvd]]*(1+INDEX('3. Kengetallen (DC-uitdraai)'!K:K,MATCH(Table1[[#This Row],[Milieuprofiel]],'3. Kengetallen (DC-uitdraai)'!D:D,0))),0)</f>
        <v>0</v>
      </c>
      <c r="S20" s="126">
        <f>IFERROR(INDEX('3. Kengetallen (DC-uitdraai)'!W:W,MATCH(Table1[[#This Row],[Milieuprofiel]],'3. Kengetallen (DC-uitdraai)'!D:D,0))*Table1[[#This Row],[Hvd]]*(1+INDEX('3. Kengetallen (DC-uitdraai)'!K:K,MATCH(Table1[[#This Row],[Milieuprofiel]],'3. Kengetallen (DC-uitdraai)'!D:D,0))),0)</f>
        <v>0</v>
      </c>
      <c r="T20" s="126">
        <f>IFERROR(INDEX('3. Kengetallen (DC-uitdraai)'!X:X,MATCH(Table1[[#This Row],[Milieuprofiel]],'3. Kengetallen (DC-uitdraai)'!D:D,0))*Table1[[#This Row],[Hvd]]*(1+INDEX('3. Kengetallen (DC-uitdraai)'!K:K,MATCH(Table1[[#This Row],[Milieuprofiel]],'3. Kengetallen (DC-uitdraai)'!D:D,0))),0)</f>
        <v>4.4858306868847899</v>
      </c>
      <c r="U20" s="126"/>
      <c r="V20" s="112"/>
      <c r="W20" s="43" t="str">
        <f>IFERROR(INDEX('Eigen database'!H:H,MATCH(Table1[[#This Row],[Potentieel alternatief]],'Eigen database'!D:D,0)),"")</f>
        <v/>
      </c>
      <c r="X20" s="114">
        <f>IFERROR(INDEX('Eigen database'!P:P,MATCH(Table1[[#This Row],[Potentieel alternatief]],'Eigen database'!D:D,0))*Table1[[#This Row],[Hoeveelheid]]*(1+INDEX('Eigen database'!K:K,MATCH(Table1[[#This Row],[Potentieel alternatief]],'Eigen database'!D:D,0))),0)</f>
        <v>0</v>
      </c>
      <c r="Y20" s="126">
        <f>IF(Table1[[#This Row],[MKI A-D nieuw]]=0,Table1[[#This Row],[MKI A-D]],Table1[[#This Row],[MKI A-D nieuw]])</f>
        <v>5.8315799464254958</v>
      </c>
      <c r="Z20" s="126"/>
      <c r="AA20" s="127">
        <f>IFERROR(INDEX('3. Kengetallen (DC-uitdraai)'!AM:AM,MATCH(Table1[[#This Row],[Milieuprofiel]],'3. Kengetallen (DC-uitdraai)'!C:C,0)),0)*Table1[[#This Row],[Hvd]]</f>
        <v>0</v>
      </c>
      <c r="AB20" s="127">
        <f>IFERROR(INDEX('3. Kengetallen (DC-uitdraai)'!AM:AM,MATCH(Table1[[#This Row],[Potentieel alternatief]],'3. Kengetallen (DC-uitdraai)'!C:C,0)),0)*Table1[[#This Row],[Hvd]]</f>
        <v>0</v>
      </c>
    </row>
    <row r="21" spans="1:28" hidden="1">
      <c r="A21" s="89" t="s">
        <v>130</v>
      </c>
      <c r="B21" s="89"/>
      <c r="C21" s="42"/>
      <c r="D21" s="42"/>
      <c r="E21" t="s">
        <v>131</v>
      </c>
      <c r="H21" t="str">
        <f>IFERROR(INDEX('3. Kengetallen (DC-uitdraai)'!F:F,MATCH(Table1[[#This Row],[Milieuprofiel]],'3. Kengetallen (DC-uitdraai)'!D:D,0)),"")</f>
        <v/>
      </c>
      <c r="I21" s="26">
        <v>3</v>
      </c>
      <c r="J21" t="s">
        <v>132</v>
      </c>
      <c r="K21" t="str">
        <f>IF(ISTEXT(Table1[[#This Row],[Milieuprofiel]]),"Ja","Nee")</f>
        <v>Nee</v>
      </c>
      <c r="L21" s="27">
        <v>1</v>
      </c>
      <c r="M21" s="26">
        <f>Table1[[#This Row],[Volume]]*Table1[[#This Row],[Factor]]</f>
        <v>3</v>
      </c>
      <c r="N21" t="str">
        <f>IFERROR(INDEX('3. Kengetallen (DC-uitdraai)'!H:H,MATCH(Table1[[#This Row],[Milieuprofiel]],'3. Kengetallen (DC-uitdraai)'!D:D,0)),"")</f>
        <v/>
      </c>
      <c r="O21">
        <f>IFERROR(INDEX('3. Kengetallen (DC-uitdraai)'!I:I,MATCH(Table1[[#This Row],[Milieuprofiel]],'3. Kengetallen (DC-uitdraai)'!D:D,0)),0)</f>
        <v>0</v>
      </c>
      <c r="P21" s="125">
        <f>IFERROR(INDEX('3. Kengetallen (DC-uitdraai)'!P:P,MATCH(Table1[[#This Row],[Milieuprofiel]],'3. Kengetallen (DC-uitdraai)'!D:D,0))*Table1[[#This Row],[Hvd]]*(1+INDEX('3. Kengetallen (DC-uitdraai)'!K:K,MATCH(Table1[[#This Row],[Milieuprofiel]],'3. Kengetallen (DC-uitdraai)'!D:D,0))),0)</f>
        <v>0</v>
      </c>
      <c r="Q21" s="126">
        <f>IFERROR(INDEX('3. Kengetallen (DC-uitdraai)'!U:U,MATCH(Table1[[#This Row],[Milieuprofiel]],'3. Kengetallen (DC-uitdraai)'!D:D,0))*Table1[[#This Row],[Hvd]]*(1+INDEX('3. Kengetallen (DC-uitdraai)'!K:K,MATCH(Table1[[#This Row],[Milieuprofiel]],'3. Kengetallen (DC-uitdraai)'!D:D,0))),0)</f>
        <v>0</v>
      </c>
      <c r="R21" s="126">
        <f>IFERROR(INDEX('3. Kengetallen (DC-uitdraai)'!V:V,MATCH(Table1[[#This Row],[Milieuprofiel]],'3. Kengetallen (DC-uitdraai)'!D:D,0))*Table1[[#This Row],[Hvd]]*(1+INDEX('3. Kengetallen (DC-uitdraai)'!K:K,MATCH(Table1[[#This Row],[Milieuprofiel]],'3. Kengetallen (DC-uitdraai)'!D:D,0))),0)</f>
        <v>0</v>
      </c>
      <c r="S21" s="126">
        <f>IFERROR(INDEX('3. Kengetallen (DC-uitdraai)'!W:W,MATCH(Table1[[#This Row],[Milieuprofiel]],'3. Kengetallen (DC-uitdraai)'!D:D,0))*Table1[[#This Row],[Hvd]]*(1+INDEX('3. Kengetallen (DC-uitdraai)'!K:K,MATCH(Table1[[#This Row],[Milieuprofiel]],'3. Kengetallen (DC-uitdraai)'!D:D,0))),0)</f>
        <v>0</v>
      </c>
      <c r="T21" s="126">
        <f>IFERROR(INDEX('3. Kengetallen (DC-uitdraai)'!X:X,MATCH(Table1[[#This Row],[Milieuprofiel]],'3. Kengetallen (DC-uitdraai)'!D:D,0))*Table1[[#This Row],[Hvd]]*(1+INDEX('3. Kengetallen (DC-uitdraai)'!K:K,MATCH(Table1[[#This Row],[Milieuprofiel]],'3. Kengetallen (DC-uitdraai)'!D:D,0))),0)</f>
        <v>0</v>
      </c>
      <c r="U21" s="126"/>
      <c r="V21" s="112"/>
      <c r="W21" s="43" t="str">
        <f>IFERROR(INDEX('Eigen database'!H:H,MATCH(Table1[[#This Row],[Potentieel alternatief]],'Eigen database'!D:D,0)),"")</f>
        <v/>
      </c>
      <c r="X21" s="114">
        <f>IFERROR(INDEX('Eigen database'!P:P,MATCH(Table1[[#This Row],[Potentieel alternatief]],'Eigen database'!D:D,0))*Table1[[#This Row],[Hoeveelheid]]*(1+INDEX('Eigen database'!K:K,MATCH(Table1[[#This Row],[Potentieel alternatief]],'Eigen database'!D:D,0))),0)</f>
        <v>0</v>
      </c>
      <c r="Y21" s="126">
        <f>IF(Table1[[#This Row],[MKI A-D nieuw]]=0,Table1[[#This Row],[MKI A-D]],Table1[[#This Row],[MKI A-D nieuw]])</f>
        <v>0</v>
      </c>
      <c r="Z21" s="126"/>
      <c r="AA21" s="127">
        <f>IFERROR(INDEX('3. Kengetallen (DC-uitdraai)'!AM:AM,MATCH(Table1[[#This Row],[Milieuprofiel]],'3. Kengetallen (DC-uitdraai)'!C:C,0)),0)*Table1[[#This Row],[Hvd]]</f>
        <v>0</v>
      </c>
      <c r="AB21" s="127">
        <f>IFERROR(INDEX('3. Kengetallen (DC-uitdraai)'!AM:AM,MATCH(Table1[[#This Row],[Potentieel alternatief]],'3. Kengetallen (DC-uitdraai)'!C:C,0)),0)*Table1[[#This Row],[Hvd]]</f>
        <v>0</v>
      </c>
    </row>
    <row r="22" spans="1:28" hidden="1">
      <c r="A22" s="89" t="s">
        <v>133</v>
      </c>
      <c r="B22" s="89"/>
      <c r="C22" s="42"/>
      <c r="D22" s="42"/>
      <c r="E22" t="s">
        <v>134</v>
      </c>
      <c r="H22" t="str">
        <f>IFERROR(INDEX('3. Kengetallen (DC-uitdraai)'!F:F,MATCH(Table1[[#This Row],[Milieuprofiel]],'3. Kengetallen (DC-uitdraai)'!D:D,0)),"")</f>
        <v/>
      </c>
      <c r="I22" s="26">
        <v>10</v>
      </c>
      <c r="J22" t="s">
        <v>132</v>
      </c>
      <c r="K22" t="str">
        <f>IF(ISTEXT(Table1[[#This Row],[Milieuprofiel]]),"Ja","Nee")</f>
        <v>Nee</v>
      </c>
      <c r="L22" s="27">
        <v>1</v>
      </c>
      <c r="M22" s="26">
        <f>Table1[[#This Row],[Volume]]*Table1[[#This Row],[Factor]]</f>
        <v>10</v>
      </c>
      <c r="N22" t="str">
        <f>IFERROR(INDEX('3. Kengetallen (DC-uitdraai)'!H:H,MATCH(Table1[[#This Row],[Milieuprofiel]],'3. Kengetallen (DC-uitdraai)'!D:D,0)),"")</f>
        <v/>
      </c>
      <c r="O22">
        <f>IFERROR(INDEX('3. Kengetallen (DC-uitdraai)'!I:I,MATCH(Table1[[#This Row],[Milieuprofiel]],'3. Kengetallen (DC-uitdraai)'!D:D,0)),0)</f>
        <v>0</v>
      </c>
      <c r="P22" s="125">
        <f>IFERROR(INDEX('3. Kengetallen (DC-uitdraai)'!P:P,MATCH(Table1[[#This Row],[Milieuprofiel]],'3. Kengetallen (DC-uitdraai)'!D:D,0))*Table1[[#This Row],[Hvd]]*(1+INDEX('3. Kengetallen (DC-uitdraai)'!K:K,MATCH(Table1[[#This Row],[Milieuprofiel]],'3. Kengetallen (DC-uitdraai)'!D:D,0))),0)</f>
        <v>0</v>
      </c>
      <c r="Q22" s="126">
        <f>IFERROR(INDEX('3. Kengetallen (DC-uitdraai)'!U:U,MATCH(Table1[[#This Row],[Milieuprofiel]],'3. Kengetallen (DC-uitdraai)'!D:D,0))*Table1[[#This Row],[Hvd]]*(1+INDEX('3. Kengetallen (DC-uitdraai)'!K:K,MATCH(Table1[[#This Row],[Milieuprofiel]],'3. Kengetallen (DC-uitdraai)'!D:D,0))),0)</f>
        <v>0</v>
      </c>
      <c r="R22" s="126">
        <f>IFERROR(INDEX('3. Kengetallen (DC-uitdraai)'!V:V,MATCH(Table1[[#This Row],[Milieuprofiel]],'3. Kengetallen (DC-uitdraai)'!D:D,0))*Table1[[#This Row],[Hvd]]*(1+INDEX('3. Kengetallen (DC-uitdraai)'!K:K,MATCH(Table1[[#This Row],[Milieuprofiel]],'3. Kengetallen (DC-uitdraai)'!D:D,0))),0)</f>
        <v>0</v>
      </c>
      <c r="S22" s="126">
        <f>IFERROR(INDEX('3. Kengetallen (DC-uitdraai)'!W:W,MATCH(Table1[[#This Row],[Milieuprofiel]],'3. Kengetallen (DC-uitdraai)'!D:D,0))*Table1[[#This Row],[Hvd]]*(1+INDEX('3. Kengetallen (DC-uitdraai)'!K:K,MATCH(Table1[[#This Row],[Milieuprofiel]],'3. Kengetallen (DC-uitdraai)'!D:D,0))),0)</f>
        <v>0</v>
      </c>
      <c r="T22" s="126">
        <f>IFERROR(INDEX('3. Kengetallen (DC-uitdraai)'!X:X,MATCH(Table1[[#This Row],[Milieuprofiel]],'3. Kengetallen (DC-uitdraai)'!D:D,0))*Table1[[#This Row],[Hvd]]*(1+INDEX('3. Kengetallen (DC-uitdraai)'!K:K,MATCH(Table1[[#This Row],[Milieuprofiel]],'3. Kengetallen (DC-uitdraai)'!D:D,0))),0)</f>
        <v>0</v>
      </c>
      <c r="U22" s="126"/>
      <c r="V22" s="112"/>
      <c r="W22" s="43" t="str">
        <f>IFERROR(INDEX('Eigen database'!H:H,MATCH(Table1[[#This Row],[Potentieel alternatief]],'Eigen database'!D:D,0)),"")</f>
        <v/>
      </c>
      <c r="X22" s="114">
        <f>IFERROR(INDEX('Eigen database'!P:P,MATCH(Table1[[#This Row],[Potentieel alternatief]],'Eigen database'!D:D,0))*Table1[[#This Row],[Hoeveelheid]]*(1+INDEX('Eigen database'!K:K,MATCH(Table1[[#This Row],[Potentieel alternatief]],'Eigen database'!D:D,0))),0)</f>
        <v>0</v>
      </c>
      <c r="Y22" s="126">
        <f>IF(Table1[[#This Row],[MKI A-D nieuw]]=0,Table1[[#This Row],[MKI A-D]],Table1[[#This Row],[MKI A-D nieuw]])</f>
        <v>0</v>
      </c>
      <c r="Z22" s="126"/>
      <c r="AA22" s="127">
        <f>IFERROR(INDEX('3. Kengetallen (DC-uitdraai)'!AM:AM,MATCH(Table1[[#This Row],[Milieuprofiel]],'3. Kengetallen (DC-uitdraai)'!C:C,0)),0)*Table1[[#This Row],[Hvd]]</f>
        <v>0</v>
      </c>
      <c r="AB22" s="127">
        <f>IFERROR(INDEX('3. Kengetallen (DC-uitdraai)'!AM:AM,MATCH(Table1[[#This Row],[Potentieel alternatief]],'3. Kengetallen (DC-uitdraai)'!C:C,0)),0)*Table1[[#This Row],[Hvd]]</f>
        <v>0</v>
      </c>
    </row>
    <row r="23" spans="1:28" hidden="1">
      <c r="A23" s="89" t="s">
        <v>135</v>
      </c>
      <c r="B23" s="89"/>
      <c r="C23" s="42"/>
      <c r="D23" s="42"/>
      <c r="E23" t="s">
        <v>136</v>
      </c>
      <c r="H23" t="str">
        <f>IFERROR(INDEX('3. Kengetallen (DC-uitdraai)'!F:F,MATCH(Table1[[#This Row],[Milieuprofiel]],'3. Kengetallen (DC-uitdraai)'!D:D,0)),"")</f>
        <v/>
      </c>
      <c r="I23" s="26">
        <v>6</v>
      </c>
      <c r="J23" t="s">
        <v>132</v>
      </c>
      <c r="K23" t="str">
        <f>IF(ISTEXT(Table1[[#This Row],[Milieuprofiel]]),"Ja","Nee")</f>
        <v>Nee</v>
      </c>
      <c r="L23" s="27">
        <v>1</v>
      </c>
      <c r="M23" s="26">
        <f>Table1[[#This Row],[Volume]]*Table1[[#This Row],[Factor]]</f>
        <v>6</v>
      </c>
      <c r="N23" t="str">
        <f>IFERROR(INDEX('3. Kengetallen (DC-uitdraai)'!H:H,MATCH(Table1[[#This Row],[Milieuprofiel]],'3. Kengetallen (DC-uitdraai)'!D:D,0)),"")</f>
        <v/>
      </c>
      <c r="O23">
        <f>IFERROR(INDEX('3. Kengetallen (DC-uitdraai)'!I:I,MATCH(Table1[[#This Row],[Milieuprofiel]],'3. Kengetallen (DC-uitdraai)'!D:D,0)),0)</f>
        <v>0</v>
      </c>
      <c r="P23" s="125">
        <f>IFERROR(INDEX('3. Kengetallen (DC-uitdraai)'!P:P,MATCH(Table1[[#This Row],[Milieuprofiel]],'3. Kengetallen (DC-uitdraai)'!D:D,0))*Table1[[#This Row],[Hvd]]*(1+INDEX('3. Kengetallen (DC-uitdraai)'!K:K,MATCH(Table1[[#This Row],[Milieuprofiel]],'3. Kengetallen (DC-uitdraai)'!D:D,0))),0)</f>
        <v>0</v>
      </c>
      <c r="Q23" s="126">
        <f>IFERROR(INDEX('3. Kengetallen (DC-uitdraai)'!U:U,MATCH(Table1[[#This Row],[Milieuprofiel]],'3. Kengetallen (DC-uitdraai)'!D:D,0))*Table1[[#This Row],[Hvd]]*(1+INDEX('3. Kengetallen (DC-uitdraai)'!K:K,MATCH(Table1[[#This Row],[Milieuprofiel]],'3. Kengetallen (DC-uitdraai)'!D:D,0))),0)</f>
        <v>0</v>
      </c>
      <c r="R23" s="126">
        <f>IFERROR(INDEX('3. Kengetallen (DC-uitdraai)'!V:V,MATCH(Table1[[#This Row],[Milieuprofiel]],'3. Kengetallen (DC-uitdraai)'!D:D,0))*Table1[[#This Row],[Hvd]]*(1+INDEX('3. Kengetallen (DC-uitdraai)'!K:K,MATCH(Table1[[#This Row],[Milieuprofiel]],'3. Kengetallen (DC-uitdraai)'!D:D,0))),0)</f>
        <v>0</v>
      </c>
      <c r="S23" s="126">
        <f>IFERROR(INDEX('3. Kengetallen (DC-uitdraai)'!W:W,MATCH(Table1[[#This Row],[Milieuprofiel]],'3. Kengetallen (DC-uitdraai)'!D:D,0))*Table1[[#This Row],[Hvd]]*(1+INDEX('3. Kengetallen (DC-uitdraai)'!K:K,MATCH(Table1[[#This Row],[Milieuprofiel]],'3. Kengetallen (DC-uitdraai)'!D:D,0))),0)</f>
        <v>0</v>
      </c>
      <c r="T23" s="126">
        <f>IFERROR(INDEX('3. Kengetallen (DC-uitdraai)'!X:X,MATCH(Table1[[#This Row],[Milieuprofiel]],'3. Kengetallen (DC-uitdraai)'!D:D,0))*Table1[[#This Row],[Hvd]]*(1+INDEX('3. Kengetallen (DC-uitdraai)'!K:K,MATCH(Table1[[#This Row],[Milieuprofiel]],'3. Kengetallen (DC-uitdraai)'!D:D,0))),0)</f>
        <v>0</v>
      </c>
      <c r="U23" s="126"/>
      <c r="V23" s="112"/>
      <c r="W23" s="43" t="str">
        <f>IFERROR(INDEX('Eigen database'!H:H,MATCH(Table1[[#This Row],[Potentieel alternatief]],'Eigen database'!D:D,0)),"")</f>
        <v/>
      </c>
      <c r="X23" s="114">
        <f>IFERROR(INDEX('Eigen database'!P:P,MATCH(Table1[[#This Row],[Potentieel alternatief]],'Eigen database'!D:D,0))*Table1[[#This Row],[Hoeveelheid]]*(1+INDEX('Eigen database'!K:K,MATCH(Table1[[#This Row],[Potentieel alternatief]],'Eigen database'!D:D,0))),0)</f>
        <v>0</v>
      </c>
      <c r="Y23" s="126">
        <f>IF(Table1[[#This Row],[MKI A-D nieuw]]=0,Table1[[#This Row],[MKI A-D]],Table1[[#This Row],[MKI A-D nieuw]])</f>
        <v>0</v>
      </c>
      <c r="Z23" s="126"/>
      <c r="AA23" s="127">
        <f>IFERROR(INDEX('3. Kengetallen (DC-uitdraai)'!AM:AM,MATCH(Table1[[#This Row],[Milieuprofiel]],'3. Kengetallen (DC-uitdraai)'!C:C,0)),0)*Table1[[#This Row],[Hvd]]</f>
        <v>0</v>
      </c>
      <c r="AB23" s="127">
        <f>IFERROR(INDEX('3. Kengetallen (DC-uitdraai)'!AM:AM,MATCH(Table1[[#This Row],[Potentieel alternatief]],'3. Kengetallen (DC-uitdraai)'!C:C,0)),0)*Table1[[#This Row],[Hvd]]</f>
        <v>0</v>
      </c>
    </row>
    <row r="24" spans="1:28">
      <c r="A24" s="89" t="s">
        <v>137</v>
      </c>
      <c r="B24" s="89"/>
      <c r="C24" s="42"/>
      <c r="D24" s="42"/>
      <c r="E24" t="s">
        <v>138</v>
      </c>
      <c r="F24" t="s">
        <v>139</v>
      </c>
      <c r="H24" t="str">
        <f>IFERROR(INDEX('3. Kengetallen (DC-uitdraai)'!F:F,MATCH(Table1[[#This Row],[Milieuprofiel]],'3. Kengetallen (DC-uitdraai)'!D:D,0)),"")</f>
        <v>Cat.3 (30%)</v>
      </c>
      <c r="I24" s="104">
        <v>6.5</v>
      </c>
      <c r="J24" t="s">
        <v>118</v>
      </c>
      <c r="K24" t="str">
        <f>IF(ISTEXT(Table1[[#This Row],[Milieuprofiel]]),"Ja","Nee")</f>
        <v>Ja</v>
      </c>
      <c r="L24" s="27">
        <f>0.002/0.02</f>
        <v>0.1</v>
      </c>
      <c r="M24" s="26">
        <f>Table1[[#This Row],[Volume]]*Table1[[#This Row],[Factor]]</f>
        <v>0.65</v>
      </c>
      <c r="N24" t="str">
        <f>IFERROR(INDEX('3. Kengetallen (DC-uitdraai)'!H:H,MATCH(Table1[[#This Row],[Milieuprofiel]],'3. Kengetallen (DC-uitdraai)'!D:D,0)),"")</f>
        <v>uur</v>
      </c>
      <c r="O24">
        <f>IFERROR(INDEX('3. Kengetallen (DC-uitdraai)'!I:I,MATCH(Table1[[#This Row],[Milieuprofiel]],'3. Kengetallen (DC-uitdraai)'!D:D,0)),0)</f>
        <v>999</v>
      </c>
      <c r="P24" s="125">
        <f>IFERROR(INDEX('3. Kengetallen (DC-uitdraai)'!P:P,MATCH(Table1[[#This Row],[Milieuprofiel]],'3. Kengetallen (DC-uitdraai)'!D:D,0))*Table1[[#This Row],[Hvd]]*(1+INDEX('3. Kengetallen (DC-uitdraai)'!K:K,MATCH(Table1[[#This Row],[Milieuprofiel]],'3. Kengetallen (DC-uitdraai)'!D:D,0))),0)</f>
        <v>3.0993586966128222</v>
      </c>
      <c r="Q24" s="126">
        <f>IFERROR(INDEX('3. Kengetallen (DC-uitdraai)'!U:U,MATCH(Table1[[#This Row],[Milieuprofiel]],'3. Kengetallen (DC-uitdraai)'!D:D,0))*Table1[[#This Row],[Hvd]]*(1+INDEX('3. Kengetallen (DC-uitdraai)'!K:K,MATCH(Table1[[#This Row],[Milieuprofiel]],'3. Kengetallen (DC-uitdraai)'!D:D,0))),0)</f>
        <v>0</v>
      </c>
      <c r="R24" s="126">
        <f>IFERROR(INDEX('3. Kengetallen (DC-uitdraai)'!V:V,MATCH(Table1[[#This Row],[Milieuprofiel]],'3. Kengetallen (DC-uitdraai)'!D:D,0))*Table1[[#This Row],[Hvd]]*(1+INDEX('3. Kengetallen (DC-uitdraai)'!K:K,MATCH(Table1[[#This Row],[Milieuprofiel]],'3. Kengetallen (DC-uitdraai)'!D:D,0))),0)</f>
        <v>2.3841220524552864</v>
      </c>
      <c r="S24" s="126">
        <f>IFERROR(INDEX('3. Kengetallen (DC-uitdraai)'!W:W,MATCH(Table1[[#This Row],[Milieuprofiel]],'3. Kengetallen (DC-uitdraai)'!D:D,0))*Table1[[#This Row],[Hvd]]*(1+INDEX('3. Kengetallen (DC-uitdraai)'!K:K,MATCH(Table1[[#This Row],[Milieuprofiel]],'3. Kengetallen (DC-uitdraai)'!D:D,0))),0)</f>
        <v>0</v>
      </c>
      <c r="T24" s="126">
        <f>IFERROR(INDEX('3. Kengetallen (DC-uitdraai)'!X:X,MATCH(Table1[[#This Row],[Milieuprofiel]],'3. Kengetallen (DC-uitdraai)'!D:D,0))*Table1[[#This Row],[Hvd]]*(1+INDEX('3. Kengetallen (DC-uitdraai)'!K:K,MATCH(Table1[[#This Row],[Milieuprofiel]],'3. Kengetallen (DC-uitdraai)'!D:D,0))),0)</f>
        <v>0</v>
      </c>
      <c r="U24" s="126"/>
      <c r="V24" s="112"/>
      <c r="W24" s="43" t="str">
        <f>IFERROR(INDEX('Eigen database'!H:H,MATCH(Table1[[#This Row],[Potentieel alternatief]],'Eigen database'!D:D,0)),"")</f>
        <v/>
      </c>
      <c r="X24" s="114">
        <f>IFERROR(INDEX('Eigen database'!P:P,MATCH(Table1[[#This Row],[Potentieel alternatief]],'Eigen database'!D:D,0))*Table1[[#This Row],[Hoeveelheid]]*(1+INDEX('Eigen database'!K:K,MATCH(Table1[[#This Row],[Potentieel alternatief]],'Eigen database'!D:D,0))),0)</f>
        <v>0</v>
      </c>
      <c r="Y24" s="126">
        <f>IF(Table1[[#This Row],[MKI A-D nieuw]]=0,Table1[[#This Row],[MKI A-D]],Table1[[#This Row],[MKI A-D nieuw]])</f>
        <v>3.0993586966128222</v>
      </c>
      <c r="Z24" s="126"/>
      <c r="AA24" s="127">
        <f>IFERROR(INDEX('3. Kengetallen (DC-uitdraai)'!AM:AM,MATCH(Table1[[#This Row],[Milieuprofiel]],'3. Kengetallen (DC-uitdraai)'!C:C,0)),0)*Table1[[#This Row],[Hvd]]</f>
        <v>0</v>
      </c>
      <c r="AB24" s="127">
        <f>IFERROR(INDEX('3. Kengetallen (DC-uitdraai)'!AM:AM,MATCH(Table1[[#This Row],[Potentieel alternatief]],'3. Kengetallen (DC-uitdraai)'!C:C,0)),0)*Table1[[#This Row],[Hvd]]</f>
        <v>0</v>
      </c>
    </row>
    <row r="25" spans="1:28">
      <c r="A25" s="89" t="s">
        <v>140</v>
      </c>
      <c r="B25" s="89"/>
      <c r="C25" s="42"/>
      <c r="D25" s="42"/>
      <c r="E25" t="s">
        <v>141</v>
      </c>
      <c r="F25" t="s">
        <v>139</v>
      </c>
      <c r="H25" t="str">
        <f>IFERROR(INDEX('3. Kengetallen (DC-uitdraai)'!F:F,MATCH(Table1[[#This Row],[Milieuprofiel]],'3. Kengetallen (DC-uitdraai)'!D:D,0)),"")</f>
        <v>Cat.3 (30%)</v>
      </c>
      <c r="I25" s="26">
        <v>55</v>
      </c>
      <c r="J25" t="s">
        <v>118</v>
      </c>
      <c r="K25" t="str">
        <f>IF(ISTEXT(Table1[[#This Row],[Milieuprofiel]]),"Ja","Nee")</f>
        <v>Ja</v>
      </c>
      <c r="L25" s="27">
        <f>2</f>
        <v>2</v>
      </c>
      <c r="M25" s="26">
        <f>Table1[[#This Row],[Volume]]*Table1[[#This Row],[Factor]]</f>
        <v>110</v>
      </c>
      <c r="N25" t="str">
        <f>IFERROR(INDEX('3. Kengetallen (DC-uitdraai)'!H:H,MATCH(Table1[[#This Row],[Milieuprofiel]],'3. Kengetallen (DC-uitdraai)'!D:D,0)),"")</f>
        <v>uur</v>
      </c>
      <c r="O25">
        <f>IFERROR(INDEX('3. Kengetallen (DC-uitdraai)'!I:I,MATCH(Table1[[#This Row],[Milieuprofiel]],'3. Kengetallen (DC-uitdraai)'!D:D,0)),0)</f>
        <v>999</v>
      </c>
      <c r="P25" s="125">
        <f>IFERROR(INDEX('3. Kengetallen (DC-uitdraai)'!P:P,MATCH(Table1[[#This Row],[Milieuprofiel]],'3. Kengetallen (DC-uitdraai)'!D:D,0))*Table1[[#This Row],[Hvd]]*(1+INDEX('3. Kengetallen (DC-uitdraai)'!K:K,MATCH(Table1[[#This Row],[Milieuprofiel]],'3. Kengetallen (DC-uitdraai)'!D:D,0))),0)</f>
        <v>524.50685634986212</v>
      </c>
      <c r="Q25" s="126">
        <f>IFERROR(INDEX('3. Kengetallen (DC-uitdraai)'!U:U,MATCH(Table1[[#This Row],[Milieuprofiel]],'3. Kengetallen (DC-uitdraai)'!D:D,0))*Table1[[#This Row],[Hvd]]*(1+INDEX('3. Kengetallen (DC-uitdraai)'!K:K,MATCH(Table1[[#This Row],[Milieuprofiel]],'3. Kengetallen (DC-uitdraai)'!D:D,0))),0)</f>
        <v>0</v>
      </c>
      <c r="R25" s="126">
        <f>IFERROR(INDEX('3. Kengetallen (DC-uitdraai)'!V:V,MATCH(Table1[[#This Row],[Milieuprofiel]],'3. Kengetallen (DC-uitdraai)'!D:D,0))*Table1[[#This Row],[Hvd]]*(1+INDEX('3. Kengetallen (DC-uitdraai)'!K:K,MATCH(Table1[[#This Row],[Milieuprofiel]],'3. Kengetallen (DC-uitdraai)'!D:D,0))),0)</f>
        <v>403.46680887704844</v>
      </c>
      <c r="S25" s="126">
        <f>IFERROR(INDEX('3. Kengetallen (DC-uitdraai)'!W:W,MATCH(Table1[[#This Row],[Milieuprofiel]],'3. Kengetallen (DC-uitdraai)'!D:D,0))*Table1[[#This Row],[Hvd]]*(1+INDEX('3. Kengetallen (DC-uitdraai)'!K:K,MATCH(Table1[[#This Row],[Milieuprofiel]],'3. Kengetallen (DC-uitdraai)'!D:D,0))),0)</f>
        <v>0</v>
      </c>
      <c r="T25" s="126">
        <f>IFERROR(INDEX('3. Kengetallen (DC-uitdraai)'!X:X,MATCH(Table1[[#This Row],[Milieuprofiel]],'3. Kengetallen (DC-uitdraai)'!D:D,0))*Table1[[#This Row],[Hvd]]*(1+INDEX('3. Kengetallen (DC-uitdraai)'!K:K,MATCH(Table1[[#This Row],[Milieuprofiel]],'3. Kengetallen (DC-uitdraai)'!D:D,0))),0)</f>
        <v>0</v>
      </c>
      <c r="U25" s="126"/>
      <c r="V25" s="112"/>
      <c r="W25" s="43" t="str">
        <f>IFERROR(INDEX('Eigen database'!H:H,MATCH(Table1[[#This Row],[Potentieel alternatief]],'Eigen database'!D:D,0)),"")</f>
        <v/>
      </c>
      <c r="X25" s="114">
        <f>IFERROR(INDEX('Eigen database'!P:P,MATCH(Table1[[#This Row],[Potentieel alternatief]],'Eigen database'!D:D,0))*Table1[[#This Row],[Hoeveelheid]]*(1+INDEX('Eigen database'!K:K,MATCH(Table1[[#This Row],[Potentieel alternatief]],'Eigen database'!D:D,0))),0)</f>
        <v>0</v>
      </c>
      <c r="Y25" s="126">
        <f>IF(Table1[[#This Row],[MKI A-D nieuw]]=0,Table1[[#This Row],[MKI A-D]],Table1[[#This Row],[MKI A-D nieuw]])</f>
        <v>524.50685634986212</v>
      </c>
      <c r="Z25" s="126"/>
      <c r="AA25" s="127">
        <f>IFERROR(INDEX('3. Kengetallen (DC-uitdraai)'!AM:AM,MATCH(Table1[[#This Row],[Milieuprofiel]],'3. Kengetallen (DC-uitdraai)'!C:C,0)),0)*Table1[[#This Row],[Hvd]]</f>
        <v>0</v>
      </c>
      <c r="AB25" s="127">
        <f>IFERROR(INDEX('3. Kengetallen (DC-uitdraai)'!AM:AM,MATCH(Table1[[#This Row],[Potentieel alternatief]],'3. Kengetallen (DC-uitdraai)'!C:C,0)),0)*Table1[[#This Row],[Hvd]]</f>
        <v>0</v>
      </c>
    </row>
    <row r="26" spans="1:28" s="117" customFormat="1" hidden="1">
      <c r="A26" s="115" t="s">
        <v>142</v>
      </c>
      <c r="B26" s="115"/>
      <c r="C26" s="116"/>
      <c r="D26" s="116"/>
      <c r="E26" s="117" t="s">
        <v>143</v>
      </c>
      <c r="H26" s="117" t="str">
        <f>IFERROR(INDEX('3. Kengetallen (DC-uitdraai)'!F:F,MATCH(Table1[[#This Row],[Milieuprofiel]],'3. Kengetallen (DC-uitdraai)'!D:D,0)),"")</f>
        <v/>
      </c>
      <c r="I26" s="118">
        <v>11</v>
      </c>
      <c r="J26" s="117" t="s">
        <v>93</v>
      </c>
      <c r="K26" s="117" t="str">
        <f>IF(ISTEXT(Table1[[#This Row],[Milieuprofiel]]),"Ja","Nee")</f>
        <v>Nee</v>
      </c>
      <c r="L26" s="119">
        <v>1</v>
      </c>
      <c r="M26" s="118">
        <f>Table1[[#This Row],[Volume]]*Table1[[#This Row],[Factor]]</f>
        <v>11</v>
      </c>
      <c r="N26" s="117" t="str">
        <f>IFERROR(INDEX('3. Kengetallen (DC-uitdraai)'!H:H,MATCH(Table1[[#This Row],[Milieuprofiel]],'3. Kengetallen (DC-uitdraai)'!D:D,0)),"")</f>
        <v/>
      </c>
      <c r="O26" s="117">
        <f>IFERROR(INDEX('3. Kengetallen (DC-uitdraai)'!I:I,MATCH(Table1[[#This Row],[Milieuprofiel]],'3. Kengetallen (DC-uitdraai)'!D:D,0)),0)</f>
        <v>0</v>
      </c>
      <c r="P26" s="120">
        <f>IFERROR(INDEX('3. Kengetallen (DC-uitdraai)'!P:P,MATCH(Table1[[#This Row],[Milieuprofiel]],'3. Kengetallen (DC-uitdraai)'!D:D,0))*Table1[[#This Row],[Hvd]]*(1+INDEX('3. Kengetallen (DC-uitdraai)'!K:K,MATCH(Table1[[#This Row],[Milieuprofiel]],'3. Kengetallen (DC-uitdraai)'!D:D,0))),0)</f>
        <v>0</v>
      </c>
      <c r="Q26" s="121">
        <f>IFERROR(INDEX('3. Kengetallen (DC-uitdraai)'!U:U,MATCH(Table1[[#This Row],[Milieuprofiel]],'3. Kengetallen (DC-uitdraai)'!D:D,0))*Table1[[#This Row],[Hvd]]*(1+INDEX('3. Kengetallen (DC-uitdraai)'!K:K,MATCH(Table1[[#This Row],[Milieuprofiel]],'3. Kengetallen (DC-uitdraai)'!D:D,0))),0)</f>
        <v>0</v>
      </c>
      <c r="R26" s="121">
        <f>IFERROR(INDEX('3. Kengetallen (DC-uitdraai)'!V:V,MATCH(Table1[[#This Row],[Milieuprofiel]],'3. Kengetallen (DC-uitdraai)'!D:D,0))*Table1[[#This Row],[Hvd]]*(1+INDEX('3. Kengetallen (DC-uitdraai)'!K:K,MATCH(Table1[[#This Row],[Milieuprofiel]],'3. Kengetallen (DC-uitdraai)'!D:D,0))),0)</f>
        <v>0</v>
      </c>
      <c r="S26" s="121">
        <f>IFERROR(INDEX('3. Kengetallen (DC-uitdraai)'!W:W,MATCH(Table1[[#This Row],[Milieuprofiel]],'3. Kengetallen (DC-uitdraai)'!D:D,0))*Table1[[#This Row],[Hvd]]*(1+INDEX('3. Kengetallen (DC-uitdraai)'!K:K,MATCH(Table1[[#This Row],[Milieuprofiel]],'3. Kengetallen (DC-uitdraai)'!D:D,0))),0)</f>
        <v>0</v>
      </c>
      <c r="T26" s="121">
        <f>IFERROR(INDEX('3. Kengetallen (DC-uitdraai)'!X:X,MATCH(Table1[[#This Row],[Milieuprofiel]],'3. Kengetallen (DC-uitdraai)'!D:D,0))*Table1[[#This Row],[Hvd]]*(1+INDEX('3. Kengetallen (DC-uitdraai)'!K:K,MATCH(Table1[[#This Row],[Milieuprofiel]],'3. Kengetallen (DC-uitdraai)'!D:D,0))),0)</f>
        <v>0</v>
      </c>
      <c r="U26" s="121"/>
      <c r="V26" s="112"/>
      <c r="W26" s="43" t="str">
        <f>IFERROR(INDEX('Eigen database'!H:H,MATCH(Table1[[#This Row],[Potentieel alternatief]],'Eigen database'!D:D,0)),"")</f>
        <v/>
      </c>
      <c r="X26" s="122">
        <f>IFERROR(INDEX('Eigen database'!P:P,MATCH(Table1[[#This Row],[Potentieel alternatief]],'Eigen database'!D:D,0))*Table1[[#This Row],[Hoeveelheid]]*(1+INDEX('Eigen database'!K:K,MATCH(Table1[[#This Row],[Potentieel alternatief]],'Eigen database'!D:D,0))),0)</f>
        <v>0</v>
      </c>
      <c r="Y26" s="121">
        <f>IF(Table1[[#This Row],[MKI A-D nieuw]]=0,Table1[[#This Row],[MKI A-D]],Table1[[#This Row],[MKI A-D nieuw]])</f>
        <v>0</v>
      </c>
      <c r="Z26" s="121"/>
      <c r="AA26" s="123">
        <f>IFERROR(INDEX('3. Kengetallen (DC-uitdraai)'!AM:AM,MATCH(Table1[[#This Row],[Milieuprofiel]],'3. Kengetallen (DC-uitdraai)'!C:C,0)),0)*Table1[[#This Row],[Hvd]]</f>
        <v>0</v>
      </c>
      <c r="AB26" s="123">
        <f>IFERROR(INDEX('3. Kengetallen (DC-uitdraai)'!AM:AM,MATCH(Table1[[#This Row],[Potentieel alternatief]],'3. Kengetallen (DC-uitdraai)'!C:C,0)),0)*Table1[[#This Row],[Hvd]]</f>
        <v>0</v>
      </c>
    </row>
    <row r="27" spans="1:28" s="117" customFormat="1" hidden="1">
      <c r="A27" s="115" t="s">
        <v>144</v>
      </c>
      <c r="B27" s="115"/>
      <c r="C27" s="116"/>
      <c r="D27" s="116"/>
      <c r="E27" s="117" t="s">
        <v>145</v>
      </c>
      <c r="H27" s="117" t="str">
        <f>IFERROR(INDEX('3. Kengetallen (DC-uitdraai)'!F:F,MATCH(Table1[[#This Row],[Milieuprofiel]],'3. Kengetallen (DC-uitdraai)'!D:D,0)),"")</f>
        <v/>
      </c>
      <c r="I27" s="118">
        <v>90</v>
      </c>
      <c r="J27" s="117" t="s">
        <v>132</v>
      </c>
      <c r="K27" s="117" t="str">
        <f>IF(ISTEXT(Table1[[#This Row],[Milieuprofiel]]),"Ja","Nee")</f>
        <v>Nee</v>
      </c>
      <c r="L27" s="119"/>
      <c r="M27" s="118">
        <f>Table1[[#This Row],[Volume]]*Table1[[#This Row],[Factor]]</f>
        <v>0</v>
      </c>
      <c r="N27" s="117" t="str">
        <f>IFERROR(INDEX('3. Kengetallen (DC-uitdraai)'!H:H,MATCH(Table1[[#This Row],[Milieuprofiel]],'3. Kengetallen (DC-uitdraai)'!D:D,0)),"")</f>
        <v/>
      </c>
      <c r="O27" s="117">
        <f>IFERROR(INDEX('3. Kengetallen (DC-uitdraai)'!I:I,MATCH(Table1[[#This Row],[Milieuprofiel]],'3. Kengetallen (DC-uitdraai)'!D:D,0)),0)</f>
        <v>0</v>
      </c>
      <c r="P27" s="120">
        <f>IFERROR(INDEX('3. Kengetallen (DC-uitdraai)'!P:P,MATCH(Table1[[#This Row],[Milieuprofiel]],'3. Kengetallen (DC-uitdraai)'!D:D,0))*Table1[[#This Row],[Hvd]]*(1+INDEX('3. Kengetallen (DC-uitdraai)'!K:K,MATCH(Table1[[#This Row],[Milieuprofiel]],'3. Kengetallen (DC-uitdraai)'!D:D,0))),0)</f>
        <v>0</v>
      </c>
      <c r="Q27" s="121">
        <f>IFERROR(INDEX('3. Kengetallen (DC-uitdraai)'!U:U,MATCH(Table1[[#This Row],[Milieuprofiel]],'3. Kengetallen (DC-uitdraai)'!D:D,0))*Table1[[#This Row],[Hvd]]*(1+INDEX('3. Kengetallen (DC-uitdraai)'!K:K,MATCH(Table1[[#This Row],[Milieuprofiel]],'3. Kengetallen (DC-uitdraai)'!D:D,0))),0)</f>
        <v>0</v>
      </c>
      <c r="R27" s="121">
        <f>IFERROR(INDEX('3. Kengetallen (DC-uitdraai)'!V:V,MATCH(Table1[[#This Row],[Milieuprofiel]],'3. Kengetallen (DC-uitdraai)'!D:D,0))*Table1[[#This Row],[Hvd]]*(1+INDEX('3. Kengetallen (DC-uitdraai)'!K:K,MATCH(Table1[[#This Row],[Milieuprofiel]],'3. Kengetallen (DC-uitdraai)'!D:D,0))),0)</f>
        <v>0</v>
      </c>
      <c r="S27" s="121">
        <f>IFERROR(INDEX('3. Kengetallen (DC-uitdraai)'!W:W,MATCH(Table1[[#This Row],[Milieuprofiel]],'3. Kengetallen (DC-uitdraai)'!D:D,0))*Table1[[#This Row],[Hvd]]*(1+INDEX('3. Kengetallen (DC-uitdraai)'!K:K,MATCH(Table1[[#This Row],[Milieuprofiel]],'3. Kengetallen (DC-uitdraai)'!D:D,0))),0)</f>
        <v>0</v>
      </c>
      <c r="T27" s="121">
        <f>IFERROR(INDEX('3. Kengetallen (DC-uitdraai)'!X:X,MATCH(Table1[[#This Row],[Milieuprofiel]],'3. Kengetallen (DC-uitdraai)'!D:D,0))*Table1[[#This Row],[Hvd]]*(1+INDEX('3. Kengetallen (DC-uitdraai)'!K:K,MATCH(Table1[[#This Row],[Milieuprofiel]],'3. Kengetallen (DC-uitdraai)'!D:D,0))),0)</f>
        <v>0</v>
      </c>
      <c r="U27" s="121"/>
      <c r="V27" s="112"/>
      <c r="W27" s="43" t="str">
        <f>IFERROR(INDEX('Eigen database'!H:H,MATCH(Table1[[#This Row],[Potentieel alternatief]],'Eigen database'!D:D,0)),"")</f>
        <v/>
      </c>
      <c r="X27" s="122">
        <f>IFERROR(INDEX('Eigen database'!P:P,MATCH(Table1[[#This Row],[Potentieel alternatief]],'Eigen database'!D:D,0))*Table1[[#This Row],[Hoeveelheid]]*(1+INDEX('Eigen database'!K:K,MATCH(Table1[[#This Row],[Potentieel alternatief]],'Eigen database'!D:D,0))),0)</f>
        <v>0</v>
      </c>
      <c r="Y27" s="121">
        <f>IF(Table1[[#This Row],[MKI A-D nieuw]]=0,Table1[[#This Row],[MKI A-D]],Table1[[#This Row],[MKI A-D nieuw]])</f>
        <v>0</v>
      </c>
      <c r="Z27" s="121"/>
      <c r="AA27" s="123">
        <f>IFERROR(INDEX('3. Kengetallen (DC-uitdraai)'!AM:AM,MATCH(Table1[[#This Row],[Milieuprofiel]],'3. Kengetallen (DC-uitdraai)'!C:C,0)),0)*Table1[[#This Row],[Hvd]]</f>
        <v>0</v>
      </c>
      <c r="AB27" s="123">
        <f>IFERROR(INDEX('3. Kengetallen (DC-uitdraai)'!AM:AM,MATCH(Table1[[#This Row],[Potentieel alternatief]],'3. Kengetallen (DC-uitdraai)'!C:C,0)),0)*Table1[[#This Row],[Hvd]]</f>
        <v>0</v>
      </c>
    </row>
    <row r="28" spans="1:28">
      <c r="A28" s="89">
        <v>211010</v>
      </c>
      <c r="B28" s="89" t="s">
        <v>146</v>
      </c>
      <c r="C28" s="42" t="s">
        <v>147</v>
      </c>
      <c r="D28" s="42" t="s">
        <v>148</v>
      </c>
      <c r="E28" t="s">
        <v>149</v>
      </c>
      <c r="F28" t="s">
        <v>150</v>
      </c>
      <c r="G28" t="s">
        <v>151</v>
      </c>
      <c r="H28" t="str">
        <f>IFERROR(INDEX('3. Kengetallen (DC-uitdraai)'!F:F,MATCH(Table1[[#This Row],[Milieuprofiel]],'3. Kengetallen (DC-uitdraai)'!D:D,0)),"")</f>
        <v>Cat.3 (30%)</v>
      </c>
      <c r="I28" s="26">
        <v>575</v>
      </c>
      <c r="J28" t="s">
        <v>152</v>
      </c>
      <c r="K28" t="str">
        <f>IF(ISTEXT(Table1[[#This Row],[Milieuprofiel]]),"Ja","Nee")</f>
        <v>Ja</v>
      </c>
      <c r="L28" s="27">
        <v>0.3</v>
      </c>
      <c r="M28" s="26">
        <f>Table1[[#This Row],[Volume]]*Table1[[#This Row],[Factor]]</f>
        <v>172.5</v>
      </c>
      <c r="N28" t="str">
        <f>IFERROR(INDEX('3. Kengetallen (DC-uitdraai)'!H:H,MATCH(Table1[[#This Row],[Milieuprofiel]],'3. Kengetallen (DC-uitdraai)'!D:D,0)),"")</f>
        <v>uur</v>
      </c>
      <c r="O28">
        <f>IFERROR(INDEX('3. Kengetallen (DC-uitdraai)'!I:I,MATCH(Table1[[#This Row],[Milieuprofiel]],'3. Kengetallen (DC-uitdraai)'!D:D,0)),0)</f>
        <v>999</v>
      </c>
      <c r="P28" s="106">
        <f>IFERROR(INDEX('3. Kengetallen (DC-uitdraai)'!P:P,MATCH(Table1[[#This Row],[Milieuprofiel]],'3. Kengetallen (DC-uitdraai)'!D:D,0))*Table1[[#This Row],[Hvd]]*(1+INDEX('3. Kengetallen (DC-uitdraai)'!K:K,MATCH(Table1[[#This Row],[Milieuprofiel]],'3. Kengetallen (DC-uitdraai)'!D:D,0))),0)</f>
        <v>822.52211563955655</v>
      </c>
      <c r="Q28" s="16">
        <f>IFERROR(INDEX('3. Kengetallen (DC-uitdraai)'!U:U,MATCH(Table1[[#This Row],[Milieuprofiel]],'3. Kengetallen (DC-uitdraai)'!D:D,0))*Table1[[#This Row],[Hvd]]*(1+INDEX('3. Kengetallen (DC-uitdraai)'!K:K,MATCH(Table1[[#This Row],[Milieuprofiel]],'3. Kengetallen (DC-uitdraai)'!D:D,0))),0)</f>
        <v>0</v>
      </c>
      <c r="R28" s="16">
        <f>IFERROR(INDEX('3. Kengetallen (DC-uitdraai)'!V:V,MATCH(Table1[[#This Row],[Milieuprofiel]],'3. Kengetallen (DC-uitdraai)'!D:D,0))*Table1[[#This Row],[Hvd]]*(1+INDEX('3. Kengetallen (DC-uitdraai)'!K:K,MATCH(Table1[[#This Row],[Milieuprofiel]],'3. Kengetallen (DC-uitdraai)'!D:D,0))),0)</f>
        <v>632.70931392082593</v>
      </c>
      <c r="S28" s="16">
        <f>IFERROR(INDEX('3. Kengetallen (DC-uitdraai)'!W:W,MATCH(Table1[[#This Row],[Milieuprofiel]],'3. Kengetallen (DC-uitdraai)'!D:D,0))*Table1[[#This Row],[Hvd]]*(1+INDEX('3. Kengetallen (DC-uitdraai)'!K:K,MATCH(Table1[[#This Row],[Milieuprofiel]],'3. Kengetallen (DC-uitdraai)'!D:D,0))),0)</f>
        <v>0</v>
      </c>
      <c r="T28" s="16">
        <f>IFERROR(INDEX('3. Kengetallen (DC-uitdraai)'!X:X,MATCH(Table1[[#This Row],[Milieuprofiel]],'3. Kengetallen (DC-uitdraai)'!D:D,0))*Table1[[#This Row],[Hvd]]*(1+INDEX('3. Kengetallen (DC-uitdraai)'!K:K,MATCH(Table1[[#This Row],[Milieuprofiel]],'3. Kengetallen (DC-uitdraai)'!D:D,0))),0)</f>
        <v>0</v>
      </c>
      <c r="U28" s="103">
        <v>0.3</v>
      </c>
      <c r="V28" s="112">
        <f>Table1[[#This Row],[Volume]]*Table1[[#This Row],[omrekenfactor]]</f>
        <v>172.5</v>
      </c>
      <c r="W28" s="43" t="str">
        <f>IFERROR(INDEX('Eigen database'!H:H,MATCH(Table1[[#This Row],[Potentieel alternatief]],'Eigen database'!D:D,0)),"")</f>
        <v>uur</v>
      </c>
      <c r="X28" s="108">
        <f>IFERROR(INDEX('Eigen database'!P:P,MATCH(Table1[[#This Row],[Potentieel alternatief]],'Eigen database'!D:D,0))*Table1[[#This Row],[Hoeveelheid]]*(1+INDEX('Eigen database'!K:K,MATCH(Table1[[#This Row],[Potentieel alternatief]],'Eigen database'!D:D,0))),0)</f>
        <v>16.21179254426653</v>
      </c>
      <c r="Y28" s="16">
        <f>IF(Table1[[#This Row],[MKI A-D nieuw]]=0,Table1[[#This Row],[MKI A-D]],Table1[[#This Row],[MKI A-D nieuw]])</f>
        <v>16.21179254426653</v>
      </c>
      <c r="Z28" s="16"/>
      <c r="AA28" s="28">
        <f>IFERROR(INDEX('3. Kengetallen (DC-uitdraai)'!AM:AM,MATCH(Table1[[#This Row],[Milieuprofiel]],'3. Kengetallen (DC-uitdraai)'!C:C,0)),0)*Table1[[#This Row],[Hvd]]</f>
        <v>0</v>
      </c>
      <c r="AB28" s="28">
        <f>IFERROR(INDEX('3. Kengetallen (DC-uitdraai)'!AM:AM,MATCH(Table1[[#This Row],[Potentieel alternatief]],'3. Kengetallen (DC-uitdraai)'!C:C,0)),0)*Table1[[#This Row],[Hvd]]</f>
        <v>0</v>
      </c>
    </row>
    <row r="29" spans="1:28">
      <c r="A29" s="88">
        <v>211020</v>
      </c>
      <c r="B29" s="88" t="s">
        <v>146</v>
      </c>
      <c r="C29" s="42" t="s">
        <v>147</v>
      </c>
      <c r="D29" s="42" t="s">
        <v>148</v>
      </c>
      <c r="E29" t="s">
        <v>149</v>
      </c>
      <c r="F29" t="s">
        <v>150</v>
      </c>
      <c r="G29" t="s">
        <v>151</v>
      </c>
      <c r="H29" t="str">
        <f>IFERROR(INDEX('3. Kengetallen (DC-uitdraai)'!F:F,MATCH(Table1[[#This Row],[Milieuprofiel]],'3. Kengetallen (DC-uitdraai)'!D:D,0)),"")</f>
        <v>Cat.3 (30%)</v>
      </c>
      <c r="I29" s="26">
        <v>66</v>
      </c>
      <c r="J29" t="s">
        <v>152</v>
      </c>
      <c r="K29" t="str">
        <f>IF(ISTEXT(Table1[[#This Row],[Milieuprofiel]]),"Ja","Nee")</f>
        <v>Ja</v>
      </c>
      <c r="L29" s="27">
        <v>0.3</v>
      </c>
      <c r="M29" s="26">
        <f>Table1[[#This Row],[Volume]]*Table1[[#This Row],[Factor]]</f>
        <v>19.8</v>
      </c>
      <c r="N29" t="str">
        <f>IFERROR(INDEX('3. Kengetallen (DC-uitdraai)'!H:H,MATCH(Table1[[#This Row],[Milieuprofiel]],'3. Kengetallen (DC-uitdraai)'!D:D,0)),"")</f>
        <v>uur</v>
      </c>
      <c r="O29">
        <f>IFERROR(INDEX('3. Kengetallen (DC-uitdraai)'!I:I,MATCH(Table1[[#This Row],[Milieuprofiel]],'3. Kengetallen (DC-uitdraai)'!D:D,0)),0)</f>
        <v>999</v>
      </c>
      <c r="P29" s="106">
        <f>IFERROR(INDEX('3. Kengetallen (DC-uitdraai)'!P:P,MATCH(Table1[[#This Row],[Milieuprofiel]],'3. Kengetallen (DC-uitdraai)'!D:D,0))*Table1[[#This Row],[Hvd]]*(1+INDEX('3. Kengetallen (DC-uitdraai)'!K:K,MATCH(Table1[[#This Row],[Milieuprofiel]],'3. Kengetallen (DC-uitdraai)'!D:D,0))),0)</f>
        <v>94.411234142975189</v>
      </c>
      <c r="Q29" s="16">
        <f>IFERROR(INDEX('3. Kengetallen (DC-uitdraai)'!U:U,MATCH(Table1[[#This Row],[Milieuprofiel]],'3. Kengetallen (DC-uitdraai)'!D:D,0))*Table1[[#This Row],[Hvd]]*(1+INDEX('3. Kengetallen (DC-uitdraai)'!K:K,MATCH(Table1[[#This Row],[Milieuprofiel]],'3. Kengetallen (DC-uitdraai)'!D:D,0))),0)</f>
        <v>0</v>
      </c>
      <c r="R29" s="16">
        <f>IFERROR(INDEX('3. Kengetallen (DC-uitdraai)'!V:V,MATCH(Table1[[#This Row],[Milieuprofiel]],'3. Kengetallen (DC-uitdraai)'!D:D,0))*Table1[[#This Row],[Hvd]]*(1+INDEX('3. Kengetallen (DC-uitdraai)'!K:K,MATCH(Table1[[#This Row],[Milieuprofiel]],'3. Kengetallen (DC-uitdraai)'!D:D,0))),0)</f>
        <v>72.624025597868723</v>
      </c>
      <c r="S29" s="16">
        <f>IFERROR(INDEX('3. Kengetallen (DC-uitdraai)'!W:W,MATCH(Table1[[#This Row],[Milieuprofiel]],'3. Kengetallen (DC-uitdraai)'!D:D,0))*Table1[[#This Row],[Hvd]]*(1+INDEX('3. Kengetallen (DC-uitdraai)'!K:K,MATCH(Table1[[#This Row],[Milieuprofiel]],'3. Kengetallen (DC-uitdraai)'!D:D,0))),0)</f>
        <v>0</v>
      </c>
      <c r="T29" s="16">
        <f>IFERROR(INDEX('3. Kengetallen (DC-uitdraai)'!X:X,MATCH(Table1[[#This Row],[Milieuprofiel]],'3. Kengetallen (DC-uitdraai)'!D:D,0))*Table1[[#This Row],[Hvd]]*(1+INDEX('3. Kengetallen (DC-uitdraai)'!K:K,MATCH(Table1[[#This Row],[Milieuprofiel]],'3. Kengetallen (DC-uitdraai)'!D:D,0))),0)</f>
        <v>0</v>
      </c>
      <c r="U29" s="103">
        <v>0.3</v>
      </c>
      <c r="V29" s="112">
        <f>Table1[[#This Row],[Volume]]*Table1[[#This Row],[omrekenfactor]]</f>
        <v>19.8</v>
      </c>
      <c r="W29" s="43" t="str">
        <f>IFERROR(INDEX('Eigen database'!H:H,MATCH(Table1[[#This Row],[Potentieel alternatief]],'Eigen database'!D:D,0)),"")</f>
        <v>uur</v>
      </c>
      <c r="X29" s="108">
        <f>IFERROR(INDEX('Eigen database'!P:P,MATCH(Table1[[#This Row],[Potentieel alternatief]],'Eigen database'!D:D,0))*Table1[[#This Row],[Hoeveelheid]]*(1+INDEX('Eigen database'!K:K,MATCH(Table1[[#This Row],[Potentieel alternatief]],'Eigen database'!D:D,0))),0)</f>
        <v>1.8608318398636365</v>
      </c>
      <c r="Y29" s="16">
        <f>IF(Table1[[#This Row],[MKI A-D nieuw]]=0,Table1[[#This Row],[MKI A-D]],Table1[[#This Row],[MKI A-D nieuw]])</f>
        <v>1.8608318398636365</v>
      </c>
      <c r="Z29" s="16"/>
      <c r="AA29" s="28">
        <f>IFERROR(INDEX('3. Kengetallen (DC-uitdraai)'!AM:AM,MATCH(Table1[[#This Row],[Milieuprofiel]],'3. Kengetallen (DC-uitdraai)'!C:C,0)),0)*Table1[[#This Row],[Hvd]]</f>
        <v>0</v>
      </c>
      <c r="AB29" s="28">
        <f>IFERROR(INDEX('3. Kengetallen (DC-uitdraai)'!AM:AM,MATCH(Table1[[#This Row],[Potentieel alternatief]],'3. Kengetallen (DC-uitdraai)'!C:C,0)),0)*Table1[[#This Row],[Hvd]]</f>
        <v>0</v>
      </c>
    </row>
    <row r="30" spans="1:28">
      <c r="A30" s="89">
        <v>221010</v>
      </c>
      <c r="B30" s="89">
        <v>220101</v>
      </c>
      <c r="C30" s="42" t="s">
        <v>147</v>
      </c>
      <c r="D30" s="42" t="s">
        <v>153</v>
      </c>
      <c r="E30" t="s">
        <v>154</v>
      </c>
      <c r="F30" t="s">
        <v>97</v>
      </c>
      <c r="G30" t="s">
        <v>105</v>
      </c>
      <c r="H30" t="str">
        <f>IFERROR(INDEX('3. Kengetallen (DC-uitdraai)'!F:F,MATCH(Table1[[#This Row],[Milieuprofiel]],'3. Kengetallen (DC-uitdraai)'!D:D,0)),"")</f>
        <v>Cat.3a</v>
      </c>
      <c r="I30" s="26">
        <v>130</v>
      </c>
      <c r="J30" t="s">
        <v>112</v>
      </c>
      <c r="K30" t="str">
        <f>IF(ISTEXT(Table1[[#This Row],[Milieuprofiel]]),"Ja","Nee")</f>
        <v>Ja</v>
      </c>
      <c r="L30" s="43">
        <v>1.67E-2</v>
      </c>
      <c r="M30" s="26">
        <f>Table1[[#This Row],[Volume]]*Table1[[#This Row],[Factor]]</f>
        <v>2.1709999999999998</v>
      </c>
      <c r="N30" t="str">
        <f>IFERROR(INDEX('3. Kengetallen (DC-uitdraai)'!H:H,MATCH(Table1[[#This Row],[Milieuprofiel]],'3. Kengetallen (DC-uitdraai)'!D:D,0)),"")</f>
        <v>uur</v>
      </c>
      <c r="O30">
        <f>IFERROR(INDEX('3. Kengetallen (DC-uitdraai)'!I:I,MATCH(Table1[[#This Row],[Milieuprofiel]],'3. Kengetallen (DC-uitdraai)'!D:D,0)),0)</f>
        <v>999</v>
      </c>
      <c r="P30" s="106">
        <f>IFERROR(INDEX('3. Kengetallen (DC-uitdraai)'!P:P,MATCH(Table1[[#This Row],[Milieuprofiel]],'3. Kengetallen (DC-uitdraai)'!D:D,0))*Table1[[#This Row],[Hvd]]*(1+INDEX('3. Kengetallen (DC-uitdraai)'!K:K,MATCH(Table1[[#This Row],[Milieuprofiel]],'3. Kengetallen (DC-uitdraai)'!D:D,0))),0)</f>
        <v>9.7206157294548685</v>
      </c>
      <c r="Q30" s="16">
        <f>IFERROR(INDEX('3. Kengetallen (DC-uitdraai)'!U:U,MATCH(Table1[[#This Row],[Milieuprofiel]],'3. Kengetallen (DC-uitdraai)'!D:D,0))*Table1[[#This Row],[Hvd]]*(1+INDEX('3. Kengetallen (DC-uitdraai)'!K:K,MATCH(Table1[[#This Row],[Milieuprofiel]],'3. Kengetallen (DC-uitdraai)'!D:D,0))),0)</f>
        <v>0</v>
      </c>
      <c r="R30" s="16">
        <f>IFERROR(INDEX('3. Kengetallen (DC-uitdraai)'!V:V,MATCH(Table1[[#This Row],[Milieuprofiel]],'3. Kengetallen (DC-uitdraai)'!D:D,0))*Table1[[#This Row],[Hvd]]*(1+INDEX('3. Kengetallen (DC-uitdraai)'!K:K,MATCH(Table1[[#This Row],[Milieuprofiel]],'3. Kengetallen (DC-uitdraai)'!D:D,0))),0)</f>
        <v>9.7206157294548685</v>
      </c>
      <c r="S30" s="16">
        <f>IFERROR(INDEX('3. Kengetallen (DC-uitdraai)'!W:W,MATCH(Table1[[#This Row],[Milieuprofiel]],'3. Kengetallen (DC-uitdraai)'!D:D,0))*Table1[[#This Row],[Hvd]]*(1+INDEX('3. Kengetallen (DC-uitdraai)'!K:K,MATCH(Table1[[#This Row],[Milieuprofiel]],'3. Kengetallen (DC-uitdraai)'!D:D,0))),0)</f>
        <v>0</v>
      </c>
      <c r="T30" s="16">
        <f>IFERROR(INDEX('3. Kengetallen (DC-uitdraai)'!X:X,MATCH(Table1[[#This Row],[Milieuprofiel]],'3. Kengetallen (DC-uitdraai)'!D:D,0))*Table1[[#This Row],[Hvd]]*(1+INDEX('3. Kengetallen (DC-uitdraai)'!K:K,MATCH(Table1[[#This Row],[Milieuprofiel]],'3. Kengetallen (DC-uitdraai)'!D:D,0))),0)</f>
        <v>0</v>
      </c>
      <c r="U30" s="111">
        <f>Table1[[#This Row],[Factor]]</f>
        <v>1.67E-2</v>
      </c>
      <c r="V30" s="112">
        <f>Table1[[#This Row],[Volume]]*Table1[[#This Row],[omrekenfactor]]</f>
        <v>2.1709999999999998</v>
      </c>
      <c r="W30" s="43" t="str">
        <f>IFERROR(INDEX('Eigen database'!H:H,MATCH(Table1[[#This Row],[Potentieel alternatief]],'Eigen database'!D:D,0)),"")</f>
        <v>uur</v>
      </c>
      <c r="X30" s="108">
        <f>IFERROR(INDEX('Eigen database'!P:P,MATCH(Table1[[#This Row],[Potentieel alternatief]],'Eigen database'!D:D,0))*Table1[[#This Row],[Hoeveelheid]]*(1+INDEX('Eigen database'!K:K,MATCH(Table1[[#This Row],[Potentieel alternatief]],'Eigen database'!D:D,0))),0)</f>
        <v>3.6255821447661951</v>
      </c>
      <c r="Y30" s="16">
        <f>IF(Table1[[#This Row],[MKI A-D nieuw]]=0,Table1[[#This Row],[MKI A-D]],Table1[[#This Row],[MKI A-D nieuw]])</f>
        <v>3.6255821447661951</v>
      </c>
      <c r="Z30" s="16"/>
      <c r="AA30" s="28">
        <f>IFERROR(INDEX('3. Kengetallen (DC-uitdraai)'!AM:AM,MATCH(Table1[[#This Row],[Milieuprofiel]],'3. Kengetallen (DC-uitdraai)'!C:C,0)),0)*Table1[[#This Row],[Hvd]]</f>
        <v>0</v>
      </c>
      <c r="AB30" s="28">
        <f>IFERROR(INDEX('3. Kengetallen (DC-uitdraai)'!AM:AM,MATCH(Table1[[#This Row],[Potentieel alternatief]],'3. Kengetallen (DC-uitdraai)'!C:C,0)),0)*Table1[[#This Row],[Hvd]]</f>
        <v>0</v>
      </c>
    </row>
    <row r="31" spans="1:28">
      <c r="A31" s="89" t="s">
        <v>155</v>
      </c>
      <c r="B31" s="88">
        <v>220101</v>
      </c>
      <c r="C31" s="42" t="s">
        <v>147</v>
      </c>
      <c r="D31" s="42" t="s">
        <v>153</v>
      </c>
      <c r="E31" t="s">
        <v>154</v>
      </c>
      <c r="F31" t="s">
        <v>97</v>
      </c>
      <c r="G31" t="s">
        <v>105</v>
      </c>
      <c r="H31" t="str">
        <f>IFERROR(INDEX('3. Kengetallen (DC-uitdraai)'!F:F,MATCH(Table1[[#This Row],[Milieuprofiel]],'3. Kengetallen (DC-uitdraai)'!D:D,0)),"")</f>
        <v>Cat.3a</v>
      </c>
      <c r="I31" s="26">
        <v>660</v>
      </c>
      <c r="J31" t="s">
        <v>112</v>
      </c>
      <c r="K31" t="str">
        <f>IF(ISTEXT(Table1[[#This Row],[Milieuprofiel]]),"Ja","Nee")</f>
        <v>Ja</v>
      </c>
      <c r="L31" s="43">
        <v>1.67E-2</v>
      </c>
      <c r="M31" s="26">
        <f>Table1[[#This Row],[Volume]]*Table1[[#This Row],[Factor]]</f>
        <v>11.022</v>
      </c>
      <c r="N31" t="str">
        <f>IFERROR(INDEX('3. Kengetallen (DC-uitdraai)'!H:H,MATCH(Table1[[#This Row],[Milieuprofiel]],'3. Kengetallen (DC-uitdraai)'!D:D,0)),"")</f>
        <v>uur</v>
      </c>
      <c r="O31">
        <f>IFERROR(INDEX('3. Kengetallen (DC-uitdraai)'!I:I,MATCH(Table1[[#This Row],[Milieuprofiel]],'3. Kengetallen (DC-uitdraai)'!D:D,0)),0)</f>
        <v>999</v>
      </c>
      <c r="P31" s="106">
        <f>IFERROR(INDEX('3. Kengetallen (DC-uitdraai)'!P:P,MATCH(Table1[[#This Row],[Milieuprofiel]],'3. Kengetallen (DC-uitdraai)'!D:D,0))*Table1[[#This Row],[Hvd]]*(1+INDEX('3. Kengetallen (DC-uitdraai)'!K:K,MATCH(Table1[[#This Row],[Milieuprofiel]],'3. Kengetallen (DC-uitdraai)'!D:D,0))),0)</f>
        <v>49.35081831877087</v>
      </c>
      <c r="Q31" s="16">
        <f>IFERROR(INDEX('3. Kengetallen (DC-uitdraai)'!U:U,MATCH(Table1[[#This Row],[Milieuprofiel]],'3. Kengetallen (DC-uitdraai)'!D:D,0))*Table1[[#This Row],[Hvd]]*(1+INDEX('3. Kengetallen (DC-uitdraai)'!K:K,MATCH(Table1[[#This Row],[Milieuprofiel]],'3. Kengetallen (DC-uitdraai)'!D:D,0))),0)</f>
        <v>0</v>
      </c>
      <c r="R31" s="16">
        <f>IFERROR(INDEX('3. Kengetallen (DC-uitdraai)'!V:V,MATCH(Table1[[#This Row],[Milieuprofiel]],'3. Kengetallen (DC-uitdraai)'!D:D,0))*Table1[[#This Row],[Hvd]]*(1+INDEX('3. Kengetallen (DC-uitdraai)'!K:K,MATCH(Table1[[#This Row],[Milieuprofiel]],'3. Kengetallen (DC-uitdraai)'!D:D,0))),0)</f>
        <v>49.35081831877087</v>
      </c>
      <c r="S31" s="16">
        <f>IFERROR(INDEX('3. Kengetallen (DC-uitdraai)'!W:W,MATCH(Table1[[#This Row],[Milieuprofiel]],'3. Kengetallen (DC-uitdraai)'!D:D,0))*Table1[[#This Row],[Hvd]]*(1+INDEX('3. Kengetallen (DC-uitdraai)'!K:K,MATCH(Table1[[#This Row],[Milieuprofiel]],'3. Kengetallen (DC-uitdraai)'!D:D,0))),0)</f>
        <v>0</v>
      </c>
      <c r="T31" s="16">
        <f>IFERROR(INDEX('3. Kengetallen (DC-uitdraai)'!X:X,MATCH(Table1[[#This Row],[Milieuprofiel]],'3. Kengetallen (DC-uitdraai)'!D:D,0))*Table1[[#This Row],[Hvd]]*(1+INDEX('3. Kengetallen (DC-uitdraai)'!K:K,MATCH(Table1[[#This Row],[Milieuprofiel]],'3. Kengetallen (DC-uitdraai)'!D:D,0))),0)</f>
        <v>0</v>
      </c>
      <c r="U31" s="111">
        <f>Table1[[#This Row],[Factor]]</f>
        <v>1.67E-2</v>
      </c>
      <c r="V31" s="112">
        <f>Table1[[#This Row],[Volume]]*Table1[[#This Row],[omrekenfactor]]</f>
        <v>11.022</v>
      </c>
      <c r="W31" s="43" t="str">
        <f>IFERROR(INDEX('Eigen database'!H:H,MATCH(Table1[[#This Row],[Potentieel alternatief]],'Eigen database'!D:D,0)),"")</f>
        <v>uur</v>
      </c>
      <c r="X31" s="108">
        <f>IFERROR(INDEX('Eigen database'!P:P,MATCH(Table1[[#This Row],[Potentieel alternatief]],'Eigen database'!D:D,0))*Table1[[#This Row],[Hoeveelheid]]*(1+INDEX('Eigen database'!K:K,MATCH(Table1[[#This Row],[Potentieel alternatief]],'Eigen database'!D:D,0))),0)</f>
        <v>18.406801658043761</v>
      </c>
      <c r="Y31" s="16">
        <f>IF(Table1[[#This Row],[MKI A-D nieuw]]=0,Table1[[#This Row],[MKI A-D]],Table1[[#This Row],[MKI A-D nieuw]])</f>
        <v>18.406801658043761</v>
      </c>
      <c r="Z31" s="16"/>
      <c r="AA31" s="28">
        <f>IFERROR(INDEX('3. Kengetallen (DC-uitdraai)'!AM:AM,MATCH(Table1[[#This Row],[Milieuprofiel]],'3. Kengetallen (DC-uitdraai)'!C:C,0)),0)*Table1[[#This Row],[Hvd]]</f>
        <v>0</v>
      </c>
      <c r="AB31" s="28">
        <f>IFERROR(INDEX('3. Kengetallen (DC-uitdraai)'!AM:AM,MATCH(Table1[[#This Row],[Potentieel alternatief]],'3. Kengetallen (DC-uitdraai)'!C:C,0)),0)*Table1[[#This Row],[Hvd]]</f>
        <v>0</v>
      </c>
    </row>
    <row r="32" spans="1:28">
      <c r="A32" s="89" t="s">
        <v>156</v>
      </c>
      <c r="B32" s="89">
        <v>220101</v>
      </c>
      <c r="C32" s="42" t="s">
        <v>147</v>
      </c>
      <c r="D32" s="42" t="s">
        <v>153</v>
      </c>
      <c r="E32" t="s">
        <v>154</v>
      </c>
      <c r="F32" t="s">
        <v>97</v>
      </c>
      <c r="G32" t="s">
        <v>105</v>
      </c>
      <c r="H32" t="str">
        <f>IFERROR(INDEX('3. Kengetallen (DC-uitdraai)'!F:F,MATCH(Table1[[#This Row],[Milieuprofiel]],'3. Kengetallen (DC-uitdraai)'!D:D,0)),"")</f>
        <v>Cat.3a</v>
      </c>
      <c r="I32" s="26">
        <v>1380</v>
      </c>
      <c r="J32" t="s">
        <v>112</v>
      </c>
      <c r="K32" t="str">
        <f>IF(ISTEXT(Table1[[#This Row],[Milieuprofiel]]),"Ja","Nee")</f>
        <v>Ja</v>
      </c>
      <c r="L32" s="43">
        <v>1.67E-2</v>
      </c>
      <c r="M32" s="26">
        <f>Table1[[#This Row],[Volume]]*Table1[[#This Row],[Factor]]</f>
        <v>23.045999999999999</v>
      </c>
      <c r="N32" t="str">
        <f>IFERROR(INDEX('3. Kengetallen (DC-uitdraai)'!H:H,MATCH(Table1[[#This Row],[Milieuprofiel]],'3. Kengetallen (DC-uitdraai)'!D:D,0)),"")</f>
        <v>uur</v>
      </c>
      <c r="O32">
        <f>IFERROR(INDEX('3. Kengetallen (DC-uitdraai)'!I:I,MATCH(Table1[[#This Row],[Milieuprofiel]],'3. Kengetallen (DC-uitdraai)'!D:D,0)),0)</f>
        <v>999</v>
      </c>
      <c r="P32" s="106">
        <f>IFERROR(INDEX('3. Kengetallen (DC-uitdraai)'!P:P,MATCH(Table1[[#This Row],[Milieuprofiel]],'3. Kengetallen (DC-uitdraai)'!D:D,0))*Table1[[#This Row],[Hvd]]*(1+INDEX('3. Kengetallen (DC-uitdraai)'!K:K,MATCH(Table1[[#This Row],[Milieuprofiel]],'3. Kengetallen (DC-uitdraai)'!D:D,0))),0)</f>
        <v>103.1880746665209</v>
      </c>
      <c r="Q32" s="16">
        <f>IFERROR(INDEX('3. Kengetallen (DC-uitdraai)'!U:U,MATCH(Table1[[#This Row],[Milieuprofiel]],'3. Kengetallen (DC-uitdraai)'!D:D,0))*Table1[[#This Row],[Hvd]]*(1+INDEX('3. Kengetallen (DC-uitdraai)'!K:K,MATCH(Table1[[#This Row],[Milieuprofiel]],'3. Kengetallen (DC-uitdraai)'!D:D,0))),0)</f>
        <v>0</v>
      </c>
      <c r="R32" s="16">
        <f>IFERROR(INDEX('3. Kengetallen (DC-uitdraai)'!V:V,MATCH(Table1[[#This Row],[Milieuprofiel]],'3. Kengetallen (DC-uitdraai)'!D:D,0))*Table1[[#This Row],[Hvd]]*(1+INDEX('3. Kengetallen (DC-uitdraai)'!K:K,MATCH(Table1[[#This Row],[Milieuprofiel]],'3. Kengetallen (DC-uitdraai)'!D:D,0))),0)</f>
        <v>103.1880746665209</v>
      </c>
      <c r="S32" s="16">
        <f>IFERROR(INDEX('3. Kengetallen (DC-uitdraai)'!W:W,MATCH(Table1[[#This Row],[Milieuprofiel]],'3. Kengetallen (DC-uitdraai)'!D:D,0))*Table1[[#This Row],[Hvd]]*(1+INDEX('3. Kengetallen (DC-uitdraai)'!K:K,MATCH(Table1[[#This Row],[Milieuprofiel]],'3. Kengetallen (DC-uitdraai)'!D:D,0))),0)</f>
        <v>0</v>
      </c>
      <c r="T32" s="16">
        <f>IFERROR(INDEX('3. Kengetallen (DC-uitdraai)'!X:X,MATCH(Table1[[#This Row],[Milieuprofiel]],'3. Kengetallen (DC-uitdraai)'!D:D,0))*Table1[[#This Row],[Hvd]]*(1+INDEX('3. Kengetallen (DC-uitdraai)'!K:K,MATCH(Table1[[#This Row],[Milieuprofiel]],'3. Kengetallen (DC-uitdraai)'!D:D,0))),0)</f>
        <v>0</v>
      </c>
      <c r="U32" s="111">
        <f>Table1[[#This Row],[Factor]]</f>
        <v>1.67E-2</v>
      </c>
      <c r="V32" s="112">
        <f>Table1[[#This Row],[Volume]]*Table1[[#This Row],[omrekenfactor]]</f>
        <v>23.045999999999999</v>
      </c>
      <c r="W32" s="43" t="str">
        <f>IFERROR(INDEX('Eigen database'!H:H,MATCH(Table1[[#This Row],[Potentieel alternatief]],'Eigen database'!D:D,0)),"")</f>
        <v>uur</v>
      </c>
      <c r="X32" s="108">
        <f>IFERROR(INDEX('Eigen database'!P:P,MATCH(Table1[[#This Row],[Potentieel alternatief]],'Eigen database'!D:D,0))*Table1[[#This Row],[Hoeveelheid]]*(1+INDEX('Eigen database'!K:K,MATCH(Table1[[#This Row],[Potentieel alternatief]],'Eigen database'!D:D,0))),0)</f>
        <v>38.486948921364231</v>
      </c>
      <c r="Y32" s="16">
        <f>IF(Table1[[#This Row],[MKI A-D nieuw]]=0,Table1[[#This Row],[MKI A-D]],Table1[[#This Row],[MKI A-D nieuw]])</f>
        <v>38.486948921364231</v>
      </c>
      <c r="Z32" s="16"/>
      <c r="AA32" s="28">
        <f>IFERROR(INDEX('3. Kengetallen (DC-uitdraai)'!AM:AM,MATCH(Table1[[#This Row],[Milieuprofiel]],'3. Kengetallen (DC-uitdraai)'!C:C,0)),0)*Table1[[#This Row],[Hvd]]</f>
        <v>0</v>
      </c>
      <c r="AB32" s="28">
        <f>IFERROR(INDEX('3. Kengetallen (DC-uitdraai)'!AM:AM,MATCH(Table1[[#This Row],[Potentieel alternatief]],'3. Kengetallen (DC-uitdraai)'!C:C,0)),0)*Table1[[#This Row],[Hvd]]</f>
        <v>0</v>
      </c>
    </row>
    <row r="33" spans="1:28">
      <c r="A33" s="88" t="s">
        <v>157</v>
      </c>
      <c r="B33" s="88">
        <v>220101</v>
      </c>
      <c r="C33" s="42" t="s">
        <v>147</v>
      </c>
      <c r="D33" s="42" t="s">
        <v>153</v>
      </c>
      <c r="E33" t="s">
        <v>154</v>
      </c>
      <c r="F33" t="s">
        <v>97</v>
      </c>
      <c r="G33" t="s">
        <v>105</v>
      </c>
      <c r="H33" t="str">
        <f>IFERROR(INDEX('3. Kengetallen (DC-uitdraai)'!F:F,MATCH(Table1[[#This Row],[Milieuprofiel]],'3. Kengetallen (DC-uitdraai)'!D:D,0)),"")</f>
        <v>Cat.3a</v>
      </c>
      <c r="I33" s="26">
        <v>1680</v>
      </c>
      <c r="J33" t="s">
        <v>112</v>
      </c>
      <c r="K33" t="str">
        <f>IF(ISTEXT(Table1[[#This Row],[Milieuprofiel]]),"Ja","Nee")</f>
        <v>Ja</v>
      </c>
      <c r="L33" s="43">
        <v>1.67E-2</v>
      </c>
      <c r="M33" s="26">
        <f>Table1[[#This Row],[Volume]]*Table1[[#This Row],[Factor]]</f>
        <v>28.056000000000001</v>
      </c>
      <c r="N33" t="str">
        <f>IFERROR(INDEX('3. Kengetallen (DC-uitdraai)'!H:H,MATCH(Table1[[#This Row],[Milieuprofiel]],'3. Kengetallen (DC-uitdraai)'!D:D,0)),"")</f>
        <v>uur</v>
      </c>
      <c r="O33">
        <f>IFERROR(INDEX('3. Kengetallen (DC-uitdraai)'!I:I,MATCH(Table1[[#This Row],[Milieuprofiel]],'3. Kengetallen (DC-uitdraai)'!D:D,0)),0)</f>
        <v>999</v>
      </c>
      <c r="P33" s="106">
        <f>IFERROR(INDEX('3. Kengetallen (DC-uitdraai)'!P:P,MATCH(Table1[[#This Row],[Milieuprofiel]],'3. Kengetallen (DC-uitdraai)'!D:D,0))*Table1[[#This Row],[Hvd]]*(1+INDEX('3. Kengetallen (DC-uitdraai)'!K:K,MATCH(Table1[[#This Row],[Milieuprofiel]],'3. Kengetallen (DC-uitdraai)'!D:D,0))),0)</f>
        <v>125.62026481141677</v>
      </c>
      <c r="Q33" s="16">
        <f>IFERROR(INDEX('3. Kengetallen (DC-uitdraai)'!U:U,MATCH(Table1[[#This Row],[Milieuprofiel]],'3. Kengetallen (DC-uitdraai)'!D:D,0))*Table1[[#This Row],[Hvd]]*(1+INDEX('3. Kengetallen (DC-uitdraai)'!K:K,MATCH(Table1[[#This Row],[Milieuprofiel]],'3. Kengetallen (DC-uitdraai)'!D:D,0))),0)</f>
        <v>0</v>
      </c>
      <c r="R33" s="16">
        <f>IFERROR(INDEX('3. Kengetallen (DC-uitdraai)'!V:V,MATCH(Table1[[#This Row],[Milieuprofiel]],'3. Kengetallen (DC-uitdraai)'!D:D,0))*Table1[[#This Row],[Hvd]]*(1+INDEX('3. Kengetallen (DC-uitdraai)'!K:K,MATCH(Table1[[#This Row],[Milieuprofiel]],'3. Kengetallen (DC-uitdraai)'!D:D,0))),0)</f>
        <v>125.62026481141677</v>
      </c>
      <c r="S33" s="16">
        <f>IFERROR(INDEX('3. Kengetallen (DC-uitdraai)'!W:W,MATCH(Table1[[#This Row],[Milieuprofiel]],'3. Kengetallen (DC-uitdraai)'!D:D,0))*Table1[[#This Row],[Hvd]]*(1+INDEX('3. Kengetallen (DC-uitdraai)'!K:K,MATCH(Table1[[#This Row],[Milieuprofiel]],'3. Kengetallen (DC-uitdraai)'!D:D,0))),0)</f>
        <v>0</v>
      </c>
      <c r="T33" s="16">
        <f>IFERROR(INDEX('3. Kengetallen (DC-uitdraai)'!X:X,MATCH(Table1[[#This Row],[Milieuprofiel]],'3. Kengetallen (DC-uitdraai)'!D:D,0))*Table1[[#This Row],[Hvd]]*(1+INDEX('3. Kengetallen (DC-uitdraai)'!K:K,MATCH(Table1[[#This Row],[Milieuprofiel]],'3. Kengetallen (DC-uitdraai)'!D:D,0))),0)</f>
        <v>0</v>
      </c>
      <c r="U33" s="111">
        <f>Table1[[#This Row],[Factor]]</f>
        <v>1.67E-2</v>
      </c>
      <c r="V33" s="112">
        <f>Table1[[#This Row],[Volume]]*Table1[[#This Row],[omrekenfactor]]</f>
        <v>28.056000000000001</v>
      </c>
      <c r="W33" s="43" t="str">
        <f>IFERROR(INDEX('Eigen database'!H:H,MATCH(Table1[[#This Row],[Potentieel alternatief]],'Eigen database'!D:D,0)),"")</f>
        <v>uur</v>
      </c>
      <c r="X33" s="108">
        <f>IFERROR(INDEX('Eigen database'!P:P,MATCH(Table1[[#This Row],[Potentieel alternatief]],'Eigen database'!D:D,0))*Table1[[#This Row],[Hoeveelheid]]*(1+INDEX('Eigen database'!K:K,MATCH(Table1[[#This Row],[Potentieel alternatief]],'Eigen database'!D:D,0))),0)</f>
        <v>46.853676947747758</v>
      </c>
      <c r="Y33" s="16">
        <f>IF(Table1[[#This Row],[MKI A-D nieuw]]=0,Table1[[#This Row],[MKI A-D]],Table1[[#This Row],[MKI A-D nieuw]])</f>
        <v>46.853676947747758</v>
      </c>
      <c r="Z33" s="16"/>
      <c r="AA33" s="28">
        <f>IFERROR(INDEX('3. Kengetallen (DC-uitdraai)'!AM:AM,MATCH(Table1[[#This Row],[Milieuprofiel]],'3. Kengetallen (DC-uitdraai)'!C:C,0)),0)*Table1[[#This Row],[Hvd]]</f>
        <v>0</v>
      </c>
      <c r="AB33" s="28">
        <f>IFERROR(INDEX('3. Kengetallen (DC-uitdraai)'!AM:AM,MATCH(Table1[[#This Row],[Potentieel alternatief]],'3. Kengetallen (DC-uitdraai)'!C:C,0)),0)*Table1[[#This Row],[Hvd]]</f>
        <v>0</v>
      </c>
    </row>
    <row r="34" spans="1:28">
      <c r="A34" s="89" t="s">
        <v>158</v>
      </c>
      <c r="B34" s="89">
        <v>220101</v>
      </c>
      <c r="C34" s="42" t="s">
        <v>147</v>
      </c>
      <c r="D34" s="42" t="s">
        <v>153</v>
      </c>
      <c r="E34" t="s">
        <v>154</v>
      </c>
      <c r="F34" t="s">
        <v>97</v>
      </c>
      <c r="G34" t="s">
        <v>105</v>
      </c>
      <c r="H34" t="str">
        <f>IFERROR(INDEX('3. Kengetallen (DC-uitdraai)'!F:F,MATCH(Table1[[#This Row],[Milieuprofiel]],'3. Kengetallen (DC-uitdraai)'!D:D,0)),"")</f>
        <v>Cat.3a</v>
      </c>
      <c r="I34" s="129">
        <v>85</v>
      </c>
      <c r="J34" t="s">
        <v>112</v>
      </c>
      <c r="K34" t="str">
        <f>IF(ISTEXT(Table1[[#This Row],[Milieuprofiel]]),"Ja","Nee")</f>
        <v>Ja</v>
      </c>
      <c r="L34" s="43">
        <v>1.67E-2</v>
      </c>
      <c r="M34" s="26">
        <f>Table1[[#This Row],[Volume]]*Table1[[#This Row],[Factor]]</f>
        <v>1.4195</v>
      </c>
      <c r="N34" t="str">
        <f>IFERROR(INDEX('3. Kengetallen (DC-uitdraai)'!H:H,MATCH(Table1[[#This Row],[Milieuprofiel]],'3. Kengetallen (DC-uitdraai)'!D:D,0)),"")</f>
        <v>uur</v>
      </c>
      <c r="O34">
        <f>IFERROR(INDEX('3. Kengetallen (DC-uitdraai)'!I:I,MATCH(Table1[[#This Row],[Milieuprofiel]],'3. Kengetallen (DC-uitdraai)'!D:D,0)),0)</f>
        <v>999</v>
      </c>
      <c r="P34" s="106">
        <f>IFERROR(INDEX('3. Kengetallen (DC-uitdraai)'!P:P,MATCH(Table1[[#This Row],[Milieuprofiel]],'3. Kengetallen (DC-uitdraai)'!D:D,0))*Table1[[#This Row],[Hvd]]*(1+INDEX('3. Kengetallen (DC-uitdraai)'!K:K,MATCH(Table1[[#This Row],[Milieuprofiel]],'3. Kengetallen (DC-uitdraai)'!D:D,0))),0)</f>
        <v>6.3557872077204909</v>
      </c>
      <c r="Q34" s="16">
        <f>IFERROR(INDEX('3. Kengetallen (DC-uitdraai)'!U:U,MATCH(Table1[[#This Row],[Milieuprofiel]],'3. Kengetallen (DC-uitdraai)'!D:D,0))*Table1[[#This Row],[Hvd]]*(1+INDEX('3. Kengetallen (DC-uitdraai)'!K:K,MATCH(Table1[[#This Row],[Milieuprofiel]],'3. Kengetallen (DC-uitdraai)'!D:D,0))),0)</f>
        <v>0</v>
      </c>
      <c r="R34" s="16">
        <f>IFERROR(INDEX('3. Kengetallen (DC-uitdraai)'!V:V,MATCH(Table1[[#This Row],[Milieuprofiel]],'3. Kengetallen (DC-uitdraai)'!D:D,0))*Table1[[#This Row],[Hvd]]*(1+INDEX('3. Kengetallen (DC-uitdraai)'!K:K,MATCH(Table1[[#This Row],[Milieuprofiel]],'3. Kengetallen (DC-uitdraai)'!D:D,0))),0)</f>
        <v>6.3557872077204909</v>
      </c>
      <c r="S34" s="16">
        <f>IFERROR(INDEX('3. Kengetallen (DC-uitdraai)'!W:W,MATCH(Table1[[#This Row],[Milieuprofiel]],'3. Kengetallen (DC-uitdraai)'!D:D,0))*Table1[[#This Row],[Hvd]]*(1+INDEX('3. Kengetallen (DC-uitdraai)'!K:K,MATCH(Table1[[#This Row],[Milieuprofiel]],'3. Kengetallen (DC-uitdraai)'!D:D,0))),0)</f>
        <v>0</v>
      </c>
      <c r="T34" s="16">
        <f>IFERROR(INDEX('3. Kengetallen (DC-uitdraai)'!X:X,MATCH(Table1[[#This Row],[Milieuprofiel]],'3. Kengetallen (DC-uitdraai)'!D:D,0))*Table1[[#This Row],[Hvd]]*(1+INDEX('3. Kengetallen (DC-uitdraai)'!K:K,MATCH(Table1[[#This Row],[Milieuprofiel]],'3. Kengetallen (DC-uitdraai)'!D:D,0))),0)</f>
        <v>0</v>
      </c>
      <c r="U34" s="111">
        <f>Table1[[#This Row],[Factor]]</f>
        <v>1.67E-2</v>
      </c>
      <c r="V34" s="112">
        <f>Table1[[#This Row],[Volume]]*Table1[[#This Row],[omrekenfactor]]</f>
        <v>1.4195</v>
      </c>
      <c r="W34" s="43" t="str">
        <f>IFERROR(INDEX('Eigen database'!H:H,MATCH(Table1[[#This Row],[Potentieel alternatief]],'Eigen database'!D:D,0)),"")</f>
        <v>uur</v>
      </c>
      <c r="X34" s="108">
        <f>IFERROR(INDEX('Eigen database'!P:P,MATCH(Table1[[#This Row],[Potentieel alternatief]],'Eigen database'!D:D,0))*Table1[[#This Row],[Hoeveelheid]]*(1+INDEX('Eigen database'!K:K,MATCH(Table1[[#This Row],[Potentieel alternatief]],'Eigen database'!D:D,0))),0)</f>
        <v>2.3705729408086662</v>
      </c>
      <c r="Y34" s="16">
        <f>IF(Table1[[#This Row],[MKI A-D nieuw]]=0,Table1[[#This Row],[MKI A-D]],Table1[[#This Row],[MKI A-D nieuw]])</f>
        <v>2.3705729408086662</v>
      </c>
      <c r="Z34" s="16"/>
      <c r="AA34" s="28">
        <f>IFERROR(INDEX('3. Kengetallen (DC-uitdraai)'!AM:AM,MATCH(Table1[[#This Row],[Milieuprofiel]],'3. Kengetallen (DC-uitdraai)'!C:C,0)),0)*Table1[[#This Row],[Hvd]]</f>
        <v>0</v>
      </c>
      <c r="AB34" s="28">
        <f>IFERROR(INDEX('3. Kengetallen (DC-uitdraai)'!AM:AM,MATCH(Table1[[#This Row],[Potentieel alternatief]],'3. Kengetallen (DC-uitdraai)'!C:C,0)),0)*Table1[[#This Row],[Hvd]]</f>
        <v>0</v>
      </c>
    </row>
    <row r="35" spans="1:28">
      <c r="A35" s="88" t="s">
        <v>159</v>
      </c>
      <c r="B35" s="88">
        <v>220101</v>
      </c>
      <c r="C35" s="42" t="s">
        <v>147</v>
      </c>
      <c r="D35" s="42" t="s">
        <v>153</v>
      </c>
      <c r="E35" t="s">
        <v>154</v>
      </c>
      <c r="F35" t="s">
        <v>97</v>
      </c>
      <c r="G35" t="s">
        <v>105</v>
      </c>
      <c r="H35" t="str">
        <f>IFERROR(INDEX('3. Kengetallen (DC-uitdraai)'!F:F,MATCH(Table1[[#This Row],[Milieuprofiel]],'3. Kengetallen (DC-uitdraai)'!D:D,0)),"")</f>
        <v>Cat.3a</v>
      </c>
      <c r="I35" s="26">
        <v>1200</v>
      </c>
      <c r="J35" t="s">
        <v>112</v>
      </c>
      <c r="K35" t="str">
        <f>IF(ISTEXT(Table1[[#This Row],[Milieuprofiel]]),"Ja","Nee")</f>
        <v>Ja</v>
      </c>
      <c r="L35" s="43">
        <v>1.67E-2</v>
      </c>
      <c r="M35" s="26">
        <f>Table1[[#This Row],[Volume]]*Table1[[#This Row],[Factor]]</f>
        <v>20.04</v>
      </c>
      <c r="N35" t="str">
        <f>IFERROR(INDEX('3. Kengetallen (DC-uitdraai)'!H:H,MATCH(Table1[[#This Row],[Milieuprofiel]],'3. Kengetallen (DC-uitdraai)'!D:D,0)),"")</f>
        <v>uur</v>
      </c>
      <c r="O35">
        <f>IFERROR(INDEX('3. Kengetallen (DC-uitdraai)'!I:I,MATCH(Table1[[#This Row],[Milieuprofiel]],'3. Kengetallen (DC-uitdraai)'!D:D,0)),0)</f>
        <v>999</v>
      </c>
      <c r="P35" s="106">
        <f>IFERROR(INDEX('3. Kengetallen (DC-uitdraai)'!P:P,MATCH(Table1[[#This Row],[Milieuprofiel]],'3. Kengetallen (DC-uitdraai)'!D:D,0))*Table1[[#This Row],[Hvd]]*(1+INDEX('3. Kengetallen (DC-uitdraai)'!K:K,MATCH(Table1[[#This Row],[Milieuprofiel]],'3. Kengetallen (DC-uitdraai)'!D:D,0))),0)</f>
        <v>89.728760579583394</v>
      </c>
      <c r="Q35" s="16">
        <f>IFERROR(INDEX('3. Kengetallen (DC-uitdraai)'!U:U,MATCH(Table1[[#This Row],[Milieuprofiel]],'3. Kengetallen (DC-uitdraai)'!D:D,0))*Table1[[#This Row],[Hvd]]*(1+INDEX('3. Kengetallen (DC-uitdraai)'!K:K,MATCH(Table1[[#This Row],[Milieuprofiel]],'3. Kengetallen (DC-uitdraai)'!D:D,0))),0)</f>
        <v>0</v>
      </c>
      <c r="R35" s="16">
        <f>IFERROR(INDEX('3. Kengetallen (DC-uitdraai)'!V:V,MATCH(Table1[[#This Row],[Milieuprofiel]],'3. Kengetallen (DC-uitdraai)'!D:D,0))*Table1[[#This Row],[Hvd]]*(1+INDEX('3. Kengetallen (DC-uitdraai)'!K:K,MATCH(Table1[[#This Row],[Milieuprofiel]],'3. Kengetallen (DC-uitdraai)'!D:D,0))),0)</f>
        <v>89.728760579583394</v>
      </c>
      <c r="S35" s="16">
        <f>IFERROR(INDEX('3. Kengetallen (DC-uitdraai)'!W:W,MATCH(Table1[[#This Row],[Milieuprofiel]],'3. Kengetallen (DC-uitdraai)'!D:D,0))*Table1[[#This Row],[Hvd]]*(1+INDEX('3. Kengetallen (DC-uitdraai)'!K:K,MATCH(Table1[[#This Row],[Milieuprofiel]],'3. Kengetallen (DC-uitdraai)'!D:D,0))),0)</f>
        <v>0</v>
      </c>
      <c r="T35" s="16">
        <f>IFERROR(INDEX('3. Kengetallen (DC-uitdraai)'!X:X,MATCH(Table1[[#This Row],[Milieuprofiel]],'3. Kengetallen (DC-uitdraai)'!D:D,0))*Table1[[#This Row],[Hvd]]*(1+INDEX('3. Kengetallen (DC-uitdraai)'!K:K,MATCH(Table1[[#This Row],[Milieuprofiel]],'3. Kengetallen (DC-uitdraai)'!D:D,0))),0)</f>
        <v>0</v>
      </c>
      <c r="U35" s="111">
        <f>Table1[[#This Row],[Factor]]</f>
        <v>1.67E-2</v>
      </c>
      <c r="V35" s="112">
        <f>Table1[[#This Row],[Volume]]*Table1[[#This Row],[omrekenfactor]]</f>
        <v>20.04</v>
      </c>
      <c r="W35" s="43" t="str">
        <f>IFERROR(INDEX('Eigen database'!H:H,MATCH(Table1[[#This Row],[Potentieel alternatief]],'Eigen database'!D:D,0)),"")</f>
        <v>uur</v>
      </c>
      <c r="X35" s="108">
        <f>IFERROR(INDEX('Eigen database'!P:P,MATCH(Table1[[#This Row],[Potentieel alternatief]],'Eigen database'!D:D,0))*Table1[[#This Row],[Hoeveelheid]]*(1+INDEX('Eigen database'!K:K,MATCH(Table1[[#This Row],[Potentieel alternatief]],'Eigen database'!D:D,0))),0)</f>
        <v>33.466912105534114</v>
      </c>
      <c r="Y35" s="16">
        <f>IF(Table1[[#This Row],[MKI A-D nieuw]]=0,Table1[[#This Row],[MKI A-D]],Table1[[#This Row],[MKI A-D nieuw]])</f>
        <v>33.466912105534114</v>
      </c>
      <c r="Z35" s="16"/>
      <c r="AA35" s="28">
        <f>IFERROR(INDEX('3. Kengetallen (DC-uitdraai)'!AM:AM,MATCH(Table1[[#This Row],[Milieuprofiel]],'3. Kengetallen (DC-uitdraai)'!C:C,0)),0)*Table1[[#This Row],[Hvd]]</f>
        <v>0</v>
      </c>
      <c r="AB35" s="28">
        <f>IFERROR(INDEX('3. Kengetallen (DC-uitdraai)'!AM:AM,MATCH(Table1[[#This Row],[Potentieel alternatief]],'3. Kengetallen (DC-uitdraai)'!C:C,0)),0)*Table1[[#This Row],[Hvd]]</f>
        <v>0</v>
      </c>
    </row>
    <row r="36" spans="1:28">
      <c r="A36" s="89" t="s">
        <v>160</v>
      </c>
      <c r="B36" s="89">
        <v>220101</v>
      </c>
      <c r="C36" s="42" t="s">
        <v>147</v>
      </c>
      <c r="D36" s="42" t="s">
        <v>153</v>
      </c>
      <c r="E36" t="s">
        <v>154</v>
      </c>
      <c r="F36" t="s">
        <v>97</v>
      </c>
      <c r="G36" t="s">
        <v>105</v>
      </c>
      <c r="H36" t="str">
        <f>IFERROR(INDEX('3. Kengetallen (DC-uitdraai)'!F:F,MATCH(Table1[[#This Row],[Milieuprofiel]],'3. Kengetallen (DC-uitdraai)'!D:D,0)),"")</f>
        <v>Cat.3a</v>
      </c>
      <c r="I36" s="26">
        <v>45</v>
      </c>
      <c r="J36" t="s">
        <v>112</v>
      </c>
      <c r="K36" t="str">
        <f>IF(ISTEXT(Table1[[#This Row],[Milieuprofiel]]),"Ja","Nee")</f>
        <v>Ja</v>
      </c>
      <c r="L36" s="43">
        <v>1.67E-2</v>
      </c>
      <c r="M36" s="26">
        <f>Table1[[#This Row],[Volume]]*Table1[[#This Row],[Factor]]</f>
        <v>0.75149999999999995</v>
      </c>
      <c r="N36" t="str">
        <f>IFERROR(INDEX('3. Kengetallen (DC-uitdraai)'!H:H,MATCH(Table1[[#This Row],[Milieuprofiel]],'3. Kengetallen (DC-uitdraai)'!D:D,0)),"")</f>
        <v>uur</v>
      </c>
      <c r="O36">
        <f>IFERROR(INDEX('3. Kengetallen (DC-uitdraai)'!I:I,MATCH(Table1[[#This Row],[Milieuprofiel]],'3. Kengetallen (DC-uitdraai)'!D:D,0)),0)</f>
        <v>999</v>
      </c>
      <c r="P36" s="106">
        <f>IFERROR(INDEX('3. Kengetallen (DC-uitdraai)'!P:P,MATCH(Table1[[#This Row],[Milieuprofiel]],'3. Kengetallen (DC-uitdraai)'!D:D,0))*Table1[[#This Row],[Hvd]]*(1+INDEX('3. Kengetallen (DC-uitdraai)'!K:K,MATCH(Table1[[#This Row],[Milieuprofiel]],'3. Kengetallen (DC-uitdraai)'!D:D,0))),0)</f>
        <v>3.3648285217343772</v>
      </c>
      <c r="Q36" s="16">
        <f>IFERROR(INDEX('3. Kengetallen (DC-uitdraai)'!U:U,MATCH(Table1[[#This Row],[Milieuprofiel]],'3. Kengetallen (DC-uitdraai)'!D:D,0))*Table1[[#This Row],[Hvd]]*(1+INDEX('3. Kengetallen (DC-uitdraai)'!K:K,MATCH(Table1[[#This Row],[Milieuprofiel]],'3. Kengetallen (DC-uitdraai)'!D:D,0))),0)</f>
        <v>0</v>
      </c>
      <c r="R36" s="16">
        <f>IFERROR(INDEX('3. Kengetallen (DC-uitdraai)'!V:V,MATCH(Table1[[#This Row],[Milieuprofiel]],'3. Kengetallen (DC-uitdraai)'!D:D,0))*Table1[[#This Row],[Hvd]]*(1+INDEX('3. Kengetallen (DC-uitdraai)'!K:K,MATCH(Table1[[#This Row],[Milieuprofiel]],'3. Kengetallen (DC-uitdraai)'!D:D,0))),0)</f>
        <v>3.3648285217343772</v>
      </c>
      <c r="S36" s="16">
        <f>IFERROR(INDEX('3. Kengetallen (DC-uitdraai)'!W:W,MATCH(Table1[[#This Row],[Milieuprofiel]],'3. Kengetallen (DC-uitdraai)'!D:D,0))*Table1[[#This Row],[Hvd]]*(1+INDEX('3. Kengetallen (DC-uitdraai)'!K:K,MATCH(Table1[[#This Row],[Milieuprofiel]],'3. Kengetallen (DC-uitdraai)'!D:D,0))),0)</f>
        <v>0</v>
      </c>
      <c r="T36" s="16">
        <f>IFERROR(INDEX('3. Kengetallen (DC-uitdraai)'!X:X,MATCH(Table1[[#This Row],[Milieuprofiel]],'3. Kengetallen (DC-uitdraai)'!D:D,0))*Table1[[#This Row],[Hvd]]*(1+INDEX('3. Kengetallen (DC-uitdraai)'!K:K,MATCH(Table1[[#This Row],[Milieuprofiel]],'3. Kengetallen (DC-uitdraai)'!D:D,0))),0)</f>
        <v>0</v>
      </c>
      <c r="U36" s="111">
        <f>Table1[[#This Row],[Factor]]</f>
        <v>1.67E-2</v>
      </c>
      <c r="V36" s="112">
        <f>Table1[[#This Row],[Volume]]*Table1[[#This Row],[omrekenfactor]]</f>
        <v>0.75149999999999995</v>
      </c>
      <c r="W36" s="43" t="str">
        <f>IFERROR(INDEX('Eigen database'!H:H,MATCH(Table1[[#This Row],[Potentieel alternatief]],'Eigen database'!D:D,0)),"")</f>
        <v>uur</v>
      </c>
      <c r="X36" s="108">
        <f>IFERROR(INDEX('Eigen database'!P:P,MATCH(Table1[[#This Row],[Potentieel alternatief]],'Eigen database'!D:D,0))*Table1[[#This Row],[Hoeveelheid]]*(1+INDEX('Eigen database'!K:K,MATCH(Table1[[#This Row],[Potentieel alternatief]],'Eigen database'!D:D,0))),0)</f>
        <v>1.2550092039575291</v>
      </c>
      <c r="Y36" s="16">
        <f>IF(Table1[[#This Row],[MKI A-D nieuw]]=0,Table1[[#This Row],[MKI A-D]],Table1[[#This Row],[MKI A-D nieuw]])</f>
        <v>1.2550092039575291</v>
      </c>
      <c r="Z36" s="16"/>
      <c r="AA36" s="28">
        <f>IFERROR(INDEX('3. Kengetallen (DC-uitdraai)'!AM:AM,MATCH(Table1[[#This Row],[Milieuprofiel]],'3. Kengetallen (DC-uitdraai)'!C:C,0)),0)*Table1[[#This Row],[Hvd]]</f>
        <v>0</v>
      </c>
      <c r="AB36" s="28">
        <f>IFERROR(INDEX('3. Kengetallen (DC-uitdraai)'!AM:AM,MATCH(Table1[[#This Row],[Potentieel alternatief]],'3. Kengetallen (DC-uitdraai)'!C:C,0)),0)*Table1[[#This Row],[Hvd]]</f>
        <v>0</v>
      </c>
    </row>
    <row r="37" spans="1:28">
      <c r="A37" s="88" t="s">
        <v>161</v>
      </c>
      <c r="B37" s="88">
        <v>220101</v>
      </c>
      <c r="C37" s="42" t="s">
        <v>147</v>
      </c>
      <c r="D37" s="42" t="s">
        <v>153</v>
      </c>
      <c r="E37" t="s">
        <v>154</v>
      </c>
      <c r="F37" t="s">
        <v>97</v>
      </c>
      <c r="G37" t="s">
        <v>105</v>
      </c>
      <c r="H37" t="str">
        <f>IFERROR(INDEX('3. Kengetallen (DC-uitdraai)'!F:F,MATCH(Table1[[#This Row],[Milieuprofiel]],'3. Kengetallen (DC-uitdraai)'!D:D,0)),"")</f>
        <v>Cat.3a</v>
      </c>
      <c r="I37" s="26">
        <v>35</v>
      </c>
      <c r="J37" t="s">
        <v>112</v>
      </c>
      <c r="K37" t="str">
        <f>IF(ISTEXT(Table1[[#This Row],[Milieuprofiel]]),"Ja","Nee")</f>
        <v>Ja</v>
      </c>
      <c r="L37" s="43">
        <v>1.67E-2</v>
      </c>
      <c r="M37" s="26">
        <f>Table1[[#This Row],[Volume]]*Table1[[#This Row],[Factor]]</f>
        <v>0.58450000000000002</v>
      </c>
      <c r="N37" t="str">
        <f>IFERROR(INDEX('3. Kengetallen (DC-uitdraai)'!H:H,MATCH(Table1[[#This Row],[Milieuprofiel]],'3. Kengetallen (DC-uitdraai)'!D:D,0)),"")</f>
        <v>uur</v>
      </c>
      <c r="O37">
        <f>IFERROR(INDEX('3. Kengetallen (DC-uitdraai)'!I:I,MATCH(Table1[[#This Row],[Milieuprofiel]],'3. Kengetallen (DC-uitdraai)'!D:D,0)),0)</f>
        <v>999</v>
      </c>
      <c r="P37" s="106">
        <f>IFERROR(INDEX('3. Kengetallen (DC-uitdraai)'!P:P,MATCH(Table1[[#This Row],[Milieuprofiel]],'3. Kengetallen (DC-uitdraai)'!D:D,0))*Table1[[#This Row],[Hvd]]*(1+INDEX('3. Kengetallen (DC-uitdraai)'!K:K,MATCH(Table1[[#This Row],[Milieuprofiel]],'3. Kengetallen (DC-uitdraai)'!D:D,0))),0)</f>
        <v>2.6170888502378493</v>
      </c>
      <c r="Q37" s="16">
        <f>IFERROR(INDEX('3. Kengetallen (DC-uitdraai)'!U:U,MATCH(Table1[[#This Row],[Milieuprofiel]],'3. Kengetallen (DC-uitdraai)'!D:D,0))*Table1[[#This Row],[Hvd]]*(1+INDEX('3. Kengetallen (DC-uitdraai)'!K:K,MATCH(Table1[[#This Row],[Milieuprofiel]],'3. Kengetallen (DC-uitdraai)'!D:D,0))),0)</f>
        <v>0</v>
      </c>
      <c r="R37" s="16">
        <f>IFERROR(INDEX('3. Kengetallen (DC-uitdraai)'!V:V,MATCH(Table1[[#This Row],[Milieuprofiel]],'3. Kengetallen (DC-uitdraai)'!D:D,0))*Table1[[#This Row],[Hvd]]*(1+INDEX('3. Kengetallen (DC-uitdraai)'!K:K,MATCH(Table1[[#This Row],[Milieuprofiel]],'3. Kengetallen (DC-uitdraai)'!D:D,0))),0)</f>
        <v>2.6170888502378493</v>
      </c>
      <c r="S37" s="16">
        <f>IFERROR(INDEX('3. Kengetallen (DC-uitdraai)'!W:W,MATCH(Table1[[#This Row],[Milieuprofiel]],'3. Kengetallen (DC-uitdraai)'!D:D,0))*Table1[[#This Row],[Hvd]]*(1+INDEX('3. Kengetallen (DC-uitdraai)'!K:K,MATCH(Table1[[#This Row],[Milieuprofiel]],'3. Kengetallen (DC-uitdraai)'!D:D,0))),0)</f>
        <v>0</v>
      </c>
      <c r="T37" s="16">
        <f>IFERROR(INDEX('3. Kengetallen (DC-uitdraai)'!X:X,MATCH(Table1[[#This Row],[Milieuprofiel]],'3. Kengetallen (DC-uitdraai)'!D:D,0))*Table1[[#This Row],[Hvd]]*(1+INDEX('3. Kengetallen (DC-uitdraai)'!K:K,MATCH(Table1[[#This Row],[Milieuprofiel]],'3. Kengetallen (DC-uitdraai)'!D:D,0))),0)</f>
        <v>0</v>
      </c>
      <c r="U37" s="111">
        <f>Table1[[#This Row],[Factor]]</f>
        <v>1.67E-2</v>
      </c>
      <c r="V37" s="112">
        <f>Table1[[#This Row],[Volume]]*Table1[[#This Row],[omrekenfactor]]</f>
        <v>0.58450000000000002</v>
      </c>
      <c r="W37" s="43" t="str">
        <f>IFERROR(INDEX('Eigen database'!H:H,MATCH(Table1[[#This Row],[Potentieel alternatief]],'Eigen database'!D:D,0)),"")</f>
        <v>uur</v>
      </c>
      <c r="X37" s="108">
        <f>IFERROR(INDEX('Eigen database'!P:P,MATCH(Table1[[#This Row],[Potentieel alternatief]],'Eigen database'!D:D,0))*Table1[[#This Row],[Hoeveelheid]]*(1+INDEX('Eigen database'!K:K,MATCH(Table1[[#This Row],[Potentieel alternatief]],'Eigen database'!D:D,0))),0)</f>
        <v>0.97611826974474503</v>
      </c>
      <c r="Y37" s="16">
        <f>IF(Table1[[#This Row],[MKI A-D nieuw]]=0,Table1[[#This Row],[MKI A-D]],Table1[[#This Row],[MKI A-D nieuw]])</f>
        <v>0.97611826974474503</v>
      </c>
      <c r="Z37" s="16"/>
      <c r="AA37" s="28">
        <f>IFERROR(INDEX('3. Kengetallen (DC-uitdraai)'!AM:AM,MATCH(Table1[[#This Row],[Milieuprofiel]],'3. Kengetallen (DC-uitdraai)'!C:C,0)),0)*Table1[[#This Row],[Hvd]]</f>
        <v>0</v>
      </c>
      <c r="AB37" s="28">
        <f>IFERROR(INDEX('3. Kengetallen (DC-uitdraai)'!AM:AM,MATCH(Table1[[#This Row],[Potentieel alternatief]],'3. Kengetallen (DC-uitdraai)'!C:C,0)),0)*Table1[[#This Row],[Hvd]]</f>
        <v>0</v>
      </c>
    </row>
    <row r="38" spans="1:28">
      <c r="A38" s="89" t="s">
        <v>162</v>
      </c>
      <c r="B38" s="89">
        <v>220101</v>
      </c>
      <c r="C38" s="42" t="s">
        <v>147</v>
      </c>
      <c r="D38" s="42" t="s">
        <v>153</v>
      </c>
      <c r="E38" t="s">
        <v>154</v>
      </c>
      <c r="F38" t="s">
        <v>97</v>
      </c>
      <c r="G38" t="s">
        <v>105</v>
      </c>
      <c r="H38" t="str">
        <f>IFERROR(INDEX('3. Kengetallen (DC-uitdraai)'!F:F,MATCH(Table1[[#This Row],[Milieuprofiel]],'3. Kengetallen (DC-uitdraai)'!D:D,0)),"")</f>
        <v>Cat.3a</v>
      </c>
      <c r="I38" s="26">
        <v>340</v>
      </c>
      <c r="J38" t="s">
        <v>112</v>
      </c>
      <c r="K38" t="str">
        <f>IF(ISTEXT(Table1[[#This Row],[Milieuprofiel]]),"Ja","Nee")</f>
        <v>Ja</v>
      </c>
      <c r="L38" s="43">
        <v>1.67E-2</v>
      </c>
      <c r="M38" s="26">
        <f>Table1[[#This Row],[Volume]]*Table1[[#This Row],[Factor]]</f>
        <v>5.6779999999999999</v>
      </c>
      <c r="N38" t="str">
        <f>IFERROR(INDEX('3. Kengetallen (DC-uitdraai)'!H:H,MATCH(Table1[[#This Row],[Milieuprofiel]],'3. Kengetallen (DC-uitdraai)'!D:D,0)),"")</f>
        <v>uur</v>
      </c>
      <c r="O38">
        <f>IFERROR(INDEX('3. Kengetallen (DC-uitdraai)'!I:I,MATCH(Table1[[#This Row],[Milieuprofiel]],'3. Kengetallen (DC-uitdraai)'!D:D,0)),0)</f>
        <v>999</v>
      </c>
      <c r="P38" s="106">
        <f>IFERROR(INDEX('3. Kengetallen (DC-uitdraai)'!P:P,MATCH(Table1[[#This Row],[Milieuprofiel]],'3. Kengetallen (DC-uitdraai)'!D:D,0))*Table1[[#This Row],[Hvd]]*(1+INDEX('3. Kengetallen (DC-uitdraai)'!K:K,MATCH(Table1[[#This Row],[Milieuprofiel]],'3. Kengetallen (DC-uitdraai)'!D:D,0))),0)</f>
        <v>25.423148830881964</v>
      </c>
      <c r="Q38" s="16">
        <f>IFERROR(INDEX('3. Kengetallen (DC-uitdraai)'!U:U,MATCH(Table1[[#This Row],[Milieuprofiel]],'3. Kengetallen (DC-uitdraai)'!D:D,0))*Table1[[#This Row],[Hvd]]*(1+INDEX('3. Kengetallen (DC-uitdraai)'!K:K,MATCH(Table1[[#This Row],[Milieuprofiel]],'3. Kengetallen (DC-uitdraai)'!D:D,0))),0)</f>
        <v>0</v>
      </c>
      <c r="R38" s="16">
        <f>IFERROR(INDEX('3. Kengetallen (DC-uitdraai)'!V:V,MATCH(Table1[[#This Row],[Milieuprofiel]],'3. Kengetallen (DC-uitdraai)'!D:D,0))*Table1[[#This Row],[Hvd]]*(1+INDEX('3. Kengetallen (DC-uitdraai)'!K:K,MATCH(Table1[[#This Row],[Milieuprofiel]],'3. Kengetallen (DC-uitdraai)'!D:D,0))),0)</f>
        <v>25.423148830881964</v>
      </c>
      <c r="S38" s="16">
        <f>IFERROR(INDEX('3. Kengetallen (DC-uitdraai)'!W:W,MATCH(Table1[[#This Row],[Milieuprofiel]],'3. Kengetallen (DC-uitdraai)'!D:D,0))*Table1[[#This Row],[Hvd]]*(1+INDEX('3. Kengetallen (DC-uitdraai)'!K:K,MATCH(Table1[[#This Row],[Milieuprofiel]],'3. Kengetallen (DC-uitdraai)'!D:D,0))),0)</f>
        <v>0</v>
      </c>
      <c r="T38" s="16">
        <f>IFERROR(INDEX('3. Kengetallen (DC-uitdraai)'!X:X,MATCH(Table1[[#This Row],[Milieuprofiel]],'3. Kengetallen (DC-uitdraai)'!D:D,0))*Table1[[#This Row],[Hvd]]*(1+INDEX('3. Kengetallen (DC-uitdraai)'!K:K,MATCH(Table1[[#This Row],[Milieuprofiel]],'3. Kengetallen (DC-uitdraai)'!D:D,0))),0)</f>
        <v>0</v>
      </c>
      <c r="U38" s="111">
        <f>Table1[[#This Row],[Factor]]</f>
        <v>1.67E-2</v>
      </c>
      <c r="V38" s="112">
        <f>Table1[[#This Row],[Volume]]*Table1[[#This Row],[omrekenfactor]]</f>
        <v>5.6779999999999999</v>
      </c>
      <c r="W38" s="43" t="str">
        <f>IFERROR(INDEX('Eigen database'!H:H,MATCH(Table1[[#This Row],[Potentieel alternatief]],'Eigen database'!D:D,0)),"")</f>
        <v>uur</v>
      </c>
      <c r="X38" s="108">
        <f>IFERROR(INDEX('Eigen database'!P:P,MATCH(Table1[[#This Row],[Potentieel alternatief]],'Eigen database'!D:D,0))*Table1[[#This Row],[Hoeveelheid]]*(1+INDEX('Eigen database'!K:K,MATCH(Table1[[#This Row],[Potentieel alternatief]],'Eigen database'!D:D,0))),0)</f>
        <v>9.4822917632346648</v>
      </c>
      <c r="Y38" s="16">
        <f>IF(Table1[[#This Row],[MKI A-D nieuw]]=0,Table1[[#This Row],[MKI A-D]],Table1[[#This Row],[MKI A-D nieuw]])</f>
        <v>9.4822917632346648</v>
      </c>
      <c r="Z38" s="16"/>
      <c r="AA38" s="28">
        <f>IFERROR(INDEX('3. Kengetallen (DC-uitdraai)'!AM:AM,MATCH(Table1[[#This Row],[Milieuprofiel]],'3. Kengetallen (DC-uitdraai)'!C:C,0)),0)*Table1[[#This Row],[Hvd]]</f>
        <v>0</v>
      </c>
      <c r="AB38" s="28">
        <f>IFERROR(INDEX('3. Kengetallen (DC-uitdraai)'!AM:AM,MATCH(Table1[[#This Row],[Potentieel alternatief]],'3. Kengetallen (DC-uitdraai)'!C:C,0)),0)*Table1[[#This Row],[Hvd]]</f>
        <v>0</v>
      </c>
    </row>
    <row r="39" spans="1:28">
      <c r="A39" s="88" t="s">
        <v>163</v>
      </c>
      <c r="B39" s="89">
        <v>220101</v>
      </c>
      <c r="C39" s="42" t="s">
        <v>147</v>
      </c>
      <c r="D39" s="42" t="s">
        <v>153</v>
      </c>
      <c r="E39" t="s">
        <v>154</v>
      </c>
      <c r="F39" t="s">
        <v>97</v>
      </c>
      <c r="G39" t="s">
        <v>105</v>
      </c>
      <c r="H39" t="str">
        <f>IFERROR(INDEX('3. Kengetallen (DC-uitdraai)'!F:F,MATCH(Table1[[#This Row],[Milieuprofiel]],'3. Kengetallen (DC-uitdraai)'!D:D,0)),"")</f>
        <v>Cat.3a</v>
      </c>
      <c r="I39" s="26">
        <v>210</v>
      </c>
      <c r="J39" t="s">
        <v>112</v>
      </c>
      <c r="K39" t="str">
        <f>IF(ISTEXT(Table1[[#This Row],[Milieuprofiel]]),"Ja","Nee")</f>
        <v>Ja</v>
      </c>
      <c r="L39" s="43">
        <v>1.67E-2</v>
      </c>
      <c r="M39" s="26">
        <f>Table1[[#This Row],[Volume]]*Table1[[#This Row],[Factor]]</f>
        <v>3.5070000000000001</v>
      </c>
      <c r="N39" t="str">
        <f>IFERROR(INDEX('3. Kengetallen (DC-uitdraai)'!H:H,MATCH(Table1[[#This Row],[Milieuprofiel]],'3. Kengetallen (DC-uitdraai)'!D:D,0)),"")</f>
        <v>uur</v>
      </c>
      <c r="O39">
        <f>IFERROR(INDEX('3. Kengetallen (DC-uitdraai)'!I:I,MATCH(Table1[[#This Row],[Milieuprofiel]],'3. Kengetallen (DC-uitdraai)'!D:D,0)),0)</f>
        <v>999</v>
      </c>
      <c r="P39" s="106">
        <f>IFERROR(INDEX('3. Kengetallen (DC-uitdraai)'!P:P,MATCH(Table1[[#This Row],[Milieuprofiel]],'3. Kengetallen (DC-uitdraai)'!D:D,0))*Table1[[#This Row],[Hvd]]*(1+INDEX('3. Kengetallen (DC-uitdraai)'!K:K,MATCH(Table1[[#This Row],[Milieuprofiel]],'3. Kengetallen (DC-uitdraai)'!D:D,0))),0)</f>
        <v>15.702533101427097</v>
      </c>
      <c r="Q39" s="16">
        <f>IFERROR(INDEX('3. Kengetallen (DC-uitdraai)'!U:U,MATCH(Table1[[#This Row],[Milieuprofiel]],'3. Kengetallen (DC-uitdraai)'!D:D,0))*Table1[[#This Row],[Hvd]]*(1+INDEX('3. Kengetallen (DC-uitdraai)'!K:K,MATCH(Table1[[#This Row],[Milieuprofiel]],'3. Kengetallen (DC-uitdraai)'!D:D,0))),0)</f>
        <v>0</v>
      </c>
      <c r="R39" s="16">
        <f>IFERROR(INDEX('3. Kengetallen (DC-uitdraai)'!V:V,MATCH(Table1[[#This Row],[Milieuprofiel]],'3. Kengetallen (DC-uitdraai)'!D:D,0))*Table1[[#This Row],[Hvd]]*(1+INDEX('3. Kengetallen (DC-uitdraai)'!K:K,MATCH(Table1[[#This Row],[Milieuprofiel]],'3. Kengetallen (DC-uitdraai)'!D:D,0))),0)</f>
        <v>15.702533101427097</v>
      </c>
      <c r="S39" s="16">
        <f>IFERROR(INDEX('3. Kengetallen (DC-uitdraai)'!W:W,MATCH(Table1[[#This Row],[Milieuprofiel]],'3. Kengetallen (DC-uitdraai)'!D:D,0))*Table1[[#This Row],[Hvd]]*(1+INDEX('3. Kengetallen (DC-uitdraai)'!K:K,MATCH(Table1[[#This Row],[Milieuprofiel]],'3. Kengetallen (DC-uitdraai)'!D:D,0))),0)</f>
        <v>0</v>
      </c>
      <c r="T39" s="16">
        <f>IFERROR(INDEX('3. Kengetallen (DC-uitdraai)'!X:X,MATCH(Table1[[#This Row],[Milieuprofiel]],'3. Kengetallen (DC-uitdraai)'!D:D,0))*Table1[[#This Row],[Hvd]]*(1+INDEX('3. Kengetallen (DC-uitdraai)'!K:K,MATCH(Table1[[#This Row],[Milieuprofiel]],'3. Kengetallen (DC-uitdraai)'!D:D,0))),0)</f>
        <v>0</v>
      </c>
      <c r="U39" s="111">
        <f>Table1[[#This Row],[Factor]]</f>
        <v>1.67E-2</v>
      </c>
      <c r="V39" s="112">
        <f>Table1[[#This Row],[Volume]]*Table1[[#This Row],[omrekenfactor]]</f>
        <v>3.5070000000000001</v>
      </c>
      <c r="W39" s="43" t="str">
        <f>IFERROR(INDEX('Eigen database'!H:H,MATCH(Table1[[#This Row],[Potentieel alternatief]],'Eigen database'!D:D,0)),"")</f>
        <v>uur</v>
      </c>
      <c r="X39" s="108">
        <f>IFERROR(INDEX('Eigen database'!P:P,MATCH(Table1[[#This Row],[Potentieel alternatief]],'Eigen database'!D:D,0))*Table1[[#This Row],[Hoeveelheid]]*(1+INDEX('Eigen database'!K:K,MATCH(Table1[[#This Row],[Potentieel alternatief]],'Eigen database'!D:D,0))),0)</f>
        <v>5.8567096184684697</v>
      </c>
      <c r="Y39" s="16">
        <f>IF(Table1[[#This Row],[MKI A-D nieuw]]=0,Table1[[#This Row],[MKI A-D]],Table1[[#This Row],[MKI A-D nieuw]])</f>
        <v>5.8567096184684697</v>
      </c>
      <c r="Z39" s="16"/>
      <c r="AA39" s="28">
        <f>IFERROR(INDEX('3. Kengetallen (DC-uitdraai)'!AM:AM,MATCH(Table1[[#This Row],[Milieuprofiel]],'3. Kengetallen (DC-uitdraai)'!C:C,0)),0)*Table1[[#This Row],[Hvd]]</f>
        <v>0</v>
      </c>
      <c r="AB39" s="28">
        <f>IFERROR(INDEX('3. Kengetallen (DC-uitdraai)'!AM:AM,MATCH(Table1[[#This Row],[Potentieel alternatief]],'3. Kengetallen (DC-uitdraai)'!C:C,0)),0)*Table1[[#This Row],[Hvd]]</f>
        <v>0</v>
      </c>
    </row>
    <row r="40" spans="1:28">
      <c r="A40" s="89" t="s">
        <v>164</v>
      </c>
      <c r="B40" s="89">
        <v>220101</v>
      </c>
      <c r="C40" s="42" t="s">
        <v>147</v>
      </c>
      <c r="D40" s="42" t="s">
        <v>153</v>
      </c>
      <c r="E40" t="s">
        <v>154</v>
      </c>
      <c r="F40" t="s">
        <v>97</v>
      </c>
      <c r="G40" t="s">
        <v>105</v>
      </c>
      <c r="H40" t="str">
        <f>IFERROR(INDEX('3. Kengetallen (DC-uitdraai)'!F:F,MATCH(Table1[[#This Row],[Milieuprofiel]],'3. Kengetallen (DC-uitdraai)'!D:D,0)),"")</f>
        <v>Cat.3a</v>
      </c>
      <c r="I40" s="26">
        <v>280</v>
      </c>
      <c r="J40" t="s">
        <v>112</v>
      </c>
      <c r="K40" t="str">
        <f>IF(ISTEXT(Table1[[#This Row],[Milieuprofiel]]),"Ja","Nee")</f>
        <v>Ja</v>
      </c>
      <c r="L40" s="43">
        <v>1.67E-2</v>
      </c>
      <c r="M40" s="26">
        <f>Table1[[#This Row],[Volume]]*Table1[[#This Row],[Factor]]</f>
        <v>4.6760000000000002</v>
      </c>
      <c r="N40" t="str">
        <f>IFERROR(INDEX('3. Kengetallen (DC-uitdraai)'!H:H,MATCH(Table1[[#This Row],[Milieuprofiel]],'3. Kengetallen (DC-uitdraai)'!D:D,0)),"")</f>
        <v>uur</v>
      </c>
      <c r="O40">
        <f>IFERROR(INDEX('3. Kengetallen (DC-uitdraai)'!I:I,MATCH(Table1[[#This Row],[Milieuprofiel]],'3. Kengetallen (DC-uitdraai)'!D:D,0)),0)</f>
        <v>999</v>
      </c>
      <c r="P40" s="106">
        <f>IFERROR(INDEX('3. Kengetallen (DC-uitdraai)'!P:P,MATCH(Table1[[#This Row],[Milieuprofiel]],'3. Kengetallen (DC-uitdraai)'!D:D,0))*Table1[[#This Row],[Hvd]]*(1+INDEX('3. Kengetallen (DC-uitdraai)'!K:K,MATCH(Table1[[#This Row],[Milieuprofiel]],'3. Kengetallen (DC-uitdraai)'!D:D,0))),0)</f>
        <v>20.936710801902795</v>
      </c>
      <c r="Q40" s="16">
        <f>IFERROR(INDEX('3. Kengetallen (DC-uitdraai)'!U:U,MATCH(Table1[[#This Row],[Milieuprofiel]],'3. Kengetallen (DC-uitdraai)'!D:D,0))*Table1[[#This Row],[Hvd]]*(1+INDEX('3. Kengetallen (DC-uitdraai)'!K:K,MATCH(Table1[[#This Row],[Milieuprofiel]],'3. Kengetallen (DC-uitdraai)'!D:D,0))),0)</f>
        <v>0</v>
      </c>
      <c r="R40" s="16">
        <f>IFERROR(INDEX('3. Kengetallen (DC-uitdraai)'!V:V,MATCH(Table1[[#This Row],[Milieuprofiel]],'3. Kengetallen (DC-uitdraai)'!D:D,0))*Table1[[#This Row],[Hvd]]*(1+INDEX('3. Kengetallen (DC-uitdraai)'!K:K,MATCH(Table1[[#This Row],[Milieuprofiel]],'3. Kengetallen (DC-uitdraai)'!D:D,0))),0)</f>
        <v>20.936710801902795</v>
      </c>
      <c r="S40" s="16">
        <f>IFERROR(INDEX('3. Kengetallen (DC-uitdraai)'!W:W,MATCH(Table1[[#This Row],[Milieuprofiel]],'3. Kengetallen (DC-uitdraai)'!D:D,0))*Table1[[#This Row],[Hvd]]*(1+INDEX('3. Kengetallen (DC-uitdraai)'!K:K,MATCH(Table1[[#This Row],[Milieuprofiel]],'3. Kengetallen (DC-uitdraai)'!D:D,0))),0)</f>
        <v>0</v>
      </c>
      <c r="T40" s="16">
        <f>IFERROR(INDEX('3. Kengetallen (DC-uitdraai)'!X:X,MATCH(Table1[[#This Row],[Milieuprofiel]],'3. Kengetallen (DC-uitdraai)'!D:D,0))*Table1[[#This Row],[Hvd]]*(1+INDEX('3. Kengetallen (DC-uitdraai)'!K:K,MATCH(Table1[[#This Row],[Milieuprofiel]],'3. Kengetallen (DC-uitdraai)'!D:D,0))),0)</f>
        <v>0</v>
      </c>
      <c r="U40" s="111">
        <f>Table1[[#This Row],[Factor]]</f>
        <v>1.67E-2</v>
      </c>
      <c r="V40" s="112">
        <f>Table1[[#This Row],[Volume]]*Table1[[#This Row],[omrekenfactor]]</f>
        <v>4.6760000000000002</v>
      </c>
      <c r="W40" s="43" t="str">
        <f>IFERROR(INDEX('Eigen database'!H:H,MATCH(Table1[[#This Row],[Potentieel alternatief]],'Eigen database'!D:D,0)),"")</f>
        <v>uur</v>
      </c>
      <c r="X40" s="108">
        <f>IFERROR(INDEX('Eigen database'!P:P,MATCH(Table1[[#This Row],[Potentieel alternatief]],'Eigen database'!D:D,0))*Table1[[#This Row],[Hoeveelheid]]*(1+INDEX('Eigen database'!K:K,MATCH(Table1[[#This Row],[Potentieel alternatief]],'Eigen database'!D:D,0))),0)</f>
        <v>7.8089461579579602</v>
      </c>
      <c r="Y40" s="16">
        <f>IF(Table1[[#This Row],[MKI A-D nieuw]]=0,Table1[[#This Row],[MKI A-D]],Table1[[#This Row],[MKI A-D nieuw]])</f>
        <v>7.8089461579579602</v>
      </c>
      <c r="Z40" s="16"/>
      <c r="AA40" s="28">
        <f>IFERROR(INDEX('3. Kengetallen (DC-uitdraai)'!AM:AM,MATCH(Table1[[#This Row],[Milieuprofiel]],'3. Kengetallen (DC-uitdraai)'!C:C,0)),0)*Table1[[#This Row],[Hvd]]</f>
        <v>0</v>
      </c>
      <c r="AB40" s="28">
        <f>IFERROR(INDEX('3. Kengetallen (DC-uitdraai)'!AM:AM,MATCH(Table1[[#This Row],[Potentieel alternatief]],'3. Kengetallen (DC-uitdraai)'!C:C,0)),0)*Table1[[#This Row],[Hvd]]</f>
        <v>0</v>
      </c>
    </row>
    <row r="41" spans="1:28">
      <c r="A41" s="88" t="s">
        <v>165</v>
      </c>
      <c r="B41" s="89">
        <v>220101</v>
      </c>
      <c r="C41" s="42" t="s">
        <v>147</v>
      </c>
      <c r="D41" s="42" t="s">
        <v>153</v>
      </c>
      <c r="E41" t="s">
        <v>154</v>
      </c>
      <c r="F41" t="s">
        <v>97</v>
      </c>
      <c r="G41" t="s">
        <v>105</v>
      </c>
      <c r="H41" t="str">
        <f>IFERROR(INDEX('3. Kengetallen (DC-uitdraai)'!F:F,MATCH(Table1[[#This Row],[Milieuprofiel]],'3. Kengetallen (DC-uitdraai)'!D:D,0)),"")</f>
        <v>Cat.3a</v>
      </c>
      <c r="I41" s="26">
        <v>160</v>
      </c>
      <c r="J41" t="s">
        <v>112</v>
      </c>
      <c r="K41" t="str">
        <f>IF(ISTEXT(Table1[[#This Row],[Milieuprofiel]]),"Ja","Nee")</f>
        <v>Ja</v>
      </c>
      <c r="L41" s="43">
        <v>1.67E-2</v>
      </c>
      <c r="M41" s="26">
        <f>Table1[[#This Row],[Volume]]*Table1[[#This Row],[Factor]]</f>
        <v>2.6719999999999997</v>
      </c>
      <c r="N41" t="str">
        <f>IFERROR(INDEX('3. Kengetallen (DC-uitdraai)'!H:H,MATCH(Table1[[#This Row],[Milieuprofiel]],'3. Kengetallen (DC-uitdraai)'!D:D,0)),"")</f>
        <v>uur</v>
      </c>
      <c r="O41">
        <f>IFERROR(INDEX('3. Kengetallen (DC-uitdraai)'!I:I,MATCH(Table1[[#This Row],[Milieuprofiel]],'3. Kengetallen (DC-uitdraai)'!D:D,0)),0)</f>
        <v>999</v>
      </c>
      <c r="P41" s="106">
        <f>IFERROR(INDEX('3. Kengetallen (DC-uitdraai)'!P:P,MATCH(Table1[[#This Row],[Milieuprofiel]],'3. Kengetallen (DC-uitdraai)'!D:D,0))*Table1[[#This Row],[Hvd]]*(1+INDEX('3. Kengetallen (DC-uitdraai)'!K:K,MATCH(Table1[[#This Row],[Milieuprofiel]],'3. Kengetallen (DC-uitdraai)'!D:D,0))),0)</f>
        <v>11.963834743944453</v>
      </c>
      <c r="Q41" s="16">
        <f>IFERROR(INDEX('3. Kengetallen (DC-uitdraai)'!U:U,MATCH(Table1[[#This Row],[Milieuprofiel]],'3. Kengetallen (DC-uitdraai)'!D:D,0))*Table1[[#This Row],[Hvd]]*(1+INDEX('3. Kengetallen (DC-uitdraai)'!K:K,MATCH(Table1[[#This Row],[Milieuprofiel]],'3. Kengetallen (DC-uitdraai)'!D:D,0))),0)</f>
        <v>0</v>
      </c>
      <c r="R41" s="16">
        <f>IFERROR(INDEX('3. Kengetallen (DC-uitdraai)'!V:V,MATCH(Table1[[#This Row],[Milieuprofiel]],'3. Kengetallen (DC-uitdraai)'!D:D,0))*Table1[[#This Row],[Hvd]]*(1+INDEX('3. Kengetallen (DC-uitdraai)'!K:K,MATCH(Table1[[#This Row],[Milieuprofiel]],'3. Kengetallen (DC-uitdraai)'!D:D,0))),0)</f>
        <v>11.963834743944453</v>
      </c>
      <c r="S41" s="16">
        <f>IFERROR(INDEX('3. Kengetallen (DC-uitdraai)'!W:W,MATCH(Table1[[#This Row],[Milieuprofiel]],'3. Kengetallen (DC-uitdraai)'!D:D,0))*Table1[[#This Row],[Hvd]]*(1+INDEX('3. Kengetallen (DC-uitdraai)'!K:K,MATCH(Table1[[#This Row],[Milieuprofiel]],'3. Kengetallen (DC-uitdraai)'!D:D,0))),0)</f>
        <v>0</v>
      </c>
      <c r="T41" s="16">
        <f>IFERROR(INDEX('3. Kengetallen (DC-uitdraai)'!X:X,MATCH(Table1[[#This Row],[Milieuprofiel]],'3. Kengetallen (DC-uitdraai)'!D:D,0))*Table1[[#This Row],[Hvd]]*(1+INDEX('3. Kengetallen (DC-uitdraai)'!K:K,MATCH(Table1[[#This Row],[Milieuprofiel]],'3. Kengetallen (DC-uitdraai)'!D:D,0))),0)</f>
        <v>0</v>
      </c>
      <c r="U41" s="111">
        <f>Table1[[#This Row],[Factor]]</f>
        <v>1.67E-2</v>
      </c>
      <c r="V41" s="112">
        <f>Table1[[#This Row],[Volume]]*Table1[[#This Row],[omrekenfactor]]</f>
        <v>2.6719999999999997</v>
      </c>
      <c r="W41" s="43" t="str">
        <f>IFERROR(INDEX('Eigen database'!H:H,MATCH(Table1[[#This Row],[Potentieel alternatief]],'Eigen database'!D:D,0)),"")</f>
        <v>uur</v>
      </c>
      <c r="X41" s="108">
        <f>IFERROR(INDEX('Eigen database'!P:P,MATCH(Table1[[#This Row],[Potentieel alternatief]],'Eigen database'!D:D,0))*Table1[[#This Row],[Hoeveelheid]]*(1+INDEX('Eigen database'!K:K,MATCH(Table1[[#This Row],[Potentieel alternatief]],'Eigen database'!D:D,0))),0)</f>
        <v>4.4622549474045474</v>
      </c>
      <c r="Y41" s="16">
        <f>IF(Table1[[#This Row],[MKI A-D nieuw]]=0,Table1[[#This Row],[MKI A-D]],Table1[[#This Row],[MKI A-D nieuw]])</f>
        <v>4.4622549474045474</v>
      </c>
      <c r="Z41" s="16"/>
      <c r="AA41" s="28">
        <f>IFERROR(INDEX('3. Kengetallen (DC-uitdraai)'!AM:AM,MATCH(Table1[[#This Row],[Milieuprofiel]],'3. Kengetallen (DC-uitdraai)'!C:C,0)),0)*Table1[[#This Row],[Hvd]]</f>
        <v>0</v>
      </c>
      <c r="AB41" s="28">
        <f>IFERROR(INDEX('3. Kengetallen (DC-uitdraai)'!AM:AM,MATCH(Table1[[#This Row],[Potentieel alternatief]],'3. Kengetallen (DC-uitdraai)'!C:C,0)),0)*Table1[[#This Row],[Hvd]]</f>
        <v>0</v>
      </c>
    </row>
    <row r="42" spans="1:28">
      <c r="A42" s="89" t="s">
        <v>166</v>
      </c>
      <c r="B42" s="89">
        <v>220101</v>
      </c>
      <c r="C42" s="42" t="s">
        <v>147</v>
      </c>
      <c r="D42" s="42" t="s">
        <v>153</v>
      </c>
      <c r="E42" t="s">
        <v>154</v>
      </c>
      <c r="F42" t="s">
        <v>97</v>
      </c>
      <c r="G42" t="s">
        <v>105</v>
      </c>
      <c r="H42" t="str">
        <f>IFERROR(INDEX('3. Kengetallen (DC-uitdraai)'!F:F,MATCH(Table1[[#This Row],[Milieuprofiel]],'3. Kengetallen (DC-uitdraai)'!D:D,0)),"")</f>
        <v>Cat.3a</v>
      </c>
      <c r="I42" s="26">
        <v>290</v>
      </c>
      <c r="J42" t="s">
        <v>112</v>
      </c>
      <c r="K42" t="str">
        <f>IF(ISTEXT(Table1[[#This Row],[Milieuprofiel]]),"Ja","Nee")</f>
        <v>Ja</v>
      </c>
      <c r="L42" s="43">
        <v>1.67E-2</v>
      </c>
      <c r="M42" s="26">
        <f>Table1[[#This Row],[Volume]]*Table1[[#This Row],[Factor]]</f>
        <v>4.843</v>
      </c>
      <c r="N42" t="str">
        <f>IFERROR(INDEX('3. Kengetallen (DC-uitdraai)'!H:H,MATCH(Table1[[#This Row],[Milieuprofiel]],'3. Kengetallen (DC-uitdraai)'!D:D,0)),"")</f>
        <v>uur</v>
      </c>
      <c r="O42">
        <f>IFERROR(INDEX('3. Kengetallen (DC-uitdraai)'!I:I,MATCH(Table1[[#This Row],[Milieuprofiel]],'3. Kengetallen (DC-uitdraai)'!D:D,0)),0)</f>
        <v>999</v>
      </c>
      <c r="P42" s="106">
        <f>IFERROR(INDEX('3. Kengetallen (DC-uitdraai)'!P:P,MATCH(Table1[[#This Row],[Milieuprofiel]],'3. Kengetallen (DC-uitdraai)'!D:D,0))*Table1[[#This Row],[Hvd]]*(1+INDEX('3. Kengetallen (DC-uitdraai)'!K:K,MATCH(Table1[[#This Row],[Milieuprofiel]],'3. Kengetallen (DC-uitdraai)'!D:D,0))),0)</f>
        <v>21.684450473399323</v>
      </c>
      <c r="Q42" s="16">
        <f>IFERROR(INDEX('3. Kengetallen (DC-uitdraai)'!U:U,MATCH(Table1[[#This Row],[Milieuprofiel]],'3. Kengetallen (DC-uitdraai)'!D:D,0))*Table1[[#This Row],[Hvd]]*(1+INDEX('3. Kengetallen (DC-uitdraai)'!K:K,MATCH(Table1[[#This Row],[Milieuprofiel]],'3. Kengetallen (DC-uitdraai)'!D:D,0))),0)</f>
        <v>0</v>
      </c>
      <c r="R42" s="16">
        <f>IFERROR(INDEX('3. Kengetallen (DC-uitdraai)'!V:V,MATCH(Table1[[#This Row],[Milieuprofiel]],'3. Kengetallen (DC-uitdraai)'!D:D,0))*Table1[[#This Row],[Hvd]]*(1+INDEX('3. Kengetallen (DC-uitdraai)'!K:K,MATCH(Table1[[#This Row],[Milieuprofiel]],'3. Kengetallen (DC-uitdraai)'!D:D,0))),0)</f>
        <v>21.684450473399323</v>
      </c>
      <c r="S42" s="16">
        <f>IFERROR(INDEX('3. Kengetallen (DC-uitdraai)'!W:W,MATCH(Table1[[#This Row],[Milieuprofiel]],'3. Kengetallen (DC-uitdraai)'!D:D,0))*Table1[[#This Row],[Hvd]]*(1+INDEX('3. Kengetallen (DC-uitdraai)'!K:K,MATCH(Table1[[#This Row],[Milieuprofiel]],'3. Kengetallen (DC-uitdraai)'!D:D,0))),0)</f>
        <v>0</v>
      </c>
      <c r="T42" s="16">
        <f>IFERROR(INDEX('3. Kengetallen (DC-uitdraai)'!X:X,MATCH(Table1[[#This Row],[Milieuprofiel]],'3. Kengetallen (DC-uitdraai)'!D:D,0))*Table1[[#This Row],[Hvd]]*(1+INDEX('3. Kengetallen (DC-uitdraai)'!K:K,MATCH(Table1[[#This Row],[Milieuprofiel]],'3. Kengetallen (DC-uitdraai)'!D:D,0))),0)</f>
        <v>0</v>
      </c>
      <c r="U42" s="111">
        <f>Table1[[#This Row],[Factor]]</f>
        <v>1.67E-2</v>
      </c>
      <c r="V42" s="112">
        <f>Table1[[#This Row],[Volume]]*Table1[[#This Row],[omrekenfactor]]</f>
        <v>4.843</v>
      </c>
      <c r="W42" s="43" t="str">
        <f>IFERROR(INDEX('Eigen database'!H:H,MATCH(Table1[[#This Row],[Potentieel alternatief]],'Eigen database'!D:D,0)),"")</f>
        <v>uur</v>
      </c>
      <c r="X42" s="108">
        <f>IFERROR(INDEX('Eigen database'!P:P,MATCH(Table1[[#This Row],[Potentieel alternatief]],'Eigen database'!D:D,0))*Table1[[#This Row],[Hoeveelheid]]*(1+INDEX('Eigen database'!K:K,MATCH(Table1[[#This Row],[Potentieel alternatief]],'Eigen database'!D:D,0))),0)</f>
        <v>8.0878370921707443</v>
      </c>
      <c r="Y42" s="16">
        <f>IF(Table1[[#This Row],[MKI A-D nieuw]]=0,Table1[[#This Row],[MKI A-D]],Table1[[#This Row],[MKI A-D nieuw]])</f>
        <v>8.0878370921707443</v>
      </c>
      <c r="Z42" s="16"/>
      <c r="AA42" s="28">
        <f>IFERROR(INDEX('3. Kengetallen (DC-uitdraai)'!AM:AM,MATCH(Table1[[#This Row],[Milieuprofiel]],'3. Kengetallen (DC-uitdraai)'!C:C,0)),0)*Table1[[#This Row],[Hvd]]</f>
        <v>0</v>
      </c>
      <c r="AB42" s="28">
        <f>IFERROR(INDEX('3. Kengetallen (DC-uitdraai)'!AM:AM,MATCH(Table1[[#This Row],[Potentieel alternatief]],'3. Kengetallen (DC-uitdraai)'!C:C,0)),0)*Table1[[#This Row],[Hvd]]</f>
        <v>0</v>
      </c>
    </row>
    <row r="43" spans="1:28">
      <c r="A43" s="88" t="s">
        <v>167</v>
      </c>
      <c r="B43" s="89">
        <v>220101</v>
      </c>
      <c r="C43" s="42" t="s">
        <v>147</v>
      </c>
      <c r="D43" s="42" t="s">
        <v>153</v>
      </c>
      <c r="E43" t="s">
        <v>154</v>
      </c>
      <c r="F43" t="s">
        <v>97</v>
      </c>
      <c r="G43" t="s">
        <v>105</v>
      </c>
      <c r="H43" t="str">
        <f>IFERROR(INDEX('3. Kengetallen (DC-uitdraai)'!F:F,MATCH(Table1[[#This Row],[Milieuprofiel]],'3. Kengetallen (DC-uitdraai)'!D:D,0)),"")</f>
        <v>Cat.3a</v>
      </c>
      <c r="I43" s="26">
        <v>200</v>
      </c>
      <c r="J43" t="s">
        <v>112</v>
      </c>
      <c r="K43" t="str">
        <f>IF(ISTEXT(Table1[[#This Row],[Milieuprofiel]]),"Ja","Nee")</f>
        <v>Ja</v>
      </c>
      <c r="L43" s="43">
        <v>1.67E-2</v>
      </c>
      <c r="M43" s="26">
        <f>Table1[[#This Row],[Volume]]*Table1[[#This Row],[Factor]]</f>
        <v>3.34</v>
      </c>
      <c r="N43" t="str">
        <f>IFERROR(INDEX('3. Kengetallen (DC-uitdraai)'!H:H,MATCH(Table1[[#This Row],[Milieuprofiel]],'3. Kengetallen (DC-uitdraai)'!D:D,0)),"")</f>
        <v>uur</v>
      </c>
      <c r="O43">
        <f>IFERROR(INDEX('3. Kengetallen (DC-uitdraai)'!I:I,MATCH(Table1[[#This Row],[Milieuprofiel]],'3. Kengetallen (DC-uitdraai)'!D:D,0)),0)</f>
        <v>999</v>
      </c>
      <c r="P43" s="106">
        <f>IFERROR(INDEX('3. Kengetallen (DC-uitdraai)'!P:P,MATCH(Table1[[#This Row],[Milieuprofiel]],'3. Kengetallen (DC-uitdraai)'!D:D,0))*Table1[[#This Row],[Hvd]]*(1+INDEX('3. Kengetallen (DC-uitdraai)'!K:K,MATCH(Table1[[#This Row],[Milieuprofiel]],'3. Kengetallen (DC-uitdraai)'!D:D,0))),0)</f>
        <v>14.954793429930566</v>
      </c>
      <c r="Q43" s="16">
        <f>IFERROR(INDEX('3. Kengetallen (DC-uitdraai)'!U:U,MATCH(Table1[[#This Row],[Milieuprofiel]],'3. Kengetallen (DC-uitdraai)'!D:D,0))*Table1[[#This Row],[Hvd]]*(1+INDEX('3. Kengetallen (DC-uitdraai)'!K:K,MATCH(Table1[[#This Row],[Milieuprofiel]],'3. Kengetallen (DC-uitdraai)'!D:D,0))),0)</f>
        <v>0</v>
      </c>
      <c r="R43" s="16">
        <f>IFERROR(INDEX('3. Kengetallen (DC-uitdraai)'!V:V,MATCH(Table1[[#This Row],[Milieuprofiel]],'3. Kengetallen (DC-uitdraai)'!D:D,0))*Table1[[#This Row],[Hvd]]*(1+INDEX('3. Kengetallen (DC-uitdraai)'!K:K,MATCH(Table1[[#This Row],[Milieuprofiel]],'3. Kengetallen (DC-uitdraai)'!D:D,0))),0)</f>
        <v>14.954793429930566</v>
      </c>
      <c r="S43" s="16">
        <f>IFERROR(INDEX('3. Kengetallen (DC-uitdraai)'!W:W,MATCH(Table1[[#This Row],[Milieuprofiel]],'3. Kengetallen (DC-uitdraai)'!D:D,0))*Table1[[#This Row],[Hvd]]*(1+INDEX('3. Kengetallen (DC-uitdraai)'!K:K,MATCH(Table1[[#This Row],[Milieuprofiel]],'3. Kengetallen (DC-uitdraai)'!D:D,0))),0)</f>
        <v>0</v>
      </c>
      <c r="T43" s="16">
        <f>IFERROR(INDEX('3. Kengetallen (DC-uitdraai)'!X:X,MATCH(Table1[[#This Row],[Milieuprofiel]],'3. Kengetallen (DC-uitdraai)'!D:D,0))*Table1[[#This Row],[Hvd]]*(1+INDEX('3. Kengetallen (DC-uitdraai)'!K:K,MATCH(Table1[[#This Row],[Milieuprofiel]],'3. Kengetallen (DC-uitdraai)'!D:D,0))),0)</f>
        <v>0</v>
      </c>
      <c r="U43" s="111">
        <f>Table1[[#This Row],[Factor]]</f>
        <v>1.67E-2</v>
      </c>
      <c r="V43" s="112">
        <f>Table1[[#This Row],[Volume]]*Table1[[#This Row],[omrekenfactor]]</f>
        <v>3.34</v>
      </c>
      <c r="W43" s="43" t="str">
        <f>IFERROR(INDEX('Eigen database'!H:H,MATCH(Table1[[#This Row],[Potentieel alternatief]],'Eigen database'!D:D,0)),"")</f>
        <v>uur</v>
      </c>
      <c r="X43" s="108">
        <f>IFERROR(INDEX('Eigen database'!P:P,MATCH(Table1[[#This Row],[Potentieel alternatief]],'Eigen database'!D:D,0))*Table1[[#This Row],[Hoeveelheid]]*(1+INDEX('Eigen database'!K:K,MATCH(Table1[[#This Row],[Potentieel alternatief]],'Eigen database'!D:D,0))),0)</f>
        <v>5.5778186842556847</v>
      </c>
      <c r="Y43" s="16">
        <f>IF(Table1[[#This Row],[MKI A-D nieuw]]=0,Table1[[#This Row],[MKI A-D]],Table1[[#This Row],[MKI A-D nieuw]])</f>
        <v>5.5778186842556847</v>
      </c>
      <c r="Z43" s="16"/>
      <c r="AA43" s="28">
        <f>IFERROR(INDEX('3. Kengetallen (DC-uitdraai)'!AM:AM,MATCH(Table1[[#This Row],[Milieuprofiel]],'3. Kengetallen (DC-uitdraai)'!C:C,0)),0)*Table1[[#This Row],[Hvd]]</f>
        <v>0</v>
      </c>
      <c r="AB43" s="28">
        <f>IFERROR(INDEX('3. Kengetallen (DC-uitdraai)'!AM:AM,MATCH(Table1[[#This Row],[Potentieel alternatief]],'3. Kengetallen (DC-uitdraai)'!C:C,0)),0)*Table1[[#This Row],[Hvd]]</f>
        <v>0</v>
      </c>
    </row>
    <row r="44" spans="1:28">
      <c r="A44" s="88" t="s">
        <v>168</v>
      </c>
      <c r="B44" s="88">
        <v>220101</v>
      </c>
      <c r="C44" s="42" t="s">
        <v>147</v>
      </c>
      <c r="D44" s="42" t="s">
        <v>153</v>
      </c>
      <c r="E44" t="s">
        <v>154</v>
      </c>
      <c r="F44" t="s">
        <v>97</v>
      </c>
      <c r="G44" t="s">
        <v>105</v>
      </c>
      <c r="H44" t="str">
        <f>IFERROR(INDEX('3. Kengetallen (DC-uitdraai)'!F:F,MATCH(Table1[[#This Row],[Milieuprofiel]],'3. Kengetallen (DC-uitdraai)'!D:D,0)),"")</f>
        <v>Cat.3a</v>
      </c>
      <c r="I44" s="26">
        <v>1440</v>
      </c>
      <c r="J44" t="s">
        <v>112</v>
      </c>
      <c r="K44" t="str">
        <f>IF(ISTEXT(Table1[[#This Row],[Milieuprofiel]]),"Ja","Nee")</f>
        <v>Ja</v>
      </c>
      <c r="L44" s="43">
        <v>1.67E-2</v>
      </c>
      <c r="M44" s="26">
        <f>Table1[[#This Row],[Volume]]*Table1[[#This Row],[Factor]]</f>
        <v>24.047999999999998</v>
      </c>
      <c r="N44" t="str">
        <f>IFERROR(INDEX('3. Kengetallen (DC-uitdraai)'!H:H,MATCH(Table1[[#This Row],[Milieuprofiel]],'3. Kengetallen (DC-uitdraai)'!D:D,0)),"")</f>
        <v>uur</v>
      </c>
      <c r="O44">
        <f>IFERROR(INDEX('3. Kengetallen (DC-uitdraai)'!I:I,MATCH(Table1[[#This Row],[Milieuprofiel]],'3. Kengetallen (DC-uitdraai)'!D:D,0)),0)</f>
        <v>999</v>
      </c>
      <c r="P44" s="106">
        <f>IFERROR(INDEX('3. Kengetallen (DC-uitdraai)'!P:P,MATCH(Table1[[#This Row],[Milieuprofiel]],'3. Kengetallen (DC-uitdraai)'!D:D,0))*Table1[[#This Row],[Hvd]]*(1+INDEX('3. Kengetallen (DC-uitdraai)'!K:K,MATCH(Table1[[#This Row],[Milieuprofiel]],'3. Kengetallen (DC-uitdraai)'!D:D,0))),0)</f>
        <v>107.67451269550007</v>
      </c>
      <c r="Q44" s="16">
        <f>IFERROR(INDEX('3. Kengetallen (DC-uitdraai)'!U:U,MATCH(Table1[[#This Row],[Milieuprofiel]],'3. Kengetallen (DC-uitdraai)'!D:D,0))*Table1[[#This Row],[Hvd]]*(1+INDEX('3. Kengetallen (DC-uitdraai)'!K:K,MATCH(Table1[[#This Row],[Milieuprofiel]],'3. Kengetallen (DC-uitdraai)'!D:D,0))),0)</f>
        <v>0</v>
      </c>
      <c r="R44" s="16">
        <f>IFERROR(INDEX('3. Kengetallen (DC-uitdraai)'!V:V,MATCH(Table1[[#This Row],[Milieuprofiel]],'3. Kengetallen (DC-uitdraai)'!D:D,0))*Table1[[#This Row],[Hvd]]*(1+INDEX('3. Kengetallen (DC-uitdraai)'!K:K,MATCH(Table1[[#This Row],[Milieuprofiel]],'3. Kengetallen (DC-uitdraai)'!D:D,0))),0)</f>
        <v>107.67451269550007</v>
      </c>
      <c r="S44" s="16">
        <f>IFERROR(INDEX('3. Kengetallen (DC-uitdraai)'!W:W,MATCH(Table1[[#This Row],[Milieuprofiel]],'3. Kengetallen (DC-uitdraai)'!D:D,0))*Table1[[#This Row],[Hvd]]*(1+INDEX('3. Kengetallen (DC-uitdraai)'!K:K,MATCH(Table1[[#This Row],[Milieuprofiel]],'3. Kengetallen (DC-uitdraai)'!D:D,0))),0)</f>
        <v>0</v>
      </c>
      <c r="T44" s="16">
        <f>IFERROR(INDEX('3. Kengetallen (DC-uitdraai)'!X:X,MATCH(Table1[[#This Row],[Milieuprofiel]],'3. Kengetallen (DC-uitdraai)'!D:D,0))*Table1[[#This Row],[Hvd]]*(1+INDEX('3. Kengetallen (DC-uitdraai)'!K:K,MATCH(Table1[[#This Row],[Milieuprofiel]],'3. Kengetallen (DC-uitdraai)'!D:D,0))),0)</f>
        <v>0</v>
      </c>
      <c r="U44" s="111">
        <f>Table1[[#This Row],[Factor]]</f>
        <v>1.67E-2</v>
      </c>
      <c r="V44" s="112">
        <f>Table1[[#This Row],[Volume]]*Table1[[#This Row],[omrekenfactor]]</f>
        <v>24.047999999999998</v>
      </c>
      <c r="W44" s="43" t="str">
        <f>IFERROR(INDEX('Eigen database'!H:H,MATCH(Table1[[#This Row],[Potentieel alternatief]],'Eigen database'!D:D,0)),"")</f>
        <v>uur</v>
      </c>
      <c r="X44" s="108">
        <f>IFERROR(INDEX('Eigen database'!P:P,MATCH(Table1[[#This Row],[Potentieel alternatief]],'Eigen database'!D:D,0))*Table1[[#This Row],[Hoeveelheid]]*(1+INDEX('Eigen database'!K:K,MATCH(Table1[[#This Row],[Potentieel alternatief]],'Eigen database'!D:D,0))),0)</f>
        <v>40.160294526640932</v>
      </c>
      <c r="Y44" s="16">
        <f>IF(Table1[[#This Row],[MKI A-D nieuw]]=0,Table1[[#This Row],[MKI A-D]],Table1[[#This Row],[MKI A-D nieuw]])</f>
        <v>40.160294526640932</v>
      </c>
      <c r="Z44" s="16"/>
      <c r="AA44" s="28">
        <f>IFERROR(INDEX('3. Kengetallen (DC-uitdraai)'!AM:AM,MATCH(Table1[[#This Row],[Milieuprofiel]],'3. Kengetallen (DC-uitdraai)'!C:C,0)),0)*Table1[[#This Row],[Hvd]]</f>
        <v>0</v>
      </c>
      <c r="AB44" s="28">
        <f>IFERROR(INDEX('3. Kengetallen (DC-uitdraai)'!AM:AM,MATCH(Table1[[#This Row],[Potentieel alternatief]],'3. Kengetallen (DC-uitdraai)'!C:C,0)),0)*Table1[[#This Row],[Hvd]]</f>
        <v>0</v>
      </c>
    </row>
    <row r="45" spans="1:28">
      <c r="A45" s="89" t="s">
        <v>169</v>
      </c>
      <c r="B45" s="89">
        <v>220101</v>
      </c>
      <c r="C45" s="42" t="s">
        <v>147</v>
      </c>
      <c r="D45" s="42" t="s">
        <v>153</v>
      </c>
      <c r="E45" t="s">
        <v>154</v>
      </c>
      <c r="F45" t="s">
        <v>97</v>
      </c>
      <c r="G45" t="s">
        <v>105</v>
      </c>
      <c r="H45" t="str">
        <f>IFERROR(INDEX('3. Kengetallen (DC-uitdraai)'!F:F,MATCH(Table1[[#This Row],[Milieuprofiel]],'3. Kengetallen (DC-uitdraai)'!D:D,0)),"")</f>
        <v>Cat.3a</v>
      </c>
      <c r="I45" s="26">
        <v>480</v>
      </c>
      <c r="J45" t="s">
        <v>112</v>
      </c>
      <c r="K45" t="str">
        <f>IF(ISTEXT(Table1[[#This Row],[Milieuprofiel]]),"Ja","Nee")</f>
        <v>Ja</v>
      </c>
      <c r="L45" s="43">
        <v>1.67E-2</v>
      </c>
      <c r="M45" s="26">
        <f>Table1[[#This Row],[Volume]]*Table1[[#This Row],[Factor]]</f>
        <v>8.016</v>
      </c>
      <c r="N45" t="str">
        <f>IFERROR(INDEX('3. Kengetallen (DC-uitdraai)'!H:H,MATCH(Table1[[#This Row],[Milieuprofiel]],'3. Kengetallen (DC-uitdraai)'!D:D,0)),"")</f>
        <v>uur</v>
      </c>
      <c r="O45">
        <f>IFERROR(INDEX('3. Kengetallen (DC-uitdraai)'!I:I,MATCH(Table1[[#This Row],[Milieuprofiel]],'3. Kengetallen (DC-uitdraai)'!D:D,0)),0)</f>
        <v>999</v>
      </c>
      <c r="P45" s="106">
        <f>IFERROR(INDEX('3. Kengetallen (DC-uitdraai)'!P:P,MATCH(Table1[[#This Row],[Milieuprofiel]],'3. Kengetallen (DC-uitdraai)'!D:D,0))*Table1[[#This Row],[Hvd]]*(1+INDEX('3. Kengetallen (DC-uitdraai)'!K:K,MATCH(Table1[[#This Row],[Milieuprofiel]],'3. Kengetallen (DC-uitdraai)'!D:D,0))),0)</f>
        <v>35.891504231833359</v>
      </c>
      <c r="Q45" s="16">
        <f>IFERROR(INDEX('3. Kengetallen (DC-uitdraai)'!U:U,MATCH(Table1[[#This Row],[Milieuprofiel]],'3. Kengetallen (DC-uitdraai)'!D:D,0))*Table1[[#This Row],[Hvd]]*(1+INDEX('3. Kengetallen (DC-uitdraai)'!K:K,MATCH(Table1[[#This Row],[Milieuprofiel]],'3. Kengetallen (DC-uitdraai)'!D:D,0))),0)</f>
        <v>0</v>
      </c>
      <c r="R45" s="16">
        <f>IFERROR(INDEX('3. Kengetallen (DC-uitdraai)'!V:V,MATCH(Table1[[#This Row],[Milieuprofiel]],'3. Kengetallen (DC-uitdraai)'!D:D,0))*Table1[[#This Row],[Hvd]]*(1+INDEX('3. Kengetallen (DC-uitdraai)'!K:K,MATCH(Table1[[#This Row],[Milieuprofiel]],'3. Kengetallen (DC-uitdraai)'!D:D,0))),0)</f>
        <v>35.891504231833359</v>
      </c>
      <c r="S45" s="16">
        <f>IFERROR(INDEX('3. Kengetallen (DC-uitdraai)'!W:W,MATCH(Table1[[#This Row],[Milieuprofiel]],'3. Kengetallen (DC-uitdraai)'!D:D,0))*Table1[[#This Row],[Hvd]]*(1+INDEX('3. Kengetallen (DC-uitdraai)'!K:K,MATCH(Table1[[#This Row],[Milieuprofiel]],'3. Kengetallen (DC-uitdraai)'!D:D,0))),0)</f>
        <v>0</v>
      </c>
      <c r="T45" s="16">
        <f>IFERROR(INDEX('3. Kengetallen (DC-uitdraai)'!X:X,MATCH(Table1[[#This Row],[Milieuprofiel]],'3. Kengetallen (DC-uitdraai)'!D:D,0))*Table1[[#This Row],[Hvd]]*(1+INDEX('3. Kengetallen (DC-uitdraai)'!K:K,MATCH(Table1[[#This Row],[Milieuprofiel]],'3. Kengetallen (DC-uitdraai)'!D:D,0))),0)</f>
        <v>0</v>
      </c>
      <c r="U45" s="111">
        <f>Table1[[#This Row],[Factor]]</f>
        <v>1.67E-2</v>
      </c>
      <c r="V45" s="112">
        <f>Table1[[#This Row],[Volume]]*Table1[[#This Row],[omrekenfactor]]</f>
        <v>8.016</v>
      </c>
      <c r="W45" s="43" t="str">
        <f>IFERROR(INDEX('Eigen database'!H:H,MATCH(Table1[[#This Row],[Potentieel alternatief]],'Eigen database'!D:D,0)),"")</f>
        <v>uur</v>
      </c>
      <c r="X45" s="108">
        <f>IFERROR(INDEX('Eigen database'!P:P,MATCH(Table1[[#This Row],[Potentieel alternatief]],'Eigen database'!D:D,0))*Table1[[#This Row],[Hoeveelheid]]*(1+INDEX('Eigen database'!K:K,MATCH(Table1[[#This Row],[Potentieel alternatief]],'Eigen database'!D:D,0))),0)</f>
        <v>13.386764842213644</v>
      </c>
      <c r="Y45" s="16">
        <f>IF(Table1[[#This Row],[MKI A-D nieuw]]=0,Table1[[#This Row],[MKI A-D]],Table1[[#This Row],[MKI A-D nieuw]])</f>
        <v>13.386764842213644</v>
      </c>
      <c r="Z45" s="16"/>
      <c r="AA45" s="28">
        <f>IFERROR(INDEX('3. Kengetallen (DC-uitdraai)'!AM:AM,MATCH(Table1[[#This Row],[Milieuprofiel]],'3. Kengetallen (DC-uitdraai)'!C:C,0)),0)*Table1[[#This Row],[Hvd]]</f>
        <v>0</v>
      </c>
      <c r="AB45" s="28">
        <f>IFERROR(INDEX('3. Kengetallen (DC-uitdraai)'!AM:AM,MATCH(Table1[[#This Row],[Potentieel alternatief]],'3. Kengetallen (DC-uitdraai)'!C:C,0)),0)*Table1[[#This Row],[Hvd]]</f>
        <v>0</v>
      </c>
    </row>
    <row r="46" spans="1:28">
      <c r="A46" s="88" t="s">
        <v>170</v>
      </c>
      <c r="B46" s="89">
        <v>220101</v>
      </c>
      <c r="C46" s="42" t="s">
        <v>147</v>
      </c>
      <c r="D46" s="42" t="s">
        <v>153</v>
      </c>
      <c r="E46" t="s">
        <v>154</v>
      </c>
      <c r="F46" t="s">
        <v>97</v>
      </c>
      <c r="G46" t="s">
        <v>105</v>
      </c>
      <c r="H46" t="str">
        <f>IFERROR(INDEX('3. Kengetallen (DC-uitdraai)'!F:F,MATCH(Table1[[#This Row],[Milieuprofiel]],'3. Kengetallen (DC-uitdraai)'!D:D,0)),"")</f>
        <v>Cat.3a</v>
      </c>
      <c r="I46" s="26">
        <v>1450</v>
      </c>
      <c r="J46" t="s">
        <v>112</v>
      </c>
      <c r="K46" t="str">
        <f>IF(ISTEXT(Table1[[#This Row],[Milieuprofiel]]),"Ja","Nee")</f>
        <v>Ja</v>
      </c>
      <c r="L46" s="43">
        <v>1.67E-2</v>
      </c>
      <c r="M46" s="26">
        <f>Table1[[#This Row],[Volume]]*Table1[[#This Row],[Factor]]</f>
        <v>24.215</v>
      </c>
      <c r="N46" t="str">
        <f>IFERROR(INDEX('3. Kengetallen (DC-uitdraai)'!H:H,MATCH(Table1[[#This Row],[Milieuprofiel]],'3. Kengetallen (DC-uitdraai)'!D:D,0)),"")</f>
        <v>uur</v>
      </c>
      <c r="O46">
        <f>IFERROR(INDEX('3. Kengetallen (DC-uitdraai)'!I:I,MATCH(Table1[[#This Row],[Milieuprofiel]],'3. Kengetallen (DC-uitdraai)'!D:D,0)),0)</f>
        <v>999</v>
      </c>
      <c r="P46" s="106">
        <f>IFERROR(INDEX('3. Kengetallen (DC-uitdraai)'!P:P,MATCH(Table1[[#This Row],[Milieuprofiel]],'3. Kengetallen (DC-uitdraai)'!D:D,0))*Table1[[#This Row],[Hvd]]*(1+INDEX('3. Kengetallen (DC-uitdraai)'!K:K,MATCH(Table1[[#This Row],[Milieuprofiel]],'3. Kengetallen (DC-uitdraai)'!D:D,0))),0)</f>
        <v>108.42225236699662</v>
      </c>
      <c r="Q46" s="16">
        <f>IFERROR(INDEX('3. Kengetallen (DC-uitdraai)'!U:U,MATCH(Table1[[#This Row],[Milieuprofiel]],'3. Kengetallen (DC-uitdraai)'!D:D,0))*Table1[[#This Row],[Hvd]]*(1+INDEX('3. Kengetallen (DC-uitdraai)'!K:K,MATCH(Table1[[#This Row],[Milieuprofiel]],'3. Kengetallen (DC-uitdraai)'!D:D,0))),0)</f>
        <v>0</v>
      </c>
      <c r="R46" s="16">
        <f>IFERROR(INDEX('3. Kengetallen (DC-uitdraai)'!V:V,MATCH(Table1[[#This Row],[Milieuprofiel]],'3. Kengetallen (DC-uitdraai)'!D:D,0))*Table1[[#This Row],[Hvd]]*(1+INDEX('3. Kengetallen (DC-uitdraai)'!K:K,MATCH(Table1[[#This Row],[Milieuprofiel]],'3. Kengetallen (DC-uitdraai)'!D:D,0))),0)</f>
        <v>108.42225236699662</v>
      </c>
      <c r="S46" s="16">
        <f>IFERROR(INDEX('3. Kengetallen (DC-uitdraai)'!W:W,MATCH(Table1[[#This Row],[Milieuprofiel]],'3. Kengetallen (DC-uitdraai)'!D:D,0))*Table1[[#This Row],[Hvd]]*(1+INDEX('3. Kengetallen (DC-uitdraai)'!K:K,MATCH(Table1[[#This Row],[Milieuprofiel]],'3. Kengetallen (DC-uitdraai)'!D:D,0))),0)</f>
        <v>0</v>
      </c>
      <c r="T46" s="16">
        <f>IFERROR(INDEX('3. Kengetallen (DC-uitdraai)'!X:X,MATCH(Table1[[#This Row],[Milieuprofiel]],'3. Kengetallen (DC-uitdraai)'!D:D,0))*Table1[[#This Row],[Hvd]]*(1+INDEX('3. Kengetallen (DC-uitdraai)'!K:K,MATCH(Table1[[#This Row],[Milieuprofiel]],'3. Kengetallen (DC-uitdraai)'!D:D,0))),0)</f>
        <v>0</v>
      </c>
      <c r="U46" s="111">
        <f>Table1[[#This Row],[Factor]]</f>
        <v>1.67E-2</v>
      </c>
      <c r="V46" s="112">
        <f>Table1[[#This Row],[Volume]]*Table1[[#This Row],[omrekenfactor]]</f>
        <v>24.215</v>
      </c>
      <c r="W46" s="43" t="str">
        <f>IFERROR(INDEX('Eigen database'!H:H,MATCH(Table1[[#This Row],[Potentieel alternatief]],'Eigen database'!D:D,0)),"")</f>
        <v>uur</v>
      </c>
      <c r="X46" s="108">
        <f>IFERROR(INDEX('Eigen database'!P:P,MATCH(Table1[[#This Row],[Potentieel alternatief]],'Eigen database'!D:D,0))*Table1[[#This Row],[Hoeveelheid]]*(1+INDEX('Eigen database'!K:K,MATCH(Table1[[#This Row],[Potentieel alternatief]],'Eigen database'!D:D,0))),0)</f>
        <v>40.439185460853722</v>
      </c>
      <c r="Y46" s="16">
        <f>IF(Table1[[#This Row],[MKI A-D nieuw]]=0,Table1[[#This Row],[MKI A-D]],Table1[[#This Row],[MKI A-D nieuw]])</f>
        <v>40.439185460853722</v>
      </c>
      <c r="Z46" s="16"/>
      <c r="AA46" s="28">
        <f>IFERROR(INDEX('3. Kengetallen (DC-uitdraai)'!AM:AM,MATCH(Table1[[#This Row],[Milieuprofiel]],'3. Kengetallen (DC-uitdraai)'!C:C,0)),0)*Table1[[#This Row],[Hvd]]</f>
        <v>0</v>
      </c>
      <c r="AB46" s="28">
        <f>IFERROR(INDEX('3. Kengetallen (DC-uitdraai)'!AM:AM,MATCH(Table1[[#This Row],[Potentieel alternatief]],'3. Kengetallen (DC-uitdraai)'!C:C,0)),0)*Table1[[#This Row],[Hvd]]</f>
        <v>0</v>
      </c>
    </row>
    <row r="47" spans="1:28">
      <c r="A47" s="89" t="s">
        <v>171</v>
      </c>
      <c r="B47" s="89">
        <v>220101</v>
      </c>
      <c r="C47" s="42" t="s">
        <v>147</v>
      </c>
      <c r="D47" s="42" t="s">
        <v>153</v>
      </c>
      <c r="E47" t="s">
        <v>154</v>
      </c>
      <c r="F47" t="s">
        <v>97</v>
      </c>
      <c r="G47" t="s">
        <v>105</v>
      </c>
      <c r="H47" t="str">
        <f>IFERROR(INDEX('3. Kengetallen (DC-uitdraai)'!F:F,MATCH(Table1[[#This Row],[Milieuprofiel]],'3. Kengetallen (DC-uitdraai)'!D:D,0)),"")</f>
        <v>Cat.3a</v>
      </c>
      <c r="I47" s="26">
        <v>4550</v>
      </c>
      <c r="J47" t="s">
        <v>112</v>
      </c>
      <c r="K47" t="str">
        <f>IF(ISTEXT(Table1[[#This Row],[Milieuprofiel]]),"Ja","Nee")</f>
        <v>Ja</v>
      </c>
      <c r="L47" s="43">
        <v>1.67E-2</v>
      </c>
      <c r="M47" s="26">
        <f>Table1[[#This Row],[Volume]]*Table1[[#This Row],[Factor]]</f>
        <v>75.984999999999999</v>
      </c>
      <c r="N47" t="str">
        <f>IFERROR(INDEX('3. Kengetallen (DC-uitdraai)'!H:H,MATCH(Table1[[#This Row],[Milieuprofiel]],'3. Kengetallen (DC-uitdraai)'!D:D,0)),"")</f>
        <v>uur</v>
      </c>
      <c r="O47">
        <f>IFERROR(INDEX('3. Kengetallen (DC-uitdraai)'!I:I,MATCH(Table1[[#This Row],[Milieuprofiel]],'3. Kengetallen (DC-uitdraai)'!D:D,0)),0)</f>
        <v>999</v>
      </c>
      <c r="P47" s="106">
        <f>IFERROR(INDEX('3. Kengetallen (DC-uitdraai)'!P:P,MATCH(Table1[[#This Row],[Milieuprofiel]],'3. Kengetallen (DC-uitdraai)'!D:D,0))*Table1[[#This Row],[Hvd]]*(1+INDEX('3. Kengetallen (DC-uitdraai)'!K:K,MATCH(Table1[[#This Row],[Milieuprofiel]],'3. Kengetallen (DC-uitdraai)'!D:D,0))),0)</f>
        <v>340.22155053092041</v>
      </c>
      <c r="Q47" s="16">
        <f>IFERROR(INDEX('3. Kengetallen (DC-uitdraai)'!U:U,MATCH(Table1[[#This Row],[Milieuprofiel]],'3. Kengetallen (DC-uitdraai)'!D:D,0))*Table1[[#This Row],[Hvd]]*(1+INDEX('3. Kengetallen (DC-uitdraai)'!K:K,MATCH(Table1[[#This Row],[Milieuprofiel]],'3. Kengetallen (DC-uitdraai)'!D:D,0))),0)</f>
        <v>0</v>
      </c>
      <c r="R47" s="16">
        <f>IFERROR(INDEX('3. Kengetallen (DC-uitdraai)'!V:V,MATCH(Table1[[#This Row],[Milieuprofiel]],'3. Kengetallen (DC-uitdraai)'!D:D,0))*Table1[[#This Row],[Hvd]]*(1+INDEX('3. Kengetallen (DC-uitdraai)'!K:K,MATCH(Table1[[#This Row],[Milieuprofiel]],'3. Kengetallen (DC-uitdraai)'!D:D,0))),0)</f>
        <v>340.22155053092041</v>
      </c>
      <c r="S47" s="16">
        <f>IFERROR(INDEX('3. Kengetallen (DC-uitdraai)'!W:W,MATCH(Table1[[#This Row],[Milieuprofiel]],'3. Kengetallen (DC-uitdraai)'!D:D,0))*Table1[[#This Row],[Hvd]]*(1+INDEX('3. Kengetallen (DC-uitdraai)'!K:K,MATCH(Table1[[#This Row],[Milieuprofiel]],'3. Kengetallen (DC-uitdraai)'!D:D,0))),0)</f>
        <v>0</v>
      </c>
      <c r="T47" s="16">
        <f>IFERROR(INDEX('3. Kengetallen (DC-uitdraai)'!X:X,MATCH(Table1[[#This Row],[Milieuprofiel]],'3. Kengetallen (DC-uitdraai)'!D:D,0))*Table1[[#This Row],[Hvd]]*(1+INDEX('3. Kengetallen (DC-uitdraai)'!K:K,MATCH(Table1[[#This Row],[Milieuprofiel]],'3. Kengetallen (DC-uitdraai)'!D:D,0))),0)</f>
        <v>0</v>
      </c>
      <c r="U47" s="111">
        <f>Table1[[#This Row],[Factor]]</f>
        <v>1.67E-2</v>
      </c>
      <c r="V47" s="112">
        <f>Table1[[#This Row],[Volume]]*Table1[[#This Row],[omrekenfactor]]</f>
        <v>75.984999999999999</v>
      </c>
      <c r="W47" s="43" t="str">
        <f>IFERROR(INDEX('Eigen database'!H:H,MATCH(Table1[[#This Row],[Potentieel alternatief]],'Eigen database'!D:D,0)),"")</f>
        <v>uur</v>
      </c>
      <c r="X47" s="108">
        <f>IFERROR(INDEX('Eigen database'!P:P,MATCH(Table1[[#This Row],[Potentieel alternatief]],'Eigen database'!D:D,0))*Table1[[#This Row],[Hoeveelheid]]*(1+INDEX('Eigen database'!K:K,MATCH(Table1[[#This Row],[Potentieel alternatief]],'Eigen database'!D:D,0))),0)</f>
        <v>126.89537506681684</v>
      </c>
      <c r="Y47" s="16">
        <f>IF(Table1[[#This Row],[MKI A-D nieuw]]=0,Table1[[#This Row],[MKI A-D]],Table1[[#This Row],[MKI A-D nieuw]])</f>
        <v>126.89537506681684</v>
      </c>
      <c r="Z47" s="16"/>
      <c r="AA47" s="28">
        <f>IFERROR(INDEX('3. Kengetallen (DC-uitdraai)'!AM:AM,MATCH(Table1[[#This Row],[Milieuprofiel]],'3. Kengetallen (DC-uitdraai)'!C:C,0)),0)*Table1[[#This Row],[Hvd]]</f>
        <v>0</v>
      </c>
      <c r="AB47" s="28">
        <f>IFERROR(INDEX('3. Kengetallen (DC-uitdraai)'!AM:AM,MATCH(Table1[[#This Row],[Potentieel alternatief]],'3. Kengetallen (DC-uitdraai)'!C:C,0)),0)*Table1[[#This Row],[Hvd]]</f>
        <v>0</v>
      </c>
    </row>
    <row r="48" spans="1:28">
      <c r="A48" s="88" t="s">
        <v>172</v>
      </c>
      <c r="B48" s="89">
        <v>220101</v>
      </c>
      <c r="C48" s="42" t="s">
        <v>147</v>
      </c>
      <c r="D48" s="42" t="s">
        <v>153</v>
      </c>
      <c r="E48" t="s">
        <v>154</v>
      </c>
      <c r="F48" t="s">
        <v>97</v>
      </c>
      <c r="G48" t="s">
        <v>105</v>
      </c>
      <c r="H48" t="str">
        <f>IFERROR(INDEX('3. Kengetallen (DC-uitdraai)'!F:F,MATCH(Table1[[#This Row],[Milieuprofiel]],'3. Kengetallen (DC-uitdraai)'!D:D,0)),"")</f>
        <v>Cat.3a</v>
      </c>
      <c r="I48" s="129">
        <v>1070</v>
      </c>
      <c r="J48" t="s">
        <v>112</v>
      </c>
      <c r="K48" t="str">
        <f>IF(ISTEXT(Table1[[#This Row],[Milieuprofiel]]),"Ja","Nee")</f>
        <v>Ja</v>
      </c>
      <c r="L48" s="43">
        <v>1.67E-2</v>
      </c>
      <c r="M48" s="26">
        <f>Table1[[#This Row],[Volume]]*Table1[[#This Row],[Factor]]</f>
        <v>17.869</v>
      </c>
      <c r="N48" t="str">
        <f>IFERROR(INDEX('3. Kengetallen (DC-uitdraai)'!H:H,MATCH(Table1[[#This Row],[Milieuprofiel]],'3. Kengetallen (DC-uitdraai)'!D:D,0)),"")</f>
        <v>uur</v>
      </c>
      <c r="O48">
        <f>IFERROR(INDEX('3. Kengetallen (DC-uitdraai)'!I:I,MATCH(Table1[[#This Row],[Milieuprofiel]],'3. Kengetallen (DC-uitdraai)'!D:D,0)),0)</f>
        <v>999</v>
      </c>
      <c r="P48" s="106">
        <f>IFERROR(INDEX('3. Kengetallen (DC-uitdraai)'!P:P,MATCH(Table1[[#This Row],[Milieuprofiel]],'3. Kengetallen (DC-uitdraai)'!D:D,0))*Table1[[#This Row],[Hvd]]*(1+INDEX('3. Kengetallen (DC-uitdraai)'!K:K,MATCH(Table1[[#This Row],[Milieuprofiel]],'3. Kengetallen (DC-uitdraai)'!D:D,0))),0)</f>
        <v>80.008144850128531</v>
      </c>
      <c r="Q48" s="16">
        <f>IFERROR(INDEX('3. Kengetallen (DC-uitdraai)'!U:U,MATCH(Table1[[#This Row],[Milieuprofiel]],'3. Kengetallen (DC-uitdraai)'!D:D,0))*Table1[[#This Row],[Hvd]]*(1+INDEX('3. Kengetallen (DC-uitdraai)'!K:K,MATCH(Table1[[#This Row],[Milieuprofiel]],'3. Kengetallen (DC-uitdraai)'!D:D,0))),0)</f>
        <v>0</v>
      </c>
      <c r="R48" s="16">
        <f>IFERROR(INDEX('3. Kengetallen (DC-uitdraai)'!V:V,MATCH(Table1[[#This Row],[Milieuprofiel]],'3. Kengetallen (DC-uitdraai)'!D:D,0))*Table1[[#This Row],[Hvd]]*(1+INDEX('3. Kengetallen (DC-uitdraai)'!K:K,MATCH(Table1[[#This Row],[Milieuprofiel]],'3. Kengetallen (DC-uitdraai)'!D:D,0))),0)</f>
        <v>80.008144850128531</v>
      </c>
      <c r="S48" s="16">
        <f>IFERROR(INDEX('3. Kengetallen (DC-uitdraai)'!W:W,MATCH(Table1[[#This Row],[Milieuprofiel]],'3. Kengetallen (DC-uitdraai)'!D:D,0))*Table1[[#This Row],[Hvd]]*(1+INDEX('3. Kengetallen (DC-uitdraai)'!K:K,MATCH(Table1[[#This Row],[Milieuprofiel]],'3. Kengetallen (DC-uitdraai)'!D:D,0))),0)</f>
        <v>0</v>
      </c>
      <c r="T48" s="16">
        <f>IFERROR(INDEX('3. Kengetallen (DC-uitdraai)'!X:X,MATCH(Table1[[#This Row],[Milieuprofiel]],'3. Kengetallen (DC-uitdraai)'!D:D,0))*Table1[[#This Row],[Hvd]]*(1+INDEX('3. Kengetallen (DC-uitdraai)'!K:K,MATCH(Table1[[#This Row],[Milieuprofiel]],'3. Kengetallen (DC-uitdraai)'!D:D,0))),0)</f>
        <v>0</v>
      </c>
      <c r="U48" s="111">
        <f>Table1[[#This Row],[Factor]]</f>
        <v>1.67E-2</v>
      </c>
      <c r="V48" s="112">
        <f>Table1[[#This Row],[Volume]]*Table1[[#This Row],[omrekenfactor]]</f>
        <v>17.869</v>
      </c>
      <c r="W48" s="43" t="str">
        <f>IFERROR(INDEX('Eigen database'!H:H,MATCH(Table1[[#This Row],[Potentieel alternatief]],'Eigen database'!D:D,0)),"")</f>
        <v>uur</v>
      </c>
      <c r="X48" s="108">
        <f>IFERROR(INDEX('Eigen database'!P:P,MATCH(Table1[[#This Row],[Potentieel alternatief]],'Eigen database'!D:D,0))*Table1[[#This Row],[Hoeveelheid]]*(1+INDEX('Eigen database'!K:K,MATCH(Table1[[#This Row],[Potentieel alternatief]],'Eigen database'!D:D,0))),0)</f>
        <v>29.841329960767915</v>
      </c>
      <c r="Y48" s="16">
        <f>IF(Table1[[#This Row],[MKI A-D nieuw]]=0,Table1[[#This Row],[MKI A-D]],Table1[[#This Row],[MKI A-D nieuw]])</f>
        <v>29.841329960767915</v>
      </c>
      <c r="Z48" s="16"/>
      <c r="AA48" s="28">
        <f>IFERROR(INDEX('3. Kengetallen (DC-uitdraai)'!AM:AM,MATCH(Table1[[#This Row],[Milieuprofiel]],'3. Kengetallen (DC-uitdraai)'!C:C,0)),0)*Table1[[#This Row],[Hvd]]</f>
        <v>0</v>
      </c>
      <c r="AB48" s="28">
        <f>IFERROR(INDEX('3. Kengetallen (DC-uitdraai)'!AM:AM,MATCH(Table1[[#This Row],[Potentieel alternatief]],'3. Kengetallen (DC-uitdraai)'!C:C,0)),0)*Table1[[#This Row],[Hvd]]</f>
        <v>0</v>
      </c>
    </row>
    <row r="49" spans="1:28">
      <c r="A49" s="130" t="s">
        <v>173</v>
      </c>
      <c r="B49" s="131" t="s">
        <v>174</v>
      </c>
      <c r="C49" s="132" t="s">
        <v>147</v>
      </c>
      <c r="D49" s="132" t="s">
        <v>153</v>
      </c>
      <c r="E49" s="133" t="s">
        <v>154</v>
      </c>
      <c r="F49" s="133" t="s">
        <v>97</v>
      </c>
      <c r="G49" s="133" t="s">
        <v>105</v>
      </c>
      <c r="H49" s="133" t="str">
        <f>IFERROR(INDEX('3. Kengetallen (DC-uitdraai)'!F:F,MATCH(Table1[[#This Row],[Milieuprofiel]],'3. Kengetallen (DC-uitdraai)'!D:D,0)),"")</f>
        <v>Cat.3a</v>
      </c>
      <c r="I49" s="129">
        <v>560</v>
      </c>
      <c r="J49" t="s">
        <v>112</v>
      </c>
      <c r="K49" t="str">
        <f>IF(ISTEXT(Table1[[#This Row],[Milieuprofiel]]),"Ja","Nee")</f>
        <v>Ja</v>
      </c>
      <c r="L49" s="43">
        <v>1.67E-2</v>
      </c>
      <c r="M49" s="26">
        <f>Table1[[#This Row],[Volume]]*Table1[[#This Row],[Factor]]</f>
        <v>9.3520000000000003</v>
      </c>
      <c r="N49" t="str">
        <f>IFERROR(INDEX('3. Kengetallen (DC-uitdraai)'!H:H,MATCH(Table1[[#This Row],[Milieuprofiel]],'3. Kengetallen (DC-uitdraai)'!D:D,0)),"")</f>
        <v>uur</v>
      </c>
      <c r="O49">
        <f>IFERROR(INDEX('3. Kengetallen (DC-uitdraai)'!I:I,MATCH(Table1[[#This Row],[Milieuprofiel]],'3. Kengetallen (DC-uitdraai)'!D:D,0)),0)</f>
        <v>999</v>
      </c>
      <c r="P49" s="106">
        <f>IFERROR(INDEX('3. Kengetallen (DC-uitdraai)'!P:P,MATCH(Table1[[#This Row],[Milieuprofiel]],'3. Kengetallen (DC-uitdraai)'!D:D,0))*Table1[[#This Row],[Hvd]]*(1+INDEX('3. Kengetallen (DC-uitdraai)'!K:K,MATCH(Table1[[#This Row],[Milieuprofiel]],'3. Kengetallen (DC-uitdraai)'!D:D,0))),0)</f>
        <v>41.873421603805589</v>
      </c>
      <c r="Q49" s="16">
        <f>IFERROR(INDEX('3. Kengetallen (DC-uitdraai)'!U:U,MATCH(Table1[[#This Row],[Milieuprofiel]],'3. Kengetallen (DC-uitdraai)'!D:D,0))*Table1[[#This Row],[Hvd]]*(1+INDEX('3. Kengetallen (DC-uitdraai)'!K:K,MATCH(Table1[[#This Row],[Milieuprofiel]],'3. Kengetallen (DC-uitdraai)'!D:D,0))),0)</f>
        <v>0</v>
      </c>
      <c r="R49" s="16">
        <f>IFERROR(INDEX('3. Kengetallen (DC-uitdraai)'!V:V,MATCH(Table1[[#This Row],[Milieuprofiel]],'3. Kengetallen (DC-uitdraai)'!D:D,0))*Table1[[#This Row],[Hvd]]*(1+INDEX('3. Kengetallen (DC-uitdraai)'!K:K,MATCH(Table1[[#This Row],[Milieuprofiel]],'3. Kengetallen (DC-uitdraai)'!D:D,0))),0)</f>
        <v>41.873421603805589</v>
      </c>
      <c r="S49" s="16">
        <f>IFERROR(INDEX('3. Kengetallen (DC-uitdraai)'!W:W,MATCH(Table1[[#This Row],[Milieuprofiel]],'3. Kengetallen (DC-uitdraai)'!D:D,0))*Table1[[#This Row],[Hvd]]*(1+INDEX('3. Kengetallen (DC-uitdraai)'!K:K,MATCH(Table1[[#This Row],[Milieuprofiel]],'3. Kengetallen (DC-uitdraai)'!D:D,0))),0)</f>
        <v>0</v>
      </c>
      <c r="T49" s="16">
        <f>IFERROR(INDEX('3. Kengetallen (DC-uitdraai)'!X:X,MATCH(Table1[[#This Row],[Milieuprofiel]],'3. Kengetallen (DC-uitdraai)'!D:D,0))*Table1[[#This Row],[Hvd]]*(1+INDEX('3. Kengetallen (DC-uitdraai)'!K:K,MATCH(Table1[[#This Row],[Milieuprofiel]],'3. Kengetallen (DC-uitdraai)'!D:D,0))),0)</f>
        <v>0</v>
      </c>
      <c r="U49" s="111">
        <f>Table1[[#This Row],[Factor]]</f>
        <v>1.67E-2</v>
      </c>
      <c r="V49" s="112">
        <f>Table1[[#This Row],[Volume]]*Table1[[#This Row],[omrekenfactor]]</f>
        <v>9.3520000000000003</v>
      </c>
      <c r="W49" s="43" t="str">
        <f>IFERROR(INDEX('Eigen database'!H:H,MATCH(Table1[[#This Row],[Potentieel alternatief]],'Eigen database'!D:D,0)),"")</f>
        <v>uur</v>
      </c>
      <c r="X49" s="108">
        <f>IFERROR(INDEX('Eigen database'!P:P,MATCH(Table1[[#This Row],[Potentieel alternatief]],'Eigen database'!D:D,0))*Table1[[#This Row],[Hoeveelheid]]*(1+INDEX('Eigen database'!K:K,MATCH(Table1[[#This Row],[Potentieel alternatief]],'Eigen database'!D:D,0))),0)</f>
        <v>15.61789231591592</v>
      </c>
      <c r="Y49" s="16">
        <f>IF(Table1[[#This Row],[MKI A-D nieuw]]=0,Table1[[#This Row],[MKI A-D]],Table1[[#This Row],[MKI A-D nieuw]])</f>
        <v>15.61789231591592</v>
      </c>
      <c r="Z49" s="16"/>
      <c r="AA49" s="28">
        <f>IFERROR(INDEX('3. Kengetallen (DC-uitdraai)'!AM:AM,MATCH(Table1[[#This Row],[Milieuprofiel]],'3. Kengetallen (DC-uitdraai)'!C:C,0)),0)*Table1[[#This Row],[Hvd]]</f>
        <v>0</v>
      </c>
      <c r="AB49" s="28">
        <f>IFERROR(INDEX('3. Kengetallen (DC-uitdraai)'!AM:AM,MATCH(Table1[[#This Row],[Potentieel alternatief]],'3. Kengetallen (DC-uitdraai)'!C:C,0)),0)*Table1[[#This Row],[Hvd]]</f>
        <v>0</v>
      </c>
    </row>
    <row r="50" spans="1:28">
      <c r="A50" s="88" t="s">
        <v>175</v>
      </c>
      <c r="B50" s="88" t="s">
        <v>176</v>
      </c>
      <c r="C50" s="42" t="s">
        <v>147</v>
      </c>
      <c r="D50" s="42" t="s">
        <v>177</v>
      </c>
      <c r="E50" t="s">
        <v>178</v>
      </c>
      <c r="F50" t="s">
        <v>179</v>
      </c>
      <c r="G50" t="s">
        <v>180</v>
      </c>
      <c r="H50" t="str">
        <f>IFERROR(INDEX('3. Kengetallen (DC-uitdraai)'!F:F,MATCH(Table1[[#This Row],[Milieuprofiel]],'3. Kengetallen (DC-uitdraai)'!D:D,0)),"")</f>
        <v>Cat.3 (30%)</v>
      </c>
      <c r="I50" s="129">
        <v>2390</v>
      </c>
      <c r="J50" t="s">
        <v>112</v>
      </c>
      <c r="K50" t="str">
        <f>IF(ISTEXT(Table1[[#This Row],[Milieuprofiel]]),"Ja","Nee")</f>
        <v>Ja</v>
      </c>
      <c r="L50" s="74">
        <f>1.625*0.5</f>
        <v>0.8125</v>
      </c>
      <c r="M50" s="26">
        <f>Table1[[#This Row],[Volume]]*Table1[[#This Row],[Factor]]</f>
        <v>1941.875</v>
      </c>
      <c r="N50" t="str">
        <f>IFERROR(INDEX('3. Kengetallen (DC-uitdraai)'!H:H,MATCH(Table1[[#This Row],[Milieuprofiel]],'3. Kengetallen (DC-uitdraai)'!D:D,0)),"")</f>
        <v>t*km</v>
      </c>
      <c r="O50">
        <f>IFERROR(INDEX('3. Kengetallen (DC-uitdraai)'!I:I,MATCH(Table1[[#This Row],[Milieuprofiel]],'3. Kengetallen (DC-uitdraai)'!D:D,0)),0)</f>
        <v>999</v>
      </c>
      <c r="P50" s="106">
        <f>IFERROR(INDEX('3. Kengetallen (DC-uitdraai)'!P:P,MATCH(Table1[[#This Row],[Milieuprofiel]],'3. Kengetallen (DC-uitdraai)'!D:D,0))*Table1[[#This Row],[Hvd]]*(1+INDEX('3. Kengetallen (DC-uitdraai)'!K:K,MATCH(Table1[[#This Row],[Milieuprofiel]],'3. Kengetallen (DC-uitdraai)'!D:D,0))),0)</f>
        <v>21.853980243912787</v>
      </c>
      <c r="Q50" s="16">
        <f>IFERROR(INDEX('3. Kengetallen (DC-uitdraai)'!U:U,MATCH(Table1[[#This Row],[Milieuprofiel]],'3. Kengetallen (DC-uitdraai)'!D:D,0))*Table1[[#This Row],[Hvd]]*(1+INDEX('3. Kengetallen (DC-uitdraai)'!K:K,MATCH(Table1[[#This Row],[Milieuprofiel]],'3. Kengetallen (DC-uitdraai)'!D:D,0))),0)</f>
        <v>16.810753879625373</v>
      </c>
      <c r="R50" s="16">
        <f>IFERROR(INDEX('3. Kengetallen (DC-uitdraai)'!V:V,MATCH(Table1[[#This Row],[Milieuprofiel]],'3. Kengetallen (DC-uitdraai)'!D:D,0))*Table1[[#This Row],[Hvd]]*(1+INDEX('3. Kengetallen (DC-uitdraai)'!K:K,MATCH(Table1[[#This Row],[Milieuprofiel]],'3. Kengetallen (DC-uitdraai)'!D:D,0))),0)</f>
        <v>0</v>
      </c>
      <c r="S50" s="16">
        <f>IFERROR(INDEX('3. Kengetallen (DC-uitdraai)'!W:W,MATCH(Table1[[#This Row],[Milieuprofiel]],'3. Kengetallen (DC-uitdraai)'!D:D,0))*Table1[[#This Row],[Hvd]]*(1+INDEX('3. Kengetallen (DC-uitdraai)'!K:K,MATCH(Table1[[#This Row],[Milieuprofiel]],'3. Kengetallen (DC-uitdraai)'!D:D,0))),0)</f>
        <v>0</v>
      </c>
      <c r="T50" s="16">
        <f>IFERROR(INDEX('3. Kengetallen (DC-uitdraai)'!X:X,MATCH(Table1[[#This Row],[Milieuprofiel]],'3. Kengetallen (DC-uitdraai)'!D:D,0))*Table1[[#This Row],[Hvd]]*(1+INDEX('3. Kengetallen (DC-uitdraai)'!K:K,MATCH(Table1[[#This Row],[Milieuprofiel]],'3. Kengetallen (DC-uitdraai)'!D:D,0))),0)</f>
        <v>0</v>
      </c>
      <c r="U50" s="111">
        <f>Table1[[#This Row],[Factor]]</f>
        <v>0.8125</v>
      </c>
      <c r="V50" s="112">
        <f>Table1[[#This Row],[Volume]]*Table1[[#This Row],[omrekenfactor]]</f>
        <v>1941.875</v>
      </c>
      <c r="W50" s="43" t="str">
        <f>IFERROR(INDEX('Eigen database'!H:H,MATCH(Table1[[#This Row],[Potentieel alternatief]],'Eigen database'!D:D,0)),"")</f>
        <v>t*km</v>
      </c>
      <c r="X50" s="108">
        <f>IFERROR(INDEX('Eigen database'!P:P,MATCH(Table1[[#This Row],[Potentieel alternatief]],'Eigen database'!D:D,0))*Table1[[#This Row],[Hoeveelheid]]*(1+INDEX('Eigen database'!K:K,MATCH(Table1[[#This Row],[Potentieel alternatief]],'Eigen database'!D:D,0))),0)</f>
        <v>11.555998406622347</v>
      </c>
      <c r="Y50" s="16">
        <f>IF(Table1[[#This Row],[MKI A-D nieuw]]=0,Table1[[#This Row],[MKI A-D]],Table1[[#This Row],[MKI A-D nieuw]])</f>
        <v>11.555998406622347</v>
      </c>
      <c r="Z50" s="16"/>
      <c r="AA50" s="28">
        <f>IFERROR(INDEX('3. Kengetallen (DC-uitdraai)'!AM:AM,MATCH(Table1[[#This Row],[Milieuprofiel]],'3. Kengetallen (DC-uitdraai)'!C:C,0)),0)*Table1[[#This Row],[Hvd]]</f>
        <v>0</v>
      </c>
      <c r="AB50" s="28">
        <f>IFERROR(INDEX('3. Kengetallen (DC-uitdraai)'!AM:AM,MATCH(Table1[[#This Row],[Potentieel alternatief]],'3. Kengetallen (DC-uitdraai)'!C:C,0)),0)*Table1[[#This Row],[Hvd]]</f>
        <v>0</v>
      </c>
    </row>
    <row r="51" spans="1:28">
      <c r="A51" s="89" t="s">
        <v>181</v>
      </c>
      <c r="B51" s="88" t="s">
        <v>176</v>
      </c>
      <c r="C51" s="42" t="s">
        <v>147</v>
      </c>
      <c r="D51" s="42" t="s">
        <v>177</v>
      </c>
      <c r="E51" t="s">
        <v>178</v>
      </c>
      <c r="F51" t="s">
        <v>179</v>
      </c>
      <c r="G51" t="s">
        <v>180</v>
      </c>
      <c r="H51" t="str">
        <f>IFERROR(INDEX('3. Kengetallen (DC-uitdraai)'!F:F,MATCH(Table1[[#This Row],[Milieuprofiel]],'3. Kengetallen (DC-uitdraai)'!D:D,0)),"")</f>
        <v>Cat.3 (30%)</v>
      </c>
      <c r="I51" s="129">
        <v>5290</v>
      </c>
      <c r="J51" t="s">
        <v>112</v>
      </c>
      <c r="K51" t="str">
        <f>IF(ISTEXT(Table1[[#This Row],[Milieuprofiel]]),"Ja","Nee")</f>
        <v>Ja</v>
      </c>
      <c r="L51" s="74">
        <f>1.625*0.5</f>
        <v>0.8125</v>
      </c>
      <c r="M51" s="26">
        <f>Table1[[#This Row],[Volume]]*Table1[[#This Row],[Factor]]</f>
        <v>4298.125</v>
      </c>
      <c r="N51" t="str">
        <f>IFERROR(INDEX('3. Kengetallen (DC-uitdraai)'!H:H,MATCH(Table1[[#This Row],[Milieuprofiel]],'3. Kengetallen (DC-uitdraai)'!D:D,0)),"")</f>
        <v>t*km</v>
      </c>
      <c r="O51">
        <f>IFERROR(INDEX('3. Kengetallen (DC-uitdraai)'!I:I,MATCH(Table1[[#This Row],[Milieuprofiel]],'3. Kengetallen (DC-uitdraai)'!D:D,0)),0)</f>
        <v>999</v>
      </c>
      <c r="P51" s="106">
        <f>IFERROR(INDEX('3. Kengetallen (DC-uitdraai)'!P:P,MATCH(Table1[[#This Row],[Milieuprofiel]],'3. Kengetallen (DC-uitdraai)'!D:D,0))*Table1[[#This Row],[Hvd]]*(1+INDEX('3. Kengetallen (DC-uitdraai)'!K:K,MATCH(Table1[[#This Row],[Milieuprofiel]],'3. Kengetallen (DC-uitdraai)'!D:D,0))),0)</f>
        <v>48.371362129832065</v>
      </c>
      <c r="Q51" s="16">
        <f>IFERROR(INDEX('3. Kengetallen (DC-uitdraai)'!U:U,MATCH(Table1[[#This Row],[Milieuprofiel]],'3. Kengetallen (DC-uitdraai)'!D:D,0))*Table1[[#This Row],[Hvd]]*(1+INDEX('3. Kengetallen (DC-uitdraai)'!K:K,MATCH(Table1[[#This Row],[Milieuprofiel]],'3. Kengetallen (DC-uitdraai)'!D:D,0))),0)</f>
        <v>37.208739758668713</v>
      </c>
      <c r="R51" s="16">
        <f>IFERROR(INDEX('3. Kengetallen (DC-uitdraai)'!V:V,MATCH(Table1[[#This Row],[Milieuprofiel]],'3. Kengetallen (DC-uitdraai)'!D:D,0))*Table1[[#This Row],[Hvd]]*(1+INDEX('3. Kengetallen (DC-uitdraai)'!K:K,MATCH(Table1[[#This Row],[Milieuprofiel]],'3. Kengetallen (DC-uitdraai)'!D:D,0))),0)</f>
        <v>0</v>
      </c>
      <c r="S51" s="16">
        <f>IFERROR(INDEX('3. Kengetallen (DC-uitdraai)'!W:W,MATCH(Table1[[#This Row],[Milieuprofiel]],'3. Kengetallen (DC-uitdraai)'!D:D,0))*Table1[[#This Row],[Hvd]]*(1+INDEX('3. Kengetallen (DC-uitdraai)'!K:K,MATCH(Table1[[#This Row],[Milieuprofiel]],'3. Kengetallen (DC-uitdraai)'!D:D,0))),0)</f>
        <v>0</v>
      </c>
      <c r="T51" s="16">
        <f>IFERROR(INDEX('3. Kengetallen (DC-uitdraai)'!X:X,MATCH(Table1[[#This Row],[Milieuprofiel]],'3. Kengetallen (DC-uitdraai)'!D:D,0))*Table1[[#This Row],[Hvd]]*(1+INDEX('3. Kengetallen (DC-uitdraai)'!K:K,MATCH(Table1[[#This Row],[Milieuprofiel]],'3. Kengetallen (DC-uitdraai)'!D:D,0))),0)</f>
        <v>0</v>
      </c>
      <c r="U51" s="111">
        <f>Table1[[#This Row],[Factor]]</f>
        <v>0.8125</v>
      </c>
      <c r="V51" s="112">
        <f>Table1[[#This Row],[Volume]]*Table1[[#This Row],[omrekenfactor]]</f>
        <v>4298.125</v>
      </c>
      <c r="W51" s="43" t="str">
        <f>IFERROR(INDEX('Eigen database'!H:H,MATCH(Table1[[#This Row],[Potentieel alternatief]],'Eigen database'!D:D,0)),"")</f>
        <v>t*km</v>
      </c>
      <c r="X51" s="108">
        <f>IFERROR(INDEX('Eigen database'!P:P,MATCH(Table1[[#This Row],[Potentieel alternatief]],'Eigen database'!D:D,0))*Table1[[#This Row],[Hoeveelheid]]*(1+INDEX('Eigen database'!K:K,MATCH(Table1[[#This Row],[Potentieel alternatief]],'Eigen database'!D:D,0))),0)</f>
        <v>25.577921159427706</v>
      </c>
      <c r="Y51" s="16">
        <f>IF(Table1[[#This Row],[MKI A-D nieuw]]=0,Table1[[#This Row],[MKI A-D]],Table1[[#This Row],[MKI A-D nieuw]])</f>
        <v>25.577921159427706</v>
      </c>
      <c r="Z51" s="16"/>
      <c r="AA51" s="28">
        <f>IFERROR(INDEX('3. Kengetallen (DC-uitdraai)'!AM:AM,MATCH(Table1[[#This Row],[Milieuprofiel]],'3. Kengetallen (DC-uitdraai)'!C:C,0)),0)*Table1[[#This Row],[Hvd]]</f>
        <v>0</v>
      </c>
      <c r="AB51" s="28">
        <f>IFERROR(INDEX('3. Kengetallen (DC-uitdraai)'!AM:AM,MATCH(Table1[[#This Row],[Potentieel alternatief]],'3. Kengetallen (DC-uitdraai)'!C:C,0)),0)*Table1[[#This Row],[Hvd]]</f>
        <v>0</v>
      </c>
    </row>
    <row r="52" spans="1:28">
      <c r="A52" s="131" t="s">
        <v>182</v>
      </c>
      <c r="B52" s="130" t="s">
        <v>176</v>
      </c>
      <c r="C52" s="132" t="s">
        <v>147</v>
      </c>
      <c r="D52" s="132" t="s">
        <v>177</v>
      </c>
      <c r="E52" s="133" t="s">
        <v>178</v>
      </c>
      <c r="F52" s="133" t="s">
        <v>179</v>
      </c>
      <c r="G52" s="133" t="s">
        <v>180</v>
      </c>
      <c r="H52" s="133" t="str">
        <f>IFERROR(INDEX('3. Kengetallen (DC-uitdraai)'!F:F,MATCH(Table1[[#This Row],[Milieuprofiel]],'3. Kengetallen (DC-uitdraai)'!D:D,0)),"")</f>
        <v>Cat.3 (30%)</v>
      </c>
      <c r="I52" s="129">
        <v>3555</v>
      </c>
      <c r="J52" t="s">
        <v>112</v>
      </c>
      <c r="K52" t="str">
        <f>IF(ISTEXT(Table1[[#This Row],[Milieuprofiel]]),"Ja","Nee")</f>
        <v>Ja</v>
      </c>
      <c r="L52" s="74">
        <f>1.625*0.5</f>
        <v>0.8125</v>
      </c>
      <c r="M52" s="26">
        <f>Table1[[#This Row],[Volume]]*Table1[[#This Row],[Factor]]</f>
        <v>2888.4375</v>
      </c>
      <c r="N52" t="str">
        <f>IFERROR(INDEX('3. Kengetallen (DC-uitdraai)'!H:H,MATCH(Table1[[#This Row],[Milieuprofiel]],'3. Kengetallen (DC-uitdraai)'!D:D,0)),"")</f>
        <v>t*km</v>
      </c>
      <c r="O52">
        <f>IFERROR(INDEX('3. Kengetallen (DC-uitdraai)'!I:I,MATCH(Table1[[#This Row],[Milieuprofiel]],'3. Kengetallen (DC-uitdraai)'!D:D,0)),0)</f>
        <v>999</v>
      </c>
      <c r="P52" s="106">
        <f>IFERROR(INDEX('3. Kengetallen (DC-uitdraai)'!P:P,MATCH(Table1[[#This Row],[Milieuprofiel]],'3. Kengetallen (DC-uitdraai)'!D:D,0))*Table1[[#This Row],[Hvd]]*(1+INDEX('3. Kengetallen (DC-uitdraai)'!K:K,MATCH(Table1[[#This Row],[Milieuprofiel]],'3. Kengetallen (DC-uitdraai)'!D:D,0))),0)</f>
        <v>32.506652622221736</v>
      </c>
      <c r="Q52" s="16">
        <f>IFERROR(INDEX('3. Kengetallen (DC-uitdraai)'!U:U,MATCH(Table1[[#This Row],[Milieuprofiel]],'3. Kengetallen (DC-uitdraai)'!D:D,0))*Table1[[#This Row],[Hvd]]*(1+INDEX('3. Kengetallen (DC-uitdraai)'!K:K,MATCH(Table1[[#This Row],[Milieuprofiel]],'3. Kengetallen (DC-uitdraai)'!D:D,0))),0)</f>
        <v>25.005117172413474</v>
      </c>
      <c r="R52" s="16">
        <f>IFERROR(INDEX('3. Kengetallen (DC-uitdraai)'!V:V,MATCH(Table1[[#This Row],[Milieuprofiel]],'3. Kengetallen (DC-uitdraai)'!D:D,0))*Table1[[#This Row],[Hvd]]*(1+INDEX('3. Kengetallen (DC-uitdraai)'!K:K,MATCH(Table1[[#This Row],[Milieuprofiel]],'3. Kengetallen (DC-uitdraai)'!D:D,0))),0)</f>
        <v>0</v>
      </c>
      <c r="S52" s="16">
        <f>IFERROR(INDEX('3. Kengetallen (DC-uitdraai)'!W:W,MATCH(Table1[[#This Row],[Milieuprofiel]],'3. Kengetallen (DC-uitdraai)'!D:D,0))*Table1[[#This Row],[Hvd]]*(1+INDEX('3. Kengetallen (DC-uitdraai)'!K:K,MATCH(Table1[[#This Row],[Milieuprofiel]],'3. Kengetallen (DC-uitdraai)'!D:D,0))),0)</f>
        <v>0</v>
      </c>
      <c r="T52" s="16">
        <f>IFERROR(INDEX('3. Kengetallen (DC-uitdraai)'!X:X,MATCH(Table1[[#This Row],[Milieuprofiel]],'3. Kengetallen (DC-uitdraai)'!D:D,0))*Table1[[#This Row],[Hvd]]*(1+INDEX('3. Kengetallen (DC-uitdraai)'!K:K,MATCH(Table1[[#This Row],[Milieuprofiel]],'3. Kengetallen (DC-uitdraai)'!D:D,0))),0)</f>
        <v>0</v>
      </c>
      <c r="U52" s="111">
        <f>Table1[[#This Row],[Factor]]</f>
        <v>0.8125</v>
      </c>
      <c r="V52" s="112">
        <f>Table1[[#This Row],[Volume]]*Table1[[#This Row],[omrekenfactor]]</f>
        <v>2888.4375</v>
      </c>
      <c r="W52" s="43" t="str">
        <f>IFERROR(INDEX('Eigen database'!H:H,MATCH(Table1[[#This Row],[Potentieel alternatief]],'Eigen database'!D:D,0)),"")</f>
        <v>t*km</v>
      </c>
      <c r="X52" s="108">
        <f>IFERROR(INDEX('Eigen database'!P:P,MATCH(Table1[[#This Row],[Potentieel alternatief]],'Eigen database'!D:D,0))*Table1[[#This Row],[Hoeveelheid]]*(1+INDEX('Eigen database'!K:K,MATCH(Table1[[#This Row],[Potentieel alternatief]],'Eigen database'!D:D,0))),0)</f>
        <v>17.188943236628639</v>
      </c>
      <c r="Y52" s="16">
        <f>IF(Table1[[#This Row],[MKI A-D nieuw]]=0,Table1[[#This Row],[MKI A-D]],Table1[[#This Row],[MKI A-D nieuw]])</f>
        <v>17.188943236628639</v>
      </c>
      <c r="Z52" s="16"/>
      <c r="AA52" s="28">
        <f>IFERROR(INDEX('3. Kengetallen (DC-uitdraai)'!AM:AM,MATCH(Table1[[#This Row],[Milieuprofiel]],'3. Kengetallen (DC-uitdraai)'!C:C,0)),0)*Table1[[#This Row],[Hvd]]</f>
        <v>0</v>
      </c>
      <c r="AB52" s="28">
        <f>IFERROR(INDEX('3. Kengetallen (DC-uitdraai)'!AM:AM,MATCH(Table1[[#This Row],[Potentieel alternatief]],'3. Kengetallen (DC-uitdraai)'!C:C,0)),0)*Table1[[#This Row],[Hvd]]</f>
        <v>0</v>
      </c>
    </row>
    <row r="53" spans="1:28">
      <c r="A53" s="131" t="s">
        <v>183</v>
      </c>
      <c r="B53" s="130" t="s">
        <v>184</v>
      </c>
      <c r="C53" s="132" t="s">
        <v>147</v>
      </c>
      <c r="D53" s="132" t="s">
        <v>177</v>
      </c>
      <c r="E53" s="133" t="s">
        <v>178</v>
      </c>
      <c r="F53" s="133" t="s">
        <v>179</v>
      </c>
      <c r="G53" s="133" t="s">
        <v>180</v>
      </c>
      <c r="H53" s="133" t="str">
        <f>IFERROR(INDEX('3. Kengetallen (DC-uitdraai)'!F:F,MATCH(Table1[[#This Row],[Milieuprofiel]],'3. Kengetallen (DC-uitdraai)'!D:D,0)),"")</f>
        <v>Cat.3 (30%)</v>
      </c>
      <c r="I53" s="129">
        <v>560</v>
      </c>
      <c r="J53" t="s">
        <v>112</v>
      </c>
      <c r="K53" t="str">
        <f>IF(ISTEXT(Table1[[#This Row],[Milieuprofiel]]),"Ja","Nee")</f>
        <v>Ja</v>
      </c>
      <c r="L53" s="74">
        <f>1.625*0.5</f>
        <v>0.8125</v>
      </c>
      <c r="M53" s="26">
        <f>Table1[[#This Row],[Volume]]*Table1[[#This Row],[Factor]]</f>
        <v>455</v>
      </c>
      <c r="N53" t="str">
        <f>IFERROR(INDEX('3. Kengetallen (DC-uitdraai)'!H:H,MATCH(Table1[[#This Row],[Milieuprofiel]],'3. Kengetallen (DC-uitdraai)'!D:D,0)),"")</f>
        <v>t*km</v>
      </c>
      <c r="O53">
        <f>IFERROR(INDEX('3. Kengetallen (DC-uitdraai)'!I:I,MATCH(Table1[[#This Row],[Milieuprofiel]],'3. Kengetallen (DC-uitdraai)'!D:D,0)),0)</f>
        <v>999</v>
      </c>
      <c r="P53" s="106">
        <f>IFERROR(INDEX('3. Kengetallen (DC-uitdraai)'!P:P,MATCH(Table1[[#This Row],[Milieuprofiel]],'3. Kengetallen (DC-uitdraai)'!D:D,0))*Table1[[#This Row],[Hvd]]*(1+INDEX('3. Kengetallen (DC-uitdraai)'!K:K,MATCH(Table1[[#This Row],[Milieuprofiel]],'3. Kengetallen (DC-uitdraai)'!D:D,0))),0)</f>
        <v>5.1205978814188953</v>
      </c>
      <c r="Q53" s="16">
        <f>IFERROR(INDEX('3. Kengetallen (DC-uitdraai)'!U:U,MATCH(Table1[[#This Row],[Milieuprofiel]],'3. Kengetallen (DC-uitdraai)'!D:D,0))*Table1[[#This Row],[Hvd]]*(1+INDEX('3. Kengetallen (DC-uitdraai)'!K:K,MATCH(Table1[[#This Row],[Milieuprofiel]],'3. Kengetallen (DC-uitdraai)'!D:D,0))),0)</f>
        <v>3.9389214111256106</v>
      </c>
      <c r="R53" s="16">
        <f>IFERROR(INDEX('3. Kengetallen (DC-uitdraai)'!V:V,MATCH(Table1[[#This Row],[Milieuprofiel]],'3. Kengetallen (DC-uitdraai)'!D:D,0))*Table1[[#This Row],[Hvd]]*(1+INDEX('3. Kengetallen (DC-uitdraai)'!K:K,MATCH(Table1[[#This Row],[Milieuprofiel]],'3. Kengetallen (DC-uitdraai)'!D:D,0))),0)</f>
        <v>0</v>
      </c>
      <c r="S53" s="16">
        <f>IFERROR(INDEX('3. Kengetallen (DC-uitdraai)'!W:W,MATCH(Table1[[#This Row],[Milieuprofiel]],'3. Kengetallen (DC-uitdraai)'!D:D,0))*Table1[[#This Row],[Hvd]]*(1+INDEX('3. Kengetallen (DC-uitdraai)'!K:K,MATCH(Table1[[#This Row],[Milieuprofiel]],'3. Kengetallen (DC-uitdraai)'!D:D,0))),0)</f>
        <v>0</v>
      </c>
      <c r="T53" s="16">
        <f>IFERROR(INDEX('3. Kengetallen (DC-uitdraai)'!X:X,MATCH(Table1[[#This Row],[Milieuprofiel]],'3. Kengetallen (DC-uitdraai)'!D:D,0))*Table1[[#This Row],[Hvd]]*(1+INDEX('3. Kengetallen (DC-uitdraai)'!K:K,MATCH(Table1[[#This Row],[Milieuprofiel]],'3. Kengetallen (DC-uitdraai)'!D:D,0))),0)</f>
        <v>0</v>
      </c>
      <c r="U53" s="111">
        <f>Table1[[#This Row],[Factor]]</f>
        <v>0.8125</v>
      </c>
      <c r="V53" s="112">
        <f>Table1[[#This Row],[Volume]]*Table1[[#This Row],[omrekenfactor]]</f>
        <v>455</v>
      </c>
      <c r="W53" s="43" t="str">
        <f>IFERROR(INDEX('Eigen database'!H:H,MATCH(Table1[[#This Row],[Potentieel alternatief]],'Eigen database'!D:D,0)),"")</f>
        <v>t*km</v>
      </c>
      <c r="X53" s="108">
        <f>IFERROR(INDEX('Eigen database'!P:P,MATCH(Table1[[#This Row],[Potentieel alternatief]],'Eigen database'!D:D,0))*Table1[[#This Row],[Hoeveelheid]]*(1+INDEX('Eigen database'!K:K,MATCH(Table1[[#This Row],[Potentieel alternatief]],'Eigen database'!D:D,0))),0)</f>
        <v>2.7076816350244828</v>
      </c>
      <c r="Y53" s="16">
        <f>IF(Table1[[#This Row],[MKI A-D nieuw]]=0,Table1[[#This Row],[MKI A-D]],Table1[[#This Row],[MKI A-D nieuw]])</f>
        <v>2.7076816350244828</v>
      </c>
      <c r="Z53" s="16"/>
      <c r="AA53" s="28">
        <f>IFERROR(INDEX('3. Kengetallen (DC-uitdraai)'!AM:AM,MATCH(Table1[[#This Row],[Milieuprofiel]],'3. Kengetallen (DC-uitdraai)'!C:C,0)),0)*Table1[[#This Row],[Hvd]]</f>
        <v>0</v>
      </c>
      <c r="AB53" s="28">
        <f>IFERROR(INDEX('3. Kengetallen (DC-uitdraai)'!AM:AM,MATCH(Table1[[#This Row],[Potentieel alternatief]],'3. Kengetallen (DC-uitdraai)'!C:C,0)),0)*Table1[[#This Row],[Hvd]]</f>
        <v>0</v>
      </c>
    </row>
    <row r="54" spans="1:28">
      <c r="A54" s="88" t="s">
        <v>185</v>
      </c>
      <c r="B54" s="88" t="s">
        <v>184</v>
      </c>
      <c r="C54" s="42" t="s">
        <v>147</v>
      </c>
      <c r="D54" s="42" t="s">
        <v>186</v>
      </c>
      <c r="E54" t="s">
        <v>187</v>
      </c>
      <c r="F54" t="s">
        <v>97</v>
      </c>
      <c r="G54" t="s">
        <v>105</v>
      </c>
      <c r="H54" t="str">
        <f>IFERROR(INDEX('3. Kengetallen (DC-uitdraai)'!F:F,MATCH(Table1[[#This Row],[Milieuprofiel]],'3. Kengetallen (DC-uitdraai)'!D:D,0)),"")</f>
        <v>Cat.3a</v>
      </c>
      <c r="I54" s="26">
        <v>210</v>
      </c>
      <c r="J54" t="s">
        <v>112</v>
      </c>
      <c r="K54" t="str">
        <f>IF(ISTEXT(Table1[[#This Row],[Milieuprofiel]]),"Ja","Nee")</f>
        <v>Ja</v>
      </c>
      <c r="L54" s="74">
        <v>2.5000000000000001E-2</v>
      </c>
      <c r="M54" s="26">
        <f>Table1[[#This Row],[Volume]]*Table1[[#This Row],[Factor]]</f>
        <v>5.25</v>
      </c>
      <c r="N54" t="str">
        <f>IFERROR(INDEX('3. Kengetallen (DC-uitdraai)'!H:H,MATCH(Table1[[#This Row],[Milieuprofiel]],'3. Kengetallen (DC-uitdraai)'!D:D,0)),"")</f>
        <v>uur</v>
      </c>
      <c r="O54">
        <f>IFERROR(INDEX('3. Kengetallen (DC-uitdraai)'!I:I,MATCH(Table1[[#This Row],[Milieuprofiel]],'3. Kengetallen (DC-uitdraai)'!D:D,0)),0)</f>
        <v>999</v>
      </c>
      <c r="P54" s="106">
        <f>IFERROR(INDEX('3. Kengetallen (DC-uitdraai)'!P:P,MATCH(Table1[[#This Row],[Milieuprofiel]],'3. Kengetallen (DC-uitdraai)'!D:D,0))*Table1[[#This Row],[Hvd]]*(1+INDEX('3. Kengetallen (DC-uitdraai)'!K:K,MATCH(Table1[[#This Row],[Milieuprofiel]],'3. Kengetallen (DC-uitdraai)'!D:D,0))),0)</f>
        <v>23.506786079980682</v>
      </c>
      <c r="Q54" s="16">
        <f>IFERROR(INDEX('3. Kengetallen (DC-uitdraai)'!U:U,MATCH(Table1[[#This Row],[Milieuprofiel]],'3. Kengetallen (DC-uitdraai)'!D:D,0))*Table1[[#This Row],[Hvd]]*(1+INDEX('3. Kengetallen (DC-uitdraai)'!K:K,MATCH(Table1[[#This Row],[Milieuprofiel]],'3. Kengetallen (DC-uitdraai)'!D:D,0))),0)</f>
        <v>0</v>
      </c>
      <c r="R54" s="16">
        <f>IFERROR(INDEX('3. Kengetallen (DC-uitdraai)'!V:V,MATCH(Table1[[#This Row],[Milieuprofiel]],'3. Kengetallen (DC-uitdraai)'!D:D,0))*Table1[[#This Row],[Hvd]]*(1+INDEX('3. Kengetallen (DC-uitdraai)'!K:K,MATCH(Table1[[#This Row],[Milieuprofiel]],'3. Kengetallen (DC-uitdraai)'!D:D,0))),0)</f>
        <v>23.506786079980682</v>
      </c>
      <c r="S54" s="16">
        <f>IFERROR(INDEX('3. Kengetallen (DC-uitdraai)'!W:W,MATCH(Table1[[#This Row],[Milieuprofiel]],'3. Kengetallen (DC-uitdraai)'!D:D,0))*Table1[[#This Row],[Hvd]]*(1+INDEX('3. Kengetallen (DC-uitdraai)'!K:K,MATCH(Table1[[#This Row],[Milieuprofiel]],'3. Kengetallen (DC-uitdraai)'!D:D,0))),0)</f>
        <v>0</v>
      </c>
      <c r="T54" s="16">
        <f>IFERROR(INDEX('3. Kengetallen (DC-uitdraai)'!X:X,MATCH(Table1[[#This Row],[Milieuprofiel]],'3. Kengetallen (DC-uitdraai)'!D:D,0))*Table1[[#This Row],[Hvd]]*(1+INDEX('3. Kengetallen (DC-uitdraai)'!K:K,MATCH(Table1[[#This Row],[Milieuprofiel]],'3. Kengetallen (DC-uitdraai)'!D:D,0))),0)</f>
        <v>0</v>
      </c>
      <c r="U54" s="111">
        <f>Table1[[#This Row],[Factor]]</f>
        <v>2.5000000000000001E-2</v>
      </c>
      <c r="V54" s="112">
        <f>Table1[[#This Row],[Volume]]*Table1[[#This Row],[omrekenfactor]]</f>
        <v>5.25</v>
      </c>
      <c r="W54" s="43" t="str">
        <f>IFERROR(INDEX('Eigen database'!H:H,MATCH(Table1[[#This Row],[Potentieel alternatief]],'Eigen database'!D:D,0)),"")</f>
        <v>uur</v>
      </c>
      <c r="X54" s="108">
        <f>IFERROR(INDEX('Eigen database'!P:P,MATCH(Table1[[#This Row],[Potentieel alternatief]],'Eigen database'!D:D,0))*Table1[[#This Row],[Hoeveelheid]]*(1+INDEX('Eigen database'!K:K,MATCH(Table1[[#This Row],[Potentieel alternatief]],'Eigen database'!D:D,0))),0)</f>
        <v>8.7675293689647749</v>
      </c>
      <c r="Y54" s="16">
        <f>IF(Table1[[#This Row],[MKI A-D nieuw]]=0,Table1[[#This Row],[MKI A-D]],Table1[[#This Row],[MKI A-D nieuw]])</f>
        <v>8.7675293689647749</v>
      </c>
      <c r="Z54" s="16"/>
      <c r="AA54" s="28">
        <f>IFERROR(INDEX('3. Kengetallen (DC-uitdraai)'!AM:AM,MATCH(Table1[[#This Row],[Milieuprofiel]],'3. Kengetallen (DC-uitdraai)'!C:C,0)),0)*Table1[[#This Row],[Hvd]]</f>
        <v>0</v>
      </c>
      <c r="AB54" s="28">
        <f>IFERROR(INDEX('3. Kengetallen (DC-uitdraai)'!AM:AM,MATCH(Table1[[#This Row],[Potentieel alternatief]],'3. Kengetallen (DC-uitdraai)'!C:C,0)),0)*Table1[[#This Row],[Hvd]]</f>
        <v>0</v>
      </c>
    </row>
    <row r="55" spans="1:28">
      <c r="A55" s="89" t="s">
        <v>188</v>
      </c>
      <c r="B55" s="88" t="s">
        <v>184</v>
      </c>
      <c r="C55" s="42" t="s">
        <v>147</v>
      </c>
      <c r="D55" s="42" t="s">
        <v>186</v>
      </c>
      <c r="E55" t="s">
        <v>187</v>
      </c>
      <c r="F55" t="s">
        <v>97</v>
      </c>
      <c r="G55" t="s">
        <v>105</v>
      </c>
      <c r="H55" t="str">
        <f>IFERROR(INDEX('3. Kengetallen (DC-uitdraai)'!F:F,MATCH(Table1[[#This Row],[Milieuprofiel]],'3. Kengetallen (DC-uitdraai)'!D:D,0)),"")</f>
        <v>Cat.3a</v>
      </c>
      <c r="I55" s="26">
        <v>45</v>
      </c>
      <c r="J55" t="s">
        <v>112</v>
      </c>
      <c r="K55" t="str">
        <f>IF(ISTEXT(Table1[[#This Row],[Milieuprofiel]]),"Ja","Nee")</f>
        <v>Ja</v>
      </c>
      <c r="L55" s="74">
        <v>2.5000000000000001E-2</v>
      </c>
      <c r="M55" s="26">
        <f>Table1[[#This Row],[Volume]]*Table1[[#This Row],[Factor]]</f>
        <v>1.125</v>
      </c>
      <c r="N55" t="str">
        <f>IFERROR(INDEX('3. Kengetallen (DC-uitdraai)'!H:H,MATCH(Table1[[#This Row],[Milieuprofiel]],'3. Kengetallen (DC-uitdraai)'!D:D,0)),"")</f>
        <v>uur</v>
      </c>
      <c r="O55">
        <f>IFERROR(INDEX('3. Kengetallen (DC-uitdraai)'!I:I,MATCH(Table1[[#This Row],[Milieuprofiel]],'3. Kengetallen (DC-uitdraai)'!D:D,0)),0)</f>
        <v>999</v>
      </c>
      <c r="P55" s="106">
        <f>IFERROR(INDEX('3. Kengetallen (DC-uitdraai)'!P:P,MATCH(Table1[[#This Row],[Milieuprofiel]],'3. Kengetallen (DC-uitdraai)'!D:D,0))*Table1[[#This Row],[Hvd]]*(1+INDEX('3. Kengetallen (DC-uitdraai)'!K:K,MATCH(Table1[[#This Row],[Milieuprofiel]],'3. Kengetallen (DC-uitdraai)'!D:D,0))),0)</f>
        <v>5.0371684457101464</v>
      </c>
      <c r="Q55" s="16">
        <f>IFERROR(INDEX('3. Kengetallen (DC-uitdraai)'!U:U,MATCH(Table1[[#This Row],[Milieuprofiel]],'3. Kengetallen (DC-uitdraai)'!D:D,0))*Table1[[#This Row],[Hvd]]*(1+INDEX('3. Kengetallen (DC-uitdraai)'!K:K,MATCH(Table1[[#This Row],[Milieuprofiel]],'3. Kengetallen (DC-uitdraai)'!D:D,0))),0)</f>
        <v>0</v>
      </c>
      <c r="R55" s="16">
        <f>IFERROR(INDEX('3. Kengetallen (DC-uitdraai)'!V:V,MATCH(Table1[[#This Row],[Milieuprofiel]],'3. Kengetallen (DC-uitdraai)'!D:D,0))*Table1[[#This Row],[Hvd]]*(1+INDEX('3. Kengetallen (DC-uitdraai)'!K:K,MATCH(Table1[[#This Row],[Milieuprofiel]],'3. Kengetallen (DC-uitdraai)'!D:D,0))),0)</f>
        <v>5.0371684457101464</v>
      </c>
      <c r="S55" s="16">
        <f>IFERROR(INDEX('3. Kengetallen (DC-uitdraai)'!W:W,MATCH(Table1[[#This Row],[Milieuprofiel]],'3. Kengetallen (DC-uitdraai)'!D:D,0))*Table1[[#This Row],[Hvd]]*(1+INDEX('3. Kengetallen (DC-uitdraai)'!K:K,MATCH(Table1[[#This Row],[Milieuprofiel]],'3. Kengetallen (DC-uitdraai)'!D:D,0))),0)</f>
        <v>0</v>
      </c>
      <c r="T55" s="16">
        <f>IFERROR(INDEX('3. Kengetallen (DC-uitdraai)'!X:X,MATCH(Table1[[#This Row],[Milieuprofiel]],'3. Kengetallen (DC-uitdraai)'!D:D,0))*Table1[[#This Row],[Hvd]]*(1+INDEX('3. Kengetallen (DC-uitdraai)'!K:K,MATCH(Table1[[#This Row],[Milieuprofiel]],'3. Kengetallen (DC-uitdraai)'!D:D,0))),0)</f>
        <v>0</v>
      </c>
      <c r="U55" s="111">
        <f>Table1[[#This Row],[Factor]]</f>
        <v>2.5000000000000001E-2</v>
      </c>
      <c r="V55" s="112">
        <f>Table1[[#This Row],[Volume]]*Table1[[#This Row],[omrekenfactor]]</f>
        <v>1.125</v>
      </c>
      <c r="W55" s="43" t="str">
        <f>IFERROR(INDEX('Eigen database'!H:H,MATCH(Table1[[#This Row],[Potentieel alternatief]],'Eigen database'!D:D,0)),"")</f>
        <v>uur</v>
      </c>
      <c r="X55" s="108">
        <f>IFERROR(INDEX('Eigen database'!P:P,MATCH(Table1[[#This Row],[Potentieel alternatief]],'Eigen database'!D:D,0))*Table1[[#This Row],[Hoeveelheid]]*(1+INDEX('Eigen database'!K:K,MATCH(Table1[[#This Row],[Potentieel alternatief]],'Eigen database'!D:D,0))),0)</f>
        <v>1.8787562933495947</v>
      </c>
      <c r="Y55" s="16">
        <f>IF(Table1[[#This Row],[MKI A-D nieuw]]=0,Table1[[#This Row],[MKI A-D]],Table1[[#This Row],[MKI A-D nieuw]])</f>
        <v>1.8787562933495947</v>
      </c>
      <c r="Z55" s="16"/>
      <c r="AA55" s="28">
        <f>IFERROR(INDEX('3. Kengetallen (DC-uitdraai)'!AM:AM,MATCH(Table1[[#This Row],[Milieuprofiel]],'3. Kengetallen (DC-uitdraai)'!C:C,0)),0)*Table1[[#This Row],[Hvd]]</f>
        <v>0</v>
      </c>
      <c r="AB55" s="28">
        <f>IFERROR(INDEX('3. Kengetallen (DC-uitdraai)'!AM:AM,MATCH(Table1[[#This Row],[Potentieel alternatief]],'3. Kengetallen (DC-uitdraai)'!C:C,0)),0)*Table1[[#This Row],[Hvd]]</f>
        <v>0</v>
      </c>
    </row>
    <row r="56" spans="1:28">
      <c r="A56" s="88" t="s">
        <v>189</v>
      </c>
      <c r="B56" s="88" t="s">
        <v>184</v>
      </c>
      <c r="C56" s="42" t="s">
        <v>147</v>
      </c>
      <c r="D56" s="42" t="s">
        <v>186</v>
      </c>
      <c r="E56" t="s">
        <v>187</v>
      </c>
      <c r="F56" t="s">
        <v>97</v>
      </c>
      <c r="G56" t="s">
        <v>105</v>
      </c>
      <c r="H56" t="str">
        <f>IFERROR(INDEX('3. Kengetallen (DC-uitdraai)'!F:F,MATCH(Table1[[#This Row],[Milieuprofiel]],'3. Kengetallen (DC-uitdraai)'!D:D,0)),"")</f>
        <v>Cat.3a</v>
      </c>
      <c r="I56" s="129">
        <v>2265</v>
      </c>
      <c r="J56" t="s">
        <v>112</v>
      </c>
      <c r="K56" t="str">
        <f>IF(ISTEXT(Table1[[#This Row],[Milieuprofiel]]),"Ja","Nee")</f>
        <v>Ja</v>
      </c>
      <c r="L56" s="74">
        <v>2.5000000000000001E-2</v>
      </c>
      <c r="M56" s="26">
        <f>Table1[[#This Row],[Volume]]*Table1[[#This Row],[Factor]]</f>
        <v>56.625</v>
      </c>
      <c r="N56" t="str">
        <f>IFERROR(INDEX('3. Kengetallen (DC-uitdraai)'!H:H,MATCH(Table1[[#This Row],[Milieuprofiel]],'3. Kengetallen (DC-uitdraai)'!D:D,0)),"")</f>
        <v>uur</v>
      </c>
      <c r="O56">
        <f>IFERROR(INDEX('3. Kengetallen (DC-uitdraai)'!I:I,MATCH(Table1[[#This Row],[Milieuprofiel]],'3. Kengetallen (DC-uitdraai)'!D:D,0)),0)</f>
        <v>999</v>
      </c>
      <c r="P56" s="106">
        <f>IFERROR(INDEX('3. Kengetallen (DC-uitdraai)'!P:P,MATCH(Table1[[#This Row],[Milieuprofiel]],'3. Kengetallen (DC-uitdraai)'!D:D,0))*Table1[[#This Row],[Hvd]]*(1+INDEX('3. Kengetallen (DC-uitdraai)'!K:K,MATCH(Table1[[#This Row],[Milieuprofiel]],'3. Kengetallen (DC-uitdraai)'!D:D,0))),0)</f>
        <v>253.53747843407734</v>
      </c>
      <c r="Q56" s="16">
        <f>IFERROR(INDEX('3. Kengetallen (DC-uitdraai)'!U:U,MATCH(Table1[[#This Row],[Milieuprofiel]],'3. Kengetallen (DC-uitdraai)'!D:D,0))*Table1[[#This Row],[Hvd]]*(1+INDEX('3. Kengetallen (DC-uitdraai)'!K:K,MATCH(Table1[[#This Row],[Milieuprofiel]],'3. Kengetallen (DC-uitdraai)'!D:D,0))),0)</f>
        <v>0</v>
      </c>
      <c r="R56" s="16">
        <f>IFERROR(INDEX('3. Kengetallen (DC-uitdraai)'!V:V,MATCH(Table1[[#This Row],[Milieuprofiel]],'3. Kengetallen (DC-uitdraai)'!D:D,0))*Table1[[#This Row],[Hvd]]*(1+INDEX('3. Kengetallen (DC-uitdraai)'!K:K,MATCH(Table1[[#This Row],[Milieuprofiel]],'3. Kengetallen (DC-uitdraai)'!D:D,0))),0)</f>
        <v>253.53747843407734</v>
      </c>
      <c r="S56" s="16">
        <f>IFERROR(INDEX('3. Kengetallen (DC-uitdraai)'!W:W,MATCH(Table1[[#This Row],[Milieuprofiel]],'3. Kengetallen (DC-uitdraai)'!D:D,0))*Table1[[#This Row],[Hvd]]*(1+INDEX('3. Kengetallen (DC-uitdraai)'!K:K,MATCH(Table1[[#This Row],[Milieuprofiel]],'3. Kengetallen (DC-uitdraai)'!D:D,0))),0)</f>
        <v>0</v>
      </c>
      <c r="T56" s="16">
        <f>IFERROR(INDEX('3. Kengetallen (DC-uitdraai)'!X:X,MATCH(Table1[[#This Row],[Milieuprofiel]],'3. Kengetallen (DC-uitdraai)'!D:D,0))*Table1[[#This Row],[Hvd]]*(1+INDEX('3. Kengetallen (DC-uitdraai)'!K:K,MATCH(Table1[[#This Row],[Milieuprofiel]],'3. Kengetallen (DC-uitdraai)'!D:D,0))),0)</f>
        <v>0</v>
      </c>
      <c r="U56" s="111">
        <f>Table1[[#This Row],[Factor]]</f>
        <v>2.5000000000000001E-2</v>
      </c>
      <c r="V56" s="112">
        <f>Table1[[#This Row],[Volume]]*Table1[[#This Row],[omrekenfactor]]</f>
        <v>56.625</v>
      </c>
      <c r="W56" s="43" t="str">
        <f>IFERROR(INDEX('Eigen database'!H:H,MATCH(Table1[[#This Row],[Potentieel alternatief]],'Eigen database'!D:D,0)),"")</f>
        <v>uur</v>
      </c>
      <c r="X56" s="108">
        <f>IFERROR(INDEX('Eigen database'!P:P,MATCH(Table1[[#This Row],[Potentieel alternatief]],'Eigen database'!D:D,0))*Table1[[#This Row],[Hoeveelheid]]*(1+INDEX('Eigen database'!K:K,MATCH(Table1[[#This Row],[Potentieel alternatief]],'Eigen database'!D:D,0))),0)</f>
        <v>94.564066765262936</v>
      </c>
      <c r="Y56" s="16">
        <f>IF(Table1[[#This Row],[MKI A-D nieuw]]=0,Table1[[#This Row],[MKI A-D]],Table1[[#This Row],[MKI A-D nieuw]])</f>
        <v>94.564066765262936</v>
      </c>
      <c r="Z56" s="16"/>
      <c r="AA56" s="28">
        <f>IFERROR(INDEX('3. Kengetallen (DC-uitdraai)'!AM:AM,MATCH(Table1[[#This Row],[Milieuprofiel]],'3. Kengetallen (DC-uitdraai)'!C:C,0)),0)*Table1[[#This Row],[Hvd]]</f>
        <v>0</v>
      </c>
      <c r="AB56" s="28">
        <f>IFERROR(INDEX('3. Kengetallen (DC-uitdraai)'!AM:AM,MATCH(Table1[[#This Row],[Potentieel alternatief]],'3. Kengetallen (DC-uitdraai)'!C:C,0)),0)*Table1[[#This Row],[Hvd]]</f>
        <v>0</v>
      </c>
    </row>
    <row r="57" spans="1:28">
      <c r="A57" s="89" t="s">
        <v>190</v>
      </c>
      <c r="B57" s="88" t="s">
        <v>184</v>
      </c>
      <c r="C57" s="42" t="s">
        <v>147</v>
      </c>
      <c r="D57" s="42" t="s">
        <v>186</v>
      </c>
      <c r="E57" t="s">
        <v>187</v>
      </c>
      <c r="F57" t="s">
        <v>97</v>
      </c>
      <c r="G57" t="s">
        <v>105</v>
      </c>
      <c r="H57" t="str">
        <f>IFERROR(INDEX('3. Kengetallen (DC-uitdraai)'!F:F,MATCH(Table1[[#This Row],[Milieuprofiel]],'3. Kengetallen (DC-uitdraai)'!D:D,0)),"")</f>
        <v>Cat.3a</v>
      </c>
      <c r="I57" s="129">
        <v>520</v>
      </c>
      <c r="J57" t="s">
        <v>112</v>
      </c>
      <c r="K57" t="str">
        <f>IF(ISTEXT(Table1[[#This Row],[Milieuprofiel]]),"Ja","Nee")</f>
        <v>Ja</v>
      </c>
      <c r="L57" s="74">
        <v>2.5000000000000001E-2</v>
      </c>
      <c r="M57" s="26">
        <f>Table1[[#This Row],[Volume]]*Table1[[#This Row],[Factor]]</f>
        <v>13</v>
      </c>
      <c r="N57" t="str">
        <f>IFERROR(INDEX('3. Kengetallen (DC-uitdraai)'!H:H,MATCH(Table1[[#This Row],[Milieuprofiel]],'3. Kengetallen (DC-uitdraai)'!D:D,0)),"")</f>
        <v>uur</v>
      </c>
      <c r="O57">
        <f>IFERROR(INDEX('3. Kengetallen (DC-uitdraai)'!I:I,MATCH(Table1[[#This Row],[Milieuprofiel]],'3. Kengetallen (DC-uitdraai)'!D:D,0)),0)</f>
        <v>999</v>
      </c>
      <c r="P57" s="106">
        <f>IFERROR(INDEX('3. Kengetallen (DC-uitdraai)'!P:P,MATCH(Table1[[#This Row],[Milieuprofiel]],'3. Kengetallen (DC-uitdraai)'!D:D,0))*Table1[[#This Row],[Hvd]]*(1+INDEX('3. Kengetallen (DC-uitdraai)'!K:K,MATCH(Table1[[#This Row],[Milieuprofiel]],'3. Kengetallen (DC-uitdraai)'!D:D,0))),0)</f>
        <v>58.207279817095021</v>
      </c>
      <c r="Q57" s="16">
        <f>IFERROR(INDEX('3. Kengetallen (DC-uitdraai)'!U:U,MATCH(Table1[[#This Row],[Milieuprofiel]],'3. Kengetallen (DC-uitdraai)'!D:D,0))*Table1[[#This Row],[Hvd]]*(1+INDEX('3. Kengetallen (DC-uitdraai)'!K:K,MATCH(Table1[[#This Row],[Milieuprofiel]],'3. Kengetallen (DC-uitdraai)'!D:D,0))),0)</f>
        <v>0</v>
      </c>
      <c r="R57" s="16">
        <f>IFERROR(INDEX('3. Kengetallen (DC-uitdraai)'!V:V,MATCH(Table1[[#This Row],[Milieuprofiel]],'3. Kengetallen (DC-uitdraai)'!D:D,0))*Table1[[#This Row],[Hvd]]*(1+INDEX('3. Kengetallen (DC-uitdraai)'!K:K,MATCH(Table1[[#This Row],[Milieuprofiel]],'3. Kengetallen (DC-uitdraai)'!D:D,0))),0)</f>
        <v>58.207279817095021</v>
      </c>
      <c r="S57" s="16">
        <f>IFERROR(INDEX('3. Kengetallen (DC-uitdraai)'!W:W,MATCH(Table1[[#This Row],[Milieuprofiel]],'3. Kengetallen (DC-uitdraai)'!D:D,0))*Table1[[#This Row],[Hvd]]*(1+INDEX('3. Kengetallen (DC-uitdraai)'!K:K,MATCH(Table1[[#This Row],[Milieuprofiel]],'3. Kengetallen (DC-uitdraai)'!D:D,0))),0)</f>
        <v>0</v>
      </c>
      <c r="T57" s="16">
        <f>IFERROR(INDEX('3. Kengetallen (DC-uitdraai)'!X:X,MATCH(Table1[[#This Row],[Milieuprofiel]],'3. Kengetallen (DC-uitdraai)'!D:D,0))*Table1[[#This Row],[Hvd]]*(1+INDEX('3. Kengetallen (DC-uitdraai)'!K:K,MATCH(Table1[[#This Row],[Milieuprofiel]],'3. Kengetallen (DC-uitdraai)'!D:D,0))),0)</f>
        <v>0</v>
      </c>
      <c r="U57" s="111">
        <f>Table1[[#This Row],[Factor]]</f>
        <v>2.5000000000000001E-2</v>
      </c>
      <c r="V57" s="112">
        <f>Table1[[#This Row],[Volume]]*Table1[[#This Row],[omrekenfactor]]</f>
        <v>13</v>
      </c>
      <c r="W57" s="43" t="str">
        <f>IFERROR(INDEX('Eigen database'!H:H,MATCH(Table1[[#This Row],[Potentieel alternatief]],'Eigen database'!D:D,0)),"")</f>
        <v>uur</v>
      </c>
      <c r="X57" s="108">
        <f>IFERROR(INDEX('Eigen database'!P:P,MATCH(Table1[[#This Row],[Potentieel alternatief]],'Eigen database'!D:D,0))*Table1[[#This Row],[Hoeveelheid]]*(1+INDEX('Eigen database'!K:K,MATCH(Table1[[#This Row],[Potentieel alternatief]],'Eigen database'!D:D,0))),0)</f>
        <v>21.710072723150873</v>
      </c>
      <c r="Y57" s="16">
        <f>IF(Table1[[#This Row],[MKI A-D nieuw]]=0,Table1[[#This Row],[MKI A-D]],Table1[[#This Row],[MKI A-D nieuw]])</f>
        <v>21.710072723150873</v>
      </c>
      <c r="Z57" s="16"/>
      <c r="AA57" s="28">
        <f>IFERROR(INDEX('3. Kengetallen (DC-uitdraai)'!AM:AM,MATCH(Table1[[#This Row],[Milieuprofiel]],'3. Kengetallen (DC-uitdraai)'!C:C,0)),0)*Table1[[#This Row],[Hvd]]</f>
        <v>0</v>
      </c>
      <c r="AB57" s="28">
        <f>IFERROR(INDEX('3. Kengetallen (DC-uitdraai)'!AM:AM,MATCH(Table1[[#This Row],[Potentieel alternatief]],'3. Kengetallen (DC-uitdraai)'!C:C,0)),0)*Table1[[#This Row],[Hvd]]</f>
        <v>0</v>
      </c>
    </row>
    <row r="58" spans="1:28">
      <c r="A58" s="89" t="s">
        <v>191</v>
      </c>
      <c r="B58" s="88" t="s">
        <v>184</v>
      </c>
      <c r="C58" s="42" t="s">
        <v>147</v>
      </c>
      <c r="D58" s="42" t="s">
        <v>186</v>
      </c>
      <c r="E58" t="s">
        <v>187</v>
      </c>
      <c r="F58" t="s">
        <v>97</v>
      </c>
      <c r="G58" t="s">
        <v>105</v>
      </c>
      <c r="H58" t="str">
        <f>IFERROR(INDEX('3. Kengetallen (DC-uitdraai)'!F:F,MATCH(Table1[[#This Row],[Milieuprofiel]],'3. Kengetallen (DC-uitdraai)'!D:D,0)),"")</f>
        <v>Cat.3a</v>
      </c>
      <c r="I58" s="129">
        <v>560</v>
      </c>
      <c r="J58" t="s">
        <v>112</v>
      </c>
      <c r="K58" t="str">
        <f>IF(ISTEXT(Table1[[#This Row],[Milieuprofiel]]),"Ja","Nee")</f>
        <v>Ja</v>
      </c>
      <c r="L58" s="74">
        <v>2.5000000000000001E-2</v>
      </c>
      <c r="M58" s="26">
        <f>Table1[[#This Row],[Volume]]*Table1[[#This Row],[Factor]]</f>
        <v>14</v>
      </c>
      <c r="N58" t="str">
        <f>IFERROR(INDEX('3. Kengetallen (DC-uitdraai)'!H:H,MATCH(Table1[[#This Row],[Milieuprofiel]],'3. Kengetallen (DC-uitdraai)'!D:D,0)),"")</f>
        <v>uur</v>
      </c>
      <c r="O58">
        <f>IFERROR(INDEX('3. Kengetallen (DC-uitdraai)'!I:I,MATCH(Table1[[#This Row],[Milieuprofiel]],'3. Kengetallen (DC-uitdraai)'!D:D,0)),0)</f>
        <v>999</v>
      </c>
      <c r="P58" s="106">
        <f>IFERROR(INDEX('3. Kengetallen (DC-uitdraai)'!P:P,MATCH(Table1[[#This Row],[Milieuprofiel]],'3. Kengetallen (DC-uitdraai)'!D:D,0))*Table1[[#This Row],[Hvd]]*(1+INDEX('3. Kengetallen (DC-uitdraai)'!K:K,MATCH(Table1[[#This Row],[Milieuprofiel]],'3. Kengetallen (DC-uitdraai)'!D:D,0))),0)</f>
        <v>62.684762879948487</v>
      </c>
      <c r="Q58" s="16">
        <f>IFERROR(INDEX('3. Kengetallen (DC-uitdraai)'!U:U,MATCH(Table1[[#This Row],[Milieuprofiel]],'3. Kengetallen (DC-uitdraai)'!D:D,0))*Table1[[#This Row],[Hvd]]*(1+INDEX('3. Kengetallen (DC-uitdraai)'!K:K,MATCH(Table1[[#This Row],[Milieuprofiel]],'3. Kengetallen (DC-uitdraai)'!D:D,0))),0)</f>
        <v>0</v>
      </c>
      <c r="R58" s="16">
        <f>IFERROR(INDEX('3. Kengetallen (DC-uitdraai)'!V:V,MATCH(Table1[[#This Row],[Milieuprofiel]],'3. Kengetallen (DC-uitdraai)'!D:D,0))*Table1[[#This Row],[Hvd]]*(1+INDEX('3. Kengetallen (DC-uitdraai)'!K:K,MATCH(Table1[[#This Row],[Milieuprofiel]],'3. Kengetallen (DC-uitdraai)'!D:D,0))),0)</f>
        <v>62.684762879948487</v>
      </c>
      <c r="S58" s="16">
        <f>IFERROR(INDEX('3. Kengetallen (DC-uitdraai)'!W:W,MATCH(Table1[[#This Row],[Milieuprofiel]],'3. Kengetallen (DC-uitdraai)'!D:D,0))*Table1[[#This Row],[Hvd]]*(1+INDEX('3. Kengetallen (DC-uitdraai)'!K:K,MATCH(Table1[[#This Row],[Milieuprofiel]],'3. Kengetallen (DC-uitdraai)'!D:D,0))),0)</f>
        <v>0</v>
      </c>
      <c r="T58" s="16">
        <f>IFERROR(INDEX('3. Kengetallen (DC-uitdraai)'!X:X,MATCH(Table1[[#This Row],[Milieuprofiel]],'3. Kengetallen (DC-uitdraai)'!D:D,0))*Table1[[#This Row],[Hvd]]*(1+INDEX('3. Kengetallen (DC-uitdraai)'!K:K,MATCH(Table1[[#This Row],[Milieuprofiel]],'3. Kengetallen (DC-uitdraai)'!D:D,0))),0)</f>
        <v>0</v>
      </c>
      <c r="U58" s="111">
        <f>Table1[[#This Row],[Factor]]</f>
        <v>2.5000000000000001E-2</v>
      </c>
      <c r="V58" s="112">
        <f>Table1[[#This Row],[Volume]]*Table1[[#This Row],[omrekenfactor]]</f>
        <v>14</v>
      </c>
      <c r="W58" s="43" t="str">
        <f>IFERROR(INDEX('Eigen database'!H:H,MATCH(Table1[[#This Row],[Potentieel alternatief]],'Eigen database'!D:D,0)),"")</f>
        <v>uur</v>
      </c>
      <c r="X58" s="108">
        <f>IFERROR(INDEX('Eigen database'!P:P,MATCH(Table1[[#This Row],[Potentieel alternatief]],'Eigen database'!D:D,0))*Table1[[#This Row],[Hoeveelheid]]*(1+INDEX('Eigen database'!K:K,MATCH(Table1[[#This Row],[Potentieel alternatief]],'Eigen database'!D:D,0))),0)</f>
        <v>23.380078317239398</v>
      </c>
      <c r="Y58" s="16">
        <f>IF(Table1[[#This Row],[MKI A-D nieuw]]=0,Table1[[#This Row],[MKI A-D]],Table1[[#This Row],[MKI A-D nieuw]])</f>
        <v>23.380078317239398</v>
      </c>
      <c r="Z58" s="16"/>
      <c r="AA58" s="28">
        <f>IFERROR(INDEX('3. Kengetallen (DC-uitdraai)'!AM:AM,MATCH(Table1[[#This Row],[Milieuprofiel]],'3. Kengetallen (DC-uitdraai)'!C:C,0)),0)*Table1[[#This Row],[Hvd]]</f>
        <v>0</v>
      </c>
      <c r="AB58" s="28">
        <f>IFERROR(INDEX('3. Kengetallen (DC-uitdraai)'!AM:AM,MATCH(Table1[[#This Row],[Potentieel alternatief]],'3. Kengetallen (DC-uitdraai)'!C:C,0)),0)*Table1[[#This Row],[Hvd]]</f>
        <v>0</v>
      </c>
    </row>
    <row r="59" spans="1:28">
      <c r="A59" s="88" t="s">
        <v>192</v>
      </c>
      <c r="B59" s="88" t="s">
        <v>184</v>
      </c>
      <c r="C59" s="42" t="s">
        <v>147</v>
      </c>
      <c r="D59" s="42" t="s">
        <v>186</v>
      </c>
      <c r="E59" t="s">
        <v>187</v>
      </c>
      <c r="F59" t="s">
        <v>97</v>
      </c>
      <c r="G59" t="s">
        <v>105</v>
      </c>
      <c r="H59" t="str">
        <f>IFERROR(INDEX('3. Kengetallen (DC-uitdraai)'!F:F,MATCH(Table1[[#This Row],[Milieuprofiel]],'3. Kengetallen (DC-uitdraai)'!D:D,0)),"")</f>
        <v>Cat.3a</v>
      </c>
      <c r="I59" s="26">
        <v>2560</v>
      </c>
      <c r="J59" t="s">
        <v>112</v>
      </c>
      <c r="K59" t="str">
        <f>IF(ISTEXT(Table1[[#This Row],[Milieuprofiel]]),"Ja","Nee")</f>
        <v>Ja</v>
      </c>
      <c r="L59" s="74">
        <v>2.5000000000000001E-2</v>
      </c>
      <c r="M59" s="26">
        <f>Table1[[#This Row],[Volume]]*Table1[[#This Row],[Factor]]</f>
        <v>64</v>
      </c>
      <c r="N59" t="str">
        <f>IFERROR(INDEX('3. Kengetallen (DC-uitdraai)'!H:H,MATCH(Table1[[#This Row],[Milieuprofiel]],'3. Kengetallen (DC-uitdraai)'!D:D,0)),"")</f>
        <v>uur</v>
      </c>
      <c r="O59">
        <f>IFERROR(INDEX('3. Kengetallen (DC-uitdraai)'!I:I,MATCH(Table1[[#This Row],[Milieuprofiel]],'3. Kengetallen (DC-uitdraai)'!D:D,0)),0)</f>
        <v>999</v>
      </c>
      <c r="P59" s="106">
        <f>IFERROR(INDEX('3. Kengetallen (DC-uitdraai)'!P:P,MATCH(Table1[[#This Row],[Milieuprofiel]],'3. Kengetallen (DC-uitdraai)'!D:D,0))*Table1[[#This Row],[Hvd]]*(1+INDEX('3. Kengetallen (DC-uitdraai)'!K:K,MATCH(Table1[[#This Row],[Milieuprofiel]],'3. Kengetallen (DC-uitdraai)'!D:D,0))),0)</f>
        <v>286.55891602262164</v>
      </c>
      <c r="Q59" s="16">
        <f>IFERROR(INDEX('3. Kengetallen (DC-uitdraai)'!U:U,MATCH(Table1[[#This Row],[Milieuprofiel]],'3. Kengetallen (DC-uitdraai)'!D:D,0))*Table1[[#This Row],[Hvd]]*(1+INDEX('3. Kengetallen (DC-uitdraai)'!K:K,MATCH(Table1[[#This Row],[Milieuprofiel]],'3. Kengetallen (DC-uitdraai)'!D:D,0))),0)</f>
        <v>0</v>
      </c>
      <c r="R59" s="16">
        <f>IFERROR(INDEX('3. Kengetallen (DC-uitdraai)'!V:V,MATCH(Table1[[#This Row],[Milieuprofiel]],'3. Kengetallen (DC-uitdraai)'!D:D,0))*Table1[[#This Row],[Hvd]]*(1+INDEX('3. Kengetallen (DC-uitdraai)'!K:K,MATCH(Table1[[#This Row],[Milieuprofiel]],'3. Kengetallen (DC-uitdraai)'!D:D,0))),0)</f>
        <v>286.55891602262164</v>
      </c>
      <c r="S59" s="16">
        <f>IFERROR(INDEX('3. Kengetallen (DC-uitdraai)'!W:W,MATCH(Table1[[#This Row],[Milieuprofiel]],'3. Kengetallen (DC-uitdraai)'!D:D,0))*Table1[[#This Row],[Hvd]]*(1+INDEX('3. Kengetallen (DC-uitdraai)'!K:K,MATCH(Table1[[#This Row],[Milieuprofiel]],'3. Kengetallen (DC-uitdraai)'!D:D,0))),0)</f>
        <v>0</v>
      </c>
      <c r="T59" s="16">
        <f>IFERROR(INDEX('3. Kengetallen (DC-uitdraai)'!X:X,MATCH(Table1[[#This Row],[Milieuprofiel]],'3. Kengetallen (DC-uitdraai)'!D:D,0))*Table1[[#This Row],[Hvd]]*(1+INDEX('3. Kengetallen (DC-uitdraai)'!K:K,MATCH(Table1[[#This Row],[Milieuprofiel]],'3. Kengetallen (DC-uitdraai)'!D:D,0))),0)</f>
        <v>0</v>
      </c>
      <c r="U59" s="111">
        <f>Table1[[#This Row],[Factor]]</f>
        <v>2.5000000000000001E-2</v>
      </c>
      <c r="V59" s="112">
        <f>Table1[[#This Row],[Volume]]*Table1[[#This Row],[omrekenfactor]]</f>
        <v>64</v>
      </c>
      <c r="W59" s="43" t="str">
        <f>IFERROR(INDEX('Eigen database'!H:H,MATCH(Table1[[#This Row],[Potentieel alternatief]],'Eigen database'!D:D,0)),"")</f>
        <v>uur</v>
      </c>
      <c r="X59" s="108">
        <f>IFERROR(INDEX('Eigen database'!P:P,MATCH(Table1[[#This Row],[Potentieel alternatief]],'Eigen database'!D:D,0))*Table1[[#This Row],[Hoeveelheid]]*(1+INDEX('Eigen database'!K:K,MATCH(Table1[[#This Row],[Potentieel alternatief]],'Eigen database'!D:D,0))),0)</f>
        <v>106.88035802166583</v>
      </c>
      <c r="Y59" s="16">
        <f>IF(Table1[[#This Row],[MKI A-D nieuw]]=0,Table1[[#This Row],[MKI A-D]],Table1[[#This Row],[MKI A-D nieuw]])</f>
        <v>106.88035802166583</v>
      </c>
      <c r="Z59" s="16"/>
      <c r="AA59" s="28">
        <f>IFERROR(INDEX('3. Kengetallen (DC-uitdraai)'!AM:AM,MATCH(Table1[[#This Row],[Milieuprofiel]],'3. Kengetallen (DC-uitdraai)'!C:C,0)),0)*Table1[[#This Row],[Hvd]]</f>
        <v>0</v>
      </c>
      <c r="AB59" s="28">
        <f>IFERROR(INDEX('3. Kengetallen (DC-uitdraai)'!AM:AM,MATCH(Table1[[#This Row],[Potentieel alternatief]],'3. Kengetallen (DC-uitdraai)'!C:C,0)),0)*Table1[[#This Row],[Hvd]]</f>
        <v>0</v>
      </c>
    </row>
    <row r="60" spans="1:28">
      <c r="A60" s="89" t="s">
        <v>193</v>
      </c>
      <c r="B60" s="88" t="s">
        <v>184</v>
      </c>
      <c r="C60" s="42" t="s">
        <v>147</v>
      </c>
      <c r="D60" s="42" t="s">
        <v>186</v>
      </c>
      <c r="E60" t="s">
        <v>187</v>
      </c>
      <c r="F60" t="s">
        <v>97</v>
      </c>
      <c r="G60" t="s">
        <v>105</v>
      </c>
      <c r="H60" t="str">
        <f>IFERROR(INDEX('3. Kengetallen (DC-uitdraai)'!F:F,MATCH(Table1[[#This Row],[Milieuprofiel]],'3. Kengetallen (DC-uitdraai)'!D:D,0)),"")</f>
        <v>Cat.3a</v>
      </c>
      <c r="I60" s="26">
        <v>520</v>
      </c>
      <c r="J60" t="s">
        <v>112</v>
      </c>
      <c r="K60" t="str">
        <f>IF(ISTEXT(Table1[[#This Row],[Milieuprofiel]]),"Ja","Nee")</f>
        <v>Ja</v>
      </c>
      <c r="L60" s="74">
        <v>2.5000000000000001E-2</v>
      </c>
      <c r="M60" s="26">
        <f>Table1[[#This Row],[Volume]]*Table1[[#This Row],[Factor]]</f>
        <v>13</v>
      </c>
      <c r="N60" t="str">
        <f>IFERROR(INDEX('3. Kengetallen (DC-uitdraai)'!H:H,MATCH(Table1[[#This Row],[Milieuprofiel]],'3. Kengetallen (DC-uitdraai)'!D:D,0)),"")</f>
        <v>uur</v>
      </c>
      <c r="O60">
        <f>IFERROR(INDEX('3. Kengetallen (DC-uitdraai)'!I:I,MATCH(Table1[[#This Row],[Milieuprofiel]],'3. Kengetallen (DC-uitdraai)'!D:D,0)),0)</f>
        <v>999</v>
      </c>
      <c r="P60" s="106">
        <f>IFERROR(INDEX('3. Kengetallen (DC-uitdraai)'!P:P,MATCH(Table1[[#This Row],[Milieuprofiel]],'3. Kengetallen (DC-uitdraai)'!D:D,0))*Table1[[#This Row],[Hvd]]*(1+INDEX('3. Kengetallen (DC-uitdraai)'!K:K,MATCH(Table1[[#This Row],[Milieuprofiel]],'3. Kengetallen (DC-uitdraai)'!D:D,0))),0)</f>
        <v>58.207279817095021</v>
      </c>
      <c r="Q60" s="16">
        <f>IFERROR(INDEX('3. Kengetallen (DC-uitdraai)'!U:U,MATCH(Table1[[#This Row],[Milieuprofiel]],'3. Kengetallen (DC-uitdraai)'!D:D,0))*Table1[[#This Row],[Hvd]]*(1+INDEX('3. Kengetallen (DC-uitdraai)'!K:K,MATCH(Table1[[#This Row],[Milieuprofiel]],'3. Kengetallen (DC-uitdraai)'!D:D,0))),0)</f>
        <v>0</v>
      </c>
      <c r="R60" s="16">
        <f>IFERROR(INDEX('3. Kengetallen (DC-uitdraai)'!V:V,MATCH(Table1[[#This Row],[Milieuprofiel]],'3. Kengetallen (DC-uitdraai)'!D:D,0))*Table1[[#This Row],[Hvd]]*(1+INDEX('3. Kengetallen (DC-uitdraai)'!K:K,MATCH(Table1[[#This Row],[Milieuprofiel]],'3. Kengetallen (DC-uitdraai)'!D:D,0))),0)</f>
        <v>58.207279817095021</v>
      </c>
      <c r="S60" s="16">
        <f>IFERROR(INDEX('3. Kengetallen (DC-uitdraai)'!W:W,MATCH(Table1[[#This Row],[Milieuprofiel]],'3. Kengetallen (DC-uitdraai)'!D:D,0))*Table1[[#This Row],[Hvd]]*(1+INDEX('3. Kengetallen (DC-uitdraai)'!K:K,MATCH(Table1[[#This Row],[Milieuprofiel]],'3. Kengetallen (DC-uitdraai)'!D:D,0))),0)</f>
        <v>0</v>
      </c>
      <c r="T60" s="16">
        <f>IFERROR(INDEX('3. Kengetallen (DC-uitdraai)'!X:X,MATCH(Table1[[#This Row],[Milieuprofiel]],'3. Kengetallen (DC-uitdraai)'!D:D,0))*Table1[[#This Row],[Hvd]]*(1+INDEX('3. Kengetallen (DC-uitdraai)'!K:K,MATCH(Table1[[#This Row],[Milieuprofiel]],'3. Kengetallen (DC-uitdraai)'!D:D,0))),0)</f>
        <v>0</v>
      </c>
      <c r="U60" s="111">
        <f>Table1[[#This Row],[Factor]]</f>
        <v>2.5000000000000001E-2</v>
      </c>
      <c r="V60" s="112">
        <f>Table1[[#This Row],[Volume]]*Table1[[#This Row],[omrekenfactor]]</f>
        <v>13</v>
      </c>
      <c r="W60" s="43" t="str">
        <f>IFERROR(INDEX('Eigen database'!H:H,MATCH(Table1[[#This Row],[Potentieel alternatief]],'Eigen database'!D:D,0)),"")</f>
        <v>uur</v>
      </c>
      <c r="X60" s="108">
        <f>IFERROR(INDEX('Eigen database'!P:P,MATCH(Table1[[#This Row],[Potentieel alternatief]],'Eigen database'!D:D,0))*Table1[[#This Row],[Hoeveelheid]]*(1+INDEX('Eigen database'!K:K,MATCH(Table1[[#This Row],[Potentieel alternatief]],'Eigen database'!D:D,0))),0)</f>
        <v>21.710072723150873</v>
      </c>
      <c r="Y60" s="16">
        <f>IF(Table1[[#This Row],[MKI A-D nieuw]]=0,Table1[[#This Row],[MKI A-D]],Table1[[#This Row],[MKI A-D nieuw]])</f>
        <v>21.710072723150873</v>
      </c>
      <c r="Z60" s="16"/>
      <c r="AA60" s="28">
        <f>IFERROR(INDEX('3. Kengetallen (DC-uitdraai)'!AM:AM,MATCH(Table1[[#This Row],[Milieuprofiel]],'3. Kengetallen (DC-uitdraai)'!C:C,0)),0)*Table1[[#This Row],[Hvd]]</f>
        <v>0</v>
      </c>
      <c r="AB60" s="28">
        <f>IFERROR(INDEX('3. Kengetallen (DC-uitdraai)'!AM:AM,MATCH(Table1[[#This Row],[Potentieel alternatief]],'3. Kengetallen (DC-uitdraai)'!C:C,0)),0)*Table1[[#This Row],[Hvd]]</f>
        <v>0</v>
      </c>
    </row>
    <row r="61" spans="1:28">
      <c r="A61" s="88" t="s">
        <v>194</v>
      </c>
      <c r="B61" s="88" t="s">
        <v>184</v>
      </c>
      <c r="C61" s="42" t="s">
        <v>147</v>
      </c>
      <c r="D61" s="42" t="s">
        <v>186</v>
      </c>
      <c r="E61" t="s">
        <v>187</v>
      </c>
      <c r="F61" t="s">
        <v>97</v>
      </c>
      <c r="G61" t="s">
        <v>105</v>
      </c>
      <c r="H61" t="str">
        <f>IFERROR(INDEX('3. Kengetallen (DC-uitdraai)'!F:F,MATCH(Table1[[#This Row],[Milieuprofiel]],'3. Kengetallen (DC-uitdraai)'!D:D,0)),"")</f>
        <v>Cat.3a</v>
      </c>
      <c r="I61" s="26">
        <v>280</v>
      </c>
      <c r="J61" t="s">
        <v>112</v>
      </c>
      <c r="K61" t="str">
        <f>IF(ISTEXT(Table1[[#This Row],[Milieuprofiel]]),"Ja","Nee")</f>
        <v>Ja</v>
      </c>
      <c r="L61" s="74">
        <v>2.5000000000000001E-2</v>
      </c>
      <c r="M61" s="26">
        <f>Table1[[#This Row],[Volume]]*Table1[[#This Row],[Factor]]</f>
        <v>7</v>
      </c>
      <c r="N61" t="str">
        <f>IFERROR(INDEX('3. Kengetallen (DC-uitdraai)'!H:H,MATCH(Table1[[#This Row],[Milieuprofiel]],'3. Kengetallen (DC-uitdraai)'!D:D,0)),"")</f>
        <v>uur</v>
      </c>
      <c r="O61">
        <f>IFERROR(INDEX('3. Kengetallen (DC-uitdraai)'!I:I,MATCH(Table1[[#This Row],[Milieuprofiel]],'3. Kengetallen (DC-uitdraai)'!D:D,0)),0)</f>
        <v>999</v>
      </c>
      <c r="P61" s="106">
        <f>IFERROR(INDEX('3. Kengetallen (DC-uitdraai)'!P:P,MATCH(Table1[[#This Row],[Milieuprofiel]],'3. Kengetallen (DC-uitdraai)'!D:D,0))*Table1[[#This Row],[Hvd]]*(1+INDEX('3. Kengetallen (DC-uitdraai)'!K:K,MATCH(Table1[[#This Row],[Milieuprofiel]],'3. Kengetallen (DC-uitdraai)'!D:D,0))),0)</f>
        <v>31.342381439974243</v>
      </c>
      <c r="Q61" s="16">
        <f>IFERROR(INDEX('3. Kengetallen (DC-uitdraai)'!U:U,MATCH(Table1[[#This Row],[Milieuprofiel]],'3. Kengetallen (DC-uitdraai)'!D:D,0))*Table1[[#This Row],[Hvd]]*(1+INDEX('3. Kengetallen (DC-uitdraai)'!K:K,MATCH(Table1[[#This Row],[Milieuprofiel]],'3. Kengetallen (DC-uitdraai)'!D:D,0))),0)</f>
        <v>0</v>
      </c>
      <c r="R61" s="16">
        <f>IFERROR(INDEX('3. Kengetallen (DC-uitdraai)'!V:V,MATCH(Table1[[#This Row],[Milieuprofiel]],'3. Kengetallen (DC-uitdraai)'!D:D,0))*Table1[[#This Row],[Hvd]]*(1+INDEX('3. Kengetallen (DC-uitdraai)'!K:K,MATCH(Table1[[#This Row],[Milieuprofiel]],'3. Kengetallen (DC-uitdraai)'!D:D,0))),0)</f>
        <v>31.342381439974243</v>
      </c>
      <c r="S61" s="16">
        <f>IFERROR(INDEX('3. Kengetallen (DC-uitdraai)'!W:W,MATCH(Table1[[#This Row],[Milieuprofiel]],'3. Kengetallen (DC-uitdraai)'!D:D,0))*Table1[[#This Row],[Hvd]]*(1+INDEX('3. Kengetallen (DC-uitdraai)'!K:K,MATCH(Table1[[#This Row],[Milieuprofiel]],'3. Kengetallen (DC-uitdraai)'!D:D,0))),0)</f>
        <v>0</v>
      </c>
      <c r="T61" s="16">
        <f>IFERROR(INDEX('3. Kengetallen (DC-uitdraai)'!X:X,MATCH(Table1[[#This Row],[Milieuprofiel]],'3. Kengetallen (DC-uitdraai)'!D:D,0))*Table1[[#This Row],[Hvd]]*(1+INDEX('3. Kengetallen (DC-uitdraai)'!K:K,MATCH(Table1[[#This Row],[Milieuprofiel]],'3. Kengetallen (DC-uitdraai)'!D:D,0))),0)</f>
        <v>0</v>
      </c>
      <c r="U61" s="111">
        <f>Table1[[#This Row],[Factor]]</f>
        <v>2.5000000000000001E-2</v>
      </c>
      <c r="V61" s="112">
        <f>Table1[[#This Row],[Volume]]*Table1[[#This Row],[omrekenfactor]]</f>
        <v>7</v>
      </c>
      <c r="W61" s="43" t="str">
        <f>IFERROR(INDEX('Eigen database'!H:H,MATCH(Table1[[#This Row],[Potentieel alternatief]],'Eigen database'!D:D,0)),"")</f>
        <v>uur</v>
      </c>
      <c r="X61" s="108">
        <f>IFERROR(INDEX('Eigen database'!P:P,MATCH(Table1[[#This Row],[Potentieel alternatief]],'Eigen database'!D:D,0))*Table1[[#This Row],[Hoeveelheid]]*(1+INDEX('Eigen database'!K:K,MATCH(Table1[[#This Row],[Potentieel alternatief]],'Eigen database'!D:D,0))),0)</f>
        <v>11.690039158619699</v>
      </c>
      <c r="Y61" s="16">
        <f>IF(Table1[[#This Row],[MKI A-D nieuw]]=0,Table1[[#This Row],[MKI A-D]],Table1[[#This Row],[MKI A-D nieuw]])</f>
        <v>11.690039158619699</v>
      </c>
      <c r="Z61" s="16"/>
      <c r="AA61" s="28">
        <f>IFERROR(INDEX('3. Kengetallen (DC-uitdraai)'!AM:AM,MATCH(Table1[[#This Row],[Milieuprofiel]],'3. Kengetallen (DC-uitdraai)'!C:C,0)),0)*Table1[[#This Row],[Hvd]]</f>
        <v>0</v>
      </c>
      <c r="AB61" s="28">
        <f>IFERROR(INDEX('3. Kengetallen (DC-uitdraai)'!AM:AM,MATCH(Table1[[#This Row],[Potentieel alternatief]],'3. Kengetallen (DC-uitdraai)'!C:C,0)),0)*Table1[[#This Row],[Hvd]]</f>
        <v>0</v>
      </c>
    </row>
    <row r="62" spans="1:28">
      <c r="A62" s="89" t="s">
        <v>195</v>
      </c>
      <c r="B62" s="88" t="s">
        <v>184</v>
      </c>
      <c r="C62" s="42" t="s">
        <v>147</v>
      </c>
      <c r="D62" s="42" t="s">
        <v>186</v>
      </c>
      <c r="E62" t="s">
        <v>187</v>
      </c>
      <c r="F62" t="s">
        <v>97</v>
      </c>
      <c r="G62" t="s">
        <v>105</v>
      </c>
      <c r="H62" t="str">
        <f>IFERROR(INDEX('3. Kengetallen (DC-uitdraai)'!F:F,MATCH(Table1[[#This Row],[Milieuprofiel]],'3. Kengetallen (DC-uitdraai)'!D:D,0)),"")</f>
        <v>Cat.3a</v>
      </c>
      <c r="I62" s="26">
        <v>250</v>
      </c>
      <c r="J62" t="s">
        <v>112</v>
      </c>
      <c r="K62" t="str">
        <f>IF(ISTEXT(Table1[[#This Row],[Milieuprofiel]]),"Ja","Nee")</f>
        <v>Ja</v>
      </c>
      <c r="L62" s="74">
        <v>2.5000000000000001E-2</v>
      </c>
      <c r="M62" s="26">
        <f>Table1[[#This Row],[Volume]]*Table1[[#This Row],[Factor]]</f>
        <v>6.25</v>
      </c>
      <c r="N62" t="str">
        <f>IFERROR(INDEX('3. Kengetallen (DC-uitdraai)'!H:H,MATCH(Table1[[#This Row],[Milieuprofiel]],'3. Kengetallen (DC-uitdraai)'!D:D,0)),"")</f>
        <v>uur</v>
      </c>
      <c r="O62">
        <f>IFERROR(INDEX('3. Kengetallen (DC-uitdraai)'!I:I,MATCH(Table1[[#This Row],[Milieuprofiel]],'3. Kengetallen (DC-uitdraai)'!D:D,0)),0)</f>
        <v>999</v>
      </c>
      <c r="P62" s="106">
        <f>IFERROR(INDEX('3. Kengetallen (DC-uitdraai)'!P:P,MATCH(Table1[[#This Row],[Milieuprofiel]],'3. Kengetallen (DC-uitdraai)'!D:D,0))*Table1[[#This Row],[Hvd]]*(1+INDEX('3. Kengetallen (DC-uitdraai)'!K:K,MATCH(Table1[[#This Row],[Milieuprofiel]],'3. Kengetallen (DC-uitdraai)'!D:D,0))),0)</f>
        <v>27.984269142834144</v>
      </c>
      <c r="Q62" s="16">
        <f>IFERROR(INDEX('3. Kengetallen (DC-uitdraai)'!U:U,MATCH(Table1[[#This Row],[Milieuprofiel]],'3. Kengetallen (DC-uitdraai)'!D:D,0))*Table1[[#This Row],[Hvd]]*(1+INDEX('3. Kengetallen (DC-uitdraai)'!K:K,MATCH(Table1[[#This Row],[Milieuprofiel]],'3. Kengetallen (DC-uitdraai)'!D:D,0))),0)</f>
        <v>0</v>
      </c>
      <c r="R62" s="16">
        <f>IFERROR(INDEX('3. Kengetallen (DC-uitdraai)'!V:V,MATCH(Table1[[#This Row],[Milieuprofiel]],'3. Kengetallen (DC-uitdraai)'!D:D,0))*Table1[[#This Row],[Hvd]]*(1+INDEX('3. Kengetallen (DC-uitdraai)'!K:K,MATCH(Table1[[#This Row],[Milieuprofiel]],'3. Kengetallen (DC-uitdraai)'!D:D,0))),0)</f>
        <v>27.984269142834144</v>
      </c>
      <c r="S62" s="16">
        <f>IFERROR(INDEX('3. Kengetallen (DC-uitdraai)'!W:W,MATCH(Table1[[#This Row],[Milieuprofiel]],'3. Kengetallen (DC-uitdraai)'!D:D,0))*Table1[[#This Row],[Hvd]]*(1+INDEX('3. Kengetallen (DC-uitdraai)'!K:K,MATCH(Table1[[#This Row],[Milieuprofiel]],'3. Kengetallen (DC-uitdraai)'!D:D,0))),0)</f>
        <v>0</v>
      </c>
      <c r="T62" s="16">
        <f>IFERROR(INDEX('3. Kengetallen (DC-uitdraai)'!X:X,MATCH(Table1[[#This Row],[Milieuprofiel]],'3. Kengetallen (DC-uitdraai)'!D:D,0))*Table1[[#This Row],[Hvd]]*(1+INDEX('3. Kengetallen (DC-uitdraai)'!K:K,MATCH(Table1[[#This Row],[Milieuprofiel]],'3. Kengetallen (DC-uitdraai)'!D:D,0))),0)</f>
        <v>0</v>
      </c>
      <c r="U62" s="111">
        <f>Table1[[#This Row],[Factor]]</f>
        <v>2.5000000000000001E-2</v>
      </c>
      <c r="V62" s="112">
        <f>Table1[[#This Row],[Volume]]*Table1[[#This Row],[omrekenfactor]]</f>
        <v>6.25</v>
      </c>
      <c r="W62" s="43" t="str">
        <f>IFERROR(INDEX('Eigen database'!H:H,MATCH(Table1[[#This Row],[Potentieel alternatief]],'Eigen database'!D:D,0)),"")</f>
        <v>uur</v>
      </c>
      <c r="X62" s="108">
        <f>IFERROR(INDEX('Eigen database'!P:P,MATCH(Table1[[#This Row],[Potentieel alternatief]],'Eigen database'!D:D,0))*Table1[[#This Row],[Hoeveelheid]]*(1+INDEX('Eigen database'!K:K,MATCH(Table1[[#This Row],[Potentieel alternatief]],'Eigen database'!D:D,0))),0)</f>
        <v>10.437534963053304</v>
      </c>
      <c r="Y62" s="16">
        <f>IF(Table1[[#This Row],[MKI A-D nieuw]]=0,Table1[[#This Row],[MKI A-D]],Table1[[#This Row],[MKI A-D nieuw]])</f>
        <v>10.437534963053304</v>
      </c>
      <c r="Z62" s="16"/>
      <c r="AA62" s="28">
        <f>IFERROR(INDEX('3. Kengetallen (DC-uitdraai)'!AM:AM,MATCH(Table1[[#This Row],[Milieuprofiel]],'3. Kengetallen (DC-uitdraai)'!C:C,0)),0)*Table1[[#This Row],[Hvd]]</f>
        <v>0</v>
      </c>
      <c r="AB62" s="28">
        <f>IFERROR(INDEX('3. Kengetallen (DC-uitdraai)'!AM:AM,MATCH(Table1[[#This Row],[Potentieel alternatief]],'3. Kengetallen (DC-uitdraai)'!C:C,0)),0)*Table1[[#This Row],[Hvd]]</f>
        <v>0</v>
      </c>
    </row>
    <row r="63" spans="1:28">
      <c r="A63" s="88" t="s">
        <v>196</v>
      </c>
      <c r="B63" s="88" t="s">
        <v>184</v>
      </c>
      <c r="C63" s="42" t="s">
        <v>147</v>
      </c>
      <c r="D63" s="42" t="s">
        <v>186</v>
      </c>
      <c r="E63" t="s">
        <v>197</v>
      </c>
      <c r="F63" t="s">
        <v>97</v>
      </c>
      <c r="G63" t="s">
        <v>105</v>
      </c>
      <c r="H63" t="str">
        <f>IFERROR(INDEX('3. Kengetallen (DC-uitdraai)'!F:F,MATCH(Table1[[#This Row],[Milieuprofiel]],'3. Kengetallen (DC-uitdraai)'!D:D,0)),"")</f>
        <v>Cat.3a</v>
      </c>
      <c r="I63" s="129">
        <v>8500</v>
      </c>
      <c r="J63" t="s">
        <v>112</v>
      </c>
      <c r="K63" t="str">
        <f>IF(ISTEXT(Table1[[#This Row],[Milieuprofiel]]),"Ja","Nee")</f>
        <v>Ja</v>
      </c>
      <c r="L63" s="74">
        <v>2.5000000000000001E-2</v>
      </c>
      <c r="M63" s="26">
        <f>Table1[[#This Row],[Volume]]*Table1[[#This Row],[Factor]]</f>
        <v>212.5</v>
      </c>
      <c r="N63" t="str">
        <f>IFERROR(INDEX('3. Kengetallen (DC-uitdraai)'!H:H,MATCH(Table1[[#This Row],[Milieuprofiel]],'3. Kengetallen (DC-uitdraai)'!D:D,0)),"")</f>
        <v>uur</v>
      </c>
      <c r="O63">
        <f>IFERROR(INDEX('3. Kengetallen (DC-uitdraai)'!I:I,MATCH(Table1[[#This Row],[Milieuprofiel]],'3. Kengetallen (DC-uitdraai)'!D:D,0)),0)</f>
        <v>999</v>
      </c>
      <c r="P63" s="106">
        <f>IFERROR(INDEX('3. Kengetallen (DC-uitdraai)'!P:P,MATCH(Table1[[#This Row],[Milieuprofiel]],'3. Kengetallen (DC-uitdraai)'!D:D,0))*Table1[[#This Row],[Hvd]]*(1+INDEX('3. Kengetallen (DC-uitdraai)'!K:K,MATCH(Table1[[#This Row],[Milieuprofiel]],'3. Kengetallen (DC-uitdraai)'!D:D,0))),0)</f>
        <v>951.46515085636088</v>
      </c>
      <c r="Q63" s="16">
        <f>IFERROR(INDEX('3. Kengetallen (DC-uitdraai)'!U:U,MATCH(Table1[[#This Row],[Milieuprofiel]],'3. Kengetallen (DC-uitdraai)'!D:D,0))*Table1[[#This Row],[Hvd]]*(1+INDEX('3. Kengetallen (DC-uitdraai)'!K:K,MATCH(Table1[[#This Row],[Milieuprofiel]],'3. Kengetallen (DC-uitdraai)'!D:D,0))),0)</f>
        <v>0</v>
      </c>
      <c r="R63" s="16">
        <f>IFERROR(INDEX('3. Kengetallen (DC-uitdraai)'!V:V,MATCH(Table1[[#This Row],[Milieuprofiel]],'3. Kengetallen (DC-uitdraai)'!D:D,0))*Table1[[#This Row],[Hvd]]*(1+INDEX('3. Kengetallen (DC-uitdraai)'!K:K,MATCH(Table1[[#This Row],[Milieuprofiel]],'3. Kengetallen (DC-uitdraai)'!D:D,0))),0)</f>
        <v>951.46515085636088</v>
      </c>
      <c r="S63" s="16">
        <f>IFERROR(INDEX('3. Kengetallen (DC-uitdraai)'!W:W,MATCH(Table1[[#This Row],[Milieuprofiel]],'3. Kengetallen (DC-uitdraai)'!D:D,0))*Table1[[#This Row],[Hvd]]*(1+INDEX('3. Kengetallen (DC-uitdraai)'!K:K,MATCH(Table1[[#This Row],[Milieuprofiel]],'3. Kengetallen (DC-uitdraai)'!D:D,0))),0)</f>
        <v>0</v>
      </c>
      <c r="T63" s="16">
        <f>IFERROR(INDEX('3. Kengetallen (DC-uitdraai)'!X:X,MATCH(Table1[[#This Row],[Milieuprofiel]],'3. Kengetallen (DC-uitdraai)'!D:D,0))*Table1[[#This Row],[Hvd]]*(1+INDEX('3. Kengetallen (DC-uitdraai)'!K:K,MATCH(Table1[[#This Row],[Milieuprofiel]],'3. Kengetallen (DC-uitdraai)'!D:D,0))),0)</f>
        <v>0</v>
      </c>
      <c r="U63" s="111">
        <f>Table1[[#This Row],[Factor]]</f>
        <v>2.5000000000000001E-2</v>
      </c>
      <c r="V63" s="112">
        <f>Table1[[#This Row],[Volume]]*Table1[[#This Row],[omrekenfactor]]</f>
        <v>212.5</v>
      </c>
      <c r="W63" s="43" t="str">
        <f>IFERROR(INDEX('Eigen database'!H:H,MATCH(Table1[[#This Row],[Potentieel alternatief]],'Eigen database'!D:D,0)),"")</f>
        <v>uur</v>
      </c>
      <c r="X63" s="108">
        <f>IFERROR(INDEX('Eigen database'!P:P,MATCH(Table1[[#This Row],[Potentieel alternatief]],'Eigen database'!D:D,0))*Table1[[#This Row],[Hoeveelheid]]*(1+INDEX('Eigen database'!K:K,MATCH(Table1[[#This Row],[Potentieel alternatief]],'Eigen database'!D:D,0))),0)</f>
        <v>354.87618874381229</v>
      </c>
      <c r="Y63" s="16">
        <f>IF(Table1[[#This Row],[MKI A-D nieuw]]=0,Table1[[#This Row],[MKI A-D]],Table1[[#This Row],[MKI A-D nieuw]])</f>
        <v>354.87618874381229</v>
      </c>
      <c r="Z63" s="16"/>
      <c r="AA63" s="28">
        <f>IFERROR(INDEX('3. Kengetallen (DC-uitdraai)'!AM:AM,MATCH(Table1[[#This Row],[Milieuprofiel]],'3. Kengetallen (DC-uitdraai)'!C:C,0)),0)*Table1[[#This Row],[Hvd]]</f>
        <v>0</v>
      </c>
      <c r="AB63" s="28">
        <f>IFERROR(INDEX('3. Kengetallen (DC-uitdraai)'!AM:AM,MATCH(Table1[[#This Row],[Potentieel alternatief]],'3. Kengetallen (DC-uitdraai)'!C:C,0)),0)*Table1[[#This Row],[Hvd]]</f>
        <v>0</v>
      </c>
    </row>
    <row r="64" spans="1:28">
      <c r="A64" s="88" t="s">
        <v>198</v>
      </c>
      <c r="B64" s="88" t="s">
        <v>199</v>
      </c>
      <c r="C64" s="42" t="s">
        <v>147</v>
      </c>
      <c r="D64" s="42" t="s">
        <v>200</v>
      </c>
      <c r="E64" t="s">
        <v>201</v>
      </c>
      <c r="F64" t="s">
        <v>150</v>
      </c>
      <c r="G64" t="s">
        <v>151</v>
      </c>
      <c r="H64" t="str">
        <f>IFERROR(INDEX('3. Kengetallen (DC-uitdraai)'!F:F,MATCH(Table1[[#This Row],[Milieuprofiel]],'3. Kengetallen (DC-uitdraai)'!D:D,0)),"")</f>
        <v>Cat.3 (30%)</v>
      </c>
      <c r="I64" s="26">
        <v>220</v>
      </c>
      <c r="J64" t="s">
        <v>152</v>
      </c>
      <c r="K64" t="str">
        <f>IF(ISTEXT(Table1[[#This Row],[Milieuprofiel]]),"Ja","Nee")</f>
        <v>Ja</v>
      </c>
      <c r="L64" s="27">
        <v>6.0000000000000001E-3</v>
      </c>
      <c r="M64" s="26">
        <f>Table1[[#This Row],[Volume]]*Table1[[#This Row],[Factor]]</f>
        <v>1.32</v>
      </c>
      <c r="N64" t="str">
        <f>IFERROR(INDEX('3. Kengetallen (DC-uitdraai)'!H:H,MATCH(Table1[[#This Row],[Milieuprofiel]],'3. Kengetallen (DC-uitdraai)'!D:D,0)),"")</f>
        <v>uur</v>
      </c>
      <c r="O64">
        <f>IFERROR(INDEX('3. Kengetallen (DC-uitdraai)'!I:I,MATCH(Table1[[#This Row],[Milieuprofiel]],'3. Kengetallen (DC-uitdraai)'!D:D,0)),0)</f>
        <v>999</v>
      </c>
      <c r="P64" s="106">
        <f>IFERROR(INDEX('3. Kengetallen (DC-uitdraai)'!P:P,MATCH(Table1[[#This Row],[Milieuprofiel]],'3. Kengetallen (DC-uitdraai)'!D:D,0))*Table1[[#This Row],[Hvd]]*(1+INDEX('3. Kengetallen (DC-uitdraai)'!K:K,MATCH(Table1[[#This Row],[Milieuprofiel]],'3. Kengetallen (DC-uitdraai)'!D:D,0))),0)</f>
        <v>6.2940822761983464</v>
      </c>
      <c r="Q64" s="16">
        <f>IFERROR(INDEX('3. Kengetallen (DC-uitdraai)'!U:U,MATCH(Table1[[#This Row],[Milieuprofiel]],'3. Kengetallen (DC-uitdraai)'!D:D,0))*Table1[[#This Row],[Hvd]]*(1+INDEX('3. Kengetallen (DC-uitdraai)'!K:K,MATCH(Table1[[#This Row],[Milieuprofiel]],'3. Kengetallen (DC-uitdraai)'!D:D,0))),0)</f>
        <v>0</v>
      </c>
      <c r="R64" s="16">
        <f>IFERROR(INDEX('3. Kengetallen (DC-uitdraai)'!V:V,MATCH(Table1[[#This Row],[Milieuprofiel]],'3. Kengetallen (DC-uitdraai)'!D:D,0))*Table1[[#This Row],[Hvd]]*(1+INDEX('3. Kengetallen (DC-uitdraai)'!K:K,MATCH(Table1[[#This Row],[Milieuprofiel]],'3. Kengetallen (DC-uitdraai)'!D:D,0))),0)</f>
        <v>4.8416017065245818</v>
      </c>
      <c r="S64" s="16">
        <f>IFERROR(INDEX('3. Kengetallen (DC-uitdraai)'!W:W,MATCH(Table1[[#This Row],[Milieuprofiel]],'3. Kengetallen (DC-uitdraai)'!D:D,0))*Table1[[#This Row],[Hvd]]*(1+INDEX('3. Kengetallen (DC-uitdraai)'!K:K,MATCH(Table1[[#This Row],[Milieuprofiel]],'3. Kengetallen (DC-uitdraai)'!D:D,0))),0)</f>
        <v>0</v>
      </c>
      <c r="T64" s="16">
        <f>IFERROR(INDEX('3. Kengetallen (DC-uitdraai)'!X:X,MATCH(Table1[[#This Row],[Milieuprofiel]],'3. Kengetallen (DC-uitdraai)'!D:D,0))*Table1[[#This Row],[Hvd]]*(1+INDEX('3. Kengetallen (DC-uitdraai)'!K:K,MATCH(Table1[[#This Row],[Milieuprofiel]],'3. Kengetallen (DC-uitdraai)'!D:D,0))),0)</f>
        <v>0</v>
      </c>
      <c r="U64" s="111">
        <f>Table1[[#This Row],[Factor]]</f>
        <v>6.0000000000000001E-3</v>
      </c>
      <c r="V64" s="112">
        <f>Table1[[#This Row],[Volume]]*Table1[[#This Row],[omrekenfactor]]</f>
        <v>1.32</v>
      </c>
      <c r="W64" s="43" t="str">
        <f>IFERROR(INDEX('Eigen database'!H:H,MATCH(Table1[[#This Row],[Potentieel alternatief]],'Eigen database'!D:D,0)),"")</f>
        <v>uur</v>
      </c>
      <c r="X64" s="108">
        <f>IFERROR(INDEX('Eigen database'!P:P,MATCH(Table1[[#This Row],[Potentieel alternatief]],'Eigen database'!D:D,0))*Table1[[#This Row],[Hoeveelheid]]*(1+INDEX('Eigen database'!K:K,MATCH(Table1[[#This Row],[Potentieel alternatief]],'Eigen database'!D:D,0))),0)</f>
        <v>0.12405545599090911</v>
      </c>
      <c r="Y64" s="16">
        <f>IF(Table1[[#This Row],[MKI A-D nieuw]]=0,Table1[[#This Row],[MKI A-D]],Table1[[#This Row],[MKI A-D nieuw]])</f>
        <v>0.12405545599090911</v>
      </c>
      <c r="Z64" s="16"/>
      <c r="AA64" s="28">
        <f>IFERROR(INDEX('3. Kengetallen (DC-uitdraai)'!AM:AM,MATCH(Table1[[#This Row],[Milieuprofiel]],'3. Kengetallen (DC-uitdraai)'!C:C,0)),0)*Table1[[#This Row],[Hvd]]</f>
        <v>0</v>
      </c>
      <c r="AB64" s="28">
        <f>IFERROR(INDEX('3. Kengetallen (DC-uitdraai)'!AM:AM,MATCH(Table1[[#This Row],[Potentieel alternatief]],'3. Kengetallen (DC-uitdraai)'!C:C,0)),0)*Table1[[#This Row],[Hvd]]</f>
        <v>0</v>
      </c>
    </row>
    <row r="65" spans="1:28">
      <c r="A65" s="88" t="s">
        <v>202</v>
      </c>
      <c r="B65" s="88" t="s">
        <v>199</v>
      </c>
      <c r="C65" s="42" t="s">
        <v>147</v>
      </c>
      <c r="D65" s="42" t="s">
        <v>200</v>
      </c>
      <c r="E65" t="s">
        <v>201</v>
      </c>
      <c r="F65" t="s">
        <v>150</v>
      </c>
      <c r="G65" t="s">
        <v>151</v>
      </c>
      <c r="H65" t="str">
        <f>IFERROR(INDEX('3. Kengetallen (DC-uitdraai)'!F:F,MATCH(Table1[[#This Row],[Milieuprofiel]],'3. Kengetallen (DC-uitdraai)'!D:D,0)),"")</f>
        <v>Cat.3 (30%)</v>
      </c>
      <c r="I65" s="26">
        <v>30</v>
      </c>
      <c r="J65" t="s">
        <v>152</v>
      </c>
      <c r="K65" t="str">
        <f>IF(ISTEXT(Table1[[#This Row],[Milieuprofiel]]),"Ja","Nee")</f>
        <v>Ja</v>
      </c>
      <c r="L65" s="27">
        <v>6.0000000000000001E-3</v>
      </c>
      <c r="M65" s="26">
        <f>Table1[[#This Row],[Volume]]*Table1[[#This Row],[Factor]]</f>
        <v>0.18</v>
      </c>
      <c r="N65" t="str">
        <f>IFERROR(INDEX('3. Kengetallen (DC-uitdraai)'!H:H,MATCH(Table1[[#This Row],[Milieuprofiel]],'3. Kengetallen (DC-uitdraai)'!D:D,0)),"")</f>
        <v>uur</v>
      </c>
      <c r="O65">
        <f>IFERROR(INDEX('3. Kengetallen (DC-uitdraai)'!I:I,MATCH(Table1[[#This Row],[Milieuprofiel]],'3. Kengetallen (DC-uitdraai)'!D:D,0)),0)</f>
        <v>999</v>
      </c>
      <c r="P65" s="106">
        <f>IFERROR(INDEX('3. Kengetallen (DC-uitdraai)'!P:P,MATCH(Table1[[#This Row],[Milieuprofiel]],'3. Kengetallen (DC-uitdraai)'!D:D,0))*Table1[[#This Row],[Hvd]]*(1+INDEX('3. Kengetallen (DC-uitdraai)'!K:K,MATCH(Table1[[#This Row],[Milieuprofiel]],'3. Kengetallen (DC-uitdraai)'!D:D,0))),0)</f>
        <v>0.85828394675431985</v>
      </c>
      <c r="Q65" s="16">
        <f>IFERROR(INDEX('3. Kengetallen (DC-uitdraai)'!U:U,MATCH(Table1[[#This Row],[Milieuprofiel]],'3. Kengetallen (DC-uitdraai)'!D:D,0))*Table1[[#This Row],[Hvd]]*(1+INDEX('3. Kengetallen (DC-uitdraai)'!K:K,MATCH(Table1[[#This Row],[Milieuprofiel]],'3. Kengetallen (DC-uitdraai)'!D:D,0))),0)</f>
        <v>0</v>
      </c>
      <c r="R65" s="16">
        <f>IFERROR(INDEX('3. Kengetallen (DC-uitdraai)'!V:V,MATCH(Table1[[#This Row],[Milieuprofiel]],'3. Kengetallen (DC-uitdraai)'!D:D,0))*Table1[[#This Row],[Hvd]]*(1+INDEX('3. Kengetallen (DC-uitdraai)'!K:K,MATCH(Table1[[#This Row],[Milieuprofiel]],'3. Kengetallen (DC-uitdraai)'!D:D,0))),0)</f>
        <v>0.66021841452607921</v>
      </c>
      <c r="S65" s="16">
        <f>IFERROR(INDEX('3. Kengetallen (DC-uitdraai)'!W:W,MATCH(Table1[[#This Row],[Milieuprofiel]],'3. Kengetallen (DC-uitdraai)'!D:D,0))*Table1[[#This Row],[Hvd]]*(1+INDEX('3. Kengetallen (DC-uitdraai)'!K:K,MATCH(Table1[[#This Row],[Milieuprofiel]],'3. Kengetallen (DC-uitdraai)'!D:D,0))),0)</f>
        <v>0</v>
      </c>
      <c r="T65" s="16">
        <f>IFERROR(INDEX('3. Kengetallen (DC-uitdraai)'!X:X,MATCH(Table1[[#This Row],[Milieuprofiel]],'3. Kengetallen (DC-uitdraai)'!D:D,0))*Table1[[#This Row],[Hvd]]*(1+INDEX('3. Kengetallen (DC-uitdraai)'!K:K,MATCH(Table1[[#This Row],[Milieuprofiel]],'3. Kengetallen (DC-uitdraai)'!D:D,0))),0)</f>
        <v>0</v>
      </c>
      <c r="U65" s="111">
        <f>Table1[[#This Row],[Factor]]</f>
        <v>6.0000000000000001E-3</v>
      </c>
      <c r="V65" s="112">
        <f>Table1[[#This Row],[Volume]]*Table1[[#This Row],[omrekenfactor]]</f>
        <v>0.18</v>
      </c>
      <c r="W65" s="43" t="str">
        <f>IFERROR(INDEX('Eigen database'!H:H,MATCH(Table1[[#This Row],[Potentieel alternatief]],'Eigen database'!D:D,0)),"")</f>
        <v>uur</v>
      </c>
      <c r="X65" s="108">
        <f>IFERROR(INDEX('Eigen database'!P:P,MATCH(Table1[[#This Row],[Potentieel alternatief]],'Eigen database'!D:D,0))*Table1[[#This Row],[Hoeveelheid]]*(1+INDEX('Eigen database'!K:K,MATCH(Table1[[#This Row],[Potentieel alternatief]],'Eigen database'!D:D,0))),0)</f>
        <v>1.6916653089669421E-2</v>
      </c>
      <c r="Y65" s="16">
        <f>IF(Table1[[#This Row],[MKI A-D nieuw]]=0,Table1[[#This Row],[MKI A-D]],Table1[[#This Row],[MKI A-D nieuw]])</f>
        <v>1.6916653089669421E-2</v>
      </c>
      <c r="Z65" s="16"/>
      <c r="AA65" s="28">
        <f>IFERROR(INDEX('3. Kengetallen (DC-uitdraai)'!AM:AM,MATCH(Table1[[#This Row],[Milieuprofiel]],'3. Kengetallen (DC-uitdraai)'!C:C,0)),0)*Table1[[#This Row],[Hvd]]</f>
        <v>0</v>
      </c>
      <c r="AB65" s="28">
        <f>IFERROR(INDEX('3. Kengetallen (DC-uitdraai)'!AM:AM,MATCH(Table1[[#This Row],[Potentieel alternatief]],'3. Kengetallen (DC-uitdraai)'!C:C,0)),0)*Table1[[#This Row],[Hvd]]</f>
        <v>0</v>
      </c>
    </row>
    <row r="66" spans="1:28">
      <c r="A66" s="88" t="s">
        <v>203</v>
      </c>
      <c r="B66" s="88" t="s">
        <v>204</v>
      </c>
      <c r="C66" s="42" t="s">
        <v>147</v>
      </c>
      <c r="D66" s="42" t="s">
        <v>200</v>
      </c>
      <c r="E66" t="s">
        <v>205</v>
      </c>
      <c r="F66" t="s">
        <v>97</v>
      </c>
      <c r="G66" t="s">
        <v>105</v>
      </c>
      <c r="H66" t="str">
        <f>IFERROR(INDEX('3. Kengetallen (DC-uitdraai)'!F:F,MATCH(Table1[[#This Row],[Milieuprofiel]],'3. Kengetallen (DC-uitdraai)'!D:D,0)),"")</f>
        <v>Cat.3a</v>
      </c>
      <c r="I66" s="26">
        <v>20</v>
      </c>
      <c r="J66" t="s">
        <v>152</v>
      </c>
      <c r="K66" t="str">
        <f>IF(ISTEXT(Table1[[#This Row],[Milieuprofiel]]),"Ja","Nee")</f>
        <v>Ja</v>
      </c>
      <c r="L66" s="43">
        <f>0.0167*100</f>
        <v>1.67</v>
      </c>
      <c r="M66" s="26">
        <f>Table1[[#This Row],[Volume]]*Table1[[#This Row],[Factor]]</f>
        <v>33.4</v>
      </c>
      <c r="N66" t="str">
        <f>IFERROR(INDEX('3. Kengetallen (DC-uitdraai)'!H:H,MATCH(Table1[[#This Row],[Milieuprofiel]],'3. Kengetallen (DC-uitdraai)'!D:D,0)),"")</f>
        <v>uur</v>
      </c>
      <c r="O66">
        <f>IFERROR(INDEX('3. Kengetallen (DC-uitdraai)'!I:I,MATCH(Table1[[#This Row],[Milieuprofiel]],'3. Kengetallen (DC-uitdraai)'!D:D,0)),0)</f>
        <v>999</v>
      </c>
      <c r="P66" s="106">
        <f>IFERROR(INDEX('3. Kengetallen (DC-uitdraai)'!P:P,MATCH(Table1[[#This Row],[Milieuprofiel]],'3. Kengetallen (DC-uitdraai)'!D:D,0))*Table1[[#This Row],[Hvd]]*(1+INDEX('3. Kengetallen (DC-uitdraai)'!K:K,MATCH(Table1[[#This Row],[Milieuprofiel]],'3. Kengetallen (DC-uitdraai)'!D:D,0))),0)</f>
        <v>149.54793429930567</v>
      </c>
      <c r="Q66" s="16">
        <f>IFERROR(INDEX('3. Kengetallen (DC-uitdraai)'!U:U,MATCH(Table1[[#This Row],[Milieuprofiel]],'3. Kengetallen (DC-uitdraai)'!D:D,0))*Table1[[#This Row],[Hvd]]*(1+INDEX('3. Kengetallen (DC-uitdraai)'!K:K,MATCH(Table1[[#This Row],[Milieuprofiel]],'3. Kengetallen (DC-uitdraai)'!D:D,0))),0)</f>
        <v>0</v>
      </c>
      <c r="R66" s="16">
        <f>IFERROR(INDEX('3. Kengetallen (DC-uitdraai)'!V:V,MATCH(Table1[[#This Row],[Milieuprofiel]],'3. Kengetallen (DC-uitdraai)'!D:D,0))*Table1[[#This Row],[Hvd]]*(1+INDEX('3. Kengetallen (DC-uitdraai)'!K:K,MATCH(Table1[[#This Row],[Milieuprofiel]],'3. Kengetallen (DC-uitdraai)'!D:D,0))),0)</f>
        <v>149.54793429930567</v>
      </c>
      <c r="S66" s="16">
        <f>IFERROR(INDEX('3. Kengetallen (DC-uitdraai)'!W:W,MATCH(Table1[[#This Row],[Milieuprofiel]],'3. Kengetallen (DC-uitdraai)'!D:D,0))*Table1[[#This Row],[Hvd]]*(1+INDEX('3. Kengetallen (DC-uitdraai)'!K:K,MATCH(Table1[[#This Row],[Milieuprofiel]],'3. Kengetallen (DC-uitdraai)'!D:D,0))),0)</f>
        <v>0</v>
      </c>
      <c r="T66" s="16">
        <f>IFERROR(INDEX('3. Kengetallen (DC-uitdraai)'!X:X,MATCH(Table1[[#This Row],[Milieuprofiel]],'3. Kengetallen (DC-uitdraai)'!D:D,0))*Table1[[#This Row],[Hvd]]*(1+INDEX('3. Kengetallen (DC-uitdraai)'!K:K,MATCH(Table1[[#This Row],[Milieuprofiel]],'3. Kengetallen (DC-uitdraai)'!D:D,0))),0)</f>
        <v>0</v>
      </c>
      <c r="U66" s="111">
        <f>Table1[[#This Row],[Factor]]</f>
        <v>1.67</v>
      </c>
      <c r="V66" s="112">
        <f>Table1[[#This Row],[Volume]]*Table1[[#This Row],[omrekenfactor]]</f>
        <v>33.4</v>
      </c>
      <c r="W66" s="43" t="str">
        <f>IFERROR(INDEX('Eigen database'!H:H,MATCH(Table1[[#This Row],[Potentieel alternatief]],'Eigen database'!D:D,0)),"")</f>
        <v>uur</v>
      </c>
      <c r="X66" s="108">
        <f>IFERROR(INDEX('Eigen database'!P:P,MATCH(Table1[[#This Row],[Potentieel alternatief]],'Eigen database'!D:D,0))*Table1[[#This Row],[Hoeveelheid]]*(1+INDEX('Eigen database'!K:K,MATCH(Table1[[#This Row],[Potentieel alternatief]],'Eigen database'!D:D,0))),0)</f>
        <v>55.778186842556849</v>
      </c>
      <c r="Y66" s="16">
        <f>IF(Table1[[#This Row],[MKI A-D nieuw]]=0,Table1[[#This Row],[MKI A-D]],Table1[[#This Row],[MKI A-D nieuw]])</f>
        <v>55.778186842556849</v>
      </c>
      <c r="Z66" s="16"/>
      <c r="AA66" s="28">
        <f>IFERROR(INDEX('3. Kengetallen (DC-uitdraai)'!AM:AM,MATCH(Table1[[#This Row],[Milieuprofiel]],'3. Kengetallen (DC-uitdraai)'!C:C,0)),0)*Table1[[#This Row],[Hvd]]</f>
        <v>0</v>
      </c>
      <c r="AB66" s="28">
        <f>IFERROR(INDEX('3. Kengetallen (DC-uitdraai)'!AM:AM,MATCH(Table1[[#This Row],[Potentieel alternatief]],'3. Kengetallen (DC-uitdraai)'!C:C,0)),0)*Table1[[#This Row],[Hvd]]</f>
        <v>0</v>
      </c>
    </row>
    <row r="67" spans="1:28">
      <c r="A67" s="89" t="s">
        <v>206</v>
      </c>
      <c r="B67" s="89" t="s">
        <v>207</v>
      </c>
      <c r="C67" s="42" t="s">
        <v>147</v>
      </c>
      <c r="D67" s="42" t="s">
        <v>208</v>
      </c>
      <c r="E67" t="s">
        <v>209</v>
      </c>
      <c r="F67" t="s">
        <v>210</v>
      </c>
      <c r="H67" t="str">
        <f>IFERROR(INDEX('3. Kengetallen (DC-uitdraai)'!F:F,MATCH(Table1[[#This Row],[Milieuprofiel]],'3. Kengetallen (DC-uitdraai)'!D:D,0)),"")</f>
        <v>Cat.3 (30%)</v>
      </c>
      <c r="I67" s="129">
        <v>3805</v>
      </c>
      <c r="J67" t="s">
        <v>112</v>
      </c>
      <c r="K67" t="str">
        <f>IF(ISTEXT(Table1[[#This Row],[Milieuprofiel]]),"Ja","Nee")</f>
        <v>Ja</v>
      </c>
      <c r="L67" s="27">
        <v>4</v>
      </c>
      <c r="M67" s="26">
        <f>Table1[[#This Row],[Volume]]*Table1[[#This Row],[Factor]]</f>
        <v>15220</v>
      </c>
      <c r="N67" t="str">
        <f>IFERROR(INDEX('3. Kengetallen (DC-uitdraai)'!H:H,MATCH(Table1[[#This Row],[Milieuprofiel]],'3. Kengetallen (DC-uitdraai)'!D:D,0)),"")</f>
        <v>m2</v>
      </c>
      <c r="O67">
        <f>IFERROR(INDEX('3. Kengetallen (DC-uitdraai)'!I:I,MATCH(Table1[[#This Row],[Milieuprofiel]],'3. Kengetallen (DC-uitdraai)'!D:D,0)),0)</f>
        <v>999</v>
      </c>
      <c r="P67" s="106">
        <f>IFERROR(INDEX('3. Kengetallen (DC-uitdraai)'!P:P,MATCH(Table1[[#This Row],[Milieuprofiel]],'3. Kengetallen (DC-uitdraai)'!D:D,0))*Table1[[#This Row],[Hvd]]*(1+INDEX('3. Kengetallen (DC-uitdraai)'!K:K,MATCH(Table1[[#This Row],[Milieuprofiel]],'3. Kengetallen (DC-uitdraai)'!D:D,0))),0)</f>
        <v>16972.549788800388</v>
      </c>
      <c r="Q67" s="16">
        <f>IFERROR(INDEX('3. Kengetallen (DC-uitdraai)'!U:U,MATCH(Table1[[#This Row],[Milieuprofiel]],'3. Kengetallen (DC-uitdraai)'!D:D,0))*Table1[[#This Row],[Hvd]]*(1+INDEX('3. Kengetallen (DC-uitdraai)'!K:K,MATCH(Table1[[#This Row],[Milieuprofiel]],'3. Kengetallen (DC-uitdraai)'!D:D,0))),0)</f>
        <v>9331.6937617755812</v>
      </c>
      <c r="R67" s="16">
        <f>IFERROR(INDEX('3. Kengetallen (DC-uitdraai)'!V:V,MATCH(Table1[[#This Row],[Milieuprofiel]],'3. Kengetallen (DC-uitdraai)'!D:D,0))*Table1[[#This Row],[Hvd]]*(1+INDEX('3. Kengetallen (DC-uitdraai)'!K:K,MATCH(Table1[[#This Row],[Milieuprofiel]],'3. Kengetallen (DC-uitdraai)'!D:D,0))),0)</f>
        <v>3438.9444705805054</v>
      </c>
      <c r="S67" s="16">
        <f>IFERROR(INDEX('3. Kengetallen (DC-uitdraai)'!W:W,MATCH(Table1[[#This Row],[Milieuprofiel]],'3. Kengetallen (DC-uitdraai)'!D:D,0))*Table1[[#This Row],[Hvd]]*(1+INDEX('3. Kengetallen (DC-uitdraai)'!K:K,MATCH(Table1[[#This Row],[Milieuprofiel]],'3. Kengetallen (DC-uitdraai)'!D:D,0))),0)</f>
        <v>0</v>
      </c>
      <c r="T67" s="16">
        <f>IFERROR(INDEX('3. Kengetallen (DC-uitdraai)'!X:X,MATCH(Table1[[#This Row],[Milieuprofiel]],'3. Kengetallen (DC-uitdraai)'!D:D,0))*Table1[[#This Row],[Hvd]]*(1+INDEX('3. Kengetallen (DC-uitdraai)'!K:K,MATCH(Table1[[#This Row],[Milieuprofiel]],'3. Kengetallen (DC-uitdraai)'!D:D,0))),0)</f>
        <v>-494.69069242708701</v>
      </c>
      <c r="U67" s="111"/>
      <c r="V67" s="16"/>
      <c r="W67" s="16"/>
      <c r="X67" s="108">
        <f>IFERROR(INDEX('Eigen database'!P:P,MATCH(Table1[[#This Row],[Potentieel alternatief]],'Eigen database'!D:D,0))*Table1[[#This Row],[Hoeveelheid]]*(1+INDEX('Eigen database'!K:K,MATCH(Table1[[#This Row],[Potentieel alternatief]],'Eigen database'!D:D,0))),0)</f>
        <v>0</v>
      </c>
      <c r="Y67" s="16">
        <f>IF(Table1[[#This Row],[MKI A-D nieuw]]=0,Table1[[#This Row],[MKI A-D]],Table1[[#This Row],[MKI A-D nieuw]])</f>
        <v>16972.549788800388</v>
      </c>
      <c r="Z67" s="16"/>
      <c r="AA67" s="28">
        <f>IFERROR(INDEX('3. Kengetallen (DC-uitdraai)'!AM:AM,MATCH(Table1[[#This Row],[Milieuprofiel]],'3. Kengetallen (DC-uitdraai)'!C:C,0)),0)*Table1[[#This Row],[Hvd]]</f>
        <v>0</v>
      </c>
      <c r="AB67" s="28">
        <f>IFERROR(INDEX('3. Kengetallen (DC-uitdraai)'!AM:AM,MATCH(Table1[[#This Row],[Potentieel alternatief]],'3. Kengetallen (DC-uitdraai)'!C:C,0)),0)*Table1[[#This Row],[Hvd]]</f>
        <v>0</v>
      </c>
    </row>
    <row r="68" spans="1:28">
      <c r="A68" s="88" t="s">
        <v>211</v>
      </c>
      <c r="B68" s="88" t="s">
        <v>207</v>
      </c>
      <c r="C68" s="42" t="s">
        <v>147</v>
      </c>
      <c r="D68" s="42" t="s">
        <v>208</v>
      </c>
      <c r="E68" t="s">
        <v>212</v>
      </c>
      <c r="F68" t="s">
        <v>213</v>
      </c>
      <c r="H68" t="str">
        <f>IFERROR(INDEX('3. Kengetallen (DC-uitdraai)'!F:F,MATCH(Table1[[#This Row],[Milieuprofiel]],'3. Kengetallen (DC-uitdraai)'!D:D,0)),"")</f>
        <v>Cat.3 (30%)</v>
      </c>
      <c r="I68" s="129">
        <v>520</v>
      </c>
      <c r="J68" t="s">
        <v>112</v>
      </c>
      <c r="K68" t="str">
        <f>IF(ISTEXT(Table1[[#This Row],[Milieuprofiel]]),"Ja","Nee")</f>
        <v>Ja</v>
      </c>
      <c r="L68" s="27">
        <v>1</v>
      </c>
      <c r="M68" s="26">
        <f>Table1[[#This Row],[Volume]]*Table1[[#This Row],[Factor]]</f>
        <v>520</v>
      </c>
      <c r="N68" t="str">
        <f>IFERROR(INDEX('3. Kengetallen (DC-uitdraai)'!H:H,MATCH(Table1[[#This Row],[Milieuprofiel]],'3. Kengetallen (DC-uitdraai)'!D:D,0)),"")</f>
        <v>m3</v>
      </c>
      <c r="O68">
        <f>IFERROR(INDEX('3. Kengetallen (DC-uitdraai)'!I:I,MATCH(Table1[[#This Row],[Milieuprofiel]],'3. Kengetallen (DC-uitdraai)'!D:D,0)),0)</f>
        <v>100</v>
      </c>
      <c r="P68" s="106">
        <f>IFERROR(INDEX('3. Kengetallen (DC-uitdraai)'!P:P,MATCH(Table1[[#This Row],[Milieuprofiel]],'3. Kengetallen (DC-uitdraai)'!D:D,0))*Table1[[#This Row],[Hvd]]*(1+INDEX('3. Kengetallen (DC-uitdraai)'!K:K,MATCH(Table1[[#This Row],[Milieuprofiel]],'3. Kengetallen (DC-uitdraai)'!D:D,0))),0)</f>
        <v>5287.0600491274363</v>
      </c>
      <c r="Q68" s="16">
        <f>IFERROR(INDEX('3. Kengetallen (DC-uitdraai)'!U:U,MATCH(Table1[[#This Row],[Milieuprofiel]],'3. Kengetallen (DC-uitdraai)'!D:D,0))*Table1[[#This Row],[Hvd]]*(1+INDEX('3. Kengetallen (DC-uitdraai)'!K:K,MATCH(Table1[[#This Row],[Milieuprofiel]],'3. Kengetallen (DC-uitdraai)'!D:D,0))),0)</f>
        <v>0</v>
      </c>
      <c r="R68" s="16">
        <f>IFERROR(INDEX('3. Kengetallen (DC-uitdraai)'!V:V,MATCH(Table1[[#This Row],[Milieuprofiel]],'3. Kengetallen (DC-uitdraai)'!D:D,0))*Table1[[#This Row],[Hvd]]*(1+INDEX('3. Kengetallen (DC-uitdraai)'!K:K,MATCH(Table1[[#This Row],[Milieuprofiel]],'3. Kengetallen (DC-uitdraai)'!D:D,0))),0)</f>
        <v>2194.956219404899</v>
      </c>
      <c r="S68" s="16">
        <f>IFERROR(INDEX('3. Kengetallen (DC-uitdraai)'!W:W,MATCH(Table1[[#This Row],[Milieuprofiel]],'3. Kengetallen (DC-uitdraai)'!D:D,0))*Table1[[#This Row],[Hvd]]*(1+INDEX('3. Kengetallen (DC-uitdraai)'!K:K,MATCH(Table1[[#This Row],[Milieuprofiel]],'3. Kengetallen (DC-uitdraai)'!D:D,0))),0)</f>
        <v>0</v>
      </c>
      <c r="T68" s="16">
        <f>IFERROR(INDEX('3. Kengetallen (DC-uitdraai)'!X:X,MATCH(Table1[[#This Row],[Milieuprofiel]],'3. Kengetallen (DC-uitdraai)'!D:D,0))*Table1[[#This Row],[Hvd]]*(1+INDEX('3. Kengetallen (DC-uitdraai)'!K:K,MATCH(Table1[[#This Row],[Milieuprofiel]],'3. Kengetallen (DC-uitdraai)'!D:D,0))),0)</f>
        <v>1872.0130118607813</v>
      </c>
      <c r="U68" s="111"/>
      <c r="V68" s="16"/>
      <c r="W68" s="16"/>
      <c r="X68" s="108">
        <f>IFERROR(INDEX('Eigen database'!P:P,MATCH(Table1[[#This Row],[Potentieel alternatief]],'Eigen database'!D:D,0))*Table1[[#This Row],[Hoeveelheid]]*(1+INDEX('Eigen database'!K:K,MATCH(Table1[[#This Row],[Potentieel alternatief]],'Eigen database'!D:D,0))),0)</f>
        <v>0</v>
      </c>
      <c r="Y68" s="16">
        <f>IF(Table1[[#This Row],[MKI A-D nieuw]]=0,Table1[[#This Row],[MKI A-D]],Table1[[#This Row],[MKI A-D nieuw]])</f>
        <v>5287.0600491274363</v>
      </c>
      <c r="Z68" s="16"/>
      <c r="AA68" s="28">
        <f>IFERROR(INDEX('3. Kengetallen (DC-uitdraai)'!AM:AM,MATCH(Table1[[#This Row],[Milieuprofiel]],'3. Kengetallen (DC-uitdraai)'!C:C,0)),0)*Table1[[#This Row],[Hvd]]</f>
        <v>0</v>
      </c>
      <c r="AB68" s="28">
        <f>IFERROR(INDEX('3. Kengetallen (DC-uitdraai)'!AM:AM,MATCH(Table1[[#This Row],[Potentieel alternatief]],'3. Kengetallen (DC-uitdraai)'!C:C,0)),0)*Table1[[#This Row],[Hvd]]</f>
        <v>0</v>
      </c>
    </row>
    <row r="69" spans="1:28">
      <c r="A69" s="88" t="s">
        <v>214</v>
      </c>
      <c r="B69" s="88" t="s">
        <v>215</v>
      </c>
      <c r="C69" s="42" t="s">
        <v>216</v>
      </c>
      <c r="D69" s="42" t="s">
        <v>217</v>
      </c>
      <c r="E69" t="s">
        <v>218</v>
      </c>
      <c r="F69" t="s">
        <v>219</v>
      </c>
      <c r="H69" t="str">
        <f>IFERROR(INDEX('3. Kengetallen (DC-uitdraai)'!F:F,MATCH(Table1[[#This Row],[Milieuprofiel]],'3. Kengetallen (DC-uitdraai)'!D:D,0)),"")</f>
        <v>Cat.3 (30%)</v>
      </c>
      <c r="I69" s="124">
        <v>16.8</v>
      </c>
      <c r="J69" t="s">
        <v>93</v>
      </c>
      <c r="K69" t="str">
        <f>IF(ISTEXT(Table1[[#This Row],[Milieuprofiel]]),"Ja","Nee")</f>
        <v>Ja</v>
      </c>
      <c r="L69" s="27">
        <v>1.25</v>
      </c>
      <c r="M69" s="26">
        <f>Table1[[#This Row],[Volume]]*Table1[[#This Row],[Factor]]</f>
        <v>21</v>
      </c>
      <c r="N69" t="str">
        <f>IFERROR(INDEX('3. Kengetallen (DC-uitdraai)'!H:H,MATCH(Table1[[#This Row],[Milieuprofiel]],'3. Kengetallen (DC-uitdraai)'!D:D,0)),"")</f>
        <v>m1</v>
      </c>
      <c r="O69">
        <f>IFERROR(INDEX('3. Kengetallen (DC-uitdraai)'!I:I,MATCH(Table1[[#This Row],[Milieuprofiel]],'3. Kengetallen (DC-uitdraai)'!D:D,0)),0)</f>
        <v>50</v>
      </c>
      <c r="P69" s="106">
        <f>IFERROR(INDEX('3. Kengetallen (DC-uitdraai)'!P:P,MATCH(Table1[[#This Row],[Milieuprofiel]],'3. Kengetallen (DC-uitdraai)'!D:D,0))*Table1[[#This Row],[Hvd]]*(1+INDEX('3. Kengetallen (DC-uitdraai)'!K:K,MATCH(Table1[[#This Row],[Milieuprofiel]],'3. Kengetallen (DC-uitdraai)'!D:D,0))),0)</f>
        <v>459.69899950479748</v>
      </c>
      <c r="Q69" s="16">
        <f>IFERROR(INDEX('3. Kengetallen (DC-uitdraai)'!U:U,MATCH(Table1[[#This Row],[Milieuprofiel]],'3. Kengetallen (DC-uitdraai)'!D:D,0))*Table1[[#This Row],[Hvd]]*(1+INDEX('3. Kengetallen (DC-uitdraai)'!K:K,MATCH(Table1[[#This Row],[Milieuprofiel]],'3. Kengetallen (DC-uitdraai)'!D:D,0))),0)</f>
        <v>225.80918310842011</v>
      </c>
      <c r="R69" s="16">
        <f>IFERROR(INDEX('3. Kengetallen (DC-uitdraai)'!V:V,MATCH(Table1[[#This Row],[Milieuprofiel]],'3. Kengetallen (DC-uitdraai)'!D:D,0))*Table1[[#This Row],[Hvd]]*(1+INDEX('3. Kengetallen (DC-uitdraai)'!K:K,MATCH(Table1[[#This Row],[Milieuprofiel]],'3. Kengetallen (DC-uitdraai)'!D:D,0))),0)</f>
        <v>89.321645429575398</v>
      </c>
      <c r="S69" s="16">
        <f>IFERROR(INDEX('3. Kengetallen (DC-uitdraai)'!W:W,MATCH(Table1[[#This Row],[Milieuprofiel]],'3. Kengetallen (DC-uitdraai)'!D:D,0))*Table1[[#This Row],[Hvd]]*(1+INDEX('3. Kengetallen (DC-uitdraai)'!K:K,MATCH(Table1[[#This Row],[Milieuprofiel]],'3. Kengetallen (DC-uitdraai)'!D:D,0))),0)</f>
        <v>0</v>
      </c>
      <c r="T69" s="16">
        <f>IFERROR(INDEX('3. Kengetallen (DC-uitdraai)'!X:X,MATCH(Table1[[#This Row],[Milieuprofiel]],'3. Kengetallen (DC-uitdraai)'!D:D,0))*Table1[[#This Row],[Hvd]]*(1+INDEX('3. Kengetallen (DC-uitdraai)'!K:K,MATCH(Table1[[#This Row],[Milieuprofiel]],'3. Kengetallen (DC-uitdraai)'!D:D,0))),0)</f>
        <v>34.575711496310248</v>
      </c>
      <c r="U69" s="111"/>
      <c r="V69" s="16"/>
      <c r="W69" s="16"/>
      <c r="X69" s="108">
        <f>IFERROR(INDEX('Eigen database'!P:P,MATCH(Table1[[#This Row],[Potentieel alternatief]],'Eigen database'!D:D,0))*Table1[[#This Row],[Hoeveelheid]]*(1+INDEX('Eigen database'!K:K,MATCH(Table1[[#This Row],[Potentieel alternatief]],'Eigen database'!D:D,0))),0)</f>
        <v>0</v>
      </c>
      <c r="Y69" s="16">
        <f>IF(Table1[[#This Row],[MKI A-D nieuw]]=0,Table1[[#This Row],[MKI A-D]],Table1[[#This Row],[MKI A-D nieuw]])</f>
        <v>459.69899950479748</v>
      </c>
      <c r="Z69" s="16"/>
      <c r="AA69" s="28">
        <f>IFERROR(INDEX('3. Kengetallen (DC-uitdraai)'!AM:AM,MATCH(Table1[[#This Row],[Milieuprofiel]],'3. Kengetallen (DC-uitdraai)'!C:C,0)),0)*Table1[[#This Row],[Hvd]]</f>
        <v>0</v>
      </c>
      <c r="AB69" s="28">
        <f>IFERROR(INDEX('3. Kengetallen (DC-uitdraai)'!AM:AM,MATCH(Table1[[#This Row],[Potentieel alternatief]],'3. Kengetallen (DC-uitdraai)'!C:C,0)),0)*Table1[[#This Row],[Hvd]]</f>
        <v>0</v>
      </c>
    </row>
    <row r="70" spans="1:28">
      <c r="A70" s="89" t="s">
        <v>220</v>
      </c>
      <c r="B70" s="89"/>
      <c r="C70" s="42"/>
      <c r="D70" s="42"/>
      <c r="E70" t="s">
        <v>221</v>
      </c>
      <c r="F70" t="s">
        <v>104</v>
      </c>
      <c r="H70" t="str">
        <f>IFERROR(INDEX('3. Kengetallen (DC-uitdraai)'!F:F,MATCH(Table1[[#This Row],[Milieuprofiel]],'3. Kengetallen (DC-uitdraai)'!D:D,0)),"")</f>
        <v>Cat.3 (30%)</v>
      </c>
      <c r="I70" s="26">
        <v>6</v>
      </c>
      <c r="J70" t="s">
        <v>132</v>
      </c>
      <c r="K70" t="str">
        <f>IF(ISTEXT(Table1[[#This Row],[Milieuprofiel]]),"Ja","Nee")</f>
        <v>Ja</v>
      </c>
      <c r="L70" s="27">
        <f>0.5*(0.43/0.477)</f>
        <v>0.4507337526205451</v>
      </c>
      <c r="M70" s="26">
        <f>Table1[[#This Row],[Volume]]*Table1[[#This Row],[Factor]]</f>
        <v>2.7044025157232707</v>
      </c>
      <c r="N70" t="str">
        <f>IFERROR(INDEX('3. Kengetallen (DC-uitdraai)'!H:H,MATCH(Table1[[#This Row],[Milieuprofiel]],'3. Kengetallen (DC-uitdraai)'!D:D,0)),"")</f>
        <v>uur</v>
      </c>
      <c r="O70">
        <f>IFERROR(INDEX('3. Kengetallen (DC-uitdraai)'!I:I,MATCH(Table1[[#This Row],[Milieuprofiel]],'3. Kengetallen (DC-uitdraai)'!D:D,0)),0)</f>
        <v>999</v>
      </c>
      <c r="P70" s="125">
        <f>IFERROR(INDEX('3. Kengetallen (DC-uitdraai)'!P:P,MATCH(Table1[[#This Row],[Milieuprofiel]],'3. Kengetallen (DC-uitdraai)'!D:D,0))*Table1[[#This Row],[Hvd]]*(1+INDEX('3. Kengetallen (DC-uitdraai)'!K:K,MATCH(Table1[[#This Row],[Milieuprofiel]],'3. Kengetallen (DC-uitdraai)'!D:D,0))),0)</f>
        <v>19.342877206727334</v>
      </c>
      <c r="Q70" s="126">
        <f>IFERROR(INDEX('3. Kengetallen (DC-uitdraai)'!U:U,MATCH(Table1[[#This Row],[Milieuprofiel]],'3. Kengetallen (DC-uitdraai)'!D:D,0))*Table1[[#This Row],[Hvd]]*(1+INDEX('3. Kengetallen (DC-uitdraai)'!K:K,MATCH(Table1[[#This Row],[Milieuprofiel]],'3. Kengetallen (DC-uitdraai)'!D:D,0))),0)</f>
        <v>0</v>
      </c>
      <c r="R70" s="126">
        <f>IFERROR(INDEX('3. Kengetallen (DC-uitdraai)'!V:V,MATCH(Table1[[#This Row],[Milieuprofiel]],'3. Kengetallen (DC-uitdraai)'!D:D,0))*Table1[[#This Row],[Hvd]]*(1+INDEX('3. Kengetallen (DC-uitdraai)'!K:K,MATCH(Table1[[#This Row],[Milieuprofiel]],'3. Kengetallen (DC-uitdraai)'!D:D,0))),0)</f>
        <v>14.879136176426314</v>
      </c>
      <c r="S70" s="126">
        <f>IFERROR(INDEX('3. Kengetallen (DC-uitdraai)'!W:W,MATCH(Table1[[#This Row],[Milieuprofiel]],'3. Kengetallen (DC-uitdraai)'!D:D,0))*Table1[[#This Row],[Hvd]]*(1+INDEX('3. Kengetallen (DC-uitdraai)'!K:K,MATCH(Table1[[#This Row],[Milieuprofiel]],'3. Kengetallen (DC-uitdraai)'!D:D,0))),0)</f>
        <v>0</v>
      </c>
      <c r="T70" s="126">
        <f>IFERROR(INDEX('3. Kengetallen (DC-uitdraai)'!X:X,MATCH(Table1[[#This Row],[Milieuprofiel]],'3. Kengetallen (DC-uitdraai)'!D:D,0))*Table1[[#This Row],[Hvd]]*(1+INDEX('3. Kengetallen (DC-uitdraai)'!K:K,MATCH(Table1[[#This Row],[Milieuprofiel]],'3. Kengetallen (DC-uitdraai)'!D:D,0))),0)</f>
        <v>0</v>
      </c>
      <c r="U70" s="126"/>
      <c r="V70" s="126"/>
      <c r="W70" s="126"/>
      <c r="X70" s="114">
        <f>IFERROR(INDEX('Eigen database'!P:P,MATCH(Table1[[#This Row],[Potentieel alternatief]],'Eigen database'!D:D,0))*Table1[[#This Row],[Hoeveelheid]]*(1+INDEX('Eigen database'!K:K,MATCH(Table1[[#This Row],[Potentieel alternatief]],'Eigen database'!D:D,0))),0)</f>
        <v>0</v>
      </c>
      <c r="Y70" s="126">
        <f>IF(Table1[[#This Row],[MKI A-D nieuw]]=0,Table1[[#This Row],[MKI A-D]],Table1[[#This Row],[MKI A-D nieuw]])</f>
        <v>19.342877206727334</v>
      </c>
      <c r="Z70" s="126"/>
      <c r="AA70" s="127">
        <f>IFERROR(INDEX('3. Kengetallen (DC-uitdraai)'!AM:AM,MATCH(Table1[[#This Row],[Milieuprofiel]],'3. Kengetallen (DC-uitdraai)'!C:C,0)),0)*Table1[[#This Row],[Hvd]]</f>
        <v>0</v>
      </c>
      <c r="AB70" s="127">
        <f>IFERROR(INDEX('3. Kengetallen (DC-uitdraai)'!AM:AM,MATCH(Table1[[#This Row],[Potentieel alternatief]],'3. Kengetallen (DC-uitdraai)'!C:C,0)),0)*Table1[[#This Row],[Hvd]]</f>
        <v>0</v>
      </c>
    </row>
    <row r="71" spans="1:28">
      <c r="A71" s="89" t="s">
        <v>222</v>
      </c>
      <c r="B71" s="89"/>
      <c r="C71" s="42"/>
      <c r="D71" s="42"/>
      <c r="E71" t="s">
        <v>223</v>
      </c>
      <c r="F71" t="s">
        <v>224</v>
      </c>
      <c r="H71" t="str">
        <f>IFERROR(INDEX('3. Kengetallen (DC-uitdraai)'!F:F,MATCH(Table1[[#This Row],[Milieuprofiel]],'3. Kengetallen (DC-uitdraai)'!D:D,0)),"")</f>
        <v>Cat.3 (30%)</v>
      </c>
      <c r="I71" s="26">
        <v>9</v>
      </c>
      <c r="J71" t="s">
        <v>93</v>
      </c>
      <c r="K71" t="str">
        <f>IF(ISTEXT(Table1[[#This Row],[Milieuprofiel]]),"Ja","Nee")</f>
        <v>Ja</v>
      </c>
      <c r="L71" s="27">
        <v>1</v>
      </c>
      <c r="M71" s="26">
        <f>Table1[[#This Row],[Volume]]*Table1[[#This Row],[Factor]]</f>
        <v>9</v>
      </c>
      <c r="N71" t="str">
        <f>IFERROR(INDEX('3. Kengetallen (DC-uitdraai)'!H:H,MATCH(Table1[[#This Row],[Milieuprofiel]],'3. Kengetallen (DC-uitdraai)'!D:D,0)),"")</f>
        <v>m1</v>
      </c>
      <c r="O71">
        <f>IFERROR(INDEX('3. Kengetallen (DC-uitdraai)'!I:I,MATCH(Table1[[#This Row],[Milieuprofiel]],'3. Kengetallen (DC-uitdraai)'!D:D,0)),0)</f>
        <v>50</v>
      </c>
      <c r="P71" s="125">
        <f>IFERROR(INDEX('3. Kengetallen (DC-uitdraai)'!P:P,MATCH(Table1[[#This Row],[Milieuprofiel]],'3. Kengetallen (DC-uitdraai)'!D:D,0))*Table1[[#This Row],[Hvd]]*(1+INDEX('3. Kengetallen (DC-uitdraai)'!K:K,MATCH(Table1[[#This Row],[Milieuprofiel]],'3. Kengetallen (DC-uitdraai)'!D:D,0))),0)</f>
        <v>304.24082722071557</v>
      </c>
      <c r="Q71" s="126">
        <f>IFERROR(INDEX('3. Kengetallen (DC-uitdraai)'!U:U,MATCH(Table1[[#This Row],[Milieuprofiel]],'3. Kengetallen (DC-uitdraai)'!D:D,0))*Table1[[#This Row],[Hvd]]*(1+INDEX('3. Kengetallen (DC-uitdraai)'!K:K,MATCH(Table1[[#This Row],[Milieuprofiel]],'3. Kengetallen (DC-uitdraai)'!D:D,0))),0)</f>
        <v>222.82856332456475</v>
      </c>
      <c r="R71" s="126">
        <f>IFERROR(INDEX('3. Kengetallen (DC-uitdraai)'!V:V,MATCH(Table1[[#This Row],[Milieuprofiel]],'3. Kengetallen (DC-uitdraai)'!D:D,0))*Table1[[#This Row],[Hvd]]*(1+INDEX('3. Kengetallen (DC-uitdraai)'!K:K,MATCH(Table1[[#This Row],[Milieuprofiel]],'3. Kengetallen (DC-uitdraai)'!D:D,0))),0)</f>
        <v>21.162724762158071</v>
      </c>
      <c r="S71" s="126">
        <f>IFERROR(INDEX('3. Kengetallen (DC-uitdraai)'!W:W,MATCH(Table1[[#This Row],[Milieuprofiel]],'3. Kengetallen (DC-uitdraai)'!D:D,0))*Table1[[#This Row],[Hvd]]*(1+INDEX('3. Kengetallen (DC-uitdraai)'!K:K,MATCH(Table1[[#This Row],[Milieuprofiel]],'3. Kengetallen (DC-uitdraai)'!D:D,0))),0)</f>
        <v>0</v>
      </c>
      <c r="T71" s="126">
        <f>IFERROR(INDEX('3. Kengetallen (DC-uitdraai)'!X:X,MATCH(Table1[[#This Row],[Milieuprofiel]],'3. Kengetallen (DC-uitdraai)'!D:D,0))*Table1[[#This Row],[Hvd]]*(1+INDEX('3. Kengetallen (DC-uitdraai)'!K:K,MATCH(Table1[[#This Row],[Milieuprofiel]],'3. Kengetallen (DC-uitdraai)'!D:D,0))),0)</f>
        <v>-23.319231416837322</v>
      </c>
      <c r="U71" s="126"/>
      <c r="V71" s="126"/>
      <c r="W71" s="126"/>
      <c r="X71" s="114">
        <f>IFERROR(INDEX('Eigen database'!P:P,MATCH(Table1[[#This Row],[Potentieel alternatief]],'Eigen database'!D:D,0))*Table1[[#This Row],[Hoeveelheid]]*(1+INDEX('Eigen database'!K:K,MATCH(Table1[[#This Row],[Potentieel alternatief]],'Eigen database'!D:D,0))),0)</f>
        <v>0</v>
      </c>
      <c r="Y71" s="126">
        <f>IF(Table1[[#This Row],[MKI A-D nieuw]]=0,Table1[[#This Row],[MKI A-D]],Table1[[#This Row],[MKI A-D nieuw]])</f>
        <v>304.24082722071557</v>
      </c>
      <c r="Z71" s="126"/>
      <c r="AA71" s="127">
        <f>IFERROR(INDEX('3. Kengetallen (DC-uitdraai)'!AM:AM,MATCH(Table1[[#This Row],[Milieuprofiel]],'3. Kengetallen (DC-uitdraai)'!C:C,0)),0)*Table1[[#This Row],[Hvd]]</f>
        <v>0</v>
      </c>
      <c r="AB71" s="127">
        <f>IFERROR(INDEX('3. Kengetallen (DC-uitdraai)'!AM:AM,MATCH(Table1[[#This Row],[Potentieel alternatief]],'3. Kengetallen (DC-uitdraai)'!C:C,0)),0)*Table1[[#This Row],[Hvd]]</f>
        <v>0</v>
      </c>
    </row>
    <row r="72" spans="1:28">
      <c r="A72" s="89" t="s">
        <v>225</v>
      </c>
      <c r="B72" s="89" t="s">
        <v>226</v>
      </c>
      <c r="C72" s="42" t="s">
        <v>216</v>
      </c>
      <c r="D72" s="42" t="s">
        <v>227</v>
      </c>
      <c r="E72" t="s">
        <v>228</v>
      </c>
      <c r="F72" t="s">
        <v>97</v>
      </c>
      <c r="G72" t="s">
        <v>105</v>
      </c>
      <c r="H72" t="str">
        <f>IFERROR(INDEX('3. Kengetallen (DC-uitdraai)'!F:F,MATCH(Table1[[#This Row],[Milieuprofiel]],'3. Kengetallen (DC-uitdraai)'!D:D,0)),"")</f>
        <v>Cat.3a</v>
      </c>
      <c r="I72" s="26">
        <v>2100</v>
      </c>
      <c r="J72" t="s">
        <v>112</v>
      </c>
      <c r="K72" t="str">
        <f>IF(ISTEXT(Table1[[#This Row],[Milieuprofiel]]),"Ja","Nee")</f>
        <v>Ja</v>
      </c>
      <c r="L72" s="74">
        <v>1.67E-2</v>
      </c>
      <c r="M72" s="26">
        <f>Table1[[#This Row],[Volume]]*Table1[[#This Row],[Factor]]</f>
        <v>35.07</v>
      </c>
      <c r="N72" t="str">
        <f>IFERROR(INDEX('3. Kengetallen (DC-uitdraai)'!H:H,MATCH(Table1[[#This Row],[Milieuprofiel]],'3. Kengetallen (DC-uitdraai)'!D:D,0)),"")</f>
        <v>uur</v>
      </c>
      <c r="O72">
        <f>IFERROR(INDEX('3. Kengetallen (DC-uitdraai)'!I:I,MATCH(Table1[[#This Row],[Milieuprofiel]],'3. Kengetallen (DC-uitdraai)'!D:D,0)),0)</f>
        <v>999</v>
      </c>
      <c r="P72" s="106">
        <f>IFERROR(INDEX('3. Kengetallen (DC-uitdraai)'!P:P,MATCH(Table1[[#This Row],[Milieuprofiel]],'3. Kengetallen (DC-uitdraai)'!D:D,0))*Table1[[#This Row],[Hvd]]*(1+INDEX('3. Kengetallen (DC-uitdraai)'!K:K,MATCH(Table1[[#This Row],[Milieuprofiel]],'3. Kengetallen (DC-uitdraai)'!D:D,0))),0)</f>
        <v>157.02533101427096</v>
      </c>
      <c r="Q72" s="16">
        <f>IFERROR(INDEX('3. Kengetallen (DC-uitdraai)'!U:U,MATCH(Table1[[#This Row],[Milieuprofiel]],'3. Kengetallen (DC-uitdraai)'!D:D,0))*Table1[[#This Row],[Hvd]]*(1+INDEX('3. Kengetallen (DC-uitdraai)'!K:K,MATCH(Table1[[#This Row],[Milieuprofiel]],'3. Kengetallen (DC-uitdraai)'!D:D,0))),0)</f>
        <v>0</v>
      </c>
      <c r="R72" s="16">
        <f>IFERROR(INDEX('3. Kengetallen (DC-uitdraai)'!V:V,MATCH(Table1[[#This Row],[Milieuprofiel]],'3. Kengetallen (DC-uitdraai)'!D:D,0))*Table1[[#This Row],[Hvd]]*(1+INDEX('3. Kengetallen (DC-uitdraai)'!K:K,MATCH(Table1[[#This Row],[Milieuprofiel]],'3. Kengetallen (DC-uitdraai)'!D:D,0))),0)</f>
        <v>157.02533101427096</v>
      </c>
      <c r="S72" s="16">
        <f>IFERROR(INDEX('3. Kengetallen (DC-uitdraai)'!W:W,MATCH(Table1[[#This Row],[Milieuprofiel]],'3. Kengetallen (DC-uitdraai)'!D:D,0))*Table1[[#This Row],[Hvd]]*(1+INDEX('3. Kengetallen (DC-uitdraai)'!K:K,MATCH(Table1[[#This Row],[Milieuprofiel]],'3. Kengetallen (DC-uitdraai)'!D:D,0))),0)</f>
        <v>0</v>
      </c>
      <c r="T72" s="16">
        <f>IFERROR(INDEX('3. Kengetallen (DC-uitdraai)'!X:X,MATCH(Table1[[#This Row],[Milieuprofiel]],'3. Kengetallen (DC-uitdraai)'!D:D,0))*Table1[[#This Row],[Hvd]]*(1+INDEX('3. Kengetallen (DC-uitdraai)'!K:K,MATCH(Table1[[#This Row],[Milieuprofiel]],'3. Kengetallen (DC-uitdraai)'!D:D,0))),0)</f>
        <v>0</v>
      </c>
      <c r="U72" s="111">
        <f>1/60</f>
        <v>1.6666666666666666E-2</v>
      </c>
      <c r="V72" s="43">
        <f>Table1[[#This Row],[Volume]]*Table1[[#This Row],[omrekenfactor]]</f>
        <v>35</v>
      </c>
      <c r="W72" s="43" t="str">
        <f>IFERROR(INDEX('Eigen database'!H:H,MATCH(Table1[[#This Row],[Potentieel alternatief]],'Eigen database'!D:D,0)),"")</f>
        <v>uur</v>
      </c>
      <c r="X72" s="108">
        <f>IFERROR(INDEX('Eigen database'!P:P,MATCH(Table1[[#This Row],[Potentieel alternatief]],'Eigen database'!D:D,0))*Table1[[#This Row],[Hoeveelheid]]*(1+INDEX('Eigen database'!K:K,MATCH(Table1[[#This Row],[Potentieel alternatief]],'Eigen database'!D:D,0))),0)</f>
        <v>58.450195793098501</v>
      </c>
      <c r="Y72" s="16">
        <f>IF(Table1[[#This Row],[MKI A-D nieuw]]=0,Table1[[#This Row],[MKI A-D]],Table1[[#This Row],[MKI A-D nieuw]])</f>
        <v>58.450195793098501</v>
      </c>
      <c r="Z72" s="16"/>
      <c r="AA72" s="28">
        <f>IFERROR(INDEX('3. Kengetallen (DC-uitdraai)'!AM:AM,MATCH(Table1[[#This Row],[Milieuprofiel]],'3. Kengetallen (DC-uitdraai)'!C:C,0)),0)*Table1[[#This Row],[Hvd]]</f>
        <v>0</v>
      </c>
      <c r="AB72" s="28">
        <f>IFERROR(INDEX('3. Kengetallen (DC-uitdraai)'!AM:AM,MATCH(Table1[[#This Row],[Potentieel alternatief]],'3. Kengetallen (DC-uitdraai)'!C:C,0)),0)*Table1[[#This Row],[Hvd]]</f>
        <v>0</v>
      </c>
    </row>
    <row r="73" spans="1:28">
      <c r="A73" s="88" t="s">
        <v>229</v>
      </c>
      <c r="B73" s="88" t="s">
        <v>230</v>
      </c>
      <c r="C73" s="42" t="s">
        <v>216</v>
      </c>
      <c r="D73" s="42" t="s">
        <v>227</v>
      </c>
      <c r="E73" t="s">
        <v>231</v>
      </c>
      <c r="F73" t="s">
        <v>232</v>
      </c>
      <c r="G73" t="s">
        <v>233</v>
      </c>
      <c r="H73" t="str">
        <f>IFERROR(INDEX('3. Kengetallen (DC-uitdraai)'!F:F,MATCH(Table1[[#This Row],[Milieuprofiel]],'3. Kengetallen (DC-uitdraai)'!D:D,0)),"")</f>
        <v>Cat.3 (30%)</v>
      </c>
      <c r="I73" s="26">
        <v>2100</v>
      </c>
      <c r="J73" t="s">
        <v>112</v>
      </c>
      <c r="K73" t="str">
        <f>IF(ISTEXT(Table1[[#This Row],[Milieuprofiel]]),"Ja","Nee")</f>
        <v>Ja</v>
      </c>
      <c r="L73" s="74">
        <v>2.5000000000000001E-2</v>
      </c>
      <c r="M73" s="26">
        <f>Table1[[#This Row],[Volume]]*Table1[[#This Row],[Factor]]</f>
        <v>52.5</v>
      </c>
      <c r="N73" t="str">
        <f>IFERROR(INDEX('3. Kengetallen (DC-uitdraai)'!H:H,MATCH(Table1[[#This Row],[Milieuprofiel]],'3. Kengetallen (DC-uitdraai)'!D:D,0)),"")</f>
        <v>uur</v>
      </c>
      <c r="O73">
        <f>IFERROR(INDEX('3. Kengetallen (DC-uitdraai)'!I:I,MATCH(Table1[[#This Row],[Milieuprofiel]],'3. Kengetallen (DC-uitdraai)'!D:D,0)),0)</f>
        <v>999</v>
      </c>
      <c r="P73" s="106">
        <f>IFERROR(INDEX('3. Kengetallen (DC-uitdraai)'!P:P,MATCH(Table1[[#This Row],[Milieuprofiel]],'3. Kengetallen (DC-uitdraai)'!D:D,0))*Table1[[#This Row],[Hvd]]*(1+INDEX('3. Kengetallen (DC-uitdraai)'!K:K,MATCH(Table1[[#This Row],[Milieuprofiel]],'3. Kengetallen (DC-uitdraai)'!D:D,0))),0)</f>
        <v>488.14899471651944</v>
      </c>
      <c r="Q73" s="16">
        <f>IFERROR(INDEX('3. Kengetallen (DC-uitdraai)'!U:U,MATCH(Table1[[#This Row],[Milieuprofiel]],'3. Kengetallen (DC-uitdraai)'!D:D,0))*Table1[[#This Row],[Hvd]]*(1+INDEX('3. Kengetallen (DC-uitdraai)'!K:K,MATCH(Table1[[#This Row],[Milieuprofiel]],'3. Kengetallen (DC-uitdraai)'!D:D,0))),0)</f>
        <v>0</v>
      </c>
      <c r="R73" s="16">
        <f>IFERROR(INDEX('3. Kengetallen (DC-uitdraai)'!V:V,MATCH(Table1[[#This Row],[Milieuprofiel]],'3. Kengetallen (DC-uitdraai)'!D:D,0))*Table1[[#This Row],[Hvd]]*(1+INDEX('3. Kengetallen (DC-uitdraai)'!K:K,MATCH(Table1[[#This Row],[Milieuprofiel]],'3. Kengetallen (DC-uitdraai)'!D:D,0))),0)</f>
        <v>375.49922326170758</v>
      </c>
      <c r="S73" s="16">
        <f>IFERROR(INDEX('3. Kengetallen (DC-uitdraai)'!W:W,MATCH(Table1[[#This Row],[Milieuprofiel]],'3. Kengetallen (DC-uitdraai)'!D:D,0))*Table1[[#This Row],[Hvd]]*(1+INDEX('3. Kengetallen (DC-uitdraai)'!K:K,MATCH(Table1[[#This Row],[Milieuprofiel]],'3. Kengetallen (DC-uitdraai)'!D:D,0))),0)</f>
        <v>0</v>
      </c>
      <c r="T73" s="16">
        <f>IFERROR(INDEX('3. Kengetallen (DC-uitdraai)'!X:X,MATCH(Table1[[#This Row],[Milieuprofiel]],'3. Kengetallen (DC-uitdraai)'!D:D,0))*Table1[[#This Row],[Hvd]]*(1+INDEX('3. Kengetallen (DC-uitdraai)'!K:K,MATCH(Table1[[#This Row],[Milieuprofiel]],'3. Kengetallen (DC-uitdraai)'!D:D,0))),0)</f>
        <v>0</v>
      </c>
      <c r="U73" s="74">
        <f>1/40</f>
        <v>2.5000000000000001E-2</v>
      </c>
      <c r="V73" s="43">
        <f>Table1[[#This Row],[Volume]]*Table1[[#This Row],[omrekenfactor]]</f>
        <v>52.5</v>
      </c>
      <c r="W73" s="43" t="str">
        <f>IFERROR(INDEX('Eigen database'!H:H,MATCH(Table1[[#This Row],[Potentieel alternatief]],'Eigen database'!D:D,0)),"")</f>
        <v>uur</v>
      </c>
      <c r="X73" s="108">
        <f>IFERROR(INDEX('Eigen database'!P:P,MATCH(Table1[[#This Row],[Potentieel alternatief]],'Eigen database'!D:D,0))*Table1[[#This Row],[Hoeveelheid]]*(1+INDEX('Eigen database'!K:K,MATCH(Table1[[#This Row],[Potentieel alternatief]],'Eigen database'!D:D,0))),0)</f>
        <v>69.030613830763727</v>
      </c>
      <c r="Y73" s="16">
        <f>IF(Table1[[#This Row],[MKI A-D nieuw]]=0,Table1[[#This Row],[MKI A-D]],Table1[[#This Row],[MKI A-D nieuw]])</f>
        <v>69.030613830763727</v>
      </c>
      <c r="Z73" s="16"/>
      <c r="AA73" s="28">
        <f>IFERROR(INDEX('3. Kengetallen (DC-uitdraai)'!AM:AM,MATCH(Table1[[#This Row],[Milieuprofiel]],'3. Kengetallen (DC-uitdraai)'!C:C,0)),0)*Table1[[#This Row],[Hvd]]</f>
        <v>0</v>
      </c>
      <c r="AB73" s="28">
        <f>IFERROR(INDEX('3. Kengetallen (DC-uitdraai)'!AM:AM,MATCH(Table1[[#This Row],[Potentieel alternatief]],'3. Kengetallen (DC-uitdraai)'!C:C,0)),0)*Table1[[#This Row],[Hvd]]</f>
        <v>0</v>
      </c>
    </row>
    <row r="74" spans="1:28">
      <c r="A74" s="89" t="s">
        <v>234</v>
      </c>
      <c r="B74" s="89" t="s">
        <v>235</v>
      </c>
      <c r="C74" s="42" t="s">
        <v>216</v>
      </c>
      <c r="D74" s="42" t="s">
        <v>227</v>
      </c>
      <c r="E74" t="s">
        <v>236</v>
      </c>
      <c r="F74" t="s">
        <v>237</v>
      </c>
      <c r="H74" t="str">
        <f>IFERROR(INDEX('3. Kengetallen (DC-uitdraai)'!F:F,MATCH(Table1[[#This Row],[Milieuprofiel]],'3. Kengetallen (DC-uitdraai)'!D:D,0)),"")</f>
        <v>Cat.3 (30%)</v>
      </c>
      <c r="I74" s="26">
        <v>380</v>
      </c>
      <c r="J74" t="s">
        <v>93</v>
      </c>
      <c r="K74" t="str">
        <f>IF(ISTEXT(Table1[[#This Row],[Milieuprofiel]]),"Ja","Nee")</f>
        <v>Ja</v>
      </c>
      <c r="L74" s="43">
        <v>1.55</v>
      </c>
      <c r="M74" s="26">
        <f>Table1[[#This Row],[Volume]]*Table1[[#This Row],[Factor]]</f>
        <v>589</v>
      </c>
      <c r="N74" t="str">
        <f>IFERROR(INDEX('3. Kengetallen (DC-uitdraai)'!H:H,MATCH(Table1[[#This Row],[Milieuprofiel]],'3. Kengetallen (DC-uitdraai)'!D:D,0)),"")</f>
        <v>m1</v>
      </c>
      <c r="O74">
        <f>IFERROR(INDEX('3. Kengetallen (DC-uitdraai)'!I:I,MATCH(Table1[[#This Row],[Milieuprofiel]],'3. Kengetallen (DC-uitdraai)'!D:D,0)),0)</f>
        <v>50</v>
      </c>
      <c r="P74" s="106">
        <f>IFERROR(INDEX('3. Kengetallen (DC-uitdraai)'!P:P,MATCH(Table1[[#This Row],[Milieuprofiel]],'3. Kengetallen (DC-uitdraai)'!D:D,0))*Table1[[#This Row],[Hvd]]*(1+INDEX('3. Kengetallen (DC-uitdraai)'!K:K,MATCH(Table1[[#This Row],[Milieuprofiel]],'3. Kengetallen (DC-uitdraai)'!D:D,0))),0)</f>
        <v>2021.3457456465787</v>
      </c>
      <c r="Q74" s="16">
        <f>IFERROR(INDEX('3. Kengetallen (DC-uitdraai)'!U:U,MATCH(Table1[[#This Row],[Milieuprofiel]],'3. Kengetallen (DC-uitdraai)'!D:D,0))*Table1[[#This Row],[Hvd]]*(1+INDEX('3. Kengetallen (DC-uitdraai)'!K:K,MATCH(Table1[[#This Row],[Milieuprofiel]],'3. Kengetallen (DC-uitdraai)'!D:D,0))),0)</f>
        <v>1021.9769133194179</v>
      </c>
      <c r="R74" s="16">
        <f>IFERROR(INDEX('3. Kengetallen (DC-uitdraai)'!V:V,MATCH(Table1[[#This Row],[Milieuprofiel]],'3. Kengetallen (DC-uitdraai)'!D:D,0))*Table1[[#This Row],[Hvd]]*(1+INDEX('3. Kengetallen (DC-uitdraai)'!K:K,MATCH(Table1[[#This Row],[Milieuprofiel]],'3. Kengetallen (DC-uitdraai)'!D:D,0))),0)</f>
        <v>511.37284270845595</v>
      </c>
      <c r="S74" s="16">
        <f>IFERROR(INDEX('3. Kengetallen (DC-uitdraai)'!W:W,MATCH(Table1[[#This Row],[Milieuprofiel]],'3. Kengetallen (DC-uitdraai)'!D:D,0))*Table1[[#This Row],[Hvd]]*(1+INDEX('3. Kengetallen (DC-uitdraai)'!K:K,MATCH(Table1[[#This Row],[Milieuprofiel]],'3. Kengetallen (DC-uitdraai)'!D:D,0))),0)</f>
        <v>0</v>
      </c>
      <c r="T74" s="16">
        <f>IFERROR(INDEX('3. Kengetallen (DC-uitdraai)'!X:X,MATCH(Table1[[#This Row],[Milieuprofiel]],'3. Kengetallen (DC-uitdraai)'!D:D,0))*Table1[[#This Row],[Hvd]]*(1+INDEX('3. Kengetallen (DC-uitdraai)'!K:K,MATCH(Table1[[#This Row],[Milieuprofiel]],'3. Kengetallen (DC-uitdraai)'!D:D,0))),0)</f>
        <v>18.008102684541502</v>
      </c>
      <c r="U74" s="16"/>
      <c r="V74" s="43"/>
      <c r="W74" s="43" t="str">
        <f>IFERROR(INDEX('Eigen database'!H:H,MATCH(Table1[[#This Row],[Potentieel alternatief]],'Eigen database'!D:D,0)),"")</f>
        <v/>
      </c>
      <c r="X74" s="108">
        <f>IFERROR(INDEX('Eigen database'!P:P,MATCH(Table1[[#This Row],[Potentieel alternatief]],'Eigen database'!D:D,0))*Table1[[#This Row],[Hoeveelheid]]*(1+INDEX('Eigen database'!K:K,MATCH(Table1[[#This Row],[Potentieel alternatief]],'Eigen database'!D:D,0))),0)</f>
        <v>0</v>
      </c>
      <c r="Y74" s="16">
        <f>IF(Table1[[#This Row],[MKI A-D nieuw]]=0,Table1[[#This Row],[MKI A-D]],Table1[[#This Row],[MKI A-D nieuw]])</f>
        <v>2021.3457456465787</v>
      </c>
      <c r="Z74" s="16"/>
      <c r="AA74" s="28">
        <f>IFERROR(INDEX('3. Kengetallen (DC-uitdraai)'!AM:AM,MATCH(Table1[[#This Row],[Milieuprofiel]],'3. Kengetallen (DC-uitdraai)'!C:C,0)),0)*Table1[[#This Row],[Hvd]]</f>
        <v>0</v>
      </c>
      <c r="AB74" s="28">
        <f>IFERROR(INDEX('3. Kengetallen (DC-uitdraai)'!AM:AM,MATCH(Table1[[#This Row],[Potentieel alternatief]],'3. Kengetallen (DC-uitdraai)'!C:C,0)),0)*Table1[[#This Row],[Hvd]]</f>
        <v>0</v>
      </c>
    </row>
    <row r="75" spans="1:28">
      <c r="A75" s="88" t="s">
        <v>238</v>
      </c>
      <c r="B75" s="88" t="s">
        <v>226</v>
      </c>
      <c r="C75" s="42" t="s">
        <v>216</v>
      </c>
      <c r="D75" s="42" t="s">
        <v>227</v>
      </c>
      <c r="E75" t="s">
        <v>239</v>
      </c>
      <c r="F75" t="s">
        <v>240</v>
      </c>
      <c r="G75" t="s">
        <v>241</v>
      </c>
      <c r="H75" t="str">
        <f>IFERROR(INDEX('3. Kengetallen (DC-uitdraai)'!F:F,MATCH(Table1[[#This Row],[Milieuprofiel]],'3. Kengetallen (DC-uitdraai)'!D:D,0)),"")</f>
        <v>Cat.3 (30%)</v>
      </c>
      <c r="I75" s="26">
        <v>120</v>
      </c>
      <c r="J75" t="s">
        <v>112</v>
      </c>
      <c r="K75" t="str">
        <f>IF(ISTEXT(Table1[[#This Row],[Milieuprofiel]]),"Ja","Nee")</f>
        <v>Ja</v>
      </c>
      <c r="L75" s="74">
        <f>1/60</f>
        <v>1.6666666666666666E-2</v>
      </c>
      <c r="M75" s="26">
        <f>Table1[[#This Row],[Volume]]*Table1[[#This Row],[Factor]]</f>
        <v>2</v>
      </c>
      <c r="N75" t="str">
        <f>IFERROR(INDEX('3. Kengetallen (DC-uitdraai)'!H:H,MATCH(Table1[[#This Row],[Milieuprofiel]],'3. Kengetallen (DC-uitdraai)'!D:D,0)),"")</f>
        <v>uur</v>
      </c>
      <c r="O75">
        <f>IFERROR(INDEX('3. Kengetallen (DC-uitdraai)'!I:I,MATCH(Table1[[#This Row],[Milieuprofiel]],'3. Kengetallen (DC-uitdraai)'!D:D,0)),0)</f>
        <v>999</v>
      </c>
      <c r="P75" s="106">
        <f>IFERROR(INDEX('3. Kengetallen (DC-uitdraai)'!P:P,MATCH(Table1[[#This Row],[Milieuprofiel]],'3. Kengetallen (DC-uitdraai)'!D:D,0))*Table1[[#This Row],[Hvd]]*(1+INDEX('3. Kengetallen (DC-uitdraai)'!K:K,MATCH(Table1[[#This Row],[Milieuprofiel]],'3. Kengetallen (DC-uitdraai)'!D:D,0))),0)</f>
        <v>12.91240515450388</v>
      </c>
      <c r="Q75" s="16">
        <f>IFERROR(INDEX('3. Kengetallen (DC-uitdraai)'!U:U,MATCH(Table1[[#This Row],[Milieuprofiel]],'3. Kengetallen (DC-uitdraai)'!D:D,0))*Table1[[#This Row],[Hvd]]*(1+INDEX('3. Kengetallen (DC-uitdraai)'!K:K,MATCH(Table1[[#This Row],[Milieuprofiel]],'3. Kengetallen (DC-uitdraai)'!D:D,0))),0)</f>
        <v>0</v>
      </c>
      <c r="R75" s="16">
        <f>IFERROR(INDEX('3. Kengetallen (DC-uitdraai)'!V:V,MATCH(Table1[[#This Row],[Milieuprofiel]],'3. Kengetallen (DC-uitdraai)'!D:D,0))*Table1[[#This Row],[Hvd]]*(1+INDEX('3. Kengetallen (DC-uitdraai)'!K:K,MATCH(Table1[[#This Row],[Milieuprofiel]],'3. Kengetallen (DC-uitdraai)'!D:D,0))),0)</f>
        <v>9.9326192585367927</v>
      </c>
      <c r="S75" s="16">
        <f>IFERROR(INDEX('3. Kengetallen (DC-uitdraai)'!W:W,MATCH(Table1[[#This Row],[Milieuprofiel]],'3. Kengetallen (DC-uitdraai)'!D:D,0))*Table1[[#This Row],[Hvd]]*(1+INDEX('3. Kengetallen (DC-uitdraai)'!K:K,MATCH(Table1[[#This Row],[Milieuprofiel]],'3. Kengetallen (DC-uitdraai)'!D:D,0))),0)</f>
        <v>0</v>
      </c>
      <c r="T75" s="16">
        <f>IFERROR(INDEX('3. Kengetallen (DC-uitdraai)'!X:X,MATCH(Table1[[#This Row],[Milieuprofiel]],'3. Kengetallen (DC-uitdraai)'!D:D,0))*Table1[[#This Row],[Hvd]]*(1+INDEX('3. Kengetallen (DC-uitdraai)'!K:K,MATCH(Table1[[#This Row],[Milieuprofiel]],'3. Kengetallen (DC-uitdraai)'!D:D,0))),0)</f>
        <v>0</v>
      </c>
      <c r="U75" s="74">
        <f>1/60</f>
        <v>1.6666666666666666E-2</v>
      </c>
      <c r="V75" s="43">
        <f>Table1[[#This Row],[Volume]]*Table1[[#This Row],[omrekenfactor]]</f>
        <v>2</v>
      </c>
      <c r="W75" s="43" t="str">
        <f>IFERROR(INDEX('Eigen database'!H:H,MATCH(Table1[[#This Row],[Potentieel alternatief]],'Eigen database'!D:D,0)),"")</f>
        <v>uur</v>
      </c>
      <c r="X75" s="108">
        <f>IFERROR(INDEX('Eigen database'!P:P,MATCH(Table1[[#This Row],[Potentieel alternatief]],'Eigen database'!D:D,0))*Table1[[#This Row],[Hoeveelheid]]*(1+INDEX('Eigen database'!K:K,MATCH(Table1[[#This Row],[Potentieel alternatief]],'Eigen database'!D:D,0))),0)</f>
        <v>4.9829726459209231</v>
      </c>
      <c r="Y75" s="16">
        <f>IF(Table1[[#This Row],[MKI A-D nieuw]]=0,Table1[[#This Row],[MKI A-D]],Table1[[#This Row],[MKI A-D nieuw]])</f>
        <v>4.9829726459209231</v>
      </c>
      <c r="Z75" s="16"/>
      <c r="AA75" s="28">
        <f>IFERROR(INDEX('3. Kengetallen (DC-uitdraai)'!AM:AM,MATCH(Table1[[#This Row],[Milieuprofiel]],'3. Kengetallen (DC-uitdraai)'!C:C,0)),0)*Table1[[#This Row],[Hvd]]</f>
        <v>0</v>
      </c>
      <c r="AB75" s="28">
        <f>IFERROR(INDEX('3. Kengetallen (DC-uitdraai)'!AM:AM,MATCH(Table1[[#This Row],[Potentieel alternatief]],'3. Kengetallen (DC-uitdraai)'!C:C,0)),0)*Table1[[#This Row],[Hvd]]</f>
        <v>0</v>
      </c>
    </row>
    <row r="76" spans="1:28">
      <c r="A76" s="89" t="s">
        <v>242</v>
      </c>
      <c r="B76" s="89" t="s">
        <v>230</v>
      </c>
      <c r="C76" s="42" t="s">
        <v>216</v>
      </c>
      <c r="D76" s="42" t="s">
        <v>227</v>
      </c>
      <c r="E76" t="s">
        <v>243</v>
      </c>
      <c r="F76" t="s">
        <v>232</v>
      </c>
      <c r="G76" t="s">
        <v>233</v>
      </c>
      <c r="H76" t="str">
        <f>IFERROR(INDEX('3. Kengetallen (DC-uitdraai)'!F:F,MATCH(Table1[[#This Row],[Milieuprofiel]],'3. Kengetallen (DC-uitdraai)'!D:D,0)),"")</f>
        <v>Cat.3 (30%)</v>
      </c>
      <c r="I76" s="26">
        <v>120</v>
      </c>
      <c r="J76" t="s">
        <v>112</v>
      </c>
      <c r="K76" t="str">
        <f>IF(ISTEXT(Table1[[#This Row],[Milieuprofiel]]),"Ja","Nee")</f>
        <v>Ja</v>
      </c>
      <c r="L76" s="74">
        <f>1/40</f>
        <v>2.5000000000000001E-2</v>
      </c>
      <c r="M76" s="26">
        <f>Table1[[#This Row],[Volume]]*Table1[[#This Row],[Factor]]</f>
        <v>3</v>
      </c>
      <c r="N76" t="str">
        <f>IFERROR(INDEX('3. Kengetallen (DC-uitdraai)'!H:H,MATCH(Table1[[#This Row],[Milieuprofiel]],'3. Kengetallen (DC-uitdraai)'!D:D,0)),"")</f>
        <v>uur</v>
      </c>
      <c r="O76">
        <f>IFERROR(INDEX('3. Kengetallen (DC-uitdraai)'!I:I,MATCH(Table1[[#This Row],[Milieuprofiel]],'3. Kengetallen (DC-uitdraai)'!D:D,0)),0)</f>
        <v>999</v>
      </c>
      <c r="P76" s="106">
        <f>IFERROR(INDEX('3. Kengetallen (DC-uitdraai)'!P:P,MATCH(Table1[[#This Row],[Milieuprofiel]],'3. Kengetallen (DC-uitdraai)'!D:D,0))*Table1[[#This Row],[Hvd]]*(1+INDEX('3. Kengetallen (DC-uitdraai)'!K:K,MATCH(Table1[[#This Row],[Milieuprofiel]],'3. Kengetallen (DC-uitdraai)'!D:D,0))),0)</f>
        <v>27.894228269515395</v>
      </c>
      <c r="Q76" s="16">
        <f>IFERROR(INDEX('3. Kengetallen (DC-uitdraai)'!U:U,MATCH(Table1[[#This Row],[Milieuprofiel]],'3. Kengetallen (DC-uitdraai)'!D:D,0))*Table1[[#This Row],[Hvd]]*(1+INDEX('3. Kengetallen (DC-uitdraai)'!K:K,MATCH(Table1[[#This Row],[Milieuprofiel]],'3. Kengetallen (DC-uitdraai)'!D:D,0))),0)</f>
        <v>0</v>
      </c>
      <c r="R76" s="16">
        <f>IFERROR(INDEX('3. Kengetallen (DC-uitdraai)'!V:V,MATCH(Table1[[#This Row],[Milieuprofiel]],'3. Kengetallen (DC-uitdraai)'!D:D,0))*Table1[[#This Row],[Hvd]]*(1+INDEX('3. Kengetallen (DC-uitdraai)'!K:K,MATCH(Table1[[#This Row],[Milieuprofiel]],'3. Kengetallen (DC-uitdraai)'!D:D,0))),0)</f>
        <v>21.457098472097577</v>
      </c>
      <c r="S76" s="16">
        <f>IFERROR(INDEX('3. Kengetallen (DC-uitdraai)'!W:W,MATCH(Table1[[#This Row],[Milieuprofiel]],'3. Kengetallen (DC-uitdraai)'!D:D,0))*Table1[[#This Row],[Hvd]]*(1+INDEX('3. Kengetallen (DC-uitdraai)'!K:K,MATCH(Table1[[#This Row],[Milieuprofiel]],'3. Kengetallen (DC-uitdraai)'!D:D,0))),0)</f>
        <v>0</v>
      </c>
      <c r="T76" s="16">
        <f>IFERROR(INDEX('3. Kengetallen (DC-uitdraai)'!X:X,MATCH(Table1[[#This Row],[Milieuprofiel]],'3. Kengetallen (DC-uitdraai)'!D:D,0))*Table1[[#This Row],[Hvd]]*(1+INDEX('3. Kengetallen (DC-uitdraai)'!K:K,MATCH(Table1[[#This Row],[Milieuprofiel]],'3. Kengetallen (DC-uitdraai)'!D:D,0))),0)</f>
        <v>0</v>
      </c>
      <c r="U76" s="74">
        <f>1/40</f>
        <v>2.5000000000000001E-2</v>
      </c>
      <c r="V76" s="43">
        <f>Table1[[#This Row],[Volume]]*Table1[[#This Row],[omrekenfactor]]</f>
        <v>3</v>
      </c>
      <c r="W76" s="43" t="str">
        <f>IFERROR(INDEX('Eigen database'!H:H,MATCH(Table1[[#This Row],[Potentieel alternatief]],'Eigen database'!D:D,0)),"")</f>
        <v>uur</v>
      </c>
      <c r="X76" s="108">
        <f>IFERROR(INDEX('Eigen database'!P:P,MATCH(Table1[[#This Row],[Potentieel alternatief]],'Eigen database'!D:D,0))*Table1[[#This Row],[Hoeveelheid]]*(1+INDEX('Eigen database'!K:K,MATCH(Table1[[#This Row],[Potentieel alternatief]],'Eigen database'!D:D,0))),0)</f>
        <v>3.94460650461507</v>
      </c>
      <c r="Y76" s="16">
        <f>IF(Table1[[#This Row],[MKI A-D nieuw]]=0,Table1[[#This Row],[MKI A-D]],Table1[[#This Row],[MKI A-D nieuw]])</f>
        <v>3.94460650461507</v>
      </c>
      <c r="Z76" s="16"/>
      <c r="AA76" s="28">
        <f>IFERROR(INDEX('3. Kengetallen (DC-uitdraai)'!AM:AM,MATCH(Table1[[#This Row],[Milieuprofiel]],'3. Kengetallen (DC-uitdraai)'!C:C,0)),0)*Table1[[#This Row],[Hvd]]</f>
        <v>0</v>
      </c>
      <c r="AB76" s="28">
        <f>IFERROR(INDEX('3. Kengetallen (DC-uitdraai)'!AM:AM,MATCH(Table1[[#This Row],[Potentieel alternatief]],'3. Kengetallen (DC-uitdraai)'!C:C,0)),0)*Table1[[#This Row],[Hvd]]</f>
        <v>0</v>
      </c>
    </row>
    <row r="77" spans="1:28">
      <c r="A77" s="88" t="s">
        <v>244</v>
      </c>
      <c r="B77" s="88" t="s">
        <v>235</v>
      </c>
      <c r="C77" s="42" t="s">
        <v>216</v>
      </c>
      <c r="D77" s="42" t="s">
        <v>227</v>
      </c>
      <c r="E77" t="s">
        <v>245</v>
      </c>
      <c r="F77" t="s">
        <v>246</v>
      </c>
      <c r="H77" t="str">
        <f>IFERROR(INDEX('3. Kengetallen (DC-uitdraai)'!F:F,MATCH(Table1[[#This Row],[Milieuprofiel]],'3. Kengetallen (DC-uitdraai)'!D:D,0)),"")</f>
        <v>Cat.3 (30%)</v>
      </c>
      <c r="I77" s="26">
        <v>27</v>
      </c>
      <c r="J77" t="s">
        <v>93</v>
      </c>
      <c r="K77" t="str">
        <f>IF(ISTEXT(Table1[[#This Row],[Milieuprofiel]]),"Ja","Nee")</f>
        <v>Ja</v>
      </c>
      <c r="L77" s="27">
        <v>3.73</v>
      </c>
      <c r="M77" s="26">
        <f>Table1[[#This Row],[Volume]]*Table1[[#This Row],[Factor]]</f>
        <v>100.71</v>
      </c>
      <c r="N77" t="str">
        <f>IFERROR(INDEX('3. Kengetallen (DC-uitdraai)'!H:H,MATCH(Table1[[#This Row],[Milieuprofiel]],'3. Kengetallen (DC-uitdraai)'!D:D,0)),"")</f>
        <v>m1</v>
      </c>
      <c r="O77">
        <f>IFERROR(INDEX('3. Kengetallen (DC-uitdraai)'!I:I,MATCH(Table1[[#This Row],[Milieuprofiel]],'3. Kengetallen (DC-uitdraai)'!D:D,0)),0)</f>
        <v>50</v>
      </c>
      <c r="P77" s="106">
        <f>IFERROR(INDEX('3. Kengetallen (DC-uitdraai)'!P:P,MATCH(Table1[[#This Row],[Milieuprofiel]],'3. Kengetallen (DC-uitdraai)'!D:D,0))*Table1[[#This Row],[Hvd]]*(1+INDEX('3. Kengetallen (DC-uitdraai)'!K:K,MATCH(Table1[[#This Row],[Milieuprofiel]],'3. Kengetallen (DC-uitdraai)'!D:D,0))),0)</f>
        <v>47.018880575432853</v>
      </c>
      <c r="Q77" s="16">
        <f>IFERROR(INDEX('3. Kengetallen (DC-uitdraai)'!U:U,MATCH(Table1[[#This Row],[Milieuprofiel]],'3. Kengetallen (DC-uitdraai)'!D:D,0))*Table1[[#This Row],[Hvd]]*(1+INDEX('3. Kengetallen (DC-uitdraai)'!K:K,MATCH(Table1[[#This Row],[Milieuprofiel]],'3. Kengetallen (DC-uitdraai)'!D:D,0))),0)</f>
        <v>18.22267491427986</v>
      </c>
      <c r="R77" s="16">
        <f>IFERROR(INDEX('3. Kengetallen (DC-uitdraai)'!V:V,MATCH(Table1[[#This Row],[Milieuprofiel]],'3. Kengetallen (DC-uitdraai)'!D:D,0))*Table1[[#This Row],[Hvd]]*(1+INDEX('3. Kengetallen (DC-uitdraai)'!K:K,MATCH(Table1[[#This Row],[Milieuprofiel]],'3. Kengetallen (DC-uitdraai)'!D:D,0))),0)</f>
        <v>17.25658422455577</v>
      </c>
      <c r="S77" s="16">
        <f>IFERROR(INDEX('3. Kengetallen (DC-uitdraai)'!W:W,MATCH(Table1[[#This Row],[Milieuprofiel]],'3. Kengetallen (DC-uitdraai)'!D:D,0))*Table1[[#This Row],[Hvd]]*(1+INDEX('3. Kengetallen (DC-uitdraai)'!K:K,MATCH(Table1[[#This Row],[Milieuprofiel]],'3. Kengetallen (DC-uitdraai)'!D:D,0))),0)</f>
        <v>0</v>
      </c>
      <c r="T77" s="16">
        <f>IFERROR(INDEX('3. Kengetallen (DC-uitdraai)'!X:X,MATCH(Table1[[#This Row],[Milieuprofiel]],'3. Kengetallen (DC-uitdraai)'!D:D,0))*Table1[[#This Row],[Hvd]]*(1+INDEX('3. Kengetallen (DC-uitdraai)'!K:K,MATCH(Table1[[#This Row],[Milieuprofiel]],'3. Kengetallen (DC-uitdraai)'!D:D,0))),0)</f>
        <v>0.61135403363155361</v>
      </c>
      <c r="U77" s="16"/>
      <c r="V77" s="16"/>
      <c r="W77" s="43" t="str">
        <f>IFERROR(INDEX('Eigen database'!H:H,MATCH(Table1[[#This Row],[Potentieel alternatief]],'Eigen database'!D:D,0)),"")</f>
        <v/>
      </c>
      <c r="X77" s="108">
        <f>IFERROR(INDEX('Eigen database'!P:P,MATCH(Table1[[#This Row],[Potentieel alternatief]],'Eigen database'!D:D,0))*Table1[[#This Row],[Hoeveelheid]]*(1+INDEX('Eigen database'!K:K,MATCH(Table1[[#This Row],[Potentieel alternatief]],'Eigen database'!D:D,0))),0)</f>
        <v>0</v>
      </c>
      <c r="Y77" s="16">
        <f>IF(Table1[[#This Row],[MKI A-D nieuw]]=0,Table1[[#This Row],[MKI A-D]],Table1[[#This Row],[MKI A-D nieuw]])</f>
        <v>47.018880575432853</v>
      </c>
      <c r="Z77" s="16"/>
      <c r="AA77" s="28">
        <f>IFERROR(INDEX('3. Kengetallen (DC-uitdraai)'!AM:AM,MATCH(Table1[[#This Row],[Milieuprofiel]],'3. Kengetallen (DC-uitdraai)'!C:C,0)),0)*Table1[[#This Row],[Hvd]]</f>
        <v>0</v>
      </c>
      <c r="AB77" s="28">
        <f>IFERROR(INDEX('3. Kengetallen (DC-uitdraai)'!AM:AM,MATCH(Table1[[#This Row],[Potentieel alternatief]],'3. Kengetallen (DC-uitdraai)'!C:C,0)),0)*Table1[[#This Row],[Hvd]]</f>
        <v>0</v>
      </c>
    </row>
    <row r="78" spans="1:28">
      <c r="A78" s="89" t="s">
        <v>247</v>
      </c>
      <c r="B78" s="89" t="s">
        <v>235</v>
      </c>
      <c r="C78" s="42" t="s">
        <v>216</v>
      </c>
      <c r="D78" s="42" t="s">
        <v>227</v>
      </c>
      <c r="E78" t="s">
        <v>248</v>
      </c>
      <c r="F78" t="s">
        <v>237</v>
      </c>
      <c r="H78" t="str">
        <f>IFERROR(INDEX('3. Kengetallen (DC-uitdraai)'!F:F,MATCH(Table1[[#This Row],[Milieuprofiel]],'3. Kengetallen (DC-uitdraai)'!D:D,0)),"")</f>
        <v>Cat.3 (30%)</v>
      </c>
      <c r="I78" s="26">
        <v>100</v>
      </c>
      <c r="J78" t="s">
        <v>93</v>
      </c>
      <c r="K78" t="str">
        <f>IF(ISTEXT(Table1[[#This Row],[Milieuprofiel]]),"Ja","Nee")</f>
        <v>Ja</v>
      </c>
      <c r="L78" s="27">
        <v>0.64</v>
      </c>
      <c r="M78" s="26">
        <f>Table1[[#This Row],[Volume]]*Table1[[#This Row],[Factor]]</f>
        <v>64</v>
      </c>
      <c r="N78" t="str">
        <f>IFERROR(INDEX('3. Kengetallen (DC-uitdraai)'!H:H,MATCH(Table1[[#This Row],[Milieuprofiel]],'3. Kengetallen (DC-uitdraai)'!D:D,0)),"")</f>
        <v>m1</v>
      </c>
      <c r="O78">
        <f>IFERROR(INDEX('3. Kengetallen (DC-uitdraai)'!I:I,MATCH(Table1[[#This Row],[Milieuprofiel]],'3. Kengetallen (DC-uitdraai)'!D:D,0)),0)</f>
        <v>50</v>
      </c>
      <c r="P78" s="106">
        <f>IFERROR(INDEX('3. Kengetallen (DC-uitdraai)'!P:P,MATCH(Table1[[#This Row],[Milieuprofiel]],'3. Kengetallen (DC-uitdraai)'!D:D,0))*Table1[[#This Row],[Hvd]]*(1+INDEX('3. Kengetallen (DC-uitdraai)'!K:K,MATCH(Table1[[#This Row],[Milieuprofiel]],'3. Kengetallen (DC-uitdraai)'!D:D,0))),0)</f>
        <v>219.6368891704262</v>
      </c>
      <c r="Q78" s="16">
        <f>IFERROR(INDEX('3. Kengetallen (DC-uitdraai)'!U:U,MATCH(Table1[[#This Row],[Milieuprofiel]],'3. Kengetallen (DC-uitdraai)'!D:D,0))*Table1[[#This Row],[Hvd]]*(1+INDEX('3. Kengetallen (DC-uitdraai)'!K:K,MATCH(Table1[[#This Row],[Milieuprofiel]],'3. Kengetallen (DC-uitdraai)'!D:D,0))),0)</f>
        <v>111.04672742350212</v>
      </c>
      <c r="R78" s="16">
        <f>IFERROR(INDEX('3. Kengetallen (DC-uitdraai)'!V:V,MATCH(Table1[[#This Row],[Milieuprofiel]],'3. Kengetallen (DC-uitdraai)'!D:D,0))*Table1[[#This Row],[Hvd]]*(1+INDEX('3. Kengetallen (DC-uitdraai)'!K:K,MATCH(Table1[[#This Row],[Milieuprofiel]],'3. Kengetallen (DC-uitdraai)'!D:D,0))),0)</f>
        <v>55.565130616878065</v>
      </c>
      <c r="S78" s="16">
        <f>IFERROR(INDEX('3. Kengetallen (DC-uitdraai)'!W:W,MATCH(Table1[[#This Row],[Milieuprofiel]],'3. Kengetallen (DC-uitdraai)'!D:D,0))*Table1[[#This Row],[Hvd]]*(1+INDEX('3. Kengetallen (DC-uitdraai)'!K:K,MATCH(Table1[[#This Row],[Milieuprofiel]],'3. Kengetallen (DC-uitdraai)'!D:D,0))),0)</f>
        <v>0</v>
      </c>
      <c r="T78" s="16">
        <f>IFERROR(INDEX('3. Kengetallen (DC-uitdraai)'!X:X,MATCH(Table1[[#This Row],[Milieuprofiel]],'3. Kengetallen (DC-uitdraai)'!D:D,0))*Table1[[#This Row],[Hvd]]*(1+INDEX('3. Kengetallen (DC-uitdraai)'!K:K,MATCH(Table1[[#This Row],[Milieuprofiel]],'3. Kengetallen (DC-uitdraai)'!D:D,0))),0)</f>
        <v>1.9567378129213175</v>
      </c>
      <c r="U78" s="16"/>
      <c r="V78" s="16"/>
      <c r="W78" s="16"/>
      <c r="X78" s="108">
        <f>IFERROR(INDEX('Eigen database'!P:P,MATCH(Table1[[#This Row],[Potentieel alternatief]],'Eigen database'!D:D,0))*Table1[[#This Row],[Hoeveelheid]]*(1+INDEX('Eigen database'!K:K,MATCH(Table1[[#This Row],[Potentieel alternatief]],'Eigen database'!D:D,0))),0)</f>
        <v>0</v>
      </c>
      <c r="Y78" s="16">
        <f>IF(Table1[[#This Row],[MKI A-D nieuw]]=0,Table1[[#This Row],[MKI A-D]],Table1[[#This Row],[MKI A-D nieuw]])</f>
        <v>219.6368891704262</v>
      </c>
      <c r="Z78" s="16"/>
      <c r="AA78" s="28">
        <f>IFERROR(INDEX('3. Kengetallen (DC-uitdraai)'!AM:AM,MATCH(Table1[[#This Row],[Milieuprofiel]],'3. Kengetallen (DC-uitdraai)'!C:C,0)),0)*Table1[[#This Row],[Hvd]]</f>
        <v>0</v>
      </c>
      <c r="AB78" s="28">
        <f>IFERROR(INDEX('3. Kengetallen (DC-uitdraai)'!AM:AM,MATCH(Table1[[#This Row],[Potentieel alternatief]],'3. Kengetallen (DC-uitdraai)'!C:C,0)),0)*Table1[[#This Row],[Hvd]]</f>
        <v>0</v>
      </c>
    </row>
    <row r="79" spans="1:28">
      <c r="A79" s="88" t="s">
        <v>249</v>
      </c>
      <c r="B79" s="88" t="s">
        <v>250</v>
      </c>
      <c r="C79" s="42" t="s">
        <v>216</v>
      </c>
      <c r="D79" s="42" t="s">
        <v>227</v>
      </c>
      <c r="E79" t="s">
        <v>251</v>
      </c>
      <c r="F79" t="s">
        <v>252</v>
      </c>
      <c r="H79" t="str">
        <f>IFERROR(INDEX('3. Kengetallen (DC-uitdraai)'!F:F,MATCH(Table1[[#This Row],[Milieuprofiel]],'3. Kengetallen (DC-uitdraai)'!D:D,0)),"")</f>
        <v>Cat.3 (30%)</v>
      </c>
      <c r="I79" s="26">
        <v>54</v>
      </c>
      <c r="J79" t="s">
        <v>132</v>
      </c>
      <c r="K79" t="str">
        <f>IF(ISTEXT(Table1[[#This Row],[Milieuprofiel]]),"Ja","Nee")</f>
        <v>Ja</v>
      </c>
      <c r="L79" s="27">
        <f>2.13/3.44</f>
        <v>0.6191860465116279</v>
      </c>
      <c r="M79" s="26">
        <f>Table1[[#This Row],[Volume]]*Table1[[#This Row],[Factor]]</f>
        <v>33.436046511627907</v>
      </c>
      <c r="N79" t="str">
        <f>IFERROR(INDEX('3. Kengetallen (DC-uitdraai)'!H:H,MATCH(Table1[[#This Row],[Milieuprofiel]],'3. Kengetallen (DC-uitdraai)'!D:D,0)),"")</f>
        <v>p</v>
      </c>
      <c r="O79">
        <f>IFERROR(INDEX('3. Kengetallen (DC-uitdraai)'!I:I,MATCH(Table1[[#This Row],[Milieuprofiel]],'3. Kengetallen (DC-uitdraai)'!D:D,0)),0)</f>
        <v>50</v>
      </c>
      <c r="P79" s="106">
        <f>IFERROR(INDEX('3. Kengetallen (DC-uitdraai)'!P:P,MATCH(Table1[[#This Row],[Milieuprofiel]],'3. Kengetallen (DC-uitdraai)'!D:D,0))*Table1[[#This Row],[Hvd]]*(1+INDEX('3. Kengetallen (DC-uitdraai)'!K:K,MATCH(Table1[[#This Row],[Milieuprofiel]],'3. Kengetallen (DC-uitdraai)'!D:D,0))),0)</f>
        <v>33.352584255106649</v>
      </c>
      <c r="Q79" s="16">
        <f>IFERROR(INDEX('3. Kengetallen (DC-uitdraai)'!U:U,MATCH(Table1[[#This Row],[Milieuprofiel]],'3. Kengetallen (DC-uitdraai)'!D:D,0))*Table1[[#This Row],[Hvd]]*(1+INDEX('3. Kengetallen (DC-uitdraai)'!K:K,MATCH(Table1[[#This Row],[Milieuprofiel]],'3. Kengetallen (DC-uitdraai)'!D:D,0))),0)</f>
        <v>24.848161513970698</v>
      </c>
      <c r="R79" s="16">
        <f>IFERROR(INDEX('3. Kengetallen (DC-uitdraai)'!V:V,MATCH(Table1[[#This Row],[Milieuprofiel]],'3. Kengetallen (DC-uitdraai)'!D:D,0))*Table1[[#This Row],[Hvd]]*(1+INDEX('3. Kengetallen (DC-uitdraai)'!K:K,MATCH(Table1[[#This Row],[Milieuprofiel]],'3. Kengetallen (DC-uitdraai)'!D:D,0))),0)</f>
        <v>1.0205127788708057</v>
      </c>
      <c r="S79" s="16">
        <f>IFERROR(INDEX('3. Kengetallen (DC-uitdraai)'!W:W,MATCH(Table1[[#This Row],[Milieuprofiel]],'3. Kengetallen (DC-uitdraai)'!D:D,0))*Table1[[#This Row],[Hvd]]*(1+INDEX('3. Kengetallen (DC-uitdraai)'!K:K,MATCH(Table1[[#This Row],[Milieuprofiel]],'3. Kengetallen (DC-uitdraai)'!D:D,0))),0)</f>
        <v>0</v>
      </c>
      <c r="T79" s="16">
        <f>IFERROR(INDEX('3. Kengetallen (DC-uitdraai)'!X:X,MATCH(Table1[[#This Row],[Milieuprofiel]],'3. Kengetallen (DC-uitdraai)'!D:D,0))*Table1[[#This Row],[Hvd]]*(1+INDEX('3. Kengetallen (DC-uitdraai)'!K:K,MATCH(Table1[[#This Row],[Milieuprofiel]],'3. Kengetallen (DC-uitdraai)'!D:D,0))),0)</f>
        <v>-2.0057428016152827</v>
      </c>
      <c r="U79" s="16"/>
      <c r="V79" s="16"/>
      <c r="W79" s="16"/>
      <c r="X79" s="108">
        <f>IFERROR(INDEX('Eigen database'!P:P,MATCH(Table1[[#This Row],[Potentieel alternatief]],'Eigen database'!D:D,0))*Table1[[#This Row],[Hoeveelheid]]*(1+INDEX('Eigen database'!K:K,MATCH(Table1[[#This Row],[Potentieel alternatief]],'Eigen database'!D:D,0))),0)</f>
        <v>0</v>
      </c>
      <c r="Y79" s="16">
        <f>IF(Table1[[#This Row],[MKI A-D nieuw]]=0,Table1[[#This Row],[MKI A-D]],Table1[[#This Row],[MKI A-D nieuw]])</f>
        <v>33.352584255106649</v>
      </c>
      <c r="Z79" s="16"/>
      <c r="AA79" s="28">
        <f>IFERROR(INDEX('3. Kengetallen (DC-uitdraai)'!AM:AM,MATCH(Table1[[#This Row],[Milieuprofiel]],'3. Kengetallen (DC-uitdraai)'!C:C,0)),0)*Table1[[#This Row],[Hvd]]</f>
        <v>0</v>
      </c>
      <c r="AB79" s="28">
        <f>IFERROR(INDEX('3. Kengetallen (DC-uitdraai)'!AM:AM,MATCH(Table1[[#This Row],[Potentieel alternatief]],'3. Kengetallen (DC-uitdraai)'!C:C,0)),0)*Table1[[#This Row],[Hvd]]</f>
        <v>0</v>
      </c>
    </row>
    <row r="80" spans="1:28">
      <c r="A80" s="89" t="s">
        <v>253</v>
      </c>
      <c r="B80" s="89" t="s">
        <v>250</v>
      </c>
      <c r="C80" s="42" t="s">
        <v>216</v>
      </c>
      <c r="D80" s="42" t="s">
        <v>227</v>
      </c>
      <c r="E80" t="s">
        <v>254</v>
      </c>
      <c r="F80" t="s">
        <v>252</v>
      </c>
      <c r="H80" t="str">
        <f>IFERROR(INDEX('3. Kengetallen (DC-uitdraai)'!F:F,MATCH(Table1[[#This Row],[Milieuprofiel]],'3. Kengetallen (DC-uitdraai)'!D:D,0)),"")</f>
        <v>Cat.3 (30%)</v>
      </c>
      <c r="I80" s="26">
        <v>10</v>
      </c>
      <c r="J80" t="s">
        <v>132</v>
      </c>
      <c r="K80" t="str">
        <f>IF(ISTEXT(Table1[[#This Row],[Milieuprofiel]]),"Ja","Nee")</f>
        <v>Ja</v>
      </c>
      <c r="L80" s="27">
        <v>1</v>
      </c>
      <c r="M80" s="26">
        <f>Table1[[#This Row],[Volume]]*Table1[[#This Row],[Factor]]</f>
        <v>10</v>
      </c>
      <c r="N80" t="str">
        <f>IFERROR(INDEX('3. Kengetallen (DC-uitdraai)'!H:H,MATCH(Table1[[#This Row],[Milieuprofiel]],'3. Kengetallen (DC-uitdraai)'!D:D,0)),"")</f>
        <v>p</v>
      </c>
      <c r="O80">
        <f>IFERROR(INDEX('3. Kengetallen (DC-uitdraai)'!I:I,MATCH(Table1[[#This Row],[Milieuprofiel]],'3. Kengetallen (DC-uitdraai)'!D:D,0)),0)</f>
        <v>50</v>
      </c>
      <c r="P80" s="106">
        <f>IFERROR(INDEX('3. Kengetallen (DC-uitdraai)'!P:P,MATCH(Table1[[#This Row],[Milieuprofiel]],'3. Kengetallen (DC-uitdraai)'!D:D,0))*Table1[[#This Row],[Hvd]]*(1+INDEX('3. Kengetallen (DC-uitdraai)'!K:K,MATCH(Table1[[#This Row],[Milieuprofiel]],'3. Kengetallen (DC-uitdraai)'!D:D,0))),0)</f>
        <v>9.9750382400944932</v>
      </c>
      <c r="Q80" s="16">
        <f>IFERROR(INDEX('3. Kengetallen (DC-uitdraai)'!U:U,MATCH(Table1[[#This Row],[Milieuprofiel]],'3. Kengetallen (DC-uitdraai)'!D:D,0))*Table1[[#This Row],[Hvd]]*(1+INDEX('3. Kengetallen (DC-uitdraai)'!K:K,MATCH(Table1[[#This Row],[Milieuprofiel]],'3. Kengetallen (DC-uitdraai)'!D:D,0))),0)</f>
        <v>7.4315489139331596</v>
      </c>
      <c r="R80" s="16">
        <f>IFERROR(INDEX('3. Kengetallen (DC-uitdraai)'!V:V,MATCH(Table1[[#This Row],[Milieuprofiel]],'3. Kengetallen (DC-uitdraai)'!D:D,0))*Table1[[#This Row],[Hvd]]*(1+INDEX('3. Kengetallen (DC-uitdraai)'!K:K,MATCH(Table1[[#This Row],[Milieuprofiel]],'3. Kengetallen (DC-uitdraai)'!D:D,0))),0)</f>
        <v>0.30521335066210847</v>
      </c>
      <c r="S80" s="16">
        <f>IFERROR(INDEX('3. Kengetallen (DC-uitdraai)'!W:W,MATCH(Table1[[#This Row],[Milieuprofiel]],'3. Kengetallen (DC-uitdraai)'!D:D,0))*Table1[[#This Row],[Hvd]]*(1+INDEX('3. Kengetallen (DC-uitdraai)'!K:K,MATCH(Table1[[#This Row],[Milieuprofiel]],'3. Kengetallen (DC-uitdraai)'!D:D,0))),0)</f>
        <v>0</v>
      </c>
      <c r="T80" s="16">
        <f>IFERROR(INDEX('3. Kengetallen (DC-uitdraai)'!X:X,MATCH(Table1[[#This Row],[Milieuprofiel]],'3. Kengetallen (DC-uitdraai)'!D:D,0))*Table1[[#This Row],[Hvd]]*(1+INDEX('3. Kengetallen (DC-uitdraai)'!K:K,MATCH(Table1[[#This Row],[Milieuprofiel]],'3. Kengetallen (DC-uitdraai)'!D:D,0))),0)</f>
        <v>-0.59987439032834045</v>
      </c>
      <c r="U80" s="16"/>
      <c r="V80" s="16"/>
      <c r="W80" s="16"/>
      <c r="X80" s="108">
        <f>IFERROR(INDEX('Eigen database'!P:P,MATCH(Table1[[#This Row],[Potentieel alternatief]],'Eigen database'!D:D,0))*Table1[[#This Row],[Hoeveelheid]]*(1+INDEX('Eigen database'!K:K,MATCH(Table1[[#This Row],[Potentieel alternatief]],'Eigen database'!D:D,0))),0)</f>
        <v>0</v>
      </c>
      <c r="Y80" s="16">
        <f>IF(Table1[[#This Row],[MKI A-D nieuw]]=0,Table1[[#This Row],[MKI A-D]],Table1[[#This Row],[MKI A-D nieuw]])</f>
        <v>9.9750382400944932</v>
      </c>
      <c r="Z80" s="16"/>
      <c r="AA80" s="28">
        <f>IFERROR(INDEX('3. Kengetallen (DC-uitdraai)'!AM:AM,MATCH(Table1[[#This Row],[Milieuprofiel]],'3. Kengetallen (DC-uitdraai)'!C:C,0)),0)*Table1[[#This Row],[Hvd]]</f>
        <v>0</v>
      </c>
      <c r="AB80" s="28">
        <f>IFERROR(INDEX('3. Kengetallen (DC-uitdraai)'!AM:AM,MATCH(Table1[[#This Row],[Potentieel alternatief]],'3. Kengetallen (DC-uitdraai)'!C:C,0)),0)*Table1[[#This Row],[Hvd]]</f>
        <v>0</v>
      </c>
    </row>
    <row r="81" spans="1:28">
      <c r="A81" s="88" t="s">
        <v>255</v>
      </c>
      <c r="B81" s="88" t="s">
        <v>250</v>
      </c>
      <c r="C81" s="42" t="s">
        <v>216</v>
      </c>
      <c r="D81" s="42" t="s">
        <v>227</v>
      </c>
      <c r="E81" t="s">
        <v>256</v>
      </c>
      <c r="F81" t="s">
        <v>252</v>
      </c>
      <c r="H81" t="str">
        <f>IFERROR(INDEX('3. Kengetallen (DC-uitdraai)'!F:F,MATCH(Table1[[#This Row],[Milieuprofiel]],'3. Kengetallen (DC-uitdraai)'!D:D,0)),"")</f>
        <v>Cat.3 (30%)</v>
      </c>
      <c r="I81" s="26">
        <v>10</v>
      </c>
      <c r="J81" t="s">
        <v>132</v>
      </c>
      <c r="K81" t="str">
        <f>IF(ISTEXT(Table1[[#This Row],[Milieuprofiel]]),"Ja","Nee")</f>
        <v>Ja</v>
      </c>
      <c r="L81" s="27">
        <v>1</v>
      </c>
      <c r="M81" s="26">
        <f>Table1[[#This Row],[Volume]]*Table1[[#This Row],[Factor]]</f>
        <v>10</v>
      </c>
      <c r="N81" t="str">
        <f>IFERROR(INDEX('3. Kengetallen (DC-uitdraai)'!H:H,MATCH(Table1[[#This Row],[Milieuprofiel]],'3. Kengetallen (DC-uitdraai)'!D:D,0)),"")</f>
        <v>p</v>
      </c>
      <c r="O81">
        <f>IFERROR(INDEX('3. Kengetallen (DC-uitdraai)'!I:I,MATCH(Table1[[#This Row],[Milieuprofiel]],'3. Kengetallen (DC-uitdraai)'!D:D,0)),0)</f>
        <v>50</v>
      </c>
      <c r="P81" s="106">
        <f>IFERROR(INDEX('3. Kengetallen (DC-uitdraai)'!P:P,MATCH(Table1[[#This Row],[Milieuprofiel]],'3. Kengetallen (DC-uitdraai)'!D:D,0))*Table1[[#This Row],[Hvd]]*(1+INDEX('3. Kengetallen (DC-uitdraai)'!K:K,MATCH(Table1[[#This Row],[Milieuprofiel]],'3. Kengetallen (DC-uitdraai)'!D:D,0))),0)</f>
        <v>9.9750382400944932</v>
      </c>
      <c r="Q81" s="16">
        <f>IFERROR(INDEX('3. Kengetallen (DC-uitdraai)'!U:U,MATCH(Table1[[#This Row],[Milieuprofiel]],'3. Kengetallen (DC-uitdraai)'!D:D,0))*Table1[[#This Row],[Hvd]]*(1+INDEX('3. Kengetallen (DC-uitdraai)'!K:K,MATCH(Table1[[#This Row],[Milieuprofiel]],'3. Kengetallen (DC-uitdraai)'!D:D,0))),0)</f>
        <v>7.4315489139331596</v>
      </c>
      <c r="R81" s="16">
        <f>IFERROR(INDEX('3. Kengetallen (DC-uitdraai)'!V:V,MATCH(Table1[[#This Row],[Milieuprofiel]],'3. Kengetallen (DC-uitdraai)'!D:D,0))*Table1[[#This Row],[Hvd]]*(1+INDEX('3. Kengetallen (DC-uitdraai)'!K:K,MATCH(Table1[[#This Row],[Milieuprofiel]],'3. Kengetallen (DC-uitdraai)'!D:D,0))),0)</f>
        <v>0.30521335066210847</v>
      </c>
      <c r="S81" s="16">
        <f>IFERROR(INDEX('3. Kengetallen (DC-uitdraai)'!W:W,MATCH(Table1[[#This Row],[Milieuprofiel]],'3. Kengetallen (DC-uitdraai)'!D:D,0))*Table1[[#This Row],[Hvd]]*(1+INDEX('3. Kengetallen (DC-uitdraai)'!K:K,MATCH(Table1[[#This Row],[Milieuprofiel]],'3. Kengetallen (DC-uitdraai)'!D:D,0))),0)</f>
        <v>0</v>
      </c>
      <c r="T81" s="16">
        <f>IFERROR(INDEX('3. Kengetallen (DC-uitdraai)'!X:X,MATCH(Table1[[#This Row],[Milieuprofiel]],'3. Kengetallen (DC-uitdraai)'!D:D,0))*Table1[[#This Row],[Hvd]]*(1+INDEX('3. Kengetallen (DC-uitdraai)'!K:K,MATCH(Table1[[#This Row],[Milieuprofiel]],'3. Kengetallen (DC-uitdraai)'!D:D,0))),0)</f>
        <v>-0.59987439032834045</v>
      </c>
      <c r="U81" s="16"/>
      <c r="V81" s="16"/>
      <c r="W81" s="16"/>
      <c r="X81" s="108">
        <f>IFERROR(INDEX('Eigen database'!P:P,MATCH(Table1[[#This Row],[Potentieel alternatief]],'Eigen database'!D:D,0))*Table1[[#This Row],[Hoeveelheid]]*(1+INDEX('Eigen database'!K:K,MATCH(Table1[[#This Row],[Potentieel alternatief]],'Eigen database'!D:D,0))),0)</f>
        <v>0</v>
      </c>
      <c r="Y81" s="16">
        <f>IF(Table1[[#This Row],[MKI A-D nieuw]]=0,Table1[[#This Row],[MKI A-D]],Table1[[#This Row],[MKI A-D nieuw]])</f>
        <v>9.9750382400944932</v>
      </c>
      <c r="Z81" s="16"/>
      <c r="AA81" s="28">
        <f>IFERROR(INDEX('3. Kengetallen (DC-uitdraai)'!AM:AM,MATCH(Table1[[#This Row],[Milieuprofiel]],'3. Kengetallen (DC-uitdraai)'!C:C,0)),0)*Table1[[#This Row],[Hvd]]</f>
        <v>0</v>
      </c>
      <c r="AB81" s="28">
        <f>IFERROR(INDEX('3. Kengetallen (DC-uitdraai)'!AM:AM,MATCH(Table1[[#This Row],[Potentieel alternatief]],'3. Kengetallen (DC-uitdraai)'!C:C,0)),0)*Table1[[#This Row],[Hvd]]</f>
        <v>0</v>
      </c>
    </row>
    <row r="82" spans="1:28">
      <c r="A82" s="89" t="s">
        <v>257</v>
      </c>
      <c r="B82" s="89" t="s">
        <v>250</v>
      </c>
      <c r="C82" s="42" t="s">
        <v>216</v>
      </c>
      <c r="D82" s="42" t="s">
        <v>227</v>
      </c>
      <c r="E82" t="s">
        <v>258</v>
      </c>
      <c r="F82" t="s">
        <v>252</v>
      </c>
      <c r="H82" t="str">
        <f>IFERROR(INDEX('3. Kengetallen (DC-uitdraai)'!F:F,MATCH(Table1[[#This Row],[Milieuprofiel]],'3. Kengetallen (DC-uitdraai)'!D:D,0)),"")</f>
        <v>Cat.3 (30%)</v>
      </c>
      <c r="I82" s="26">
        <v>20</v>
      </c>
      <c r="J82" t="s">
        <v>132</v>
      </c>
      <c r="K82" t="str">
        <f>IF(ISTEXT(Table1[[#This Row],[Milieuprofiel]]),"Ja","Nee")</f>
        <v>Ja</v>
      </c>
      <c r="L82" s="27">
        <v>1</v>
      </c>
      <c r="M82" s="26">
        <f>Table1[[#This Row],[Volume]]*Table1[[#This Row],[Factor]]</f>
        <v>20</v>
      </c>
      <c r="N82" t="str">
        <f>IFERROR(INDEX('3. Kengetallen (DC-uitdraai)'!H:H,MATCH(Table1[[#This Row],[Milieuprofiel]],'3. Kengetallen (DC-uitdraai)'!D:D,0)),"")</f>
        <v>p</v>
      </c>
      <c r="O82">
        <f>IFERROR(INDEX('3. Kengetallen (DC-uitdraai)'!I:I,MATCH(Table1[[#This Row],[Milieuprofiel]],'3. Kengetallen (DC-uitdraai)'!D:D,0)),0)</f>
        <v>50</v>
      </c>
      <c r="P82" s="106">
        <f>IFERROR(INDEX('3. Kengetallen (DC-uitdraai)'!P:P,MATCH(Table1[[#This Row],[Milieuprofiel]],'3. Kengetallen (DC-uitdraai)'!D:D,0))*Table1[[#This Row],[Hvd]]*(1+INDEX('3. Kengetallen (DC-uitdraai)'!K:K,MATCH(Table1[[#This Row],[Milieuprofiel]],'3. Kengetallen (DC-uitdraai)'!D:D,0))),0)</f>
        <v>19.950076480188986</v>
      </c>
      <c r="Q82" s="16">
        <f>IFERROR(INDEX('3. Kengetallen (DC-uitdraai)'!U:U,MATCH(Table1[[#This Row],[Milieuprofiel]],'3. Kengetallen (DC-uitdraai)'!D:D,0))*Table1[[#This Row],[Hvd]]*(1+INDEX('3. Kengetallen (DC-uitdraai)'!K:K,MATCH(Table1[[#This Row],[Milieuprofiel]],'3. Kengetallen (DC-uitdraai)'!D:D,0))),0)</f>
        <v>14.863097827866319</v>
      </c>
      <c r="R82" s="16">
        <f>IFERROR(INDEX('3. Kengetallen (DC-uitdraai)'!V:V,MATCH(Table1[[#This Row],[Milieuprofiel]],'3. Kengetallen (DC-uitdraai)'!D:D,0))*Table1[[#This Row],[Hvd]]*(1+INDEX('3. Kengetallen (DC-uitdraai)'!K:K,MATCH(Table1[[#This Row],[Milieuprofiel]],'3. Kengetallen (DC-uitdraai)'!D:D,0))),0)</f>
        <v>0.61042670132421695</v>
      </c>
      <c r="S82" s="16">
        <f>IFERROR(INDEX('3. Kengetallen (DC-uitdraai)'!W:W,MATCH(Table1[[#This Row],[Milieuprofiel]],'3. Kengetallen (DC-uitdraai)'!D:D,0))*Table1[[#This Row],[Hvd]]*(1+INDEX('3. Kengetallen (DC-uitdraai)'!K:K,MATCH(Table1[[#This Row],[Milieuprofiel]],'3. Kengetallen (DC-uitdraai)'!D:D,0))),0)</f>
        <v>0</v>
      </c>
      <c r="T82" s="16">
        <f>IFERROR(INDEX('3. Kengetallen (DC-uitdraai)'!X:X,MATCH(Table1[[#This Row],[Milieuprofiel]],'3. Kengetallen (DC-uitdraai)'!D:D,0))*Table1[[#This Row],[Hvd]]*(1+INDEX('3. Kengetallen (DC-uitdraai)'!K:K,MATCH(Table1[[#This Row],[Milieuprofiel]],'3. Kengetallen (DC-uitdraai)'!D:D,0))),0)</f>
        <v>-1.1997487806566809</v>
      </c>
      <c r="U82" s="16"/>
      <c r="V82" s="16"/>
      <c r="W82" s="16"/>
      <c r="X82" s="108">
        <f>IFERROR(INDEX('Eigen database'!P:P,MATCH(Table1[[#This Row],[Potentieel alternatief]],'Eigen database'!D:D,0))*Table1[[#This Row],[Hoeveelheid]]*(1+INDEX('Eigen database'!K:K,MATCH(Table1[[#This Row],[Potentieel alternatief]],'Eigen database'!D:D,0))),0)</f>
        <v>0</v>
      </c>
      <c r="Y82" s="16">
        <f>IF(Table1[[#This Row],[MKI A-D nieuw]]=0,Table1[[#This Row],[MKI A-D]],Table1[[#This Row],[MKI A-D nieuw]])</f>
        <v>19.950076480188986</v>
      </c>
      <c r="Z82" s="16"/>
      <c r="AA82" s="28">
        <f>IFERROR(INDEX('3. Kengetallen (DC-uitdraai)'!AM:AM,MATCH(Table1[[#This Row],[Milieuprofiel]],'3. Kengetallen (DC-uitdraai)'!C:C,0)),0)*Table1[[#This Row],[Hvd]]</f>
        <v>0</v>
      </c>
      <c r="AB82" s="28">
        <f>IFERROR(INDEX('3. Kengetallen (DC-uitdraai)'!AM:AM,MATCH(Table1[[#This Row],[Potentieel alternatief]],'3. Kengetallen (DC-uitdraai)'!C:C,0)),0)*Table1[[#This Row],[Hvd]]</f>
        <v>0</v>
      </c>
    </row>
    <row r="83" spans="1:28">
      <c r="A83" s="89" t="s">
        <v>259</v>
      </c>
      <c r="B83" s="89" t="s">
        <v>260</v>
      </c>
      <c r="C83" s="42" t="s">
        <v>216</v>
      </c>
      <c r="D83" s="42" t="s">
        <v>227</v>
      </c>
      <c r="E83" t="s">
        <v>261</v>
      </c>
      <c r="F83" t="s">
        <v>252</v>
      </c>
      <c r="H83" t="str">
        <f>IFERROR(INDEX('3. Kengetallen (DC-uitdraai)'!F:F,MATCH(Table1[[#This Row],[Milieuprofiel]],'3. Kengetallen (DC-uitdraai)'!D:D,0)),"")</f>
        <v>Cat.3 (30%)</v>
      </c>
      <c r="I83" s="26">
        <v>9</v>
      </c>
      <c r="J83" t="s">
        <v>132</v>
      </c>
      <c r="K83" t="str">
        <f>IF(ISTEXT(Table1[[#This Row],[Milieuprofiel]]),"Ja","Nee")</f>
        <v>Ja</v>
      </c>
      <c r="L83" s="27">
        <v>1</v>
      </c>
      <c r="M83" s="26">
        <f>Table1[[#This Row],[Volume]]*Table1[[#This Row],[Factor]]</f>
        <v>9</v>
      </c>
      <c r="N83" t="str">
        <f>IFERROR(INDEX('3. Kengetallen (DC-uitdraai)'!H:H,MATCH(Table1[[#This Row],[Milieuprofiel]],'3. Kengetallen (DC-uitdraai)'!D:D,0)),"")</f>
        <v>p</v>
      </c>
      <c r="O83">
        <f>IFERROR(INDEX('3. Kengetallen (DC-uitdraai)'!I:I,MATCH(Table1[[#This Row],[Milieuprofiel]],'3. Kengetallen (DC-uitdraai)'!D:D,0)),0)</f>
        <v>50</v>
      </c>
      <c r="P83" s="106">
        <f>IFERROR(INDEX('3. Kengetallen (DC-uitdraai)'!P:P,MATCH(Table1[[#This Row],[Milieuprofiel]],'3. Kengetallen (DC-uitdraai)'!D:D,0))*Table1[[#This Row],[Hvd]]*(1+INDEX('3. Kengetallen (DC-uitdraai)'!K:K,MATCH(Table1[[#This Row],[Milieuprofiel]],'3. Kengetallen (DC-uitdraai)'!D:D,0))),0)</f>
        <v>8.9775344160850441</v>
      </c>
      <c r="Q83" s="16">
        <f>IFERROR(INDEX('3. Kengetallen (DC-uitdraai)'!U:U,MATCH(Table1[[#This Row],[Milieuprofiel]],'3. Kengetallen (DC-uitdraai)'!D:D,0))*Table1[[#This Row],[Hvd]]*(1+INDEX('3. Kengetallen (DC-uitdraai)'!K:K,MATCH(Table1[[#This Row],[Milieuprofiel]],'3. Kengetallen (DC-uitdraai)'!D:D,0))),0)</f>
        <v>6.6883940225398435</v>
      </c>
      <c r="R83" s="16">
        <f>IFERROR(INDEX('3. Kengetallen (DC-uitdraai)'!V:V,MATCH(Table1[[#This Row],[Milieuprofiel]],'3. Kengetallen (DC-uitdraai)'!D:D,0))*Table1[[#This Row],[Hvd]]*(1+INDEX('3. Kengetallen (DC-uitdraai)'!K:K,MATCH(Table1[[#This Row],[Milieuprofiel]],'3. Kengetallen (DC-uitdraai)'!D:D,0))),0)</f>
        <v>0.27469201559589762</v>
      </c>
      <c r="S83" s="16">
        <f>IFERROR(INDEX('3. Kengetallen (DC-uitdraai)'!W:W,MATCH(Table1[[#This Row],[Milieuprofiel]],'3. Kengetallen (DC-uitdraai)'!D:D,0))*Table1[[#This Row],[Hvd]]*(1+INDEX('3. Kengetallen (DC-uitdraai)'!K:K,MATCH(Table1[[#This Row],[Milieuprofiel]],'3. Kengetallen (DC-uitdraai)'!D:D,0))),0)</f>
        <v>0</v>
      </c>
      <c r="T83" s="16">
        <f>IFERROR(INDEX('3. Kengetallen (DC-uitdraai)'!X:X,MATCH(Table1[[#This Row],[Milieuprofiel]],'3. Kengetallen (DC-uitdraai)'!D:D,0))*Table1[[#This Row],[Hvd]]*(1+INDEX('3. Kengetallen (DC-uitdraai)'!K:K,MATCH(Table1[[#This Row],[Milieuprofiel]],'3. Kengetallen (DC-uitdraai)'!D:D,0))),0)</f>
        <v>-0.53988695129550646</v>
      </c>
      <c r="U83" s="16"/>
      <c r="V83" s="16"/>
      <c r="W83" s="16"/>
      <c r="X83" s="108">
        <f>IFERROR(INDEX('Eigen database'!P:P,MATCH(Table1[[#This Row],[Potentieel alternatief]],'Eigen database'!D:D,0))*Table1[[#This Row],[Hoeveelheid]]*(1+INDEX('Eigen database'!K:K,MATCH(Table1[[#This Row],[Potentieel alternatief]],'Eigen database'!D:D,0))),0)</f>
        <v>0</v>
      </c>
      <c r="Y83" s="16">
        <f>IF(Table1[[#This Row],[MKI A-D nieuw]]=0,Table1[[#This Row],[MKI A-D]],Table1[[#This Row],[MKI A-D nieuw]])</f>
        <v>8.9775344160850441</v>
      </c>
      <c r="Z83" s="16"/>
      <c r="AA83" s="28">
        <f>IFERROR(INDEX('3. Kengetallen (DC-uitdraai)'!AM:AM,MATCH(Table1[[#This Row],[Milieuprofiel]],'3. Kengetallen (DC-uitdraai)'!C:C,0)),0)*Table1[[#This Row],[Hvd]]</f>
        <v>0</v>
      </c>
      <c r="AB83" s="28">
        <f>IFERROR(INDEX('3. Kengetallen (DC-uitdraai)'!AM:AM,MATCH(Table1[[#This Row],[Potentieel alternatief]],'3. Kengetallen (DC-uitdraai)'!C:C,0)),0)*Table1[[#This Row],[Hvd]]</f>
        <v>0</v>
      </c>
    </row>
    <row r="84" spans="1:28">
      <c r="A84" s="88" t="s">
        <v>262</v>
      </c>
      <c r="B84" s="88" t="s">
        <v>250</v>
      </c>
      <c r="C84" s="42" t="s">
        <v>216</v>
      </c>
      <c r="D84" s="42" t="s">
        <v>227</v>
      </c>
      <c r="E84" t="s">
        <v>263</v>
      </c>
      <c r="F84" t="s">
        <v>264</v>
      </c>
      <c r="H84" t="str">
        <f>IFERROR(INDEX('3. Kengetallen (DC-uitdraai)'!F:F,MATCH(Table1[[#This Row],[Milieuprofiel]],'3. Kengetallen (DC-uitdraai)'!D:D,0)),"")</f>
        <v>Cat.3 (30%)</v>
      </c>
      <c r="I84" s="26">
        <v>9</v>
      </c>
      <c r="J84" t="s">
        <v>132</v>
      </c>
      <c r="K84" t="str">
        <f>IF(ISTEXT(Table1[[#This Row],[Milieuprofiel]]),"Ja","Nee")</f>
        <v>Ja</v>
      </c>
      <c r="L84" s="27">
        <v>1</v>
      </c>
      <c r="M84" s="26">
        <f>Table1[[#This Row],[Volume]]*Table1[[#This Row],[Factor]]</f>
        <v>9</v>
      </c>
      <c r="N84" t="str">
        <f>IFERROR(INDEX('3. Kengetallen (DC-uitdraai)'!H:H,MATCH(Table1[[#This Row],[Milieuprofiel]],'3. Kengetallen (DC-uitdraai)'!D:D,0)),"")</f>
        <v>p</v>
      </c>
      <c r="O84">
        <f>IFERROR(INDEX('3. Kengetallen (DC-uitdraai)'!I:I,MATCH(Table1[[#This Row],[Milieuprofiel]],'3. Kengetallen (DC-uitdraai)'!D:D,0)),0)</f>
        <v>60</v>
      </c>
      <c r="P84" s="106">
        <f>IFERROR(INDEX('3. Kengetallen (DC-uitdraai)'!P:P,MATCH(Table1[[#This Row],[Milieuprofiel]],'3. Kengetallen (DC-uitdraai)'!D:D,0))*Table1[[#This Row],[Hvd]]*(1+INDEX('3. Kengetallen (DC-uitdraai)'!K:K,MATCH(Table1[[#This Row],[Milieuprofiel]],'3. Kengetallen (DC-uitdraai)'!D:D,0))),0)</f>
        <v>1.5720622563778588</v>
      </c>
      <c r="Q84" s="16">
        <f>IFERROR(INDEX('3. Kengetallen (DC-uitdraai)'!U:U,MATCH(Table1[[#This Row],[Milieuprofiel]],'3. Kengetallen (DC-uitdraai)'!D:D,0))*Table1[[#This Row],[Hvd]]*(1+INDEX('3. Kengetallen (DC-uitdraai)'!K:K,MATCH(Table1[[#This Row],[Milieuprofiel]],'3. Kengetallen (DC-uitdraai)'!D:D,0))),0)</f>
        <v>1.201415551158127</v>
      </c>
      <c r="R84" s="16">
        <f>IFERROR(INDEX('3. Kengetallen (DC-uitdraai)'!V:V,MATCH(Table1[[#This Row],[Milieuprofiel]],'3. Kengetallen (DC-uitdraai)'!D:D,0))*Table1[[#This Row],[Hvd]]*(1+INDEX('3. Kengetallen (DC-uitdraai)'!K:K,MATCH(Table1[[#This Row],[Milieuprofiel]],'3. Kengetallen (DC-uitdraai)'!D:D,0))),0)</f>
        <v>5.8686440508699568E-2</v>
      </c>
      <c r="S84" s="16">
        <f>IFERROR(INDEX('3. Kengetallen (DC-uitdraai)'!W:W,MATCH(Table1[[#This Row],[Milieuprofiel]],'3. Kengetallen (DC-uitdraai)'!D:D,0))*Table1[[#This Row],[Hvd]]*(1+INDEX('3. Kengetallen (DC-uitdraai)'!K:K,MATCH(Table1[[#This Row],[Milieuprofiel]],'3. Kengetallen (DC-uitdraai)'!D:D,0))),0)</f>
        <v>0</v>
      </c>
      <c r="T84" s="16">
        <f>IFERROR(INDEX('3. Kengetallen (DC-uitdraai)'!X:X,MATCH(Table1[[#This Row],[Milieuprofiel]],'3. Kengetallen (DC-uitdraai)'!D:D,0))*Table1[[#This Row],[Hvd]]*(1+INDEX('3. Kengetallen (DC-uitdraai)'!K:K,MATCH(Table1[[#This Row],[Milieuprofiel]],'3. Kengetallen (DC-uitdraai)'!D:D,0))),0)</f>
        <v>-0.1738674508707394</v>
      </c>
      <c r="U84" s="16"/>
      <c r="V84" s="16"/>
      <c r="W84" s="16"/>
      <c r="X84" s="108">
        <f>IFERROR(INDEX('Eigen database'!P:P,MATCH(Table1[[#This Row],[Potentieel alternatief]],'Eigen database'!D:D,0))*Table1[[#This Row],[Hoeveelheid]]*(1+INDEX('Eigen database'!K:K,MATCH(Table1[[#This Row],[Potentieel alternatief]],'Eigen database'!D:D,0))),0)</f>
        <v>0</v>
      </c>
      <c r="Y84" s="16">
        <f>IF(Table1[[#This Row],[MKI A-D nieuw]]=0,Table1[[#This Row],[MKI A-D]],Table1[[#This Row],[MKI A-D nieuw]])</f>
        <v>1.5720622563778588</v>
      </c>
      <c r="Z84" s="16"/>
      <c r="AA84" s="28">
        <f>IFERROR(INDEX('3. Kengetallen (DC-uitdraai)'!AM:AM,MATCH(Table1[[#This Row],[Milieuprofiel]],'3. Kengetallen (DC-uitdraai)'!C:C,0)),0)*Table1[[#This Row],[Hvd]]</f>
        <v>0</v>
      </c>
      <c r="AB84" s="28">
        <f>IFERROR(INDEX('3. Kengetallen (DC-uitdraai)'!AM:AM,MATCH(Table1[[#This Row],[Potentieel alternatief]],'3. Kengetallen (DC-uitdraai)'!C:C,0)),0)*Table1[[#This Row],[Hvd]]</f>
        <v>0</v>
      </c>
    </row>
    <row r="85" spans="1:28">
      <c r="A85" s="89" t="s">
        <v>265</v>
      </c>
      <c r="B85" s="89" t="s">
        <v>250</v>
      </c>
      <c r="C85" s="42" t="s">
        <v>216</v>
      </c>
      <c r="D85" s="42" t="s">
        <v>227</v>
      </c>
      <c r="E85" t="s">
        <v>266</v>
      </c>
      <c r="F85" t="s">
        <v>237</v>
      </c>
      <c r="H85" t="str">
        <f>IFERROR(INDEX('3. Kengetallen (DC-uitdraai)'!F:F,MATCH(Table1[[#This Row],[Milieuprofiel]],'3. Kengetallen (DC-uitdraai)'!D:D,0)),"")</f>
        <v>Cat.3 (30%)</v>
      </c>
      <c r="I85" s="26">
        <v>9</v>
      </c>
      <c r="J85" t="s">
        <v>132</v>
      </c>
      <c r="K85" t="str">
        <f>IF(ISTEXT(Table1[[#This Row],[Milieuprofiel]]),"Ja","Nee")</f>
        <v>Ja</v>
      </c>
      <c r="L85" s="27">
        <v>1.75</v>
      </c>
      <c r="M85" s="26">
        <f>Table1[[#This Row],[Volume]]*Table1[[#This Row],[Factor]]</f>
        <v>15.75</v>
      </c>
      <c r="N85" t="str">
        <f>IFERROR(INDEX('3. Kengetallen (DC-uitdraai)'!H:H,MATCH(Table1[[#This Row],[Milieuprofiel]],'3. Kengetallen (DC-uitdraai)'!D:D,0)),"")</f>
        <v>m1</v>
      </c>
      <c r="O85">
        <f>IFERROR(INDEX('3. Kengetallen (DC-uitdraai)'!I:I,MATCH(Table1[[#This Row],[Milieuprofiel]],'3. Kengetallen (DC-uitdraai)'!D:D,0)),0)</f>
        <v>50</v>
      </c>
      <c r="P85" s="106">
        <f>IFERROR(INDEX('3. Kengetallen (DC-uitdraai)'!P:P,MATCH(Table1[[#This Row],[Milieuprofiel]],'3. Kengetallen (DC-uitdraai)'!D:D,0))*Table1[[#This Row],[Hvd]]*(1+INDEX('3. Kengetallen (DC-uitdraai)'!K:K,MATCH(Table1[[#This Row],[Milieuprofiel]],'3. Kengetallen (DC-uitdraai)'!D:D,0))),0)</f>
        <v>54.051265694284574</v>
      </c>
      <c r="Q85" s="16">
        <f>IFERROR(INDEX('3. Kengetallen (DC-uitdraai)'!U:U,MATCH(Table1[[#This Row],[Milieuprofiel]],'3. Kengetallen (DC-uitdraai)'!D:D,0))*Table1[[#This Row],[Hvd]]*(1+INDEX('3. Kengetallen (DC-uitdraai)'!K:K,MATCH(Table1[[#This Row],[Milieuprofiel]],'3. Kengetallen (DC-uitdraai)'!D:D,0))),0)</f>
        <v>27.327905576877473</v>
      </c>
      <c r="R85" s="16">
        <f>IFERROR(INDEX('3. Kengetallen (DC-uitdraai)'!V:V,MATCH(Table1[[#This Row],[Milieuprofiel]],'3. Kengetallen (DC-uitdraai)'!D:D,0))*Table1[[#This Row],[Hvd]]*(1+INDEX('3. Kengetallen (DC-uitdraai)'!K:K,MATCH(Table1[[#This Row],[Milieuprofiel]],'3. Kengetallen (DC-uitdraai)'!D:D,0))),0)</f>
        <v>13.674231362747337</v>
      </c>
      <c r="S85" s="16">
        <f>IFERROR(INDEX('3. Kengetallen (DC-uitdraai)'!W:W,MATCH(Table1[[#This Row],[Milieuprofiel]],'3. Kengetallen (DC-uitdraai)'!D:D,0))*Table1[[#This Row],[Hvd]]*(1+INDEX('3. Kengetallen (DC-uitdraai)'!K:K,MATCH(Table1[[#This Row],[Milieuprofiel]],'3. Kengetallen (DC-uitdraai)'!D:D,0))),0)</f>
        <v>0</v>
      </c>
      <c r="T85" s="16">
        <f>IFERROR(INDEX('3. Kengetallen (DC-uitdraai)'!X:X,MATCH(Table1[[#This Row],[Milieuprofiel]],'3. Kengetallen (DC-uitdraai)'!D:D,0))*Table1[[#This Row],[Hvd]]*(1+INDEX('3. Kengetallen (DC-uitdraai)'!K:K,MATCH(Table1[[#This Row],[Milieuprofiel]],'3. Kengetallen (DC-uitdraai)'!D:D,0))),0)</f>
        <v>0.48154094614860549</v>
      </c>
      <c r="U85" s="16"/>
      <c r="V85" s="16"/>
      <c r="W85" s="16"/>
      <c r="X85" s="108">
        <f>IFERROR(INDEX('Eigen database'!P:P,MATCH(Table1[[#This Row],[Potentieel alternatief]],'Eigen database'!D:D,0))*Table1[[#This Row],[Hoeveelheid]]*(1+INDEX('Eigen database'!K:K,MATCH(Table1[[#This Row],[Potentieel alternatief]],'Eigen database'!D:D,0))),0)</f>
        <v>0</v>
      </c>
      <c r="Y85" s="16">
        <f>IF(Table1[[#This Row],[MKI A-D nieuw]]=0,Table1[[#This Row],[MKI A-D]],Table1[[#This Row],[MKI A-D nieuw]])</f>
        <v>54.051265694284574</v>
      </c>
      <c r="Z85" s="16"/>
      <c r="AA85" s="28">
        <f>IFERROR(INDEX('3. Kengetallen (DC-uitdraai)'!AM:AM,MATCH(Table1[[#This Row],[Milieuprofiel]],'3. Kengetallen (DC-uitdraai)'!C:C,0)),0)*Table1[[#This Row],[Hvd]]</f>
        <v>0</v>
      </c>
      <c r="AB85" s="28">
        <f>IFERROR(INDEX('3. Kengetallen (DC-uitdraai)'!AM:AM,MATCH(Table1[[#This Row],[Potentieel alternatief]],'3. Kengetallen (DC-uitdraai)'!C:C,0)),0)*Table1[[#This Row],[Hvd]]</f>
        <v>0</v>
      </c>
    </row>
    <row r="86" spans="1:28">
      <c r="A86" s="89" t="s">
        <v>267</v>
      </c>
      <c r="B86" s="89"/>
      <c r="C86" s="42" t="s">
        <v>216</v>
      </c>
      <c r="D86" s="42" t="s">
        <v>268</v>
      </c>
      <c r="E86" t="s">
        <v>269</v>
      </c>
      <c r="F86" t="s">
        <v>270</v>
      </c>
      <c r="H86" t="str">
        <f>IFERROR(INDEX('3. Kengetallen (DC-uitdraai)'!F:F,MATCH(Table1[[#This Row],[Milieuprofiel]],'3. Kengetallen (DC-uitdraai)'!D:D,0)),"")</f>
        <v>Cat.1</v>
      </c>
      <c r="I86" s="26">
        <v>1</v>
      </c>
      <c r="J86" t="s">
        <v>132</v>
      </c>
      <c r="K86" t="str">
        <f>IF(ISTEXT(Table1[[#This Row],[Milieuprofiel]]),"Ja","Nee")</f>
        <v>Ja</v>
      </c>
      <c r="L86" s="27">
        <v>1</v>
      </c>
      <c r="M86" s="26">
        <f>Table1[[#This Row],[Volume]]*Table1[[#This Row],[Factor]]</f>
        <v>1</v>
      </c>
      <c r="N86" t="str">
        <f>IFERROR(INDEX('3. Kengetallen (DC-uitdraai)'!H:H,MATCH(Table1[[#This Row],[Milieuprofiel]],'3. Kengetallen (DC-uitdraai)'!D:D,0)),"")</f>
        <v>nvt</v>
      </c>
      <c r="O86">
        <f>IFERROR(INDEX('3. Kengetallen (DC-uitdraai)'!I:I,MATCH(Table1[[#This Row],[Milieuprofiel]],'3. Kengetallen (DC-uitdraai)'!D:D,0)),0)</f>
        <v>100</v>
      </c>
      <c r="P86" s="125">
        <f>IFERROR(INDEX('3. Kengetallen (DC-uitdraai)'!P:P,MATCH(Table1[[#This Row],[Milieuprofiel]],'3. Kengetallen (DC-uitdraai)'!D:D,0))*Table1[[#This Row],[Hvd]]*(1+INDEX('3. Kengetallen (DC-uitdraai)'!K:K,MATCH(Table1[[#This Row],[Milieuprofiel]],'3. Kengetallen (DC-uitdraai)'!D:D,0))),0)</f>
        <v>8.4525735989400008</v>
      </c>
      <c r="Q86" s="126">
        <f>IFERROR(INDEX('3. Kengetallen (DC-uitdraai)'!U:U,MATCH(Table1[[#This Row],[Milieuprofiel]],'3. Kengetallen (DC-uitdraai)'!D:D,0))*Table1[[#This Row],[Hvd]]*(1+INDEX('3. Kengetallen (DC-uitdraai)'!K:K,MATCH(Table1[[#This Row],[Milieuprofiel]],'3. Kengetallen (DC-uitdraai)'!D:D,0))),0)</f>
        <v>8.4728285000000003</v>
      </c>
      <c r="R86" s="126">
        <f>IFERROR(INDEX('3. Kengetallen (DC-uitdraai)'!V:V,MATCH(Table1[[#This Row],[Milieuprofiel]],'3. Kengetallen (DC-uitdraai)'!D:D,0))*Table1[[#This Row],[Hvd]]*(1+INDEX('3. Kengetallen (DC-uitdraai)'!K:K,MATCH(Table1[[#This Row],[Milieuprofiel]],'3. Kengetallen (DC-uitdraai)'!D:D,0))),0)</f>
        <v>1.09956071</v>
      </c>
      <c r="S86" s="126">
        <f>IFERROR(INDEX('3. Kengetallen (DC-uitdraai)'!W:W,MATCH(Table1[[#This Row],[Milieuprofiel]],'3. Kengetallen (DC-uitdraai)'!D:D,0))*Table1[[#This Row],[Hvd]]*(1+INDEX('3. Kengetallen (DC-uitdraai)'!K:K,MATCH(Table1[[#This Row],[Milieuprofiel]],'3. Kengetallen (DC-uitdraai)'!D:D,0))),0)</f>
        <v>0</v>
      </c>
      <c r="T86" s="126">
        <f>IFERROR(INDEX('3. Kengetallen (DC-uitdraai)'!X:X,MATCH(Table1[[#This Row],[Milieuprofiel]],'3. Kengetallen (DC-uitdraai)'!D:D,0))*Table1[[#This Row],[Hvd]]*(1+INDEX('3. Kengetallen (DC-uitdraai)'!K:K,MATCH(Table1[[#This Row],[Milieuprofiel]],'3. Kengetallen (DC-uitdraai)'!D:D,0))),0)</f>
        <v>-1.1198156110600004</v>
      </c>
      <c r="U86" s="126"/>
      <c r="V86" s="126"/>
      <c r="W86" s="126"/>
      <c r="X86" s="114">
        <f>IFERROR(INDEX('Eigen database'!P:P,MATCH(Table1[[#This Row],[Potentieel alternatief]],'Eigen database'!D:D,0))*Table1[[#This Row],[Hoeveelheid]]*(1+INDEX('Eigen database'!K:K,MATCH(Table1[[#This Row],[Potentieel alternatief]],'Eigen database'!D:D,0))),0)</f>
        <v>0</v>
      </c>
      <c r="Y86" s="126">
        <f>IF(Table1[[#This Row],[MKI A-D nieuw]]=0,Table1[[#This Row],[MKI A-D]],Table1[[#This Row],[MKI A-D nieuw]])</f>
        <v>8.4525735989400008</v>
      </c>
      <c r="Z86" s="126"/>
      <c r="AA86" s="127">
        <f>IFERROR(INDEX('3. Kengetallen (DC-uitdraai)'!AM:AM,MATCH(Table1[[#This Row],[Milieuprofiel]],'3. Kengetallen (DC-uitdraai)'!C:C,0)),0)*Table1[[#This Row],[Hvd]]</f>
        <v>0</v>
      </c>
      <c r="AB86" s="127">
        <f>IFERROR(INDEX('3. Kengetallen (DC-uitdraai)'!AM:AM,MATCH(Table1[[#This Row],[Potentieel alternatief]],'3. Kengetallen (DC-uitdraai)'!C:C,0)),0)*Table1[[#This Row],[Hvd]]</f>
        <v>0</v>
      </c>
    </row>
    <row r="87" spans="1:28">
      <c r="A87" s="89" t="s">
        <v>271</v>
      </c>
      <c r="B87" s="89" t="s">
        <v>272</v>
      </c>
      <c r="C87" s="42" t="s">
        <v>216</v>
      </c>
      <c r="D87" s="42" t="s">
        <v>268</v>
      </c>
      <c r="E87" t="s">
        <v>273</v>
      </c>
      <c r="F87" t="s">
        <v>270</v>
      </c>
      <c r="H87" t="str">
        <f>IFERROR(INDEX('3. Kengetallen (DC-uitdraai)'!F:F,MATCH(Table1[[#This Row],[Milieuprofiel]],'3. Kengetallen (DC-uitdraai)'!D:D,0)),"")</f>
        <v>Cat.1</v>
      </c>
      <c r="I87" s="26">
        <v>5</v>
      </c>
      <c r="J87" t="s">
        <v>132</v>
      </c>
      <c r="K87" t="str">
        <f>IF(ISTEXT(Table1[[#This Row],[Milieuprofiel]]),"Ja","Nee")</f>
        <v>Ja</v>
      </c>
      <c r="L87" s="27">
        <v>1</v>
      </c>
      <c r="M87" s="26">
        <f>Table1[[#This Row],[Volume]]*Table1[[#This Row],[Factor]]</f>
        <v>5</v>
      </c>
      <c r="N87" t="str">
        <f>IFERROR(INDEX('3. Kengetallen (DC-uitdraai)'!H:H,MATCH(Table1[[#This Row],[Milieuprofiel]],'3. Kengetallen (DC-uitdraai)'!D:D,0)),"")</f>
        <v>nvt</v>
      </c>
      <c r="O87">
        <f>IFERROR(INDEX('3. Kengetallen (DC-uitdraai)'!I:I,MATCH(Table1[[#This Row],[Milieuprofiel]],'3. Kengetallen (DC-uitdraai)'!D:D,0)),0)</f>
        <v>100</v>
      </c>
      <c r="P87" s="125">
        <f>IFERROR(INDEX('3. Kengetallen (DC-uitdraai)'!P:P,MATCH(Table1[[#This Row],[Milieuprofiel]],'3. Kengetallen (DC-uitdraai)'!D:D,0))*Table1[[#This Row],[Hvd]]*(1+INDEX('3. Kengetallen (DC-uitdraai)'!K:K,MATCH(Table1[[#This Row],[Milieuprofiel]],'3. Kengetallen (DC-uitdraai)'!D:D,0))),0)</f>
        <v>42.262867994700002</v>
      </c>
      <c r="Q87" s="126">
        <f>IFERROR(INDEX('3. Kengetallen (DC-uitdraai)'!U:U,MATCH(Table1[[#This Row],[Milieuprofiel]],'3. Kengetallen (DC-uitdraai)'!D:D,0))*Table1[[#This Row],[Hvd]]*(1+INDEX('3. Kengetallen (DC-uitdraai)'!K:K,MATCH(Table1[[#This Row],[Milieuprofiel]],'3. Kengetallen (DC-uitdraai)'!D:D,0))),0)</f>
        <v>42.3641425</v>
      </c>
      <c r="R87" s="126">
        <f>IFERROR(INDEX('3. Kengetallen (DC-uitdraai)'!V:V,MATCH(Table1[[#This Row],[Milieuprofiel]],'3. Kengetallen (DC-uitdraai)'!D:D,0))*Table1[[#This Row],[Hvd]]*(1+INDEX('3. Kengetallen (DC-uitdraai)'!K:K,MATCH(Table1[[#This Row],[Milieuprofiel]],'3. Kengetallen (DC-uitdraai)'!D:D,0))),0)</f>
        <v>5.4978035500000004</v>
      </c>
      <c r="S87" s="126">
        <f>IFERROR(INDEX('3. Kengetallen (DC-uitdraai)'!W:W,MATCH(Table1[[#This Row],[Milieuprofiel]],'3. Kengetallen (DC-uitdraai)'!D:D,0))*Table1[[#This Row],[Hvd]]*(1+INDEX('3. Kengetallen (DC-uitdraai)'!K:K,MATCH(Table1[[#This Row],[Milieuprofiel]],'3. Kengetallen (DC-uitdraai)'!D:D,0))),0)</f>
        <v>0</v>
      </c>
      <c r="T87" s="126">
        <f>IFERROR(INDEX('3. Kengetallen (DC-uitdraai)'!X:X,MATCH(Table1[[#This Row],[Milieuprofiel]],'3. Kengetallen (DC-uitdraai)'!D:D,0))*Table1[[#This Row],[Hvd]]*(1+INDEX('3. Kengetallen (DC-uitdraai)'!K:K,MATCH(Table1[[#This Row],[Milieuprofiel]],'3. Kengetallen (DC-uitdraai)'!D:D,0))),0)</f>
        <v>-5.5990780553000015</v>
      </c>
      <c r="U87" s="126"/>
      <c r="V87" s="126"/>
      <c r="W87" s="126"/>
      <c r="X87" s="114">
        <f>IFERROR(INDEX('Eigen database'!P:P,MATCH(Table1[[#This Row],[Potentieel alternatief]],'Eigen database'!D:D,0))*Table1[[#This Row],[Hoeveelheid]]*(1+INDEX('Eigen database'!K:K,MATCH(Table1[[#This Row],[Potentieel alternatief]],'Eigen database'!D:D,0))),0)</f>
        <v>0</v>
      </c>
      <c r="Y87" s="126">
        <f>IF(Table1[[#This Row],[MKI A-D nieuw]]=0,Table1[[#This Row],[MKI A-D]],Table1[[#This Row],[MKI A-D nieuw]])</f>
        <v>42.262867994700002</v>
      </c>
      <c r="Z87" s="126"/>
      <c r="AA87" s="127">
        <f>IFERROR(INDEX('3. Kengetallen (DC-uitdraai)'!AM:AM,MATCH(Table1[[#This Row],[Milieuprofiel]],'3. Kengetallen (DC-uitdraai)'!C:C,0)),0)*Table1[[#This Row],[Hvd]]</f>
        <v>0</v>
      </c>
      <c r="AB87" s="127">
        <f>IFERROR(INDEX('3. Kengetallen (DC-uitdraai)'!AM:AM,MATCH(Table1[[#This Row],[Potentieel alternatief]],'3. Kengetallen (DC-uitdraai)'!C:C,0)),0)*Table1[[#This Row],[Hvd]]</f>
        <v>0</v>
      </c>
    </row>
    <row r="88" spans="1:28">
      <c r="A88" s="89" t="s">
        <v>274</v>
      </c>
      <c r="B88" s="89"/>
      <c r="C88" s="42" t="s">
        <v>216</v>
      </c>
      <c r="D88" s="42" t="s">
        <v>268</v>
      </c>
      <c r="E88" t="s">
        <v>275</v>
      </c>
      <c r="F88" t="s">
        <v>276</v>
      </c>
      <c r="G88" t="s">
        <v>277</v>
      </c>
      <c r="H88" t="str">
        <f>IFERROR(INDEX('3. Kengetallen (DC-uitdraai)'!F:F,MATCH(Table1[[#This Row],[Milieuprofiel]],'3. Kengetallen (DC-uitdraai)'!D:D,0)),"")</f>
        <v>Cat.1</v>
      </c>
      <c r="I88" s="26">
        <v>12</v>
      </c>
      <c r="J88" t="s">
        <v>132</v>
      </c>
      <c r="K88" t="str">
        <f>IF(ISTEXT(Table1[[#This Row],[Milieuprofiel]]),"Ja","Nee")</f>
        <v>Ja</v>
      </c>
      <c r="L88" s="27">
        <v>0.5</v>
      </c>
      <c r="M88" s="26">
        <f>Table1[[#This Row],[Volume]]*Table1[[#This Row],[Factor]]</f>
        <v>6</v>
      </c>
      <c r="N88" t="str">
        <f>IFERROR(INDEX('3. Kengetallen (DC-uitdraai)'!H:H,MATCH(Table1[[#This Row],[Milieuprofiel]],'3. Kengetallen (DC-uitdraai)'!D:D,0)),"")</f>
        <v>nvt</v>
      </c>
      <c r="O88">
        <f>IFERROR(INDEX('3. Kengetallen (DC-uitdraai)'!I:I,MATCH(Table1[[#This Row],[Milieuprofiel]],'3. Kengetallen (DC-uitdraai)'!D:D,0)),0)</f>
        <v>100</v>
      </c>
      <c r="P88" s="125">
        <f>IFERROR(INDEX('3. Kengetallen (DC-uitdraai)'!P:P,MATCH(Table1[[#This Row],[Milieuprofiel]],'3. Kengetallen (DC-uitdraai)'!D:D,0))*Table1[[#This Row],[Hvd]]*(1+INDEX('3. Kengetallen (DC-uitdraai)'!K:K,MATCH(Table1[[#This Row],[Milieuprofiel]],'3. Kengetallen (DC-uitdraai)'!D:D,0))),0)</f>
        <v>26.713495753560007</v>
      </c>
      <c r="Q88" s="126">
        <f>IFERROR(INDEX('3. Kengetallen (DC-uitdraai)'!U:U,MATCH(Table1[[#This Row],[Milieuprofiel]],'3. Kengetallen (DC-uitdraai)'!D:D,0))*Table1[[#This Row],[Hvd]]*(1+INDEX('3. Kengetallen (DC-uitdraai)'!K:K,MATCH(Table1[[#This Row],[Milieuprofiel]],'3. Kengetallen (DC-uitdraai)'!D:D,0))),0)</f>
        <v>24.063454800000002</v>
      </c>
      <c r="R88" s="126">
        <f>IFERROR(INDEX('3. Kengetallen (DC-uitdraai)'!V:V,MATCH(Table1[[#This Row],[Milieuprofiel]],'3. Kengetallen (DC-uitdraai)'!D:D,0))*Table1[[#This Row],[Hvd]]*(1+INDEX('3. Kengetallen (DC-uitdraai)'!K:K,MATCH(Table1[[#This Row],[Milieuprofiel]],'3. Kengetallen (DC-uitdraai)'!D:D,0))),0)</f>
        <v>2.9694172439999997</v>
      </c>
      <c r="S88" s="126">
        <f>IFERROR(INDEX('3. Kengetallen (DC-uitdraai)'!W:W,MATCH(Table1[[#This Row],[Milieuprofiel]],'3. Kengetallen (DC-uitdraai)'!D:D,0))*Table1[[#This Row],[Hvd]]*(1+INDEX('3. Kengetallen (DC-uitdraai)'!K:K,MATCH(Table1[[#This Row],[Milieuprofiel]],'3. Kengetallen (DC-uitdraai)'!D:D,0))),0)</f>
        <v>0</v>
      </c>
      <c r="T88" s="126">
        <f>IFERROR(INDEX('3. Kengetallen (DC-uitdraai)'!X:X,MATCH(Table1[[#This Row],[Milieuprofiel]],'3. Kengetallen (DC-uitdraai)'!D:D,0))*Table1[[#This Row],[Hvd]]*(1+INDEX('3. Kengetallen (DC-uitdraai)'!K:K,MATCH(Table1[[#This Row],[Milieuprofiel]],'3. Kengetallen (DC-uitdraai)'!D:D,0))),0)</f>
        <v>-0.31937629043999882</v>
      </c>
      <c r="U88" s="126"/>
      <c r="V88" s="126"/>
      <c r="W88" s="126"/>
      <c r="X88" s="114">
        <f>IFERROR(INDEX('Eigen database'!P:P,MATCH(Table1[[#This Row],[Potentieel alternatief]],'Eigen database'!D:D,0))*Table1[[#This Row],[Hoeveelheid]]*(1+INDEX('Eigen database'!K:K,MATCH(Table1[[#This Row],[Potentieel alternatief]],'Eigen database'!D:D,0))),0)</f>
        <v>0</v>
      </c>
      <c r="Y88" s="126">
        <f>IF(Table1[[#This Row],[MKI A-D nieuw]]=0,Table1[[#This Row],[MKI A-D]],Table1[[#This Row],[MKI A-D nieuw]])</f>
        <v>26.713495753560007</v>
      </c>
      <c r="Z88" s="126"/>
      <c r="AA88" s="127">
        <f>IFERROR(INDEX('3. Kengetallen (DC-uitdraai)'!AM:AM,MATCH(Table1[[#This Row],[Milieuprofiel]],'3. Kengetallen (DC-uitdraai)'!C:C,0)),0)*Table1[[#This Row],[Hvd]]</f>
        <v>0</v>
      </c>
      <c r="AB88" s="127" t="e">
        <f>IFERROR(INDEX('3. Kengetallen (DC-uitdraai)'!AM:AM,MATCH(Table1[[#This Row],[Potentieel alternatief]],'3. Kengetallen (DC-uitdraai)'!C:C,0)),0)*Table1[[#This Row],[Hvd]]</f>
        <v>#VALUE!</v>
      </c>
    </row>
    <row r="89" spans="1:28">
      <c r="A89" s="89" t="s">
        <v>278</v>
      </c>
      <c r="B89" s="89" t="s">
        <v>279</v>
      </c>
      <c r="C89" s="42" t="s">
        <v>216</v>
      </c>
      <c r="D89" s="42" t="s">
        <v>268</v>
      </c>
      <c r="E89" s="113" t="s">
        <v>280</v>
      </c>
      <c r="F89" t="s">
        <v>281</v>
      </c>
      <c r="G89" t="s">
        <v>282</v>
      </c>
      <c r="H89" t="str">
        <f>IFERROR(INDEX('3. Kengetallen (DC-uitdraai)'!F:F,MATCH(Table1[[#This Row],[Milieuprofiel]],'3. Kengetallen (DC-uitdraai)'!D:D,0)),"")</f>
        <v>Cat.3 (30%)</v>
      </c>
      <c r="I89" s="26">
        <v>16</v>
      </c>
      <c r="J89" t="s">
        <v>132</v>
      </c>
      <c r="K89" t="str">
        <f>IF(ISTEXT(Table1[[#This Row],[Milieuprofiel]]),"Ja","Nee")</f>
        <v>Ja</v>
      </c>
      <c r="L89" s="27">
        <v>1</v>
      </c>
      <c r="M89" s="26">
        <f>Table1[[#This Row],[Volume]]*Table1[[#This Row],[Factor]]</f>
        <v>16</v>
      </c>
      <c r="N89" t="str">
        <f>IFERROR(INDEX('3. Kengetallen (DC-uitdraai)'!H:H,MATCH(Table1[[#This Row],[Milieuprofiel]],'3. Kengetallen (DC-uitdraai)'!D:D,0)),"")</f>
        <v>p</v>
      </c>
      <c r="O89">
        <f>IFERROR(INDEX('3. Kengetallen (DC-uitdraai)'!I:I,MATCH(Table1[[#This Row],[Milieuprofiel]],'3. Kengetallen (DC-uitdraai)'!D:D,0)),0)</f>
        <v>40</v>
      </c>
      <c r="P89" s="106">
        <f>IFERROR(INDEX('3. Kengetallen (DC-uitdraai)'!P:P,MATCH(Table1[[#This Row],[Milieuprofiel]],'3. Kengetallen (DC-uitdraai)'!D:D,0))*Table1[[#This Row],[Hvd]]*(1+INDEX('3. Kengetallen (DC-uitdraai)'!K:K,MATCH(Table1[[#This Row],[Milieuprofiel]],'3. Kengetallen (DC-uitdraai)'!D:D,0))),0)</f>
        <v>1004.6399491611193</v>
      </c>
      <c r="Q89" s="16">
        <f>IFERROR(INDEX('3. Kengetallen (DC-uitdraai)'!U:U,MATCH(Table1[[#This Row],[Milieuprofiel]],'3. Kengetallen (DC-uitdraai)'!D:D,0))*Table1[[#This Row],[Hvd]]*(1+INDEX('3. Kengetallen (DC-uitdraai)'!K:K,MATCH(Table1[[#This Row],[Milieuprofiel]],'3. Kengetallen (DC-uitdraai)'!D:D,0))),0)</f>
        <v>299.46978082741782</v>
      </c>
      <c r="R89" s="16">
        <f>IFERROR(INDEX('3. Kengetallen (DC-uitdraai)'!V:V,MATCH(Table1[[#This Row],[Milieuprofiel]],'3. Kengetallen (DC-uitdraai)'!D:D,0))*Table1[[#This Row],[Hvd]]*(1+INDEX('3. Kengetallen (DC-uitdraai)'!K:K,MATCH(Table1[[#This Row],[Milieuprofiel]],'3. Kengetallen (DC-uitdraai)'!D:D,0))),0)</f>
        <v>240.80572576338201</v>
      </c>
      <c r="S89" s="16">
        <f>IFERROR(INDEX('3. Kengetallen (DC-uitdraai)'!W:W,MATCH(Table1[[#This Row],[Milieuprofiel]],'3. Kengetallen (DC-uitdraai)'!D:D,0))*Table1[[#This Row],[Hvd]]*(1+INDEX('3. Kengetallen (DC-uitdraai)'!K:K,MATCH(Table1[[#This Row],[Milieuprofiel]],'3. Kengetallen (DC-uitdraai)'!D:D,0))),0)</f>
        <v>153.55093904806657</v>
      </c>
      <c r="T89" s="16">
        <f>IFERROR(INDEX('3. Kengetallen (DC-uitdraai)'!X:X,MATCH(Table1[[#This Row],[Milieuprofiel]],'3. Kengetallen (DC-uitdraai)'!D:D,0))*Table1[[#This Row],[Hvd]]*(1+INDEX('3. Kengetallen (DC-uitdraai)'!K:K,MATCH(Table1[[#This Row],[Milieuprofiel]],'3. Kengetallen (DC-uitdraai)'!D:D,0))),0)</f>
        <v>73.928249601466462</v>
      </c>
      <c r="U89" s="43">
        <f>0.8*0.8*1.1</f>
        <v>0.70400000000000018</v>
      </c>
      <c r="V89" s="43">
        <f>Table1[[#This Row],[Volume]]*Table1[[#This Row],[omrekenfactor]]</f>
        <v>11.264000000000003</v>
      </c>
      <c r="W89" s="43" t="str">
        <f>IFERROR(INDEX('Eigen database'!H:H,MATCH(Table1[[#This Row],[Potentieel alternatief]],'Eigen database'!D:D,0)),"")</f>
        <v>m3</v>
      </c>
      <c r="X89" s="108">
        <f>IFERROR(INDEX('Eigen database'!P:P,MATCH(Table1[[#This Row],[Potentieel alternatief]],'Eigen database'!D:D,0))*Table1[[#This Row],[Hoeveelheid]]*(1+INDEX('Eigen database'!K:K,MATCH(Table1[[#This Row],[Potentieel alternatief]],'Eigen database'!D:D,0))),0)</f>
        <v>450.56000000000012</v>
      </c>
      <c r="Y89" s="128">
        <f>IF(Table1[[#This Row],[MKI A-D nieuw]]=0,Table1[[#This Row],[MKI A-D]],Table1[[#This Row],[MKI A-D nieuw]])</f>
        <v>450.56000000000012</v>
      </c>
      <c r="Z89" s="16"/>
      <c r="AA89" s="28">
        <f>IFERROR(INDEX('3. Kengetallen (DC-uitdraai)'!AM:AM,MATCH(Table1[[#This Row],[Milieuprofiel]],'3. Kengetallen (DC-uitdraai)'!C:C,0)),0)*Table1[[#This Row],[Hvd]]</f>
        <v>0</v>
      </c>
      <c r="AB89" s="28">
        <f>IFERROR(INDEX('3. Kengetallen (DC-uitdraai)'!AM:AM,MATCH(Table1[[#This Row],[Potentieel alternatief]],'3. Kengetallen (DC-uitdraai)'!C:C,0)),0)*Table1[[#This Row],[Hvd]]</f>
        <v>0</v>
      </c>
    </row>
    <row r="90" spans="1:28">
      <c r="A90" s="88" t="s">
        <v>283</v>
      </c>
      <c r="B90" s="88" t="s">
        <v>284</v>
      </c>
      <c r="C90" s="42" t="s">
        <v>216</v>
      </c>
      <c r="D90" s="42" t="s">
        <v>268</v>
      </c>
      <c r="E90" s="113" t="s">
        <v>285</v>
      </c>
      <c r="F90" t="s">
        <v>286</v>
      </c>
      <c r="G90" t="s">
        <v>287</v>
      </c>
      <c r="H90" t="str">
        <f>IFERROR(INDEX('3. Kengetallen (DC-uitdraai)'!F:F,MATCH(Table1[[#This Row],[Milieuprofiel]],'3. Kengetallen (DC-uitdraai)'!D:D,0)),"")</f>
        <v>Cat.3 (30%)</v>
      </c>
      <c r="I90" s="26">
        <v>23</v>
      </c>
      <c r="J90" t="s">
        <v>132</v>
      </c>
      <c r="K90" t="str">
        <f>IF(ISTEXT(Table1[[#This Row],[Milieuprofiel]]),"Ja","Nee")</f>
        <v>Ja</v>
      </c>
      <c r="L90" s="27">
        <f>(450*300)/(360*400)</f>
        <v>0.9375</v>
      </c>
      <c r="M90" s="26">
        <f>Table1[[#This Row],[Volume]]*Table1[[#This Row],[Factor]]</f>
        <v>21.5625</v>
      </c>
      <c r="N90" t="str">
        <f>IFERROR(INDEX('3. Kengetallen (DC-uitdraai)'!H:H,MATCH(Table1[[#This Row],[Milieuprofiel]],'3. Kengetallen (DC-uitdraai)'!D:D,0)),"")</f>
        <v>p</v>
      </c>
      <c r="O90">
        <f>IFERROR(INDEX('3. Kengetallen (DC-uitdraai)'!I:I,MATCH(Table1[[#This Row],[Milieuprofiel]],'3. Kengetallen (DC-uitdraai)'!D:D,0)),0)</f>
        <v>40</v>
      </c>
      <c r="P90" s="106">
        <f>IFERROR(INDEX('3. Kengetallen (DC-uitdraai)'!P:P,MATCH(Table1[[#This Row],[Milieuprofiel]],'3. Kengetallen (DC-uitdraai)'!D:D,0))*Table1[[#This Row],[Hvd]]*(1+INDEX('3. Kengetallen (DC-uitdraai)'!K:K,MATCH(Table1[[#This Row],[Milieuprofiel]],'3. Kengetallen (DC-uitdraai)'!D:D,0))),0)</f>
        <v>825.32238457594303</v>
      </c>
      <c r="Q90" s="16">
        <f>IFERROR(INDEX('3. Kengetallen (DC-uitdraai)'!U:U,MATCH(Table1[[#This Row],[Milieuprofiel]],'3. Kengetallen (DC-uitdraai)'!D:D,0))*Table1[[#This Row],[Hvd]]*(1+INDEX('3. Kengetallen (DC-uitdraai)'!K:K,MATCH(Table1[[#This Row],[Milieuprofiel]],'3. Kengetallen (DC-uitdraai)'!D:D,0))),0)</f>
        <v>304.98018724462128</v>
      </c>
      <c r="R90" s="16">
        <f>IFERROR(INDEX('3. Kengetallen (DC-uitdraai)'!V:V,MATCH(Table1[[#This Row],[Milieuprofiel]],'3. Kengetallen (DC-uitdraai)'!D:D,0))*Table1[[#This Row],[Hvd]]*(1+INDEX('3. Kengetallen (DC-uitdraai)'!K:K,MATCH(Table1[[#This Row],[Milieuprofiel]],'3. Kengetallen (DC-uitdraai)'!D:D,0))),0)</f>
        <v>107.78384745707584</v>
      </c>
      <c r="S90" s="16">
        <f>IFERROR(INDEX('3. Kengetallen (DC-uitdraai)'!W:W,MATCH(Table1[[#This Row],[Milieuprofiel]],'3. Kengetallen (DC-uitdraai)'!D:D,0))*Table1[[#This Row],[Hvd]]*(1+INDEX('3. Kengetallen (DC-uitdraai)'!K:K,MATCH(Table1[[#This Row],[Milieuprofiel]],'3. Kengetallen (DC-uitdraai)'!D:D,0))),0)</f>
        <v>121.40515224614252</v>
      </c>
      <c r="T90" s="16">
        <f>IFERROR(INDEX('3. Kengetallen (DC-uitdraai)'!X:X,MATCH(Table1[[#This Row],[Milieuprofiel]],'3. Kengetallen (DC-uitdraai)'!D:D,0))*Table1[[#This Row],[Hvd]]*(1+INDEX('3. Kengetallen (DC-uitdraai)'!K:K,MATCH(Table1[[#This Row],[Milieuprofiel]],'3. Kengetallen (DC-uitdraai)'!D:D,0))),0)</f>
        <v>72.856574282872927</v>
      </c>
      <c r="U90" s="43">
        <f>0.45*0.3*0.93</f>
        <v>0.12555000000000002</v>
      </c>
      <c r="V90" s="43">
        <f>Table1[[#This Row],[Volume]]*Table1[[#This Row],[omrekenfactor]]</f>
        <v>2.8876500000000007</v>
      </c>
      <c r="W90" s="43" t="str">
        <f>IFERROR(INDEX('Eigen database'!H:H,MATCH(Table1[[#This Row],[Potentieel alternatief]],'Eigen database'!D:D,0)),"")</f>
        <v>m3</v>
      </c>
      <c r="X90" s="108">
        <f>IFERROR(INDEX('Eigen database'!P:P,MATCH(Table1[[#This Row],[Potentieel alternatief]],'Eigen database'!D:D,0))*Table1[[#This Row],[Hoeveelheid]]*(1+INDEX('Eigen database'!K:K,MATCH(Table1[[#This Row],[Potentieel alternatief]],'Eigen database'!D:D,0))),0)</f>
        <v>115.50600000000003</v>
      </c>
      <c r="Y90" s="128">
        <f>IF(Table1[[#This Row],[MKI A-D nieuw]]=0,Table1[[#This Row],[MKI A-D]],Table1[[#This Row],[MKI A-D nieuw]])</f>
        <v>115.50600000000003</v>
      </c>
      <c r="Z90" s="16"/>
      <c r="AA90" s="28">
        <f>IFERROR(INDEX('3. Kengetallen (DC-uitdraai)'!AM:AM,MATCH(Table1[[#This Row],[Milieuprofiel]],'3. Kengetallen (DC-uitdraai)'!C:C,0)),0)*Table1[[#This Row],[Hvd]]</f>
        <v>0</v>
      </c>
      <c r="AB90" s="28">
        <f>IFERROR(INDEX('3. Kengetallen (DC-uitdraai)'!AM:AM,MATCH(Table1[[#This Row],[Potentieel alternatief]],'3. Kengetallen (DC-uitdraai)'!C:C,0)),0)*Table1[[#This Row],[Hvd]]</f>
        <v>0</v>
      </c>
    </row>
    <row r="91" spans="1:28">
      <c r="A91" s="89" t="s">
        <v>288</v>
      </c>
      <c r="B91" s="89" t="s">
        <v>284</v>
      </c>
      <c r="C91" s="42" t="s">
        <v>216</v>
      </c>
      <c r="D91" s="42" t="s">
        <v>268</v>
      </c>
      <c r="E91" s="113" t="s">
        <v>289</v>
      </c>
      <c r="F91" t="s">
        <v>286</v>
      </c>
      <c r="G91" t="s">
        <v>287</v>
      </c>
      <c r="H91" t="str">
        <f>IFERROR(INDEX('3. Kengetallen (DC-uitdraai)'!F:F,MATCH(Table1[[#This Row],[Milieuprofiel]],'3. Kengetallen (DC-uitdraai)'!D:D,0)),"")</f>
        <v>Cat.3 (30%)</v>
      </c>
      <c r="I91" s="26">
        <v>4</v>
      </c>
      <c r="J91" t="s">
        <v>132</v>
      </c>
      <c r="K91" t="str">
        <f>IF(ISTEXT(Table1[[#This Row],[Milieuprofiel]]),"Ja","Nee")</f>
        <v>Ja</v>
      </c>
      <c r="L91" s="27">
        <f>(450*300)/(360*400)</f>
        <v>0.9375</v>
      </c>
      <c r="M91" s="26">
        <f>Table1[[#This Row],[Volume]]*Table1[[#This Row],[Factor]]</f>
        <v>3.75</v>
      </c>
      <c r="N91" t="str">
        <f>IFERROR(INDEX('3. Kengetallen (DC-uitdraai)'!H:H,MATCH(Table1[[#This Row],[Milieuprofiel]],'3. Kengetallen (DC-uitdraai)'!D:D,0)),"")</f>
        <v>p</v>
      </c>
      <c r="O91">
        <f>IFERROR(INDEX('3. Kengetallen (DC-uitdraai)'!I:I,MATCH(Table1[[#This Row],[Milieuprofiel]],'3. Kengetallen (DC-uitdraai)'!D:D,0)),0)</f>
        <v>40</v>
      </c>
      <c r="P91" s="106">
        <f>IFERROR(INDEX('3. Kengetallen (DC-uitdraai)'!P:P,MATCH(Table1[[#This Row],[Milieuprofiel]],'3. Kengetallen (DC-uitdraai)'!D:D,0))*Table1[[#This Row],[Hvd]]*(1+INDEX('3. Kengetallen (DC-uitdraai)'!K:K,MATCH(Table1[[#This Row],[Milieuprofiel]],'3. Kengetallen (DC-uitdraai)'!D:D,0))),0)</f>
        <v>143.53432775233793</v>
      </c>
      <c r="Q91" s="16">
        <f>IFERROR(INDEX('3. Kengetallen (DC-uitdraai)'!U:U,MATCH(Table1[[#This Row],[Milieuprofiel]],'3. Kengetallen (DC-uitdraai)'!D:D,0))*Table1[[#This Row],[Hvd]]*(1+INDEX('3. Kengetallen (DC-uitdraai)'!K:K,MATCH(Table1[[#This Row],[Milieuprofiel]],'3. Kengetallen (DC-uitdraai)'!D:D,0))),0)</f>
        <v>53.040032564281965</v>
      </c>
      <c r="R91" s="16">
        <f>IFERROR(INDEX('3. Kengetallen (DC-uitdraai)'!V:V,MATCH(Table1[[#This Row],[Milieuprofiel]],'3. Kengetallen (DC-uitdraai)'!D:D,0))*Table1[[#This Row],[Hvd]]*(1+INDEX('3. Kengetallen (DC-uitdraai)'!K:K,MATCH(Table1[[#This Row],[Milieuprofiel]],'3. Kengetallen (DC-uitdraai)'!D:D,0))),0)</f>
        <v>18.745016949056669</v>
      </c>
      <c r="S91" s="16">
        <f>IFERROR(INDEX('3. Kengetallen (DC-uitdraai)'!W:W,MATCH(Table1[[#This Row],[Milieuprofiel]],'3. Kengetallen (DC-uitdraai)'!D:D,0))*Table1[[#This Row],[Hvd]]*(1+INDEX('3. Kengetallen (DC-uitdraai)'!K:K,MATCH(Table1[[#This Row],[Milieuprofiel]],'3. Kengetallen (DC-uitdraai)'!D:D,0))),0)</f>
        <v>21.113939521068264</v>
      </c>
      <c r="T91" s="16">
        <f>IFERROR(INDEX('3. Kengetallen (DC-uitdraai)'!X:X,MATCH(Table1[[#This Row],[Milieuprofiel]],'3. Kengetallen (DC-uitdraai)'!D:D,0))*Table1[[#This Row],[Hvd]]*(1+INDEX('3. Kengetallen (DC-uitdraai)'!K:K,MATCH(Table1[[#This Row],[Milieuprofiel]],'3. Kengetallen (DC-uitdraai)'!D:D,0))),0)</f>
        <v>12.670708570934421</v>
      </c>
      <c r="U91" s="43">
        <f>0.45*0.3*0.93</f>
        <v>0.12555000000000002</v>
      </c>
      <c r="V91" s="43">
        <f>Table1[[#This Row],[Volume]]*Table1[[#This Row],[omrekenfactor]]</f>
        <v>0.50220000000000009</v>
      </c>
      <c r="W91" s="43" t="str">
        <f>IFERROR(INDEX('Eigen database'!H:H,MATCH(Table1[[#This Row],[Potentieel alternatief]],'Eigen database'!D:D,0)),"")</f>
        <v>m3</v>
      </c>
      <c r="X91" s="108">
        <f>IFERROR(INDEX('Eigen database'!P:P,MATCH(Table1[[#This Row],[Potentieel alternatief]],'Eigen database'!D:D,0))*Table1[[#This Row],[Hoeveelheid]]*(1+INDEX('Eigen database'!K:K,MATCH(Table1[[#This Row],[Potentieel alternatief]],'Eigen database'!D:D,0))),0)</f>
        <v>20.088000000000005</v>
      </c>
      <c r="Y91" s="128">
        <f>IF(Table1[[#This Row],[MKI A-D nieuw]]=0,Table1[[#This Row],[MKI A-D]],Table1[[#This Row],[MKI A-D nieuw]])</f>
        <v>20.088000000000005</v>
      </c>
      <c r="Z91" s="16"/>
      <c r="AA91" s="28">
        <f>IFERROR(INDEX('3. Kengetallen (DC-uitdraai)'!AM:AM,MATCH(Table1[[#This Row],[Milieuprofiel]],'3. Kengetallen (DC-uitdraai)'!C:C,0)),0)*Table1[[#This Row],[Hvd]]</f>
        <v>0</v>
      </c>
      <c r="AB91" s="28">
        <f>IFERROR(INDEX('3. Kengetallen (DC-uitdraai)'!AM:AM,MATCH(Table1[[#This Row],[Potentieel alternatief]],'3. Kengetallen (DC-uitdraai)'!C:C,0)),0)*Table1[[#This Row],[Hvd]]</f>
        <v>0</v>
      </c>
    </row>
    <row r="92" spans="1:28">
      <c r="A92" s="88" t="s">
        <v>290</v>
      </c>
      <c r="B92" s="88" t="s">
        <v>291</v>
      </c>
      <c r="C92" s="42" t="s">
        <v>216</v>
      </c>
      <c r="D92" s="42" t="s">
        <v>292</v>
      </c>
      <c r="E92" t="s">
        <v>293</v>
      </c>
      <c r="F92" t="s">
        <v>96</v>
      </c>
      <c r="G92" t="s">
        <v>241</v>
      </c>
      <c r="H92" t="str">
        <f>IFERROR(INDEX('3. Kengetallen (DC-uitdraai)'!F:F,MATCH(Table1[[#This Row],[Milieuprofiel]],'3. Kengetallen (DC-uitdraai)'!D:D,0)),"")</f>
        <v>Cat.3 (30%)</v>
      </c>
      <c r="I92" s="26">
        <v>820</v>
      </c>
      <c r="J92" t="s">
        <v>93</v>
      </c>
      <c r="K92" t="str">
        <f>IF(ISTEXT(Table1[[#This Row],[Milieuprofiel]]),"Ja","Nee")</f>
        <v>Ja</v>
      </c>
      <c r="L92" s="27">
        <v>1</v>
      </c>
      <c r="M92" s="26">
        <f>Table1[[#This Row],[Volume]]*Table1[[#This Row],[Factor]]</f>
        <v>820</v>
      </c>
      <c r="N92" t="str">
        <f>IFERROR(INDEX('3. Kengetallen (DC-uitdraai)'!H:H,MATCH(Table1[[#This Row],[Milieuprofiel]],'3. Kengetallen (DC-uitdraai)'!D:D,0)),"")</f>
        <v>m1</v>
      </c>
      <c r="O92">
        <f>IFERROR(INDEX('3. Kengetallen (DC-uitdraai)'!I:I,MATCH(Table1[[#This Row],[Milieuprofiel]],'3. Kengetallen (DC-uitdraai)'!D:D,0)),0)</f>
        <v>999</v>
      </c>
      <c r="P92" s="106">
        <f>IFERROR(INDEX('3. Kengetallen (DC-uitdraai)'!P:P,MATCH(Table1[[#This Row],[Milieuprofiel]],'3. Kengetallen (DC-uitdraai)'!D:D,0))*Table1[[#This Row],[Hvd]]*(1+INDEX('3. Kengetallen (DC-uitdraai)'!K:K,MATCH(Table1[[#This Row],[Milieuprofiel]],'3. Kengetallen (DC-uitdraai)'!D:D,0))),0)</f>
        <v>536.07425675671118</v>
      </c>
      <c r="Q92" s="16">
        <f>IFERROR(INDEX('3. Kengetallen (DC-uitdraai)'!U:U,MATCH(Table1[[#This Row],[Milieuprofiel]],'3. Kengetallen (DC-uitdraai)'!D:D,0))*Table1[[#This Row],[Hvd]]*(1+INDEX('3. Kengetallen (DC-uitdraai)'!K:K,MATCH(Table1[[#This Row],[Milieuprofiel]],'3. Kengetallen (DC-uitdraai)'!D:D,0))),0)</f>
        <v>0</v>
      </c>
      <c r="R92" s="16">
        <f>IFERROR(INDEX('3. Kengetallen (DC-uitdraai)'!V:V,MATCH(Table1[[#This Row],[Milieuprofiel]],'3. Kengetallen (DC-uitdraai)'!D:D,0))*Table1[[#This Row],[Hvd]]*(1+INDEX('3. Kengetallen (DC-uitdraai)'!K:K,MATCH(Table1[[#This Row],[Milieuprofiel]],'3. Kengetallen (DC-uitdraai)'!D:D,0))),0)</f>
        <v>412.3648091084151</v>
      </c>
      <c r="S92" s="16">
        <f>IFERROR(INDEX('3. Kengetallen (DC-uitdraai)'!W:W,MATCH(Table1[[#This Row],[Milieuprofiel]],'3. Kengetallen (DC-uitdraai)'!D:D,0))*Table1[[#This Row],[Hvd]]*(1+INDEX('3. Kengetallen (DC-uitdraai)'!K:K,MATCH(Table1[[#This Row],[Milieuprofiel]],'3. Kengetallen (DC-uitdraai)'!D:D,0))),0)</f>
        <v>0</v>
      </c>
      <c r="T92" s="16">
        <f>IFERROR(INDEX('3. Kengetallen (DC-uitdraai)'!X:X,MATCH(Table1[[#This Row],[Milieuprofiel]],'3. Kengetallen (DC-uitdraai)'!D:D,0))*Table1[[#This Row],[Hvd]]*(1+INDEX('3. Kengetallen (DC-uitdraai)'!K:K,MATCH(Table1[[#This Row],[Milieuprofiel]],'3. Kengetallen (DC-uitdraai)'!D:D,0))),0)</f>
        <v>0</v>
      </c>
      <c r="U92" s="43">
        <f>0.089</f>
        <v>8.8999999999999996E-2</v>
      </c>
      <c r="V92" s="43">
        <f>Table1[[#This Row],[Volume]]*Table1[[#This Row],[omrekenfactor]]</f>
        <v>72.97999999999999</v>
      </c>
      <c r="W92" s="43" t="str">
        <f>IFERROR(INDEX('Eigen database'!H:H,MATCH(Table1[[#This Row],[Potentieel alternatief]],'Eigen database'!D:D,0)),"")</f>
        <v>uur</v>
      </c>
      <c r="X92" s="108">
        <f>IFERROR(INDEX('Eigen database'!P:P,MATCH(Table1[[#This Row],[Potentieel alternatief]],'Eigen database'!D:D,0))*Table1[[#This Row],[Hoeveelheid]]*(1+INDEX('Eigen database'!K:K,MATCH(Table1[[#This Row],[Potentieel alternatief]],'Eigen database'!D:D,0))),0)</f>
        <v>181.82867184965446</v>
      </c>
      <c r="Y92" s="16">
        <f>IF(Table1[[#This Row],[MKI A-D nieuw]]=0,Table1[[#This Row],[MKI A-D]],Table1[[#This Row],[MKI A-D nieuw]])</f>
        <v>181.82867184965446</v>
      </c>
      <c r="Z92" s="16"/>
      <c r="AA92" s="28">
        <f>IFERROR(INDEX('3. Kengetallen (DC-uitdraai)'!AM:AM,MATCH(Table1[[#This Row],[Milieuprofiel]],'3. Kengetallen (DC-uitdraai)'!C:C,0)),0)*Table1[[#This Row],[Hvd]]</f>
        <v>0</v>
      </c>
      <c r="AB92" s="28">
        <f>IFERROR(INDEX('3. Kengetallen (DC-uitdraai)'!AM:AM,MATCH(Table1[[#This Row],[Potentieel alternatief]],'3. Kengetallen (DC-uitdraai)'!C:C,0)),0)*Table1[[#This Row],[Hvd]]</f>
        <v>0</v>
      </c>
    </row>
    <row r="93" spans="1:28">
      <c r="A93" s="89" t="s">
        <v>294</v>
      </c>
      <c r="B93" s="89" t="s">
        <v>295</v>
      </c>
      <c r="C93" s="42" t="s">
        <v>216</v>
      </c>
      <c r="D93" s="42" t="s">
        <v>292</v>
      </c>
      <c r="E93" t="s">
        <v>296</v>
      </c>
      <c r="F93" t="s">
        <v>297</v>
      </c>
      <c r="H93" t="str">
        <f>IFERROR(INDEX('3. Kengetallen (DC-uitdraai)'!F:F,MATCH(Table1[[#This Row],[Milieuprofiel]],'3. Kengetallen (DC-uitdraai)'!D:D,0)),"")</f>
        <v>Cat.3 (30%)</v>
      </c>
      <c r="I93" s="26">
        <v>840</v>
      </c>
      <c r="J93" t="s">
        <v>93</v>
      </c>
      <c r="K93" t="str">
        <f>IF(ISTEXT(Table1[[#This Row],[Milieuprofiel]]),"Ja","Nee")</f>
        <v>Ja</v>
      </c>
      <c r="L93" s="27">
        <f>(125*10)/(250*17)</f>
        <v>0.29411764705882354</v>
      </c>
      <c r="M93" s="26">
        <f>Table1[[#This Row],[Volume]]*Table1[[#This Row],[Factor]]</f>
        <v>247.05882352941177</v>
      </c>
      <c r="N93" t="str">
        <f>IFERROR(INDEX('3. Kengetallen (DC-uitdraai)'!H:H,MATCH(Table1[[#This Row],[Milieuprofiel]],'3. Kengetallen (DC-uitdraai)'!D:D,0)),"")</f>
        <v>m1</v>
      </c>
      <c r="O93">
        <f>IFERROR(INDEX('3. Kengetallen (DC-uitdraai)'!I:I,MATCH(Table1[[#This Row],[Milieuprofiel]],'3. Kengetallen (DC-uitdraai)'!D:D,0)),0)</f>
        <v>100</v>
      </c>
      <c r="P93" s="106">
        <f>IFERROR(INDEX('3. Kengetallen (DC-uitdraai)'!P:P,MATCH(Table1[[#This Row],[Milieuprofiel]],'3. Kengetallen (DC-uitdraai)'!D:D,0))*Table1[[#This Row],[Hvd]]*(1+INDEX('3. Kengetallen (DC-uitdraai)'!K:K,MATCH(Table1[[#This Row],[Milieuprofiel]],'3. Kengetallen (DC-uitdraai)'!D:D,0))),0)</f>
        <v>483.57709380030605</v>
      </c>
      <c r="Q93" s="16">
        <f>IFERROR(INDEX('3. Kengetallen (DC-uitdraai)'!U:U,MATCH(Table1[[#This Row],[Milieuprofiel]],'3. Kengetallen (DC-uitdraai)'!D:D,0))*Table1[[#This Row],[Hvd]]*(1+INDEX('3. Kengetallen (DC-uitdraai)'!K:K,MATCH(Table1[[#This Row],[Milieuprofiel]],'3. Kengetallen (DC-uitdraai)'!D:D,0))),0)</f>
        <v>238.54619718290294</v>
      </c>
      <c r="R93" s="16">
        <f>IFERROR(INDEX('3. Kengetallen (DC-uitdraai)'!V:V,MATCH(Table1[[#This Row],[Milieuprofiel]],'3. Kengetallen (DC-uitdraai)'!D:D,0))*Table1[[#This Row],[Hvd]]*(1+INDEX('3. Kengetallen (DC-uitdraai)'!K:K,MATCH(Table1[[#This Row],[Milieuprofiel]],'3. Kengetallen (DC-uitdraai)'!D:D,0))),0)</f>
        <v>128.36022790469966</v>
      </c>
      <c r="S93" s="16">
        <f>IFERROR(INDEX('3. Kengetallen (DC-uitdraai)'!W:W,MATCH(Table1[[#This Row],[Milieuprofiel]],'3. Kengetallen (DC-uitdraai)'!D:D,0))*Table1[[#This Row],[Hvd]]*(1+INDEX('3. Kengetallen (DC-uitdraai)'!K:K,MATCH(Table1[[#This Row],[Milieuprofiel]],'3. Kengetallen (DC-uitdraai)'!D:D,0))),0)</f>
        <v>0</v>
      </c>
      <c r="T93" s="16">
        <f>IFERROR(INDEX('3. Kengetallen (DC-uitdraai)'!X:X,MATCH(Table1[[#This Row],[Milieuprofiel]],'3. Kengetallen (DC-uitdraai)'!D:D,0))*Table1[[#This Row],[Hvd]]*(1+INDEX('3. Kengetallen (DC-uitdraai)'!K:K,MATCH(Table1[[#This Row],[Milieuprofiel]],'3. Kengetallen (DC-uitdraai)'!D:D,0))),0)</f>
        <v>3.6720248935961788</v>
      </c>
      <c r="U93" s="16"/>
      <c r="V93" s="16"/>
      <c r="W93" s="43" t="str">
        <f>IFERROR(INDEX('Eigen database'!H:H,MATCH(Table1[[#This Row],[Potentieel alternatief]],'Eigen database'!D:D,0)),"")</f>
        <v/>
      </c>
      <c r="X93" s="108">
        <f>IFERROR(INDEX('Eigen database'!P:P,MATCH(Table1[[#This Row],[Potentieel alternatief]],'Eigen database'!D:D,0))*Table1[[#This Row],[Hoeveelheid]]*(1+INDEX('Eigen database'!K:K,MATCH(Table1[[#This Row],[Potentieel alternatief]],'Eigen database'!D:D,0))),0)</f>
        <v>0</v>
      </c>
      <c r="Y93" s="16">
        <f>IF(Table1[[#This Row],[MKI A-D nieuw]]=0,Table1[[#This Row],[MKI A-D]],Table1[[#This Row],[MKI A-D nieuw]])</f>
        <v>483.57709380030605</v>
      </c>
      <c r="Z93" s="16"/>
      <c r="AA93" s="28">
        <f>IFERROR(INDEX('3. Kengetallen (DC-uitdraai)'!AM:AM,MATCH(Table1[[#This Row],[Milieuprofiel]],'3. Kengetallen (DC-uitdraai)'!C:C,0)),0)*Table1[[#This Row],[Hvd]]</f>
        <v>0</v>
      </c>
      <c r="AB93" s="28">
        <f>IFERROR(INDEX('3. Kengetallen (DC-uitdraai)'!AM:AM,MATCH(Table1[[#This Row],[Potentieel alternatief]],'3. Kengetallen (DC-uitdraai)'!C:C,0)),0)*Table1[[#This Row],[Hvd]]</f>
        <v>0</v>
      </c>
    </row>
    <row r="94" spans="1:28">
      <c r="A94" s="89" t="s">
        <v>298</v>
      </c>
      <c r="B94" s="89" t="s">
        <v>299</v>
      </c>
      <c r="C94" s="42" t="s">
        <v>216</v>
      </c>
      <c r="D94" s="42" t="s">
        <v>227</v>
      </c>
      <c r="E94" t="s">
        <v>300</v>
      </c>
      <c r="F94" t="s">
        <v>301</v>
      </c>
      <c r="H94" t="str">
        <f>IFERROR(INDEX('3. Kengetallen (DC-uitdraai)'!F:F,MATCH(Table1[[#This Row],[Milieuprofiel]],'3. Kengetallen (DC-uitdraai)'!D:D,0)),"")</f>
        <v>Cat.3 (30%)</v>
      </c>
      <c r="I94" s="26">
        <v>24</v>
      </c>
      <c r="J94" t="s">
        <v>132</v>
      </c>
      <c r="K94" t="str">
        <f>IF(ISTEXT(Table1[[#This Row],[Milieuprofiel]]),"Ja","Nee")</f>
        <v>Ja</v>
      </c>
      <c r="L94" s="27">
        <f>2.13/3.44</f>
        <v>0.6191860465116279</v>
      </c>
      <c r="M94" s="26">
        <f>Table1[[#This Row],[Volume]]*Table1[[#This Row],[Factor]]</f>
        <v>14.86046511627907</v>
      </c>
      <c r="N94" t="str">
        <f>IFERROR(INDEX('3. Kengetallen (DC-uitdraai)'!H:H,MATCH(Table1[[#This Row],[Milieuprofiel]],'3. Kengetallen (DC-uitdraai)'!D:D,0)),"")</f>
        <v>p</v>
      </c>
      <c r="O94">
        <f>IFERROR(INDEX('3. Kengetallen (DC-uitdraai)'!I:I,MATCH(Table1[[#This Row],[Milieuprofiel]],'3. Kengetallen (DC-uitdraai)'!D:D,0)),0)</f>
        <v>50</v>
      </c>
      <c r="P94" s="106">
        <f>IFERROR(INDEX('3. Kengetallen (DC-uitdraai)'!P:P,MATCH(Table1[[#This Row],[Milieuprofiel]],'3. Kengetallen (DC-uitdraai)'!D:D,0))*Table1[[#This Row],[Hvd]]*(1+INDEX('3. Kengetallen (DC-uitdraai)'!K:K,MATCH(Table1[[#This Row],[Milieuprofiel]],'3. Kengetallen (DC-uitdraai)'!D:D,0))),0)</f>
        <v>23.986779974286829</v>
      </c>
      <c r="Q94" s="16">
        <f>IFERROR(INDEX('3. Kengetallen (DC-uitdraai)'!U:U,MATCH(Table1[[#This Row],[Milieuprofiel]],'3. Kengetallen (DC-uitdraai)'!D:D,0))*Table1[[#This Row],[Hvd]]*(1+INDEX('3. Kengetallen (DC-uitdraai)'!K:K,MATCH(Table1[[#This Row],[Milieuprofiel]],'3. Kengetallen (DC-uitdraai)'!D:D,0))),0)</f>
        <v>13.378946040215297</v>
      </c>
      <c r="R94" s="16">
        <f>IFERROR(INDEX('3. Kengetallen (DC-uitdraai)'!V:V,MATCH(Table1[[#This Row],[Milieuprofiel]],'3. Kengetallen (DC-uitdraai)'!D:D,0))*Table1[[#This Row],[Hvd]]*(1+INDEX('3. Kengetallen (DC-uitdraai)'!K:K,MATCH(Table1[[#This Row],[Milieuprofiel]],'3. Kengetallen (DC-uitdraai)'!D:D,0))),0)</f>
        <v>0.68141320773393743</v>
      </c>
      <c r="S94" s="16">
        <f>IFERROR(INDEX('3. Kengetallen (DC-uitdraai)'!W:W,MATCH(Table1[[#This Row],[Milieuprofiel]],'3. Kengetallen (DC-uitdraai)'!D:D,0))*Table1[[#This Row],[Hvd]]*(1+INDEX('3. Kengetallen (DC-uitdraai)'!K:K,MATCH(Table1[[#This Row],[Milieuprofiel]],'3. Kengetallen (DC-uitdraai)'!D:D,0))),0)</f>
        <v>0</v>
      </c>
      <c r="T94" s="16">
        <f>IFERROR(INDEX('3. Kengetallen (DC-uitdraai)'!X:X,MATCH(Table1[[#This Row],[Milieuprofiel]],'3. Kengetallen (DC-uitdraai)'!D:D,0))*Table1[[#This Row],[Hvd]]*(1+INDEX('3. Kengetallen (DC-uitdraai)'!K:K,MATCH(Table1[[#This Row],[Milieuprofiel]],'3. Kengetallen (DC-uitdraai)'!D:D,0))),0)</f>
        <v>3.5889505918987923</v>
      </c>
      <c r="U94" s="16"/>
      <c r="V94" s="16"/>
      <c r="W94" s="16"/>
      <c r="X94" s="108">
        <f>IFERROR(INDEX('Eigen database'!P:P,MATCH(Table1[[#This Row],[Potentieel alternatief]],'Eigen database'!D:D,0))*Table1[[#This Row],[Hoeveelheid]]*(1+INDEX('Eigen database'!K:K,MATCH(Table1[[#This Row],[Potentieel alternatief]],'Eigen database'!D:D,0))),0)</f>
        <v>0</v>
      </c>
      <c r="Y94" s="16">
        <f>IF(Table1[[#This Row],[MKI A-D nieuw]]=0,Table1[[#This Row],[MKI A-D]],Table1[[#This Row],[MKI A-D nieuw]])</f>
        <v>23.986779974286829</v>
      </c>
      <c r="Z94" s="16"/>
      <c r="AA94" s="28">
        <f>IFERROR(INDEX('3. Kengetallen (DC-uitdraai)'!AM:AM,MATCH(Table1[[#This Row],[Milieuprofiel]],'3. Kengetallen (DC-uitdraai)'!C:C,0)),0)*Table1[[#This Row],[Hvd]]</f>
        <v>0</v>
      </c>
      <c r="AB94" s="28">
        <f>IFERROR(INDEX('3. Kengetallen (DC-uitdraai)'!AM:AM,MATCH(Table1[[#This Row],[Potentieel alternatief]],'3. Kengetallen (DC-uitdraai)'!C:C,0)),0)*Table1[[#This Row],[Hvd]]</f>
        <v>0</v>
      </c>
    </row>
    <row r="95" spans="1:28">
      <c r="A95" s="89" t="s">
        <v>302</v>
      </c>
      <c r="B95" s="89" t="s">
        <v>303</v>
      </c>
      <c r="C95" s="42" t="s">
        <v>216</v>
      </c>
      <c r="D95" s="42" t="s">
        <v>292</v>
      </c>
      <c r="E95" t="s">
        <v>304</v>
      </c>
      <c r="F95" t="s">
        <v>305</v>
      </c>
      <c r="H95" t="str">
        <f>IFERROR(INDEX('3. Kengetallen (DC-uitdraai)'!F:F,MATCH(Table1[[#This Row],[Milieuprofiel]],'3. Kengetallen (DC-uitdraai)'!D:D,0)),"")</f>
        <v>Cat.3 (30%)</v>
      </c>
      <c r="I95" s="26">
        <v>1</v>
      </c>
      <c r="J95" t="s">
        <v>132</v>
      </c>
      <c r="K95" t="str">
        <f>IF(ISTEXT(Table1[[#This Row],[Milieuprofiel]]),"Ja","Nee")</f>
        <v>Ja</v>
      </c>
      <c r="L95" s="27">
        <v>1</v>
      </c>
      <c r="M95" s="26">
        <f>Table1[[#This Row],[Volume]]*Table1[[#This Row],[Factor]]</f>
        <v>1</v>
      </c>
      <c r="N95" t="str">
        <f>IFERROR(INDEX('3. Kengetallen (DC-uitdraai)'!H:H,MATCH(Table1[[#This Row],[Milieuprofiel]],'3. Kengetallen (DC-uitdraai)'!D:D,0)),"")</f>
        <v>p</v>
      </c>
      <c r="O95">
        <f>IFERROR(INDEX('3. Kengetallen (DC-uitdraai)'!I:I,MATCH(Table1[[#This Row],[Milieuprofiel]],'3. Kengetallen (DC-uitdraai)'!D:D,0)),0)</f>
        <v>50</v>
      </c>
      <c r="P95" s="106">
        <f>IFERROR(INDEX('3. Kengetallen (DC-uitdraai)'!P:P,MATCH(Table1[[#This Row],[Milieuprofiel]],'3. Kengetallen (DC-uitdraai)'!D:D,0))*Table1[[#This Row],[Hvd]]*(1+INDEX('3. Kengetallen (DC-uitdraai)'!K:K,MATCH(Table1[[#This Row],[Milieuprofiel]],'3. Kengetallen (DC-uitdraai)'!D:D,0))),0)</f>
        <v>128.20590201811356</v>
      </c>
      <c r="Q95" s="16">
        <f>IFERROR(INDEX('3. Kengetallen (DC-uitdraai)'!U:U,MATCH(Table1[[#This Row],[Milieuprofiel]],'3. Kengetallen (DC-uitdraai)'!D:D,0))*Table1[[#This Row],[Hvd]]*(1+INDEX('3. Kengetallen (DC-uitdraai)'!K:K,MATCH(Table1[[#This Row],[Milieuprofiel]],'3. Kengetallen (DC-uitdraai)'!D:D,0))),0)</f>
        <v>84.869514493484544</v>
      </c>
      <c r="R95" s="16">
        <f>IFERROR(INDEX('3. Kengetallen (DC-uitdraai)'!V:V,MATCH(Table1[[#This Row],[Milieuprofiel]],'3. Kengetallen (DC-uitdraai)'!D:D,0))*Table1[[#This Row],[Hvd]]*(1+INDEX('3. Kengetallen (DC-uitdraai)'!K:K,MATCH(Table1[[#This Row],[Milieuprofiel]],'3. Kengetallen (DC-uitdraai)'!D:D,0))),0)</f>
        <v>8.1905186485323913</v>
      </c>
      <c r="S95" s="16">
        <f>IFERROR(INDEX('3. Kengetallen (DC-uitdraai)'!W:W,MATCH(Table1[[#This Row],[Milieuprofiel]],'3. Kengetallen (DC-uitdraai)'!D:D,0))*Table1[[#This Row],[Hvd]]*(1+INDEX('3. Kengetallen (DC-uitdraai)'!K:K,MATCH(Table1[[#This Row],[Milieuprofiel]],'3. Kengetallen (DC-uitdraai)'!D:D,0))),0)</f>
        <v>0</v>
      </c>
      <c r="T95" s="16">
        <f>IFERROR(INDEX('3. Kengetallen (DC-uitdraai)'!X:X,MATCH(Table1[[#This Row],[Milieuprofiel]],'3. Kengetallen (DC-uitdraai)'!D:D,0))*Table1[[#This Row],[Hvd]]*(1+INDEX('3. Kengetallen (DC-uitdraai)'!K:K,MATCH(Table1[[#This Row],[Milieuprofiel]],'3. Kengetallen (DC-uitdraai)'!D:D,0))),0)</f>
        <v>4.5791813592352995</v>
      </c>
      <c r="U95" s="16"/>
      <c r="V95" s="16"/>
      <c r="W95" s="43" t="str">
        <f>IFERROR(INDEX('Eigen database'!H:H,MATCH(Table1[[#This Row],[Potentieel alternatief]],'Eigen database'!D:D,0)),"")</f>
        <v/>
      </c>
      <c r="X95" s="108">
        <f>IFERROR(INDEX('Eigen database'!P:P,MATCH(Table1[[#This Row],[Potentieel alternatief]],'Eigen database'!D:D,0))*Table1[[#This Row],[Hoeveelheid]]*(1+INDEX('Eigen database'!K:K,MATCH(Table1[[#This Row],[Potentieel alternatief]],'Eigen database'!D:D,0))),0)</f>
        <v>0</v>
      </c>
      <c r="Y95" s="16">
        <f>IF(Table1[[#This Row],[MKI A-D nieuw]]=0,Table1[[#This Row],[MKI A-D]],Table1[[#This Row],[MKI A-D nieuw]])</f>
        <v>128.20590201811356</v>
      </c>
      <c r="Z95" s="16"/>
      <c r="AA95" s="28">
        <f>IFERROR(INDEX('3. Kengetallen (DC-uitdraai)'!AM:AM,MATCH(Table1[[#This Row],[Milieuprofiel]],'3. Kengetallen (DC-uitdraai)'!C:C,0)),0)*Table1[[#This Row],[Hvd]]</f>
        <v>0</v>
      </c>
      <c r="AB95" s="28">
        <f>IFERROR(INDEX('3. Kengetallen (DC-uitdraai)'!AM:AM,MATCH(Table1[[#This Row],[Potentieel alternatief]],'3. Kengetallen (DC-uitdraai)'!C:C,0)),0)*Table1[[#This Row],[Hvd]]</f>
        <v>0</v>
      </c>
    </row>
    <row r="96" spans="1:28">
      <c r="A96" s="89" t="s">
        <v>306</v>
      </c>
      <c r="B96" s="89"/>
      <c r="C96" s="42"/>
      <c r="D96" s="42"/>
      <c r="E96" t="s">
        <v>307</v>
      </c>
      <c r="F96" t="s">
        <v>308</v>
      </c>
      <c r="H96" t="str">
        <f>IFERROR(INDEX('3. Kengetallen (DC-uitdraai)'!F:F,MATCH(Table1[[#This Row],[Milieuprofiel]],'3. Kengetallen (DC-uitdraai)'!D:D,0)),"")</f>
        <v>Cat.3 (30%)</v>
      </c>
      <c r="I96" s="104">
        <v>16.25</v>
      </c>
      <c r="J96" t="s">
        <v>93</v>
      </c>
      <c r="K96" t="str">
        <f>IF(ISTEXT(Table1[[#This Row],[Milieuprofiel]]),"Ja","Nee")</f>
        <v>Ja</v>
      </c>
      <c r="L96" s="27">
        <v>1</v>
      </c>
      <c r="M96" s="26">
        <f>Table1[[#This Row],[Volume]]*Table1[[#This Row],[Factor]]</f>
        <v>16.25</v>
      </c>
      <c r="N96" t="str">
        <f>IFERROR(INDEX('3. Kengetallen (DC-uitdraai)'!H:H,MATCH(Table1[[#This Row],[Milieuprofiel]],'3. Kengetallen (DC-uitdraai)'!D:D,0)),"")</f>
        <v>m1</v>
      </c>
      <c r="O96">
        <f>IFERROR(INDEX('3. Kengetallen (DC-uitdraai)'!I:I,MATCH(Table1[[#This Row],[Milieuprofiel]],'3. Kengetallen (DC-uitdraai)'!D:D,0)),0)</f>
        <v>999</v>
      </c>
      <c r="P96" s="125">
        <f>IFERROR(INDEX('3. Kengetallen (DC-uitdraai)'!P:P,MATCH(Table1[[#This Row],[Milieuprofiel]],'3. Kengetallen (DC-uitdraai)'!D:D,0))*Table1[[#This Row],[Hvd]]*(1+INDEX('3. Kengetallen (DC-uitdraai)'!K:K,MATCH(Table1[[#This Row],[Milieuprofiel]],'3. Kengetallen (DC-uitdraai)'!D:D,0))),0)</f>
        <v>109.62205103583533</v>
      </c>
      <c r="Q96" s="126">
        <f>IFERROR(INDEX('3. Kengetallen (DC-uitdraai)'!U:U,MATCH(Table1[[#This Row],[Milieuprofiel]],'3. Kengetallen (DC-uitdraai)'!D:D,0))*Table1[[#This Row],[Hvd]]*(1+INDEX('3. Kengetallen (DC-uitdraai)'!K:K,MATCH(Table1[[#This Row],[Milieuprofiel]],'3. Kengetallen (DC-uitdraai)'!D:D,0))),0)</f>
        <v>0</v>
      </c>
      <c r="R96" s="126">
        <f>IFERROR(INDEX('3. Kengetallen (DC-uitdraai)'!V:V,MATCH(Table1[[#This Row],[Milieuprofiel]],'3. Kengetallen (DC-uitdraai)'!D:D,0))*Table1[[#This Row],[Hvd]]*(1+INDEX('3. Kengetallen (DC-uitdraai)'!K:K,MATCH(Table1[[#This Row],[Milieuprofiel]],'3. Kengetallen (DC-uitdraai)'!D:D,0))),0)</f>
        <v>84.324653869697784</v>
      </c>
      <c r="S96" s="126">
        <f>IFERROR(INDEX('3. Kengetallen (DC-uitdraai)'!W:W,MATCH(Table1[[#This Row],[Milieuprofiel]],'3. Kengetallen (DC-uitdraai)'!D:D,0))*Table1[[#This Row],[Hvd]]*(1+INDEX('3. Kengetallen (DC-uitdraai)'!K:K,MATCH(Table1[[#This Row],[Milieuprofiel]],'3. Kengetallen (DC-uitdraai)'!D:D,0))),0)</f>
        <v>0</v>
      </c>
      <c r="T96" s="126">
        <f>IFERROR(INDEX('3. Kengetallen (DC-uitdraai)'!X:X,MATCH(Table1[[#This Row],[Milieuprofiel]],'3. Kengetallen (DC-uitdraai)'!D:D,0))*Table1[[#This Row],[Hvd]]*(1+INDEX('3. Kengetallen (DC-uitdraai)'!K:K,MATCH(Table1[[#This Row],[Milieuprofiel]],'3. Kengetallen (DC-uitdraai)'!D:D,0))),0)</f>
        <v>0</v>
      </c>
      <c r="U96" s="126"/>
      <c r="V96" s="126"/>
      <c r="W96" s="126"/>
      <c r="X96" s="114">
        <f>IFERROR(INDEX('Eigen database'!P:P,MATCH(Table1[[#This Row],[Potentieel alternatief]],'Eigen database'!D:D,0))*Table1[[#This Row],[Hoeveelheid]]*(1+INDEX('Eigen database'!K:K,MATCH(Table1[[#This Row],[Potentieel alternatief]],'Eigen database'!D:D,0))),0)</f>
        <v>0</v>
      </c>
      <c r="Y96" s="126">
        <f>IF(Table1[[#This Row],[MKI A-D nieuw]]=0,Table1[[#This Row],[MKI A-D]],Table1[[#This Row],[MKI A-D nieuw]])</f>
        <v>109.62205103583533</v>
      </c>
      <c r="Z96" s="126"/>
      <c r="AA96" s="127">
        <f>IFERROR(INDEX('3. Kengetallen (DC-uitdraai)'!AM:AM,MATCH(Table1[[#This Row],[Milieuprofiel]],'3. Kengetallen (DC-uitdraai)'!C:C,0)),0)*Table1[[#This Row],[Hvd]]</f>
        <v>0</v>
      </c>
      <c r="AB96" s="127">
        <f>IFERROR(INDEX('3. Kengetallen (DC-uitdraai)'!AM:AM,MATCH(Table1[[#This Row],[Potentieel alternatief]],'3. Kengetallen (DC-uitdraai)'!C:C,0)),0)*Table1[[#This Row],[Hvd]]</f>
        <v>0</v>
      </c>
    </row>
    <row r="97" spans="1:28">
      <c r="A97" s="89" t="s">
        <v>309</v>
      </c>
      <c r="B97" s="89" t="s">
        <v>310</v>
      </c>
      <c r="C97" s="42" t="s">
        <v>216</v>
      </c>
      <c r="D97" s="42" t="s">
        <v>311</v>
      </c>
      <c r="E97" t="s">
        <v>312</v>
      </c>
      <c r="F97" t="s">
        <v>313</v>
      </c>
      <c r="H97" t="str">
        <f>IFERROR(INDEX('3. Kengetallen (DC-uitdraai)'!F:F,MATCH(Table1[[#This Row],[Milieuprofiel]],'3. Kengetallen (DC-uitdraai)'!D:D,0)),"")</f>
        <v>Cat.3 (30%)</v>
      </c>
      <c r="I97" s="26">
        <v>260</v>
      </c>
      <c r="J97" t="s">
        <v>93</v>
      </c>
      <c r="K97" t="str">
        <f>IF(ISTEXT(Table1[[#This Row],[Milieuprofiel]]),"Ja","Nee")</f>
        <v>Ja</v>
      </c>
      <c r="L97" s="27">
        <v>1</v>
      </c>
      <c r="M97" s="26">
        <f>Table1[[#This Row],[Volume]]*Table1[[#This Row],[Factor]]</f>
        <v>260</v>
      </c>
      <c r="N97" t="str">
        <f>IFERROR(INDEX('3. Kengetallen (DC-uitdraai)'!H:H,MATCH(Table1[[#This Row],[Milieuprofiel]],'3. Kengetallen (DC-uitdraai)'!D:D,0)),"")</f>
        <v>m1</v>
      </c>
      <c r="O97">
        <f>IFERROR(INDEX('3. Kengetallen (DC-uitdraai)'!I:I,MATCH(Table1[[#This Row],[Milieuprofiel]],'3. Kengetallen (DC-uitdraai)'!D:D,0)),0)</f>
        <v>75</v>
      </c>
      <c r="P97" s="106">
        <f>IFERROR(INDEX('3. Kengetallen (DC-uitdraai)'!P:P,MATCH(Table1[[#This Row],[Milieuprofiel]],'3. Kengetallen (DC-uitdraai)'!D:D,0))*Table1[[#This Row],[Hvd]]*(1+INDEX('3. Kengetallen (DC-uitdraai)'!K:K,MATCH(Table1[[#This Row],[Milieuprofiel]],'3. Kengetallen (DC-uitdraai)'!D:D,0))),0)</f>
        <v>34.013073532425956</v>
      </c>
      <c r="Q97" s="16">
        <f>IFERROR(INDEX('3. Kengetallen (DC-uitdraai)'!U:U,MATCH(Table1[[#This Row],[Milieuprofiel]],'3. Kengetallen (DC-uitdraai)'!D:D,0))*Table1[[#This Row],[Hvd]]*(1+INDEX('3. Kengetallen (DC-uitdraai)'!K:K,MATCH(Table1[[#This Row],[Milieuprofiel]],'3. Kengetallen (DC-uitdraai)'!D:D,0))),0)</f>
        <v>32.763437385774886</v>
      </c>
      <c r="R97" s="16">
        <f>IFERROR(INDEX('3. Kengetallen (DC-uitdraai)'!V:V,MATCH(Table1[[#This Row],[Milieuprofiel]],'3. Kengetallen (DC-uitdraai)'!D:D,0))*Table1[[#This Row],[Hvd]]*(1+INDEX('3. Kengetallen (DC-uitdraai)'!K:K,MATCH(Table1[[#This Row],[Milieuprofiel]],'3. Kengetallen (DC-uitdraai)'!D:D,0))),0)</f>
        <v>1.1407476906365546</v>
      </c>
      <c r="S97" s="16">
        <f>IFERROR(INDEX('3. Kengetallen (DC-uitdraai)'!W:W,MATCH(Table1[[#This Row],[Milieuprofiel]],'3. Kengetallen (DC-uitdraai)'!D:D,0))*Table1[[#This Row],[Hvd]]*(1+INDEX('3. Kengetallen (DC-uitdraai)'!K:K,MATCH(Table1[[#This Row],[Milieuprofiel]],'3. Kengetallen (DC-uitdraai)'!D:D,0))),0)</f>
        <v>0</v>
      </c>
      <c r="T97" s="16">
        <f>IFERROR(INDEX('3. Kengetallen (DC-uitdraai)'!X:X,MATCH(Table1[[#This Row],[Milieuprofiel]],'3. Kengetallen (DC-uitdraai)'!D:D,0))*Table1[[#This Row],[Hvd]]*(1+INDEX('3. Kengetallen (DC-uitdraai)'!K:K,MATCH(Table1[[#This Row],[Milieuprofiel]],'3. Kengetallen (DC-uitdraai)'!D:D,0))),0)</f>
        <v>-10.284586258385136</v>
      </c>
      <c r="U97" s="16"/>
      <c r="V97" s="16"/>
      <c r="W97" s="16"/>
      <c r="X97" s="108">
        <f>IFERROR(INDEX('Eigen database'!P:P,MATCH(Table1[[#This Row],[Potentieel alternatief]],'Eigen database'!D:D,0))*Table1[[#This Row],[Hoeveelheid]]*(1+INDEX('Eigen database'!K:K,MATCH(Table1[[#This Row],[Potentieel alternatief]],'Eigen database'!D:D,0))),0)</f>
        <v>0</v>
      </c>
      <c r="Y97" s="16">
        <f>IF(Table1[[#This Row],[MKI A-D nieuw]]=0,Table1[[#This Row],[MKI A-D]],Table1[[#This Row],[MKI A-D nieuw]])</f>
        <v>34.013073532425956</v>
      </c>
      <c r="Z97" s="16"/>
      <c r="AA97" s="28">
        <f>IFERROR(INDEX('3. Kengetallen (DC-uitdraai)'!AM:AM,MATCH(Table1[[#This Row],[Milieuprofiel]],'3. Kengetallen (DC-uitdraai)'!C:C,0)),0)*Table1[[#This Row],[Hvd]]</f>
        <v>0</v>
      </c>
      <c r="AB97" s="28">
        <f>IFERROR(INDEX('3. Kengetallen (DC-uitdraai)'!AM:AM,MATCH(Table1[[#This Row],[Potentieel alternatief]],'3. Kengetallen (DC-uitdraai)'!C:C,0)),0)*Table1[[#This Row],[Hvd]]</f>
        <v>0</v>
      </c>
    </row>
    <row r="98" spans="1:28">
      <c r="A98" s="89" t="s">
        <v>314</v>
      </c>
      <c r="B98" s="89" t="s">
        <v>315</v>
      </c>
      <c r="C98" s="42" t="s">
        <v>216</v>
      </c>
      <c r="D98" s="42" t="s">
        <v>311</v>
      </c>
      <c r="E98" t="s">
        <v>316</v>
      </c>
      <c r="F98" t="s">
        <v>308</v>
      </c>
      <c r="H98" t="str">
        <f>IFERROR(INDEX('3. Kengetallen (DC-uitdraai)'!F:F,MATCH(Table1[[#This Row],[Milieuprofiel]],'3. Kengetallen (DC-uitdraai)'!D:D,0)),"")</f>
        <v>Cat.3 (30%)</v>
      </c>
      <c r="I98" s="26">
        <v>260</v>
      </c>
      <c r="J98" t="s">
        <v>93</v>
      </c>
      <c r="K98" t="str">
        <f>IF(ISTEXT(Table1[[#This Row],[Milieuprofiel]]),"Ja","Nee")</f>
        <v>Ja</v>
      </c>
      <c r="L98" s="27">
        <v>1</v>
      </c>
      <c r="M98" s="26">
        <f>Table1[[#This Row],[Volume]]*Table1[[#This Row],[Factor]]</f>
        <v>260</v>
      </c>
      <c r="N98" t="str">
        <f>IFERROR(INDEX('3. Kengetallen (DC-uitdraai)'!H:H,MATCH(Table1[[#This Row],[Milieuprofiel]],'3. Kengetallen (DC-uitdraai)'!D:D,0)),"")</f>
        <v>m1</v>
      </c>
      <c r="O98">
        <f>IFERROR(INDEX('3. Kengetallen (DC-uitdraai)'!I:I,MATCH(Table1[[#This Row],[Milieuprofiel]],'3. Kengetallen (DC-uitdraai)'!D:D,0)),0)</f>
        <v>999</v>
      </c>
      <c r="P98" s="106">
        <f>IFERROR(INDEX('3. Kengetallen (DC-uitdraai)'!P:P,MATCH(Table1[[#This Row],[Milieuprofiel]],'3. Kengetallen (DC-uitdraai)'!D:D,0))*Table1[[#This Row],[Hvd]]*(1+INDEX('3. Kengetallen (DC-uitdraai)'!K:K,MATCH(Table1[[#This Row],[Milieuprofiel]],'3. Kengetallen (DC-uitdraai)'!D:D,0))),0)</f>
        <v>1753.9528165733652</v>
      </c>
      <c r="Q98" s="16">
        <f>IFERROR(INDEX('3. Kengetallen (DC-uitdraai)'!U:U,MATCH(Table1[[#This Row],[Milieuprofiel]],'3. Kengetallen (DC-uitdraai)'!D:D,0))*Table1[[#This Row],[Hvd]]*(1+INDEX('3. Kengetallen (DC-uitdraai)'!K:K,MATCH(Table1[[#This Row],[Milieuprofiel]],'3. Kengetallen (DC-uitdraai)'!D:D,0))),0)</f>
        <v>0</v>
      </c>
      <c r="R98" s="16">
        <f>IFERROR(INDEX('3. Kengetallen (DC-uitdraai)'!V:V,MATCH(Table1[[#This Row],[Milieuprofiel]],'3. Kengetallen (DC-uitdraai)'!D:D,0))*Table1[[#This Row],[Hvd]]*(1+INDEX('3. Kengetallen (DC-uitdraai)'!K:K,MATCH(Table1[[#This Row],[Milieuprofiel]],'3. Kengetallen (DC-uitdraai)'!D:D,0))),0)</f>
        <v>1349.1944619151645</v>
      </c>
      <c r="S98" s="16">
        <f>IFERROR(INDEX('3. Kengetallen (DC-uitdraai)'!W:W,MATCH(Table1[[#This Row],[Milieuprofiel]],'3. Kengetallen (DC-uitdraai)'!D:D,0))*Table1[[#This Row],[Hvd]]*(1+INDEX('3. Kengetallen (DC-uitdraai)'!K:K,MATCH(Table1[[#This Row],[Milieuprofiel]],'3. Kengetallen (DC-uitdraai)'!D:D,0))),0)</f>
        <v>0</v>
      </c>
      <c r="T98" s="16">
        <f>IFERROR(INDEX('3. Kengetallen (DC-uitdraai)'!X:X,MATCH(Table1[[#This Row],[Milieuprofiel]],'3. Kengetallen (DC-uitdraai)'!D:D,0))*Table1[[#This Row],[Hvd]]*(1+INDEX('3. Kengetallen (DC-uitdraai)'!K:K,MATCH(Table1[[#This Row],[Milieuprofiel]],'3. Kengetallen (DC-uitdraai)'!D:D,0))),0)</f>
        <v>0</v>
      </c>
      <c r="U98" s="16"/>
      <c r="V98" s="16"/>
      <c r="W98" s="16"/>
      <c r="X98" s="108">
        <f>IFERROR(INDEX('Eigen database'!P:P,MATCH(Table1[[#This Row],[Potentieel alternatief]],'Eigen database'!D:D,0))*Table1[[#This Row],[Hoeveelheid]]*(1+INDEX('Eigen database'!K:K,MATCH(Table1[[#This Row],[Potentieel alternatief]],'Eigen database'!D:D,0))),0)</f>
        <v>0</v>
      </c>
      <c r="Y98" s="16">
        <f>IF(Table1[[#This Row],[MKI A-D nieuw]]=0,Table1[[#This Row],[MKI A-D]],Table1[[#This Row],[MKI A-D nieuw]])</f>
        <v>1753.9528165733652</v>
      </c>
      <c r="Z98" s="16"/>
      <c r="AA98" s="28">
        <f>IFERROR(INDEX('3. Kengetallen (DC-uitdraai)'!AM:AM,MATCH(Table1[[#This Row],[Milieuprofiel]],'3. Kengetallen (DC-uitdraai)'!C:C,0)),0)*Table1[[#This Row],[Hvd]]</f>
        <v>0</v>
      </c>
      <c r="AB98" s="28">
        <f>IFERROR(INDEX('3. Kengetallen (DC-uitdraai)'!AM:AM,MATCH(Table1[[#This Row],[Potentieel alternatief]],'3. Kengetallen (DC-uitdraai)'!C:C,0)),0)*Table1[[#This Row],[Hvd]]</f>
        <v>0</v>
      </c>
    </row>
    <row r="99" spans="1:28">
      <c r="A99" s="89" t="s">
        <v>317</v>
      </c>
      <c r="B99" s="89" t="s">
        <v>310</v>
      </c>
      <c r="C99" s="42" t="s">
        <v>216</v>
      </c>
      <c r="D99" s="42" t="s">
        <v>311</v>
      </c>
      <c r="E99" t="s">
        <v>312</v>
      </c>
      <c r="F99" t="s">
        <v>318</v>
      </c>
      <c r="H99" t="str">
        <f>IFERROR(INDEX('3. Kengetallen (DC-uitdraai)'!F:F,MATCH(Table1[[#This Row],[Milieuprofiel]],'3. Kengetallen (DC-uitdraai)'!D:D,0)),"")</f>
        <v>Cat.3 (30%)</v>
      </c>
      <c r="I99" s="26">
        <v>260</v>
      </c>
      <c r="J99" t="s">
        <v>93</v>
      </c>
      <c r="K99" t="str">
        <f>IF(ISTEXT(Table1[[#This Row],[Milieuprofiel]]),"Ja","Nee")</f>
        <v>Ja</v>
      </c>
      <c r="L99" s="27">
        <v>0.64</v>
      </c>
      <c r="M99" s="26">
        <f>Table1[[#This Row],[Volume]]*Table1[[#This Row],[Factor]]</f>
        <v>166.4</v>
      </c>
      <c r="N99" t="str">
        <f>IFERROR(INDEX('3. Kengetallen (DC-uitdraai)'!H:H,MATCH(Table1[[#This Row],[Milieuprofiel]],'3. Kengetallen (DC-uitdraai)'!D:D,0)),"")</f>
        <v>m1</v>
      </c>
      <c r="O99">
        <f>IFERROR(INDEX('3. Kengetallen (DC-uitdraai)'!I:I,MATCH(Table1[[#This Row],[Milieuprofiel]],'3. Kengetallen (DC-uitdraai)'!D:D,0)),0)</f>
        <v>75</v>
      </c>
      <c r="P99" s="106">
        <f>IFERROR(INDEX('3. Kengetallen (DC-uitdraai)'!P:P,MATCH(Table1[[#This Row],[Milieuprofiel]],'3. Kengetallen (DC-uitdraai)'!D:D,0))*Table1[[#This Row],[Hvd]]*(1+INDEX('3. Kengetallen (DC-uitdraai)'!K:K,MATCH(Table1[[#This Row],[Milieuprofiel]],'3. Kengetallen (DC-uitdraai)'!D:D,0))),0)</f>
        <v>39.390357703819696</v>
      </c>
      <c r="Q99" s="16">
        <f>IFERROR(INDEX('3. Kengetallen (DC-uitdraai)'!U:U,MATCH(Table1[[#This Row],[Milieuprofiel]],'3. Kengetallen (DC-uitdraai)'!D:D,0))*Table1[[#This Row],[Hvd]]*(1+INDEX('3. Kengetallen (DC-uitdraai)'!K:K,MATCH(Table1[[#This Row],[Milieuprofiel]],'3. Kengetallen (DC-uitdraai)'!D:D,0))),0)</f>
        <v>39.248917811882116</v>
      </c>
      <c r="R99" s="16">
        <f>IFERROR(INDEX('3. Kengetallen (DC-uitdraai)'!V:V,MATCH(Table1[[#This Row],[Milieuprofiel]],'3. Kengetallen (DC-uitdraai)'!D:D,0))*Table1[[#This Row],[Hvd]]*(1+INDEX('3. Kengetallen (DC-uitdraai)'!K:K,MATCH(Table1[[#This Row],[Milieuprofiel]],'3. Kengetallen (DC-uitdraai)'!D:D,0))),0)</f>
        <v>1.3441864007034117</v>
      </c>
      <c r="S99" s="16">
        <f>IFERROR(INDEX('3. Kengetallen (DC-uitdraai)'!W:W,MATCH(Table1[[#This Row],[Milieuprofiel]],'3. Kengetallen (DC-uitdraai)'!D:D,0))*Table1[[#This Row],[Hvd]]*(1+INDEX('3. Kengetallen (DC-uitdraai)'!K:K,MATCH(Table1[[#This Row],[Milieuprofiel]],'3. Kengetallen (DC-uitdraai)'!D:D,0))),0)</f>
        <v>0</v>
      </c>
      <c r="T99" s="16">
        <f>IFERROR(INDEX('3. Kengetallen (DC-uitdraai)'!X:X,MATCH(Table1[[#This Row],[Milieuprofiel]],'3. Kengetallen (DC-uitdraai)'!D:D,0))*Table1[[#This Row],[Hvd]]*(1+INDEX('3. Kengetallen (DC-uitdraai)'!K:K,MATCH(Table1[[#This Row],[Milieuprofiel]],'3. Kengetallen (DC-uitdraai)'!D:D,0))),0)</f>
        <v>-13.423176630941887</v>
      </c>
      <c r="U99" s="16"/>
      <c r="V99" s="16"/>
      <c r="W99" s="16"/>
      <c r="X99" s="108">
        <f>IFERROR(INDEX('Eigen database'!P:P,MATCH(Table1[[#This Row],[Potentieel alternatief]],'Eigen database'!D:D,0))*Table1[[#This Row],[Hoeveelheid]]*(1+INDEX('Eigen database'!K:K,MATCH(Table1[[#This Row],[Potentieel alternatief]],'Eigen database'!D:D,0))),0)</f>
        <v>0</v>
      </c>
      <c r="Y99" s="16">
        <f>IF(Table1[[#This Row],[MKI A-D nieuw]]=0,Table1[[#This Row],[MKI A-D]],Table1[[#This Row],[MKI A-D nieuw]])</f>
        <v>39.390357703819696</v>
      </c>
      <c r="Z99" s="16"/>
      <c r="AA99" s="28">
        <f>IFERROR(INDEX('3. Kengetallen (DC-uitdraai)'!AM:AM,MATCH(Table1[[#This Row],[Milieuprofiel]],'3. Kengetallen (DC-uitdraai)'!C:C,0)),0)*Table1[[#This Row],[Hvd]]</f>
        <v>0</v>
      </c>
      <c r="AB99" s="28">
        <f>IFERROR(INDEX('3. Kengetallen (DC-uitdraai)'!AM:AM,MATCH(Table1[[#This Row],[Potentieel alternatief]],'3. Kengetallen (DC-uitdraai)'!C:C,0)),0)*Table1[[#This Row],[Hvd]]</f>
        <v>0</v>
      </c>
    </row>
    <row r="100" spans="1:28">
      <c r="A100" s="89" t="s">
        <v>319</v>
      </c>
      <c r="B100" s="89" t="s">
        <v>291</v>
      </c>
      <c r="C100" s="42" t="s">
        <v>216</v>
      </c>
      <c r="D100" s="42" t="s">
        <v>311</v>
      </c>
      <c r="E100" t="s">
        <v>316</v>
      </c>
      <c r="F100" t="s">
        <v>308</v>
      </c>
      <c r="H100" t="str">
        <f>IFERROR(INDEX('3. Kengetallen (DC-uitdraai)'!F:F,MATCH(Table1[[#This Row],[Milieuprofiel]],'3. Kengetallen (DC-uitdraai)'!D:D,0)),"")</f>
        <v>Cat.3 (30%)</v>
      </c>
      <c r="I100" s="26">
        <v>260</v>
      </c>
      <c r="J100" t="s">
        <v>93</v>
      </c>
      <c r="K100" t="str">
        <f>IF(ISTEXT(Table1[[#This Row],[Milieuprofiel]]),"Ja","Nee")</f>
        <v>Ja</v>
      </c>
      <c r="L100" s="27">
        <v>1</v>
      </c>
      <c r="M100" s="26">
        <f>Table1[[#This Row],[Volume]]*Table1[[#This Row],[Factor]]</f>
        <v>260</v>
      </c>
      <c r="N100" t="str">
        <f>IFERROR(INDEX('3. Kengetallen (DC-uitdraai)'!H:H,MATCH(Table1[[#This Row],[Milieuprofiel]],'3. Kengetallen (DC-uitdraai)'!D:D,0)),"")</f>
        <v>m1</v>
      </c>
      <c r="O100">
        <f>IFERROR(INDEX('3. Kengetallen (DC-uitdraai)'!I:I,MATCH(Table1[[#This Row],[Milieuprofiel]],'3. Kengetallen (DC-uitdraai)'!D:D,0)),0)</f>
        <v>999</v>
      </c>
      <c r="P100" s="106">
        <f>IFERROR(INDEX('3. Kengetallen (DC-uitdraai)'!P:P,MATCH(Table1[[#This Row],[Milieuprofiel]],'3. Kengetallen (DC-uitdraai)'!D:D,0))*Table1[[#This Row],[Hvd]]*(1+INDEX('3. Kengetallen (DC-uitdraai)'!K:K,MATCH(Table1[[#This Row],[Milieuprofiel]],'3. Kengetallen (DC-uitdraai)'!D:D,0))),0)</f>
        <v>1753.9528165733652</v>
      </c>
      <c r="Q100" s="16">
        <f>IFERROR(INDEX('3. Kengetallen (DC-uitdraai)'!U:U,MATCH(Table1[[#This Row],[Milieuprofiel]],'3. Kengetallen (DC-uitdraai)'!D:D,0))*Table1[[#This Row],[Hvd]]*(1+INDEX('3. Kengetallen (DC-uitdraai)'!K:K,MATCH(Table1[[#This Row],[Milieuprofiel]],'3. Kengetallen (DC-uitdraai)'!D:D,0))),0)</f>
        <v>0</v>
      </c>
      <c r="R100" s="16">
        <f>IFERROR(INDEX('3. Kengetallen (DC-uitdraai)'!V:V,MATCH(Table1[[#This Row],[Milieuprofiel]],'3. Kengetallen (DC-uitdraai)'!D:D,0))*Table1[[#This Row],[Hvd]]*(1+INDEX('3. Kengetallen (DC-uitdraai)'!K:K,MATCH(Table1[[#This Row],[Milieuprofiel]],'3. Kengetallen (DC-uitdraai)'!D:D,0))),0)</f>
        <v>1349.1944619151645</v>
      </c>
      <c r="S100" s="16">
        <f>IFERROR(INDEX('3. Kengetallen (DC-uitdraai)'!W:W,MATCH(Table1[[#This Row],[Milieuprofiel]],'3. Kengetallen (DC-uitdraai)'!D:D,0))*Table1[[#This Row],[Hvd]]*(1+INDEX('3. Kengetallen (DC-uitdraai)'!K:K,MATCH(Table1[[#This Row],[Milieuprofiel]],'3. Kengetallen (DC-uitdraai)'!D:D,0))),0)</f>
        <v>0</v>
      </c>
      <c r="T100" s="16">
        <f>IFERROR(INDEX('3. Kengetallen (DC-uitdraai)'!X:X,MATCH(Table1[[#This Row],[Milieuprofiel]],'3. Kengetallen (DC-uitdraai)'!D:D,0))*Table1[[#This Row],[Hvd]]*(1+INDEX('3. Kengetallen (DC-uitdraai)'!K:K,MATCH(Table1[[#This Row],[Milieuprofiel]],'3. Kengetallen (DC-uitdraai)'!D:D,0))),0)</f>
        <v>0</v>
      </c>
      <c r="U100" s="16"/>
      <c r="V100" s="16"/>
      <c r="W100" s="16"/>
      <c r="X100" s="108">
        <f>IFERROR(INDEX('Eigen database'!P:P,MATCH(Table1[[#This Row],[Potentieel alternatief]],'Eigen database'!D:D,0))*Table1[[#This Row],[Hoeveelheid]]*(1+INDEX('Eigen database'!K:K,MATCH(Table1[[#This Row],[Potentieel alternatief]],'Eigen database'!D:D,0))),0)</f>
        <v>0</v>
      </c>
      <c r="Y100" s="16">
        <f>IF(Table1[[#This Row],[MKI A-D nieuw]]=0,Table1[[#This Row],[MKI A-D]],Table1[[#This Row],[MKI A-D nieuw]])</f>
        <v>1753.9528165733652</v>
      </c>
      <c r="Z100" s="16"/>
      <c r="AA100" s="28">
        <f>IFERROR(INDEX('3. Kengetallen (DC-uitdraai)'!AM:AM,MATCH(Table1[[#This Row],[Milieuprofiel]],'3. Kengetallen (DC-uitdraai)'!C:C,0)),0)*Table1[[#This Row],[Hvd]]</f>
        <v>0</v>
      </c>
      <c r="AB100" s="28">
        <f>IFERROR(INDEX('3. Kengetallen (DC-uitdraai)'!AM:AM,MATCH(Table1[[#This Row],[Potentieel alternatief]],'3. Kengetallen (DC-uitdraai)'!C:C,0)),0)*Table1[[#This Row],[Hvd]]</f>
        <v>0</v>
      </c>
    </row>
    <row r="101" spans="1:28">
      <c r="A101" s="89" t="s">
        <v>320</v>
      </c>
      <c r="B101" s="89" t="s">
        <v>310</v>
      </c>
      <c r="C101" s="42" t="s">
        <v>216</v>
      </c>
      <c r="D101" s="42" t="s">
        <v>321</v>
      </c>
      <c r="E101" t="s">
        <v>312</v>
      </c>
      <c r="F101" t="s">
        <v>318</v>
      </c>
      <c r="H101" t="str">
        <f>IFERROR(INDEX('3. Kengetallen (DC-uitdraai)'!F:F,MATCH(Table1[[#This Row],[Milieuprofiel]],'3. Kengetallen (DC-uitdraai)'!D:D,0)),"")</f>
        <v>Cat.3 (30%)</v>
      </c>
      <c r="I101" s="26">
        <v>115</v>
      </c>
      <c r="J101" t="s">
        <v>93</v>
      </c>
      <c r="K101" t="str">
        <f>IF(ISTEXT(Table1[[#This Row],[Milieuprofiel]]),"Ja","Nee")</f>
        <v>Ja</v>
      </c>
      <c r="L101" s="27">
        <v>1</v>
      </c>
      <c r="M101" s="26">
        <f>Table1[[#This Row],[Volume]]*Table1[[#This Row],[Factor]]</f>
        <v>115</v>
      </c>
      <c r="N101" t="str">
        <f>IFERROR(INDEX('3. Kengetallen (DC-uitdraai)'!H:H,MATCH(Table1[[#This Row],[Milieuprofiel]],'3. Kengetallen (DC-uitdraai)'!D:D,0)),"")</f>
        <v>m1</v>
      </c>
      <c r="O101">
        <f>IFERROR(INDEX('3. Kengetallen (DC-uitdraai)'!I:I,MATCH(Table1[[#This Row],[Milieuprofiel]],'3. Kengetallen (DC-uitdraai)'!D:D,0)),0)</f>
        <v>75</v>
      </c>
      <c r="P101" s="106">
        <f>IFERROR(INDEX('3. Kengetallen (DC-uitdraai)'!P:P,MATCH(Table1[[#This Row],[Milieuprofiel]],'3. Kengetallen (DC-uitdraai)'!D:D,0))*Table1[[#This Row],[Hvd]]*(1+INDEX('3. Kengetallen (DC-uitdraai)'!K:K,MATCH(Table1[[#This Row],[Milieuprofiel]],'3. Kengetallen (DC-uitdraai)'!D:D,0))),0)</f>
        <v>27.222903461173466</v>
      </c>
      <c r="Q101" s="16">
        <f>IFERROR(INDEX('3. Kengetallen (DC-uitdraai)'!U:U,MATCH(Table1[[#This Row],[Milieuprofiel]],'3. Kengetallen (DC-uitdraai)'!D:D,0))*Table1[[#This Row],[Hvd]]*(1+INDEX('3. Kengetallen (DC-uitdraai)'!K:K,MATCH(Table1[[#This Row],[Milieuprofiel]],'3. Kengetallen (DC-uitdraai)'!D:D,0))),0)</f>
        <v>27.125153535856029</v>
      </c>
      <c r="R101" s="16">
        <f>IFERROR(INDEX('3. Kengetallen (DC-uitdraai)'!V:V,MATCH(Table1[[#This Row],[Milieuprofiel]],'3. Kengetallen (DC-uitdraai)'!D:D,0))*Table1[[#This Row],[Hvd]]*(1+INDEX('3. Kengetallen (DC-uitdraai)'!K:K,MATCH(Table1[[#This Row],[Milieuprofiel]],'3. Kengetallen (DC-uitdraai)'!D:D,0))),0)</f>
        <v>0.92897497644767035</v>
      </c>
      <c r="S101" s="16">
        <f>IFERROR(INDEX('3. Kengetallen (DC-uitdraai)'!W:W,MATCH(Table1[[#This Row],[Milieuprofiel]],'3. Kengetallen (DC-uitdraai)'!D:D,0))*Table1[[#This Row],[Hvd]]*(1+INDEX('3. Kengetallen (DC-uitdraai)'!K:K,MATCH(Table1[[#This Row],[Milieuprofiel]],'3. Kengetallen (DC-uitdraai)'!D:D,0))),0)</f>
        <v>0</v>
      </c>
      <c r="T101" s="16">
        <f>IFERROR(INDEX('3. Kengetallen (DC-uitdraai)'!X:X,MATCH(Table1[[#This Row],[Milieuprofiel]],'3. Kengetallen (DC-uitdraai)'!D:D,0))*Table1[[#This Row],[Hvd]]*(1+INDEX('3. Kengetallen (DC-uitdraai)'!K:K,MATCH(Table1[[#This Row],[Milieuprofiel]],'3. Kengetallen (DC-uitdraai)'!D:D,0))),0)</f>
        <v>-9.2768348110475785</v>
      </c>
      <c r="U101" s="16"/>
      <c r="V101" s="16"/>
      <c r="W101" s="16"/>
      <c r="X101" s="108">
        <f>IFERROR(INDEX('Eigen database'!P:P,MATCH(Table1[[#This Row],[Potentieel alternatief]],'Eigen database'!D:D,0))*Table1[[#This Row],[Hoeveelheid]]*(1+INDEX('Eigen database'!K:K,MATCH(Table1[[#This Row],[Potentieel alternatief]],'Eigen database'!D:D,0))),0)</f>
        <v>0</v>
      </c>
      <c r="Y101" s="16">
        <f>IF(Table1[[#This Row],[MKI A-D nieuw]]=0,Table1[[#This Row],[MKI A-D]],Table1[[#This Row],[MKI A-D nieuw]])</f>
        <v>27.222903461173466</v>
      </c>
      <c r="Z101" s="16"/>
      <c r="AA101" s="28">
        <f>IFERROR(INDEX('3. Kengetallen (DC-uitdraai)'!AM:AM,MATCH(Table1[[#This Row],[Milieuprofiel]],'3. Kengetallen (DC-uitdraai)'!C:C,0)),0)*Table1[[#This Row],[Hvd]]</f>
        <v>0</v>
      </c>
      <c r="AB101" s="28">
        <f>IFERROR(INDEX('3. Kengetallen (DC-uitdraai)'!AM:AM,MATCH(Table1[[#This Row],[Potentieel alternatief]],'3. Kengetallen (DC-uitdraai)'!C:C,0)),0)*Table1[[#This Row],[Hvd]]</f>
        <v>0</v>
      </c>
    </row>
    <row r="102" spans="1:28">
      <c r="A102" s="89" t="s">
        <v>322</v>
      </c>
      <c r="B102" s="89" t="s">
        <v>291</v>
      </c>
      <c r="C102" s="42" t="s">
        <v>216</v>
      </c>
      <c r="D102" s="42" t="s">
        <v>321</v>
      </c>
      <c r="E102" t="s">
        <v>316</v>
      </c>
      <c r="F102" t="s">
        <v>308</v>
      </c>
      <c r="H102" t="str">
        <f>IFERROR(INDEX('3. Kengetallen (DC-uitdraai)'!F:F,MATCH(Table1[[#This Row],[Milieuprofiel]],'3. Kengetallen (DC-uitdraai)'!D:D,0)),"")</f>
        <v>Cat.3 (30%)</v>
      </c>
      <c r="I102" s="26">
        <v>115</v>
      </c>
      <c r="J102" t="s">
        <v>93</v>
      </c>
      <c r="K102" t="str">
        <f>IF(ISTEXT(Table1[[#This Row],[Milieuprofiel]]),"Ja","Nee")</f>
        <v>Ja</v>
      </c>
      <c r="L102" s="27">
        <v>1</v>
      </c>
      <c r="M102" s="26">
        <f>Table1[[#This Row],[Volume]]*Table1[[#This Row],[Factor]]</f>
        <v>115</v>
      </c>
      <c r="N102" t="str">
        <f>IFERROR(INDEX('3. Kengetallen (DC-uitdraai)'!H:H,MATCH(Table1[[#This Row],[Milieuprofiel]],'3. Kengetallen (DC-uitdraai)'!D:D,0)),"")</f>
        <v>m1</v>
      </c>
      <c r="O102">
        <f>IFERROR(INDEX('3. Kengetallen (DC-uitdraai)'!I:I,MATCH(Table1[[#This Row],[Milieuprofiel]],'3. Kengetallen (DC-uitdraai)'!D:D,0)),0)</f>
        <v>999</v>
      </c>
      <c r="P102" s="106">
        <f>IFERROR(INDEX('3. Kengetallen (DC-uitdraai)'!P:P,MATCH(Table1[[#This Row],[Milieuprofiel]],'3. Kengetallen (DC-uitdraai)'!D:D,0))*Table1[[#This Row],[Hvd]]*(1+INDEX('3. Kengetallen (DC-uitdraai)'!K:K,MATCH(Table1[[#This Row],[Milieuprofiel]],'3. Kengetallen (DC-uitdraai)'!D:D,0))),0)</f>
        <v>775.78682271514231</v>
      </c>
      <c r="Q102" s="16">
        <f>IFERROR(INDEX('3. Kengetallen (DC-uitdraai)'!U:U,MATCH(Table1[[#This Row],[Milieuprofiel]],'3. Kengetallen (DC-uitdraai)'!D:D,0))*Table1[[#This Row],[Hvd]]*(1+INDEX('3. Kengetallen (DC-uitdraai)'!K:K,MATCH(Table1[[#This Row],[Milieuprofiel]],'3. Kengetallen (DC-uitdraai)'!D:D,0))),0)</f>
        <v>0</v>
      </c>
      <c r="R102" s="16">
        <f>IFERROR(INDEX('3. Kengetallen (DC-uitdraai)'!V:V,MATCH(Table1[[#This Row],[Milieuprofiel]],'3. Kengetallen (DC-uitdraai)'!D:D,0))*Table1[[#This Row],[Hvd]]*(1+INDEX('3. Kengetallen (DC-uitdraai)'!K:K,MATCH(Table1[[#This Row],[Milieuprofiel]],'3. Kengetallen (DC-uitdraai)'!D:D,0))),0)</f>
        <v>596.75908892401503</v>
      </c>
      <c r="S102" s="16">
        <f>IFERROR(INDEX('3. Kengetallen (DC-uitdraai)'!W:W,MATCH(Table1[[#This Row],[Milieuprofiel]],'3. Kengetallen (DC-uitdraai)'!D:D,0))*Table1[[#This Row],[Hvd]]*(1+INDEX('3. Kengetallen (DC-uitdraai)'!K:K,MATCH(Table1[[#This Row],[Milieuprofiel]],'3. Kengetallen (DC-uitdraai)'!D:D,0))),0)</f>
        <v>0</v>
      </c>
      <c r="T102" s="16">
        <f>IFERROR(INDEX('3. Kengetallen (DC-uitdraai)'!X:X,MATCH(Table1[[#This Row],[Milieuprofiel]],'3. Kengetallen (DC-uitdraai)'!D:D,0))*Table1[[#This Row],[Hvd]]*(1+INDEX('3. Kengetallen (DC-uitdraai)'!K:K,MATCH(Table1[[#This Row],[Milieuprofiel]],'3. Kengetallen (DC-uitdraai)'!D:D,0))),0)</f>
        <v>0</v>
      </c>
      <c r="U102" s="16"/>
      <c r="V102" s="16"/>
      <c r="W102" s="16"/>
      <c r="X102" s="108">
        <f>IFERROR(INDEX('Eigen database'!P:P,MATCH(Table1[[#This Row],[Potentieel alternatief]],'Eigen database'!D:D,0))*Table1[[#This Row],[Hoeveelheid]]*(1+INDEX('Eigen database'!K:K,MATCH(Table1[[#This Row],[Potentieel alternatief]],'Eigen database'!D:D,0))),0)</f>
        <v>0</v>
      </c>
      <c r="Y102" s="16">
        <f>IF(Table1[[#This Row],[MKI A-D nieuw]]=0,Table1[[#This Row],[MKI A-D]],Table1[[#This Row],[MKI A-D nieuw]])</f>
        <v>775.78682271514231</v>
      </c>
      <c r="Z102" s="16"/>
      <c r="AA102" s="28">
        <f>IFERROR(INDEX('3. Kengetallen (DC-uitdraai)'!AM:AM,MATCH(Table1[[#This Row],[Milieuprofiel]],'3. Kengetallen (DC-uitdraai)'!C:C,0)),0)*Table1[[#This Row],[Hvd]]</f>
        <v>0</v>
      </c>
      <c r="AB102" s="28">
        <f>IFERROR(INDEX('3. Kengetallen (DC-uitdraai)'!AM:AM,MATCH(Table1[[#This Row],[Potentieel alternatief]],'3. Kengetallen (DC-uitdraai)'!C:C,0)),0)*Table1[[#This Row],[Hvd]]</f>
        <v>0</v>
      </c>
    </row>
    <row r="103" spans="1:28">
      <c r="A103" s="89" t="s">
        <v>323</v>
      </c>
      <c r="B103" s="89" t="s">
        <v>310</v>
      </c>
      <c r="C103" s="42" t="s">
        <v>216</v>
      </c>
      <c r="D103" s="42" t="s">
        <v>324</v>
      </c>
      <c r="E103" t="s">
        <v>312</v>
      </c>
      <c r="F103" t="s">
        <v>313</v>
      </c>
      <c r="H103" t="str">
        <f>IFERROR(INDEX('3. Kengetallen (DC-uitdraai)'!F:F,MATCH(Table1[[#This Row],[Milieuprofiel]],'3. Kengetallen (DC-uitdraai)'!D:D,0)),"")</f>
        <v>Cat.3 (30%)</v>
      </c>
      <c r="I103" s="26">
        <v>60</v>
      </c>
      <c r="J103" t="s">
        <v>93</v>
      </c>
      <c r="K103" t="str">
        <f>IF(ISTEXT(Table1[[#This Row],[Milieuprofiel]]),"Ja","Nee")</f>
        <v>Ja</v>
      </c>
      <c r="L103" s="27">
        <v>1</v>
      </c>
      <c r="M103" s="26">
        <f>Table1[[#This Row],[Volume]]*Table1[[#This Row],[Factor]]</f>
        <v>60</v>
      </c>
      <c r="N103" t="str">
        <f>IFERROR(INDEX('3. Kengetallen (DC-uitdraai)'!H:H,MATCH(Table1[[#This Row],[Milieuprofiel]],'3. Kengetallen (DC-uitdraai)'!D:D,0)),"")</f>
        <v>m1</v>
      </c>
      <c r="O103">
        <f>IFERROR(INDEX('3. Kengetallen (DC-uitdraai)'!I:I,MATCH(Table1[[#This Row],[Milieuprofiel]],'3. Kengetallen (DC-uitdraai)'!D:D,0)),0)</f>
        <v>75</v>
      </c>
      <c r="P103" s="106">
        <f>IFERROR(INDEX('3. Kengetallen (DC-uitdraai)'!P:P,MATCH(Table1[[#This Row],[Milieuprofiel]],'3. Kengetallen (DC-uitdraai)'!D:D,0))*Table1[[#This Row],[Hvd]]*(1+INDEX('3. Kengetallen (DC-uitdraai)'!K:K,MATCH(Table1[[#This Row],[Milieuprofiel]],'3. Kengetallen (DC-uitdraai)'!D:D,0))),0)</f>
        <v>7.8491708151752206</v>
      </c>
      <c r="Q103" s="16">
        <f>IFERROR(INDEX('3. Kengetallen (DC-uitdraai)'!U:U,MATCH(Table1[[#This Row],[Milieuprofiel]],'3. Kengetallen (DC-uitdraai)'!D:D,0))*Table1[[#This Row],[Hvd]]*(1+INDEX('3. Kengetallen (DC-uitdraai)'!K:K,MATCH(Table1[[#This Row],[Milieuprofiel]],'3. Kengetallen (DC-uitdraai)'!D:D,0))),0)</f>
        <v>7.5607932428711271</v>
      </c>
      <c r="R103" s="16">
        <f>IFERROR(INDEX('3. Kengetallen (DC-uitdraai)'!V:V,MATCH(Table1[[#This Row],[Milieuprofiel]],'3. Kengetallen (DC-uitdraai)'!D:D,0))*Table1[[#This Row],[Hvd]]*(1+INDEX('3. Kengetallen (DC-uitdraai)'!K:K,MATCH(Table1[[#This Row],[Milieuprofiel]],'3. Kengetallen (DC-uitdraai)'!D:D,0))),0)</f>
        <v>0.26324946706997415</v>
      </c>
      <c r="S103" s="16">
        <f>IFERROR(INDEX('3. Kengetallen (DC-uitdraai)'!W:W,MATCH(Table1[[#This Row],[Milieuprofiel]],'3. Kengetallen (DC-uitdraai)'!D:D,0))*Table1[[#This Row],[Hvd]]*(1+INDEX('3. Kengetallen (DC-uitdraai)'!K:K,MATCH(Table1[[#This Row],[Milieuprofiel]],'3. Kengetallen (DC-uitdraai)'!D:D,0))),0)</f>
        <v>0</v>
      </c>
      <c r="T103" s="16">
        <f>IFERROR(INDEX('3. Kengetallen (DC-uitdraai)'!X:X,MATCH(Table1[[#This Row],[Milieuprofiel]],'3. Kengetallen (DC-uitdraai)'!D:D,0))*Table1[[#This Row],[Hvd]]*(1+INDEX('3. Kengetallen (DC-uitdraai)'!K:K,MATCH(Table1[[#This Row],[Milieuprofiel]],'3. Kengetallen (DC-uitdraai)'!D:D,0))),0)</f>
        <v>-2.3733660596273389</v>
      </c>
      <c r="U103" s="16"/>
      <c r="V103" s="16"/>
      <c r="W103" s="16"/>
      <c r="X103" s="108">
        <f>IFERROR(INDEX('Eigen database'!P:P,MATCH(Table1[[#This Row],[Potentieel alternatief]],'Eigen database'!D:D,0))*Table1[[#This Row],[Hoeveelheid]]*(1+INDEX('Eigen database'!K:K,MATCH(Table1[[#This Row],[Potentieel alternatief]],'Eigen database'!D:D,0))),0)</f>
        <v>0</v>
      </c>
      <c r="Y103" s="16">
        <f>IF(Table1[[#This Row],[MKI A-D nieuw]]=0,Table1[[#This Row],[MKI A-D]],Table1[[#This Row],[MKI A-D nieuw]])</f>
        <v>7.8491708151752206</v>
      </c>
      <c r="Z103" s="16"/>
      <c r="AA103" s="28">
        <f>IFERROR(INDEX('3. Kengetallen (DC-uitdraai)'!AM:AM,MATCH(Table1[[#This Row],[Milieuprofiel]],'3. Kengetallen (DC-uitdraai)'!C:C,0)),0)*Table1[[#This Row],[Hvd]]</f>
        <v>0</v>
      </c>
      <c r="AB103" s="28">
        <f>IFERROR(INDEX('3. Kengetallen (DC-uitdraai)'!AM:AM,MATCH(Table1[[#This Row],[Potentieel alternatief]],'3. Kengetallen (DC-uitdraai)'!C:C,0)),0)*Table1[[#This Row],[Hvd]]</f>
        <v>0</v>
      </c>
    </row>
    <row r="104" spans="1:28">
      <c r="A104" s="89" t="s">
        <v>325</v>
      </c>
      <c r="B104" s="89" t="s">
        <v>315</v>
      </c>
      <c r="C104" s="42" t="s">
        <v>216</v>
      </c>
      <c r="D104" s="42" t="s">
        <v>324</v>
      </c>
      <c r="E104" t="s">
        <v>316</v>
      </c>
      <c r="F104" t="s">
        <v>308</v>
      </c>
      <c r="H104" t="str">
        <f>IFERROR(INDEX('3. Kengetallen (DC-uitdraai)'!F:F,MATCH(Table1[[#This Row],[Milieuprofiel]],'3. Kengetallen (DC-uitdraai)'!D:D,0)),"")</f>
        <v>Cat.3 (30%)</v>
      </c>
      <c r="I104" s="26">
        <v>60</v>
      </c>
      <c r="J104" t="s">
        <v>93</v>
      </c>
      <c r="K104" t="str">
        <f>IF(ISTEXT(Table1[[#This Row],[Milieuprofiel]]),"Ja","Nee")</f>
        <v>Ja</v>
      </c>
      <c r="L104" s="27">
        <v>1</v>
      </c>
      <c r="M104" s="26">
        <f>Table1[[#This Row],[Volume]]*Table1[[#This Row],[Factor]]</f>
        <v>60</v>
      </c>
      <c r="N104" t="str">
        <f>IFERROR(INDEX('3. Kengetallen (DC-uitdraai)'!H:H,MATCH(Table1[[#This Row],[Milieuprofiel]],'3. Kengetallen (DC-uitdraai)'!D:D,0)),"")</f>
        <v>m1</v>
      </c>
      <c r="O104">
        <f>IFERROR(INDEX('3. Kengetallen (DC-uitdraai)'!I:I,MATCH(Table1[[#This Row],[Milieuprofiel]],'3. Kengetallen (DC-uitdraai)'!D:D,0)),0)</f>
        <v>999</v>
      </c>
      <c r="P104" s="106">
        <f>IFERROR(INDEX('3. Kengetallen (DC-uitdraai)'!P:P,MATCH(Table1[[#This Row],[Milieuprofiel]],'3. Kengetallen (DC-uitdraai)'!D:D,0))*Table1[[#This Row],[Hvd]]*(1+INDEX('3. Kengetallen (DC-uitdraai)'!K:K,MATCH(Table1[[#This Row],[Milieuprofiel]],'3. Kengetallen (DC-uitdraai)'!D:D,0))),0)</f>
        <v>404.75834228616117</v>
      </c>
      <c r="Q104" s="16">
        <f>IFERROR(INDEX('3. Kengetallen (DC-uitdraai)'!U:U,MATCH(Table1[[#This Row],[Milieuprofiel]],'3. Kengetallen (DC-uitdraai)'!D:D,0))*Table1[[#This Row],[Hvd]]*(1+INDEX('3. Kengetallen (DC-uitdraai)'!K:K,MATCH(Table1[[#This Row],[Milieuprofiel]],'3. Kengetallen (DC-uitdraai)'!D:D,0))),0)</f>
        <v>0</v>
      </c>
      <c r="R104" s="16">
        <f>IFERROR(INDEX('3. Kengetallen (DC-uitdraai)'!V:V,MATCH(Table1[[#This Row],[Milieuprofiel]],'3. Kengetallen (DC-uitdraai)'!D:D,0))*Table1[[#This Row],[Hvd]]*(1+INDEX('3. Kengetallen (DC-uitdraai)'!K:K,MATCH(Table1[[#This Row],[Milieuprofiel]],'3. Kengetallen (DC-uitdraai)'!D:D,0))),0)</f>
        <v>311.35256813426872</v>
      </c>
      <c r="S104" s="16">
        <f>IFERROR(INDEX('3. Kengetallen (DC-uitdraai)'!W:W,MATCH(Table1[[#This Row],[Milieuprofiel]],'3. Kengetallen (DC-uitdraai)'!D:D,0))*Table1[[#This Row],[Hvd]]*(1+INDEX('3. Kengetallen (DC-uitdraai)'!K:K,MATCH(Table1[[#This Row],[Milieuprofiel]],'3. Kengetallen (DC-uitdraai)'!D:D,0))),0)</f>
        <v>0</v>
      </c>
      <c r="T104" s="16">
        <f>IFERROR(INDEX('3. Kengetallen (DC-uitdraai)'!X:X,MATCH(Table1[[#This Row],[Milieuprofiel]],'3. Kengetallen (DC-uitdraai)'!D:D,0))*Table1[[#This Row],[Hvd]]*(1+INDEX('3. Kengetallen (DC-uitdraai)'!K:K,MATCH(Table1[[#This Row],[Milieuprofiel]],'3. Kengetallen (DC-uitdraai)'!D:D,0))),0)</f>
        <v>0</v>
      </c>
      <c r="U104" s="16"/>
      <c r="V104" s="16"/>
      <c r="W104" s="16"/>
      <c r="X104" s="108">
        <f>IFERROR(INDEX('Eigen database'!P:P,MATCH(Table1[[#This Row],[Potentieel alternatief]],'Eigen database'!D:D,0))*Table1[[#This Row],[Hoeveelheid]]*(1+INDEX('Eigen database'!K:K,MATCH(Table1[[#This Row],[Potentieel alternatief]],'Eigen database'!D:D,0))),0)</f>
        <v>0</v>
      </c>
      <c r="Y104" s="16">
        <f>IF(Table1[[#This Row],[MKI A-D nieuw]]=0,Table1[[#This Row],[MKI A-D]],Table1[[#This Row],[MKI A-D nieuw]])</f>
        <v>404.75834228616117</v>
      </c>
      <c r="Z104" s="16"/>
      <c r="AA104" s="28">
        <f>IFERROR(INDEX('3. Kengetallen (DC-uitdraai)'!AM:AM,MATCH(Table1[[#This Row],[Milieuprofiel]],'3. Kengetallen (DC-uitdraai)'!C:C,0)),0)*Table1[[#This Row],[Hvd]]</f>
        <v>0</v>
      </c>
      <c r="AB104" s="28">
        <f>IFERROR(INDEX('3. Kengetallen (DC-uitdraai)'!AM:AM,MATCH(Table1[[#This Row],[Potentieel alternatief]],'3. Kengetallen (DC-uitdraai)'!C:C,0)),0)*Table1[[#This Row],[Hvd]]</f>
        <v>0</v>
      </c>
    </row>
    <row r="105" spans="1:28">
      <c r="A105" s="89" t="s">
        <v>326</v>
      </c>
      <c r="B105" s="89" t="s">
        <v>310</v>
      </c>
      <c r="C105" s="42" t="s">
        <v>216</v>
      </c>
      <c r="D105" s="42" t="s">
        <v>324</v>
      </c>
      <c r="E105" t="s">
        <v>312</v>
      </c>
      <c r="F105" t="s">
        <v>313</v>
      </c>
      <c r="H105" t="str">
        <f>IFERROR(INDEX('3. Kengetallen (DC-uitdraai)'!F:F,MATCH(Table1[[#This Row],[Milieuprofiel]],'3. Kengetallen (DC-uitdraai)'!D:D,0)),"")</f>
        <v>Cat.3 (30%)</v>
      </c>
      <c r="I105" s="26">
        <v>30</v>
      </c>
      <c r="J105" t="s">
        <v>93</v>
      </c>
      <c r="K105" t="str">
        <f>IF(ISTEXT(Table1[[#This Row],[Milieuprofiel]]),"Ja","Nee")</f>
        <v>Ja</v>
      </c>
      <c r="L105" s="27">
        <v>1</v>
      </c>
      <c r="M105" s="26">
        <f>Table1[[#This Row],[Volume]]*Table1[[#This Row],[Factor]]</f>
        <v>30</v>
      </c>
      <c r="N105" t="str">
        <f>IFERROR(INDEX('3. Kengetallen (DC-uitdraai)'!H:H,MATCH(Table1[[#This Row],[Milieuprofiel]],'3. Kengetallen (DC-uitdraai)'!D:D,0)),"")</f>
        <v>m1</v>
      </c>
      <c r="O105">
        <f>IFERROR(INDEX('3. Kengetallen (DC-uitdraai)'!I:I,MATCH(Table1[[#This Row],[Milieuprofiel]],'3. Kengetallen (DC-uitdraai)'!D:D,0)),0)</f>
        <v>75</v>
      </c>
      <c r="P105" s="106">
        <f>IFERROR(INDEX('3. Kengetallen (DC-uitdraai)'!P:P,MATCH(Table1[[#This Row],[Milieuprofiel]],'3. Kengetallen (DC-uitdraai)'!D:D,0))*Table1[[#This Row],[Hvd]]*(1+INDEX('3. Kengetallen (DC-uitdraai)'!K:K,MATCH(Table1[[#This Row],[Milieuprofiel]],'3. Kengetallen (DC-uitdraai)'!D:D,0))),0)</f>
        <v>3.9245854075876103</v>
      </c>
      <c r="Q105" s="16">
        <f>IFERROR(INDEX('3. Kengetallen (DC-uitdraai)'!U:U,MATCH(Table1[[#This Row],[Milieuprofiel]],'3. Kengetallen (DC-uitdraai)'!D:D,0))*Table1[[#This Row],[Hvd]]*(1+INDEX('3. Kengetallen (DC-uitdraai)'!K:K,MATCH(Table1[[#This Row],[Milieuprofiel]],'3. Kengetallen (DC-uitdraai)'!D:D,0))),0)</f>
        <v>3.7803966214355635</v>
      </c>
      <c r="R105" s="16">
        <f>IFERROR(INDEX('3. Kengetallen (DC-uitdraai)'!V:V,MATCH(Table1[[#This Row],[Milieuprofiel]],'3. Kengetallen (DC-uitdraai)'!D:D,0))*Table1[[#This Row],[Hvd]]*(1+INDEX('3. Kengetallen (DC-uitdraai)'!K:K,MATCH(Table1[[#This Row],[Milieuprofiel]],'3. Kengetallen (DC-uitdraai)'!D:D,0))),0)</f>
        <v>0.13162473353498708</v>
      </c>
      <c r="S105" s="16">
        <f>IFERROR(INDEX('3. Kengetallen (DC-uitdraai)'!W:W,MATCH(Table1[[#This Row],[Milieuprofiel]],'3. Kengetallen (DC-uitdraai)'!D:D,0))*Table1[[#This Row],[Hvd]]*(1+INDEX('3. Kengetallen (DC-uitdraai)'!K:K,MATCH(Table1[[#This Row],[Milieuprofiel]],'3. Kengetallen (DC-uitdraai)'!D:D,0))),0)</f>
        <v>0</v>
      </c>
      <c r="T105" s="16">
        <f>IFERROR(INDEX('3. Kengetallen (DC-uitdraai)'!X:X,MATCH(Table1[[#This Row],[Milieuprofiel]],'3. Kengetallen (DC-uitdraai)'!D:D,0))*Table1[[#This Row],[Hvd]]*(1+INDEX('3. Kengetallen (DC-uitdraai)'!K:K,MATCH(Table1[[#This Row],[Milieuprofiel]],'3. Kengetallen (DC-uitdraai)'!D:D,0))),0)</f>
        <v>-1.1866830298136695</v>
      </c>
      <c r="U105" s="16"/>
      <c r="V105" s="16"/>
      <c r="W105" s="16"/>
      <c r="X105" s="108">
        <f>IFERROR(INDEX('Eigen database'!P:P,MATCH(Table1[[#This Row],[Potentieel alternatief]],'Eigen database'!D:D,0))*Table1[[#This Row],[Hoeveelheid]]*(1+INDEX('Eigen database'!K:K,MATCH(Table1[[#This Row],[Potentieel alternatief]],'Eigen database'!D:D,0))),0)</f>
        <v>0</v>
      </c>
      <c r="Y105" s="16">
        <f>IF(Table1[[#This Row],[MKI A-D nieuw]]=0,Table1[[#This Row],[MKI A-D]],Table1[[#This Row],[MKI A-D nieuw]])</f>
        <v>3.9245854075876103</v>
      </c>
      <c r="Z105" s="16"/>
      <c r="AA105" s="28">
        <f>IFERROR(INDEX('3. Kengetallen (DC-uitdraai)'!AM:AM,MATCH(Table1[[#This Row],[Milieuprofiel]],'3. Kengetallen (DC-uitdraai)'!C:C,0)),0)*Table1[[#This Row],[Hvd]]</f>
        <v>0</v>
      </c>
      <c r="AB105" s="28">
        <f>IFERROR(INDEX('3. Kengetallen (DC-uitdraai)'!AM:AM,MATCH(Table1[[#This Row],[Potentieel alternatief]],'3. Kengetallen (DC-uitdraai)'!C:C,0)),0)*Table1[[#This Row],[Hvd]]</f>
        <v>0</v>
      </c>
    </row>
    <row r="106" spans="1:28">
      <c r="A106" s="89" t="s">
        <v>327</v>
      </c>
      <c r="B106" s="89" t="s">
        <v>315</v>
      </c>
      <c r="C106" s="42" t="s">
        <v>216</v>
      </c>
      <c r="D106" s="42" t="s">
        <v>324</v>
      </c>
      <c r="E106" t="s">
        <v>316</v>
      </c>
      <c r="F106" t="s">
        <v>308</v>
      </c>
      <c r="H106" t="str">
        <f>IFERROR(INDEX('3. Kengetallen (DC-uitdraai)'!F:F,MATCH(Table1[[#This Row],[Milieuprofiel]],'3. Kengetallen (DC-uitdraai)'!D:D,0)),"")</f>
        <v>Cat.3 (30%)</v>
      </c>
      <c r="I106" s="26">
        <v>30</v>
      </c>
      <c r="J106" t="s">
        <v>93</v>
      </c>
      <c r="K106" t="str">
        <f>IF(ISTEXT(Table1[[#This Row],[Milieuprofiel]]),"Ja","Nee")</f>
        <v>Ja</v>
      </c>
      <c r="L106" s="27">
        <v>1</v>
      </c>
      <c r="M106" s="26">
        <f>Table1[[#This Row],[Volume]]*Table1[[#This Row],[Factor]]</f>
        <v>30</v>
      </c>
      <c r="N106" t="str">
        <f>IFERROR(INDEX('3. Kengetallen (DC-uitdraai)'!H:H,MATCH(Table1[[#This Row],[Milieuprofiel]],'3. Kengetallen (DC-uitdraai)'!D:D,0)),"")</f>
        <v>m1</v>
      </c>
      <c r="O106">
        <f>IFERROR(INDEX('3. Kengetallen (DC-uitdraai)'!I:I,MATCH(Table1[[#This Row],[Milieuprofiel]],'3. Kengetallen (DC-uitdraai)'!D:D,0)),0)</f>
        <v>999</v>
      </c>
      <c r="P106" s="106">
        <f>IFERROR(INDEX('3. Kengetallen (DC-uitdraai)'!P:P,MATCH(Table1[[#This Row],[Milieuprofiel]],'3. Kengetallen (DC-uitdraai)'!D:D,0))*Table1[[#This Row],[Hvd]]*(1+INDEX('3. Kengetallen (DC-uitdraai)'!K:K,MATCH(Table1[[#This Row],[Milieuprofiel]],'3. Kengetallen (DC-uitdraai)'!D:D,0))),0)</f>
        <v>202.37917114308058</v>
      </c>
      <c r="Q106" s="16">
        <f>IFERROR(INDEX('3. Kengetallen (DC-uitdraai)'!U:U,MATCH(Table1[[#This Row],[Milieuprofiel]],'3. Kengetallen (DC-uitdraai)'!D:D,0))*Table1[[#This Row],[Hvd]]*(1+INDEX('3. Kengetallen (DC-uitdraai)'!K:K,MATCH(Table1[[#This Row],[Milieuprofiel]],'3. Kengetallen (DC-uitdraai)'!D:D,0))),0)</f>
        <v>0</v>
      </c>
      <c r="R106" s="16">
        <f>IFERROR(INDEX('3. Kengetallen (DC-uitdraai)'!V:V,MATCH(Table1[[#This Row],[Milieuprofiel]],'3. Kengetallen (DC-uitdraai)'!D:D,0))*Table1[[#This Row],[Hvd]]*(1+INDEX('3. Kengetallen (DC-uitdraai)'!K:K,MATCH(Table1[[#This Row],[Milieuprofiel]],'3. Kengetallen (DC-uitdraai)'!D:D,0))),0)</f>
        <v>155.67628406713436</v>
      </c>
      <c r="S106" s="16">
        <f>IFERROR(INDEX('3. Kengetallen (DC-uitdraai)'!W:W,MATCH(Table1[[#This Row],[Milieuprofiel]],'3. Kengetallen (DC-uitdraai)'!D:D,0))*Table1[[#This Row],[Hvd]]*(1+INDEX('3. Kengetallen (DC-uitdraai)'!K:K,MATCH(Table1[[#This Row],[Milieuprofiel]],'3. Kengetallen (DC-uitdraai)'!D:D,0))),0)</f>
        <v>0</v>
      </c>
      <c r="T106" s="16">
        <f>IFERROR(INDEX('3. Kengetallen (DC-uitdraai)'!X:X,MATCH(Table1[[#This Row],[Milieuprofiel]],'3. Kengetallen (DC-uitdraai)'!D:D,0))*Table1[[#This Row],[Hvd]]*(1+INDEX('3. Kengetallen (DC-uitdraai)'!K:K,MATCH(Table1[[#This Row],[Milieuprofiel]],'3. Kengetallen (DC-uitdraai)'!D:D,0))),0)</f>
        <v>0</v>
      </c>
      <c r="U106" s="16"/>
      <c r="V106" s="16"/>
      <c r="W106" s="16"/>
      <c r="X106" s="108">
        <f>IFERROR(INDEX('Eigen database'!P:P,MATCH(Table1[[#This Row],[Potentieel alternatief]],'Eigen database'!D:D,0))*Table1[[#This Row],[Hoeveelheid]]*(1+INDEX('Eigen database'!K:K,MATCH(Table1[[#This Row],[Potentieel alternatief]],'Eigen database'!D:D,0))),0)</f>
        <v>0</v>
      </c>
      <c r="Y106" s="16">
        <f>IF(Table1[[#This Row],[MKI A-D nieuw]]=0,Table1[[#This Row],[MKI A-D]],Table1[[#This Row],[MKI A-D nieuw]])</f>
        <v>202.37917114308058</v>
      </c>
      <c r="Z106" s="16"/>
      <c r="AA106" s="28">
        <f>IFERROR(INDEX('3. Kengetallen (DC-uitdraai)'!AM:AM,MATCH(Table1[[#This Row],[Milieuprofiel]],'3. Kengetallen (DC-uitdraai)'!C:C,0)),0)*Table1[[#This Row],[Hvd]]</f>
        <v>0</v>
      </c>
      <c r="AB106" s="28">
        <f>IFERROR(INDEX('3. Kengetallen (DC-uitdraai)'!AM:AM,MATCH(Table1[[#This Row],[Potentieel alternatief]],'3. Kengetallen (DC-uitdraai)'!C:C,0)),0)*Table1[[#This Row],[Hvd]]</f>
        <v>0</v>
      </c>
    </row>
    <row r="107" spans="1:28">
      <c r="A107" s="89" t="s">
        <v>328</v>
      </c>
      <c r="B107" s="89" t="s">
        <v>310</v>
      </c>
      <c r="C107" s="42" t="s">
        <v>216</v>
      </c>
      <c r="D107" s="42" t="s">
        <v>324</v>
      </c>
      <c r="E107" t="s">
        <v>312</v>
      </c>
      <c r="F107" t="s">
        <v>313</v>
      </c>
      <c r="H107" t="str">
        <f>IFERROR(INDEX('3. Kengetallen (DC-uitdraai)'!F:F,MATCH(Table1[[#This Row],[Milieuprofiel]],'3. Kengetallen (DC-uitdraai)'!D:D,0)),"")</f>
        <v>Cat.3 (30%)</v>
      </c>
      <c r="I107" s="26">
        <v>180</v>
      </c>
      <c r="J107" t="s">
        <v>93</v>
      </c>
      <c r="K107" t="str">
        <f>IF(ISTEXT(Table1[[#This Row],[Milieuprofiel]]),"Ja","Nee")</f>
        <v>Ja</v>
      </c>
      <c r="L107" s="27">
        <v>0.64</v>
      </c>
      <c r="M107" s="26">
        <f>Table1[[#This Row],[Volume]]*Table1[[#This Row],[Factor]]</f>
        <v>115.2</v>
      </c>
      <c r="N107" t="str">
        <f>IFERROR(INDEX('3. Kengetallen (DC-uitdraai)'!H:H,MATCH(Table1[[#This Row],[Milieuprofiel]],'3. Kengetallen (DC-uitdraai)'!D:D,0)),"")</f>
        <v>m1</v>
      </c>
      <c r="O107">
        <f>IFERROR(INDEX('3. Kengetallen (DC-uitdraai)'!I:I,MATCH(Table1[[#This Row],[Milieuprofiel]],'3. Kengetallen (DC-uitdraai)'!D:D,0)),0)</f>
        <v>75</v>
      </c>
      <c r="P107" s="106">
        <f>IFERROR(INDEX('3. Kengetallen (DC-uitdraai)'!P:P,MATCH(Table1[[#This Row],[Milieuprofiel]],'3. Kengetallen (DC-uitdraai)'!D:D,0))*Table1[[#This Row],[Hvd]]*(1+INDEX('3. Kengetallen (DC-uitdraai)'!K:K,MATCH(Table1[[#This Row],[Milieuprofiel]],'3. Kengetallen (DC-uitdraai)'!D:D,0))),0)</f>
        <v>15.070407965136425</v>
      </c>
      <c r="Q107" s="16">
        <f>IFERROR(INDEX('3. Kengetallen (DC-uitdraai)'!U:U,MATCH(Table1[[#This Row],[Milieuprofiel]],'3. Kengetallen (DC-uitdraai)'!D:D,0))*Table1[[#This Row],[Hvd]]*(1+INDEX('3. Kengetallen (DC-uitdraai)'!K:K,MATCH(Table1[[#This Row],[Milieuprofiel]],'3. Kengetallen (DC-uitdraai)'!D:D,0))),0)</f>
        <v>14.516723026312565</v>
      </c>
      <c r="R107" s="16">
        <f>IFERROR(INDEX('3. Kengetallen (DC-uitdraai)'!V:V,MATCH(Table1[[#This Row],[Milieuprofiel]],'3. Kengetallen (DC-uitdraai)'!D:D,0))*Table1[[#This Row],[Hvd]]*(1+INDEX('3. Kengetallen (DC-uitdraai)'!K:K,MATCH(Table1[[#This Row],[Milieuprofiel]],'3. Kengetallen (DC-uitdraai)'!D:D,0))),0)</f>
        <v>0.50543897677435035</v>
      </c>
      <c r="S107" s="16">
        <f>IFERROR(INDEX('3. Kengetallen (DC-uitdraai)'!W:W,MATCH(Table1[[#This Row],[Milieuprofiel]],'3. Kengetallen (DC-uitdraai)'!D:D,0))*Table1[[#This Row],[Hvd]]*(1+INDEX('3. Kengetallen (DC-uitdraai)'!K:K,MATCH(Table1[[#This Row],[Milieuprofiel]],'3. Kengetallen (DC-uitdraai)'!D:D,0))),0)</f>
        <v>0</v>
      </c>
      <c r="T107" s="16">
        <f>IFERROR(INDEX('3. Kengetallen (DC-uitdraai)'!X:X,MATCH(Table1[[#This Row],[Milieuprofiel]],'3. Kengetallen (DC-uitdraai)'!D:D,0))*Table1[[#This Row],[Hvd]]*(1+INDEX('3. Kengetallen (DC-uitdraai)'!K:K,MATCH(Table1[[#This Row],[Milieuprofiel]],'3. Kengetallen (DC-uitdraai)'!D:D,0))),0)</f>
        <v>-4.556862834484491</v>
      </c>
      <c r="U107" s="16"/>
      <c r="V107" s="16"/>
      <c r="W107" s="16"/>
      <c r="X107" s="108">
        <f>IFERROR(INDEX('Eigen database'!P:P,MATCH(Table1[[#This Row],[Potentieel alternatief]],'Eigen database'!D:D,0))*Table1[[#This Row],[Hoeveelheid]]*(1+INDEX('Eigen database'!K:K,MATCH(Table1[[#This Row],[Potentieel alternatief]],'Eigen database'!D:D,0))),0)</f>
        <v>0</v>
      </c>
      <c r="Y107" s="16">
        <f>IF(Table1[[#This Row],[MKI A-D nieuw]]=0,Table1[[#This Row],[MKI A-D]],Table1[[#This Row],[MKI A-D nieuw]])</f>
        <v>15.070407965136425</v>
      </c>
      <c r="Z107" s="16"/>
      <c r="AA107" s="28">
        <f>IFERROR(INDEX('3. Kengetallen (DC-uitdraai)'!AM:AM,MATCH(Table1[[#This Row],[Milieuprofiel]],'3. Kengetallen (DC-uitdraai)'!C:C,0)),0)*Table1[[#This Row],[Hvd]]</f>
        <v>0</v>
      </c>
      <c r="AB107" s="28">
        <f>IFERROR(INDEX('3. Kengetallen (DC-uitdraai)'!AM:AM,MATCH(Table1[[#This Row],[Potentieel alternatief]],'3. Kengetallen (DC-uitdraai)'!C:C,0)),0)*Table1[[#This Row],[Hvd]]</f>
        <v>0</v>
      </c>
    </row>
    <row r="108" spans="1:28">
      <c r="A108" s="89" t="s">
        <v>329</v>
      </c>
      <c r="B108" s="89" t="s">
        <v>291</v>
      </c>
      <c r="C108" s="42" t="s">
        <v>216</v>
      </c>
      <c r="D108" s="42" t="s">
        <v>324</v>
      </c>
      <c r="E108" t="s">
        <v>316</v>
      </c>
      <c r="F108" t="s">
        <v>308</v>
      </c>
      <c r="H108" t="str">
        <f>IFERROR(INDEX('3. Kengetallen (DC-uitdraai)'!F:F,MATCH(Table1[[#This Row],[Milieuprofiel]],'3. Kengetallen (DC-uitdraai)'!D:D,0)),"")</f>
        <v>Cat.3 (30%)</v>
      </c>
      <c r="I108" s="26">
        <v>180</v>
      </c>
      <c r="J108" t="s">
        <v>93</v>
      </c>
      <c r="K108" t="str">
        <f>IF(ISTEXT(Table1[[#This Row],[Milieuprofiel]]),"Ja","Nee")</f>
        <v>Ja</v>
      </c>
      <c r="L108" s="27">
        <v>1</v>
      </c>
      <c r="M108" s="26">
        <f>Table1[[#This Row],[Volume]]*Table1[[#This Row],[Factor]]</f>
        <v>180</v>
      </c>
      <c r="N108" t="str">
        <f>IFERROR(INDEX('3. Kengetallen (DC-uitdraai)'!H:H,MATCH(Table1[[#This Row],[Milieuprofiel]],'3. Kengetallen (DC-uitdraai)'!D:D,0)),"")</f>
        <v>m1</v>
      </c>
      <c r="O108">
        <f>IFERROR(INDEX('3. Kengetallen (DC-uitdraai)'!I:I,MATCH(Table1[[#This Row],[Milieuprofiel]],'3. Kengetallen (DC-uitdraai)'!D:D,0)),0)</f>
        <v>999</v>
      </c>
      <c r="P108" s="106">
        <f>IFERROR(INDEX('3. Kengetallen (DC-uitdraai)'!P:P,MATCH(Table1[[#This Row],[Milieuprofiel]],'3. Kengetallen (DC-uitdraai)'!D:D,0))*Table1[[#This Row],[Hvd]]*(1+INDEX('3. Kengetallen (DC-uitdraai)'!K:K,MATCH(Table1[[#This Row],[Milieuprofiel]],'3. Kengetallen (DC-uitdraai)'!D:D,0))),0)</f>
        <v>1214.2750268584837</v>
      </c>
      <c r="Q108" s="16">
        <f>IFERROR(INDEX('3. Kengetallen (DC-uitdraai)'!U:U,MATCH(Table1[[#This Row],[Milieuprofiel]],'3. Kengetallen (DC-uitdraai)'!D:D,0))*Table1[[#This Row],[Hvd]]*(1+INDEX('3. Kengetallen (DC-uitdraai)'!K:K,MATCH(Table1[[#This Row],[Milieuprofiel]],'3. Kengetallen (DC-uitdraai)'!D:D,0))),0)</f>
        <v>0</v>
      </c>
      <c r="R108" s="16">
        <f>IFERROR(INDEX('3. Kengetallen (DC-uitdraai)'!V:V,MATCH(Table1[[#This Row],[Milieuprofiel]],'3. Kengetallen (DC-uitdraai)'!D:D,0))*Table1[[#This Row],[Hvd]]*(1+INDEX('3. Kengetallen (DC-uitdraai)'!K:K,MATCH(Table1[[#This Row],[Milieuprofiel]],'3. Kengetallen (DC-uitdraai)'!D:D,0))),0)</f>
        <v>934.05770440280617</v>
      </c>
      <c r="S108" s="16">
        <f>IFERROR(INDEX('3. Kengetallen (DC-uitdraai)'!W:W,MATCH(Table1[[#This Row],[Milieuprofiel]],'3. Kengetallen (DC-uitdraai)'!D:D,0))*Table1[[#This Row],[Hvd]]*(1+INDEX('3. Kengetallen (DC-uitdraai)'!K:K,MATCH(Table1[[#This Row],[Milieuprofiel]],'3. Kengetallen (DC-uitdraai)'!D:D,0))),0)</f>
        <v>0</v>
      </c>
      <c r="T108" s="16">
        <f>IFERROR(INDEX('3. Kengetallen (DC-uitdraai)'!X:X,MATCH(Table1[[#This Row],[Milieuprofiel]],'3. Kengetallen (DC-uitdraai)'!D:D,0))*Table1[[#This Row],[Hvd]]*(1+INDEX('3. Kengetallen (DC-uitdraai)'!K:K,MATCH(Table1[[#This Row],[Milieuprofiel]],'3. Kengetallen (DC-uitdraai)'!D:D,0))),0)</f>
        <v>0</v>
      </c>
      <c r="U108" s="16"/>
      <c r="V108" s="16"/>
      <c r="W108" s="16"/>
      <c r="X108" s="108">
        <f>IFERROR(INDEX('Eigen database'!P:P,MATCH(Table1[[#This Row],[Potentieel alternatief]],'Eigen database'!D:D,0))*Table1[[#This Row],[Hoeveelheid]]*(1+INDEX('Eigen database'!K:K,MATCH(Table1[[#This Row],[Potentieel alternatief]],'Eigen database'!D:D,0))),0)</f>
        <v>0</v>
      </c>
      <c r="Y108" s="16">
        <f>IF(Table1[[#This Row],[MKI A-D nieuw]]=0,Table1[[#This Row],[MKI A-D]],Table1[[#This Row],[MKI A-D nieuw]])</f>
        <v>1214.2750268584837</v>
      </c>
      <c r="Z108" s="16"/>
      <c r="AA108" s="28">
        <f>IFERROR(INDEX('3. Kengetallen (DC-uitdraai)'!AM:AM,MATCH(Table1[[#This Row],[Milieuprofiel]],'3. Kengetallen (DC-uitdraai)'!C:C,0)),0)*Table1[[#This Row],[Hvd]]</f>
        <v>0</v>
      </c>
      <c r="AB108" s="28">
        <f>IFERROR(INDEX('3. Kengetallen (DC-uitdraai)'!AM:AM,MATCH(Table1[[#This Row],[Potentieel alternatief]],'3. Kengetallen (DC-uitdraai)'!C:C,0)),0)*Table1[[#This Row],[Hvd]]</f>
        <v>0</v>
      </c>
    </row>
    <row r="109" spans="1:28">
      <c r="A109" s="89" t="s">
        <v>330</v>
      </c>
      <c r="B109" s="89" t="s">
        <v>310</v>
      </c>
      <c r="C109" s="42" t="s">
        <v>216</v>
      </c>
      <c r="D109" s="42" t="s">
        <v>324</v>
      </c>
      <c r="E109" t="s">
        <v>312</v>
      </c>
      <c r="F109" t="s">
        <v>318</v>
      </c>
      <c r="H109" t="str">
        <f>IFERROR(INDEX('3. Kengetallen (DC-uitdraai)'!F:F,MATCH(Table1[[#This Row],[Milieuprofiel]],'3. Kengetallen (DC-uitdraai)'!D:D,0)),"")</f>
        <v>Cat.3 (30%)</v>
      </c>
      <c r="I109" s="26">
        <v>30</v>
      </c>
      <c r="J109" t="s">
        <v>93</v>
      </c>
      <c r="K109" t="str">
        <f>IF(ISTEXT(Table1[[#This Row],[Milieuprofiel]]),"Ja","Nee")</f>
        <v>Ja</v>
      </c>
      <c r="L109" s="27">
        <v>2.4500000000000002</v>
      </c>
      <c r="M109" s="26">
        <f>Table1[[#This Row],[Volume]]*Table1[[#This Row],[Factor]]</f>
        <v>73.5</v>
      </c>
      <c r="N109" t="str">
        <f>IFERROR(INDEX('3. Kengetallen (DC-uitdraai)'!H:H,MATCH(Table1[[#This Row],[Milieuprofiel]],'3. Kengetallen (DC-uitdraai)'!D:D,0)),"")</f>
        <v>m1</v>
      </c>
      <c r="O109">
        <f>IFERROR(INDEX('3. Kengetallen (DC-uitdraai)'!I:I,MATCH(Table1[[#This Row],[Milieuprofiel]],'3. Kengetallen (DC-uitdraai)'!D:D,0)),0)</f>
        <v>75</v>
      </c>
      <c r="P109" s="106">
        <f>IFERROR(INDEX('3. Kengetallen (DC-uitdraai)'!P:P,MATCH(Table1[[#This Row],[Milieuprofiel]],'3. Kengetallen (DC-uitdraai)'!D:D,0))*Table1[[#This Row],[Hvd]]*(1+INDEX('3. Kengetallen (DC-uitdraai)'!K:K,MATCH(Table1[[#This Row],[Milieuprofiel]],'3. Kengetallen (DC-uitdraai)'!D:D,0))),0)</f>
        <v>17.398986125184781</v>
      </c>
      <c r="Q109" s="16">
        <f>IFERROR(INDEX('3. Kengetallen (DC-uitdraai)'!U:U,MATCH(Table1[[#This Row],[Milieuprofiel]],'3. Kengetallen (DC-uitdraai)'!D:D,0))*Table1[[#This Row],[Hvd]]*(1+INDEX('3. Kengetallen (DC-uitdraai)'!K:K,MATCH(Table1[[#This Row],[Milieuprofiel]],'3. Kengetallen (DC-uitdraai)'!D:D,0))),0)</f>
        <v>17.33651117291668</v>
      </c>
      <c r="R109" s="16">
        <f>IFERROR(INDEX('3. Kengetallen (DC-uitdraai)'!V:V,MATCH(Table1[[#This Row],[Milieuprofiel]],'3. Kengetallen (DC-uitdraai)'!D:D,0))*Table1[[#This Row],[Hvd]]*(1+INDEX('3. Kengetallen (DC-uitdraai)'!K:K,MATCH(Table1[[#This Row],[Milieuprofiel]],'3. Kengetallen (DC-uitdraai)'!D:D,0))),0)</f>
        <v>0.59373618059916322</v>
      </c>
      <c r="S109" s="16">
        <f>IFERROR(INDEX('3. Kengetallen (DC-uitdraai)'!W:W,MATCH(Table1[[#This Row],[Milieuprofiel]],'3. Kengetallen (DC-uitdraai)'!D:D,0))*Table1[[#This Row],[Hvd]]*(1+INDEX('3. Kengetallen (DC-uitdraai)'!K:K,MATCH(Table1[[#This Row],[Milieuprofiel]],'3. Kengetallen (DC-uitdraai)'!D:D,0))),0)</f>
        <v>0</v>
      </c>
      <c r="T109" s="16">
        <f>IFERROR(INDEX('3. Kengetallen (DC-uitdraai)'!X:X,MATCH(Table1[[#This Row],[Milieuprofiel]],'3. Kengetallen (DC-uitdraai)'!D:D,0))*Table1[[#This Row],[Hvd]]*(1+INDEX('3. Kengetallen (DC-uitdraai)'!K:K,MATCH(Table1[[#This Row],[Milieuprofiel]],'3. Kengetallen (DC-uitdraai)'!D:D,0))),0)</f>
        <v>-5.9291074661912786</v>
      </c>
      <c r="U109" s="16"/>
      <c r="V109" s="16"/>
      <c r="W109" s="16"/>
      <c r="X109" s="108">
        <f>IFERROR(INDEX('Eigen database'!P:P,MATCH(Table1[[#This Row],[Potentieel alternatief]],'Eigen database'!D:D,0))*Table1[[#This Row],[Hoeveelheid]]*(1+INDEX('Eigen database'!K:K,MATCH(Table1[[#This Row],[Potentieel alternatief]],'Eigen database'!D:D,0))),0)</f>
        <v>0</v>
      </c>
      <c r="Y109" s="16">
        <f>IF(Table1[[#This Row],[MKI A-D nieuw]]=0,Table1[[#This Row],[MKI A-D]],Table1[[#This Row],[MKI A-D nieuw]])</f>
        <v>17.398986125184781</v>
      </c>
      <c r="Z109" s="16"/>
      <c r="AA109" s="28">
        <f>IFERROR(INDEX('3. Kengetallen (DC-uitdraai)'!AM:AM,MATCH(Table1[[#This Row],[Milieuprofiel]],'3. Kengetallen (DC-uitdraai)'!C:C,0)),0)*Table1[[#This Row],[Hvd]]</f>
        <v>0</v>
      </c>
      <c r="AB109" s="28">
        <f>IFERROR(INDEX('3. Kengetallen (DC-uitdraai)'!AM:AM,MATCH(Table1[[#This Row],[Potentieel alternatief]],'3. Kengetallen (DC-uitdraai)'!C:C,0)),0)*Table1[[#This Row],[Hvd]]</f>
        <v>0</v>
      </c>
    </row>
    <row r="110" spans="1:28">
      <c r="A110" s="89" t="s">
        <v>331</v>
      </c>
      <c r="B110" s="89" t="s">
        <v>291</v>
      </c>
      <c r="C110" s="42" t="s">
        <v>216</v>
      </c>
      <c r="D110" s="42" t="s">
        <v>324</v>
      </c>
      <c r="E110" t="s">
        <v>316</v>
      </c>
      <c r="F110" t="s">
        <v>308</v>
      </c>
      <c r="H110" t="str">
        <f>IFERROR(INDEX('3. Kengetallen (DC-uitdraai)'!F:F,MATCH(Table1[[#This Row],[Milieuprofiel]],'3. Kengetallen (DC-uitdraai)'!D:D,0)),"")</f>
        <v>Cat.3 (30%)</v>
      </c>
      <c r="I110" s="26">
        <v>30</v>
      </c>
      <c r="J110" t="s">
        <v>93</v>
      </c>
      <c r="K110" t="str">
        <f>IF(ISTEXT(Table1[[#This Row],[Milieuprofiel]]),"Ja","Nee")</f>
        <v>Ja</v>
      </c>
      <c r="L110" s="27">
        <v>1</v>
      </c>
      <c r="M110" s="26">
        <f>Table1[[#This Row],[Volume]]*Table1[[#This Row],[Factor]]</f>
        <v>30</v>
      </c>
      <c r="N110" t="str">
        <f>IFERROR(INDEX('3. Kengetallen (DC-uitdraai)'!H:H,MATCH(Table1[[#This Row],[Milieuprofiel]],'3. Kengetallen (DC-uitdraai)'!D:D,0)),"")</f>
        <v>m1</v>
      </c>
      <c r="O110">
        <f>IFERROR(INDEX('3. Kengetallen (DC-uitdraai)'!I:I,MATCH(Table1[[#This Row],[Milieuprofiel]],'3. Kengetallen (DC-uitdraai)'!D:D,0)),0)</f>
        <v>999</v>
      </c>
      <c r="P110" s="106">
        <f>IFERROR(INDEX('3. Kengetallen (DC-uitdraai)'!P:P,MATCH(Table1[[#This Row],[Milieuprofiel]],'3. Kengetallen (DC-uitdraai)'!D:D,0))*Table1[[#This Row],[Hvd]]*(1+INDEX('3. Kengetallen (DC-uitdraai)'!K:K,MATCH(Table1[[#This Row],[Milieuprofiel]],'3. Kengetallen (DC-uitdraai)'!D:D,0))),0)</f>
        <v>202.37917114308058</v>
      </c>
      <c r="Q110" s="16">
        <f>IFERROR(INDEX('3. Kengetallen (DC-uitdraai)'!U:U,MATCH(Table1[[#This Row],[Milieuprofiel]],'3. Kengetallen (DC-uitdraai)'!D:D,0))*Table1[[#This Row],[Hvd]]*(1+INDEX('3. Kengetallen (DC-uitdraai)'!K:K,MATCH(Table1[[#This Row],[Milieuprofiel]],'3. Kengetallen (DC-uitdraai)'!D:D,0))),0)</f>
        <v>0</v>
      </c>
      <c r="R110" s="16">
        <f>IFERROR(INDEX('3. Kengetallen (DC-uitdraai)'!V:V,MATCH(Table1[[#This Row],[Milieuprofiel]],'3. Kengetallen (DC-uitdraai)'!D:D,0))*Table1[[#This Row],[Hvd]]*(1+INDEX('3. Kengetallen (DC-uitdraai)'!K:K,MATCH(Table1[[#This Row],[Milieuprofiel]],'3. Kengetallen (DC-uitdraai)'!D:D,0))),0)</f>
        <v>155.67628406713436</v>
      </c>
      <c r="S110" s="16">
        <f>IFERROR(INDEX('3. Kengetallen (DC-uitdraai)'!W:W,MATCH(Table1[[#This Row],[Milieuprofiel]],'3. Kengetallen (DC-uitdraai)'!D:D,0))*Table1[[#This Row],[Hvd]]*(1+INDEX('3. Kengetallen (DC-uitdraai)'!K:K,MATCH(Table1[[#This Row],[Milieuprofiel]],'3. Kengetallen (DC-uitdraai)'!D:D,0))),0)</f>
        <v>0</v>
      </c>
      <c r="T110" s="16">
        <f>IFERROR(INDEX('3. Kengetallen (DC-uitdraai)'!X:X,MATCH(Table1[[#This Row],[Milieuprofiel]],'3. Kengetallen (DC-uitdraai)'!D:D,0))*Table1[[#This Row],[Hvd]]*(1+INDEX('3. Kengetallen (DC-uitdraai)'!K:K,MATCH(Table1[[#This Row],[Milieuprofiel]],'3. Kengetallen (DC-uitdraai)'!D:D,0))),0)</f>
        <v>0</v>
      </c>
      <c r="U110" s="16"/>
      <c r="V110" s="16"/>
      <c r="W110" s="16"/>
      <c r="X110" s="108">
        <f>IFERROR(INDEX('Eigen database'!P:P,MATCH(Table1[[#This Row],[Potentieel alternatief]],'Eigen database'!D:D,0))*Table1[[#This Row],[Hoeveelheid]]*(1+INDEX('Eigen database'!K:K,MATCH(Table1[[#This Row],[Potentieel alternatief]],'Eigen database'!D:D,0))),0)</f>
        <v>0</v>
      </c>
      <c r="Y110" s="16">
        <f>IF(Table1[[#This Row],[MKI A-D nieuw]]=0,Table1[[#This Row],[MKI A-D]],Table1[[#This Row],[MKI A-D nieuw]])</f>
        <v>202.37917114308058</v>
      </c>
      <c r="Z110" s="16"/>
      <c r="AA110" s="28">
        <f>IFERROR(INDEX('3. Kengetallen (DC-uitdraai)'!AM:AM,MATCH(Table1[[#This Row],[Milieuprofiel]],'3. Kengetallen (DC-uitdraai)'!C:C,0)),0)*Table1[[#This Row],[Hvd]]</f>
        <v>0</v>
      </c>
      <c r="AB110" s="28">
        <f>IFERROR(INDEX('3. Kengetallen (DC-uitdraai)'!AM:AM,MATCH(Table1[[#This Row],[Potentieel alternatief]],'3. Kengetallen (DC-uitdraai)'!C:C,0)),0)*Table1[[#This Row],[Hvd]]</f>
        <v>0</v>
      </c>
    </row>
    <row r="111" spans="1:28">
      <c r="A111" s="89" t="s">
        <v>332</v>
      </c>
      <c r="B111" s="89" t="s">
        <v>310</v>
      </c>
      <c r="C111" s="42" t="s">
        <v>216</v>
      </c>
      <c r="D111" s="42" t="s">
        <v>333</v>
      </c>
      <c r="E111" t="s">
        <v>312</v>
      </c>
      <c r="F111" t="s">
        <v>318</v>
      </c>
      <c r="H111" t="str">
        <f>IFERROR(INDEX('3. Kengetallen (DC-uitdraai)'!F:F,MATCH(Table1[[#This Row],[Milieuprofiel]],'3. Kengetallen (DC-uitdraai)'!D:D,0)),"")</f>
        <v>Cat.3 (30%)</v>
      </c>
      <c r="I111" s="26">
        <v>120</v>
      </c>
      <c r="J111" t="s">
        <v>93</v>
      </c>
      <c r="K111" t="str">
        <f>IF(ISTEXT(Table1[[#This Row],[Milieuprofiel]]),"Ja","Nee")</f>
        <v>Ja</v>
      </c>
      <c r="L111" s="27">
        <v>0.64</v>
      </c>
      <c r="M111" s="26">
        <f>Table1[[#This Row],[Volume]]*Table1[[#This Row],[Factor]]</f>
        <v>76.8</v>
      </c>
      <c r="N111" t="str">
        <f>IFERROR(INDEX('3. Kengetallen (DC-uitdraai)'!H:H,MATCH(Table1[[#This Row],[Milieuprofiel]],'3. Kengetallen (DC-uitdraai)'!D:D,0)),"")</f>
        <v>m1</v>
      </c>
      <c r="O111">
        <f>IFERROR(INDEX('3. Kengetallen (DC-uitdraai)'!I:I,MATCH(Table1[[#This Row],[Milieuprofiel]],'3. Kengetallen (DC-uitdraai)'!D:D,0)),0)</f>
        <v>75</v>
      </c>
      <c r="P111" s="106">
        <f>IFERROR(INDEX('3. Kengetallen (DC-uitdraai)'!P:P,MATCH(Table1[[#This Row],[Milieuprofiel]],'3. Kengetallen (DC-uitdraai)'!D:D,0))*Table1[[#This Row],[Hvd]]*(1+INDEX('3. Kengetallen (DC-uitdraai)'!K:K,MATCH(Table1[[#This Row],[Milieuprofiel]],'3. Kengetallen (DC-uitdraai)'!D:D,0))),0)</f>
        <v>18.180165094070627</v>
      </c>
      <c r="Q111" s="16">
        <f>IFERROR(INDEX('3. Kengetallen (DC-uitdraai)'!U:U,MATCH(Table1[[#This Row],[Milieuprofiel]],'3. Kengetallen (DC-uitdraai)'!D:D,0))*Table1[[#This Row],[Hvd]]*(1+INDEX('3. Kengetallen (DC-uitdraai)'!K:K,MATCH(Table1[[#This Row],[Milieuprofiel]],'3. Kengetallen (DC-uitdraai)'!D:D,0))),0)</f>
        <v>18.114885143945592</v>
      </c>
      <c r="R111" s="16">
        <f>IFERROR(INDEX('3. Kengetallen (DC-uitdraai)'!V:V,MATCH(Table1[[#This Row],[Milieuprofiel]],'3. Kengetallen (DC-uitdraai)'!D:D,0))*Table1[[#This Row],[Hvd]]*(1+INDEX('3. Kengetallen (DC-uitdraai)'!K:K,MATCH(Table1[[#This Row],[Milieuprofiel]],'3. Kengetallen (DC-uitdraai)'!D:D,0))),0)</f>
        <v>0.62039372340157461</v>
      </c>
      <c r="S111" s="16">
        <f>IFERROR(INDEX('3. Kengetallen (DC-uitdraai)'!W:W,MATCH(Table1[[#This Row],[Milieuprofiel]],'3. Kengetallen (DC-uitdraai)'!D:D,0))*Table1[[#This Row],[Hvd]]*(1+INDEX('3. Kengetallen (DC-uitdraai)'!K:K,MATCH(Table1[[#This Row],[Milieuprofiel]],'3. Kengetallen (DC-uitdraai)'!D:D,0))),0)</f>
        <v>0</v>
      </c>
      <c r="T111" s="16">
        <f>IFERROR(INDEX('3. Kengetallen (DC-uitdraai)'!X:X,MATCH(Table1[[#This Row],[Milieuprofiel]],'3. Kengetallen (DC-uitdraai)'!D:D,0))*Table1[[#This Row],[Hvd]]*(1+INDEX('3. Kengetallen (DC-uitdraai)'!K:K,MATCH(Table1[[#This Row],[Milieuprofiel]],'3. Kengetallen (DC-uitdraai)'!D:D,0))),0)</f>
        <v>-6.1953122912039476</v>
      </c>
      <c r="U111" s="16"/>
      <c r="V111" s="16"/>
      <c r="W111" s="16"/>
      <c r="X111" s="108">
        <f>IFERROR(INDEX('Eigen database'!P:P,MATCH(Table1[[#This Row],[Potentieel alternatief]],'Eigen database'!D:D,0))*Table1[[#This Row],[Hoeveelheid]]*(1+INDEX('Eigen database'!K:K,MATCH(Table1[[#This Row],[Potentieel alternatief]],'Eigen database'!D:D,0))),0)</f>
        <v>0</v>
      </c>
      <c r="Y111" s="16">
        <f>IF(Table1[[#This Row],[MKI A-D nieuw]]=0,Table1[[#This Row],[MKI A-D]],Table1[[#This Row],[MKI A-D nieuw]])</f>
        <v>18.180165094070627</v>
      </c>
      <c r="Z111" s="16"/>
      <c r="AA111" s="28">
        <f>IFERROR(INDEX('3. Kengetallen (DC-uitdraai)'!AM:AM,MATCH(Table1[[#This Row],[Milieuprofiel]],'3. Kengetallen (DC-uitdraai)'!C:C,0)),0)*Table1[[#This Row],[Hvd]]</f>
        <v>0</v>
      </c>
      <c r="AB111" s="28">
        <f>IFERROR(INDEX('3. Kengetallen (DC-uitdraai)'!AM:AM,MATCH(Table1[[#This Row],[Potentieel alternatief]],'3. Kengetallen (DC-uitdraai)'!C:C,0)),0)*Table1[[#This Row],[Hvd]]</f>
        <v>0</v>
      </c>
    </row>
    <row r="112" spans="1:28">
      <c r="A112" s="89" t="s">
        <v>334</v>
      </c>
      <c r="B112" s="89" t="s">
        <v>315</v>
      </c>
      <c r="C112" s="42" t="s">
        <v>216</v>
      </c>
      <c r="D112" s="42" t="s">
        <v>333</v>
      </c>
      <c r="E112" t="s">
        <v>316</v>
      </c>
      <c r="F112" t="s">
        <v>308</v>
      </c>
      <c r="H112" t="str">
        <f>IFERROR(INDEX('3. Kengetallen (DC-uitdraai)'!F:F,MATCH(Table1[[#This Row],[Milieuprofiel]],'3. Kengetallen (DC-uitdraai)'!D:D,0)),"")</f>
        <v>Cat.3 (30%)</v>
      </c>
      <c r="I112" s="26">
        <v>120</v>
      </c>
      <c r="J112" t="s">
        <v>93</v>
      </c>
      <c r="K112" t="str">
        <f>IF(ISTEXT(Table1[[#This Row],[Milieuprofiel]]),"Ja","Nee")</f>
        <v>Ja</v>
      </c>
      <c r="L112" s="27">
        <v>1</v>
      </c>
      <c r="M112" s="26">
        <f>Table1[[#This Row],[Volume]]*Table1[[#This Row],[Factor]]</f>
        <v>120</v>
      </c>
      <c r="N112" t="str">
        <f>IFERROR(INDEX('3. Kengetallen (DC-uitdraai)'!H:H,MATCH(Table1[[#This Row],[Milieuprofiel]],'3. Kengetallen (DC-uitdraai)'!D:D,0)),"")</f>
        <v>m1</v>
      </c>
      <c r="O112">
        <f>IFERROR(INDEX('3. Kengetallen (DC-uitdraai)'!I:I,MATCH(Table1[[#This Row],[Milieuprofiel]],'3. Kengetallen (DC-uitdraai)'!D:D,0)),0)</f>
        <v>999</v>
      </c>
      <c r="P112" s="106">
        <f>IFERROR(INDEX('3. Kengetallen (DC-uitdraai)'!P:P,MATCH(Table1[[#This Row],[Milieuprofiel]],'3. Kengetallen (DC-uitdraai)'!D:D,0))*Table1[[#This Row],[Hvd]]*(1+INDEX('3. Kengetallen (DC-uitdraai)'!K:K,MATCH(Table1[[#This Row],[Milieuprofiel]],'3. Kengetallen (DC-uitdraai)'!D:D,0))),0)</f>
        <v>809.51668457232233</v>
      </c>
      <c r="Q112" s="16">
        <f>IFERROR(INDEX('3. Kengetallen (DC-uitdraai)'!U:U,MATCH(Table1[[#This Row],[Milieuprofiel]],'3. Kengetallen (DC-uitdraai)'!D:D,0))*Table1[[#This Row],[Hvd]]*(1+INDEX('3. Kengetallen (DC-uitdraai)'!K:K,MATCH(Table1[[#This Row],[Milieuprofiel]],'3. Kengetallen (DC-uitdraai)'!D:D,0))),0)</f>
        <v>0</v>
      </c>
      <c r="R112" s="16">
        <f>IFERROR(INDEX('3. Kengetallen (DC-uitdraai)'!V:V,MATCH(Table1[[#This Row],[Milieuprofiel]],'3. Kengetallen (DC-uitdraai)'!D:D,0))*Table1[[#This Row],[Hvd]]*(1+INDEX('3. Kengetallen (DC-uitdraai)'!K:K,MATCH(Table1[[#This Row],[Milieuprofiel]],'3. Kengetallen (DC-uitdraai)'!D:D,0))),0)</f>
        <v>622.70513626853744</v>
      </c>
      <c r="S112" s="16">
        <f>IFERROR(INDEX('3. Kengetallen (DC-uitdraai)'!W:W,MATCH(Table1[[#This Row],[Milieuprofiel]],'3. Kengetallen (DC-uitdraai)'!D:D,0))*Table1[[#This Row],[Hvd]]*(1+INDEX('3. Kengetallen (DC-uitdraai)'!K:K,MATCH(Table1[[#This Row],[Milieuprofiel]],'3. Kengetallen (DC-uitdraai)'!D:D,0))),0)</f>
        <v>0</v>
      </c>
      <c r="T112" s="16">
        <f>IFERROR(INDEX('3. Kengetallen (DC-uitdraai)'!X:X,MATCH(Table1[[#This Row],[Milieuprofiel]],'3. Kengetallen (DC-uitdraai)'!D:D,0))*Table1[[#This Row],[Hvd]]*(1+INDEX('3. Kengetallen (DC-uitdraai)'!K:K,MATCH(Table1[[#This Row],[Milieuprofiel]],'3. Kengetallen (DC-uitdraai)'!D:D,0))),0)</f>
        <v>0</v>
      </c>
      <c r="U112" s="16"/>
      <c r="V112" s="16"/>
      <c r="W112" s="16"/>
      <c r="X112" s="108">
        <f>IFERROR(INDEX('Eigen database'!P:P,MATCH(Table1[[#This Row],[Potentieel alternatief]],'Eigen database'!D:D,0))*Table1[[#This Row],[Hoeveelheid]]*(1+INDEX('Eigen database'!K:K,MATCH(Table1[[#This Row],[Potentieel alternatief]],'Eigen database'!D:D,0))),0)</f>
        <v>0</v>
      </c>
      <c r="Y112" s="16">
        <f>IF(Table1[[#This Row],[MKI A-D nieuw]]=0,Table1[[#This Row],[MKI A-D]],Table1[[#This Row],[MKI A-D nieuw]])</f>
        <v>809.51668457232233</v>
      </c>
      <c r="Z112" s="16"/>
      <c r="AA112" s="28">
        <f>IFERROR(INDEX('3. Kengetallen (DC-uitdraai)'!AM:AM,MATCH(Table1[[#This Row],[Milieuprofiel]],'3. Kengetallen (DC-uitdraai)'!C:C,0)),0)*Table1[[#This Row],[Hvd]]</f>
        <v>0</v>
      </c>
      <c r="AB112" s="28">
        <f>IFERROR(INDEX('3. Kengetallen (DC-uitdraai)'!AM:AM,MATCH(Table1[[#This Row],[Potentieel alternatief]],'3. Kengetallen (DC-uitdraai)'!C:C,0)),0)*Table1[[#This Row],[Hvd]]</f>
        <v>0</v>
      </c>
    </row>
    <row r="113" spans="1:28">
      <c r="A113" s="89" t="s">
        <v>335</v>
      </c>
      <c r="B113" s="89" t="s">
        <v>310</v>
      </c>
      <c r="C113" s="42" t="s">
        <v>216</v>
      </c>
      <c r="D113" s="42" t="s">
        <v>336</v>
      </c>
      <c r="E113" t="s">
        <v>312</v>
      </c>
      <c r="F113" t="s">
        <v>313</v>
      </c>
      <c r="H113" t="str">
        <f>IFERROR(INDEX('3. Kengetallen (DC-uitdraai)'!F:F,MATCH(Table1[[#This Row],[Milieuprofiel]],'3. Kengetallen (DC-uitdraai)'!D:D,0)),"")</f>
        <v>Cat.3 (30%)</v>
      </c>
      <c r="I113" s="26">
        <v>405</v>
      </c>
      <c r="J113" t="s">
        <v>93</v>
      </c>
      <c r="K113" t="str">
        <f>IF(ISTEXT(Table1[[#This Row],[Milieuprofiel]]),"Ja","Nee")</f>
        <v>Ja</v>
      </c>
      <c r="L113" s="27">
        <v>1</v>
      </c>
      <c r="M113" s="26">
        <f>Table1[[#This Row],[Volume]]*Table1[[#This Row],[Factor]]</f>
        <v>405</v>
      </c>
      <c r="N113" t="str">
        <f>IFERROR(INDEX('3. Kengetallen (DC-uitdraai)'!H:H,MATCH(Table1[[#This Row],[Milieuprofiel]],'3. Kengetallen (DC-uitdraai)'!D:D,0)),"")</f>
        <v>m1</v>
      </c>
      <c r="O113">
        <f>IFERROR(INDEX('3. Kengetallen (DC-uitdraai)'!I:I,MATCH(Table1[[#This Row],[Milieuprofiel]],'3. Kengetallen (DC-uitdraai)'!D:D,0)),0)</f>
        <v>75</v>
      </c>
      <c r="P113" s="106">
        <f>IFERROR(INDEX('3. Kengetallen (DC-uitdraai)'!P:P,MATCH(Table1[[#This Row],[Milieuprofiel]],'3. Kengetallen (DC-uitdraai)'!D:D,0))*Table1[[#This Row],[Hvd]]*(1+INDEX('3. Kengetallen (DC-uitdraai)'!K:K,MATCH(Table1[[#This Row],[Milieuprofiel]],'3. Kengetallen (DC-uitdraai)'!D:D,0))),0)</f>
        <v>52.981903002432745</v>
      </c>
      <c r="Q113" s="16">
        <f>IFERROR(INDEX('3. Kengetallen (DC-uitdraai)'!U:U,MATCH(Table1[[#This Row],[Milieuprofiel]],'3. Kengetallen (DC-uitdraai)'!D:D,0))*Table1[[#This Row],[Hvd]]*(1+INDEX('3. Kengetallen (DC-uitdraai)'!K:K,MATCH(Table1[[#This Row],[Milieuprofiel]],'3. Kengetallen (DC-uitdraai)'!D:D,0))),0)</f>
        <v>51.03535438938011</v>
      </c>
      <c r="R113" s="16">
        <f>IFERROR(INDEX('3. Kengetallen (DC-uitdraai)'!V:V,MATCH(Table1[[#This Row],[Milieuprofiel]],'3. Kengetallen (DC-uitdraai)'!D:D,0))*Table1[[#This Row],[Hvd]]*(1+INDEX('3. Kengetallen (DC-uitdraai)'!K:K,MATCH(Table1[[#This Row],[Milieuprofiel]],'3. Kengetallen (DC-uitdraai)'!D:D,0))),0)</f>
        <v>1.7769339027223257</v>
      </c>
      <c r="S113" s="16">
        <f>IFERROR(INDEX('3. Kengetallen (DC-uitdraai)'!W:W,MATCH(Table1[[#This Row],[Milieuprofiel]],'3. Kengetallen (DC-uitdraai)'!D:D,0))*Table1[[#This Row],[Hvd]]*(1+INDEX('3. Kengetallen (DC-uitdraai)'!K:K,MATCH(Table1[[#This Row],[Milieuprofiel]],'3. Kengetallen (DC-uitdraai)'!D:D,0))),0)</f>
        <v>0</v>
      </c>
      <c r="T113" s="16">
        <f>IFERROR(INDEX('3. Kengetallen (DC-uitdraai)'!X:X,MATCH(Table1[[#This Row],[Milieuprofiel]],'3. Kengetallen (DC-uitdraai)'!D:D,0))*Table1[[#This Row],[Hvd]]*(1+INDEX('3. Kengetallen (DC-uitdraai)'!K:K,MATCH(Table1[[#This Row],[Milieuprofiel]],'3. Kengetallen (DC-uitdraai)'!D:D,0))),0)</f>
        <v>-16.020220902484539</v>
      </c>
      <c r="U113" s="16"/>
      <c r="V113" s="16"/>
      <c r="W113" s="16"/>
      <c r="X113" s="108">
        <f>IFERROR(INDEX('Eigen database'!P:P,MATCH(Table1[[#This Row],[Potentieel alternatief]],'Eigen database'!D:D,0))*Table1[[#This Row],[Hoeveelheid]]*(1+INDEX('Eigen database'!K:K,MATCH(Table1[[#This Row],[Potentieel alternatief]],'Eigen database'!D:D,0))),0)</f>
        <v>0</v>
      </c>
      <c r="Y113" s="16">
        <f>IF(Table1[[#This Row],[MKI A-D nieuw]]=0,Table1[[#This Row],[MKI A-D]],Table1[[#This Row],[MKI A-D nieuw]])</f>
        <v>52.981903002432745</v>
      </c>
      <c r="Z113" s="16"/>
      <c r="AA113" s="28">
        <f>IFERROR(INDEX('3. Kengetallen (DC-uitdraai)'!AM:AM,MATCH(Table1[[#This Row],[Milieuprofiel]],'3. Kengetallen (DC-uitdraai)'!C:C,0)),0)*Table1[[#This Row],[Hvd]]</f>
        <v>0</v>
      </c>
      <c r="AB113" s="28">
        <f>IFERROR(INDEX('3. Kengetallen (DC-uitdraai)'!AM:AM,MATCH(Table1[[#This Row],[Potentieel alternatief]],'3. Kengetallen (DC-uitdraai)'!C:C,0)),0)*Table1[[#This Row],[Hvd]]</f>
        <v>0</v>
      </c>
    </row>
    <row r="114" spans="1:28">
      <c r="A114" s="89" t="s">
        <v>337</v>
      </c>
      <c r="B114" s="89" t="s">
        <v>315</v>
      </c>
      <c r="C114" s="42" t="s">
        <v>216</v>
      </c>
      <c r="D114" s="42" t="s">
        <v>336</v>
      </c>
      <c r="E114" t="s">
        <v>316</v>
      </c>
      <c r="F114" t="s">
        <v>308</v>
      </c>
      <c r="H114" t="str">
        <f>IFERROR(INDEX('3. Kengetallen (DC-uitdraai)'!F:F,MATCH(Table1[[#This Row],[Milieuprofiel]],'3. Kengetallen (DC-uitdraai)'!D:D,0)),"")</f>
        <v>Cat.3 (30%)</v>
      </c>
      <c r="I114" s="26">
        <v>405</v>
      </c>
      <c r="J114" t="s">
        <v>93</v>
      </c>
      <c r="K114" t="str">
        <f>IF(ISTEXT(Table1[[#This Row],[Milieuprofiel]]),"Ja","Nee")</f>
        <v>Ja</v>
      </c>
      <c r="L114" s="27">
        <v>1</v>
      </c>
      <c r="M114" s="26">
        <f>Table1[[#This Row],[Volume]]*Table1[[#This Row],[Factor]]</f>
        <v>405</v>
      </c>
      <c r="N114" t="str">
        <f>IFERROR(INDEX('3. Kengetallen (DC-uitdraai)'!H:H,MATCH(Table1[[#This Row],[Milieuprofiel]],'3. Kengetallen (DC-uitdraai)'!D:D,0)),"")</f>
        <v>m1</v>
      </c>
      <c r="O114">
        <f>IFERROR(INDEX('3. Kengetallen (DC-uitdraai)'!I:I,MATCH(Table1[[#This Row],[Milieuprofiel]],'3. Kengetallen (DC-uitdraai)'!D:D,0)),0)</f>
        <v>999</v>
      </c>
      <c r="P114" s="106">
        <f>IFERROR(INDEX('3. Kengetallen (DC-uitdraai)'!P:P,MATCH(Table1[[#This Row],[Milieuprofiel]],'3. Kengetallen (DC-uitdraai)'!D:D,0))*Table1[[#This Row],[Hvd]]*(1+INDEX('3. Kengetallen (DC-uitdraai)'!K:K,MATCH(Table1[[#This Row],[Milieuprofiel]],'3. Kengetallen (DC-uitdraai)'!D:D,0))),0)</f>
        <v>2732.1188104315879</v>
      </c>
      <c r="Q114" s="16">
        <f>IFERROR(INDEX('3. Kengetallen (DC-uitdraai)'!U:U,MATCH(Table1[[#This Row],[Milieuprofiel]],'3. Kengetallen (DC-uitdraai)'!D:D,0))*Table1[[#This Row],[Hvd]]*(1+INDEX('3. Kengetallen (DC-uitdraai)'!K:K,MATCH(Table1[[#This Row],[Milieuprofiel]],'3. Kengetallen (DC-uitdraai)'!D:D,0))),0)</f>
        <v>0</v>
      </c>
      <c r="R114" s="16">
        <f>IFERROR(INDEX('3. Kengetallen (DC-uitdraai)'!V:V,MATCH(Table1[[#This Row],[Milieuprofiel]],'3. Kengetallen (DC-uitdraai)'!D:D,0))*Table1[[#This Row],[Hvd]]*(1+INDEX('3. Kengetallen (DC-uitdraai)'!K:K,MATCH(Table1[[#This Row],[Milieuprofiel]],'3. Kengetallen (DC-uitdraai)'!D:D,0))),0)</f>
        <v>2101.629834906314</v>
      </c>
      <c r="S114" s="16">
        <f>IFERROR(INDEX('3. Kengetallen (DC-uitdraai)'!W:W,MATCH(Table1[[#This Row],[Milieuprofiel]],'3. Kengetallen (DC-uitdraai)'!D:D,0))*Table1[[#This Row],[Hvd]]*(1+INDEX('3. Kengetallen (DC-uitdraai)'!K:K,MATCH(Table1[[#This Row],[Milieuprofiel]],'3. Kengetallen (DC-uitdraai)'!D:D,0))),0)</f>
        <v>0</v>
      </c>
      <c r="T114" s="16">
        <f>IFERROR(INDEX('3. Kengetallen (DC-uitdraai)'!X:X,MATCH(Table1[[#This Row],[Milieuprofiel]],'3. Kengetallen (DC-uitdraai)'!D:D,0))*Table1[[#This Row],[Hvd]]*(1+INDEX('3. Kengetallen (DC-uitdraai)'!K:K,MATCH(Table1[[#This Row],[Milieuprofiel]],'3. Kengetallen (DC-uitdraai)'!D:D,0))),0)</f>
        <v>0</v>
      </c>
      <c r="U114" s="16"/>
      <c r="V114" s="16"/>
      <c r="W114" s="16"/>
      <c r="X114" s="108">
        <f>IFERROR(INDEX('Eigen database'!P:P,MATCH(Table1[[#This Row],[Potentieel alternatief]],'Eigen database'!D:D,0))*Table1[[#This Row],[Hoeveelheid]]*(1+INDEX('Eigen database'!K:K,MATCH(Table1[[#This Row],[Potentieel alternatief]],'Eigen database'!D:D,0))),0)</f>
        <v>0</v>
      </c>
      <c r="Y114" s="16">
        <f>IF(Table1[[#This Row],[MKI A-D nieuw]]=0,Table1[[#This Row],[MKI A-D]],Table1[[#This Row],[MKI A-D nieuw]])</f>
        <v>2732.1188104315879</v>
      </c>
      <c r="Z114" s="16"/>
      <c r="AA114" s="28">
        <f>IFERROR(INDEX('3. Kengetallen (DC-uitdraai)'!AM:AM,MATCH(Table1[[#This Row],[Milieuprofiel]],'3. Kengetallen (DC-uitdraai)'!C:C,0)),0)*Table1[[#This Row],[Hvd]]</f>
        <v>0</v>
      </c>
      <c r="AB114" s="28">
        <f>IFERROR(INDEX('3. Kengetallen (DC-uitdraai)'!AM:AM,MATCH(Table1[[#This Row],[Potentieel alternatief]],'3. Kengetallen (DC-uitdraai)'!C:C,0)),0)*Table1[[#This Row],[Hvd]]</f>
        <v>0</v>
      </c>
    </row>
    <row r="115" spans="1:28">
      <c r="A115" s="89" t="s">
        <v>338</v>
      </c>
      <c r="B115" s="89"/>
      <c r="C115" s="42"/>
      <c r="D115" s="42"/>
      <c r="E115" t="s">
        <v>339</v>
      </c>
      <c r="F115" t="s">
        <v>308</v>
      </c>
      <c r="H115" t="str">
        <f>IFERROR(INDEX('3. Kengetallen (DC-uitdraai)'!F:F,MATCH(Table1[[#This Row],[Milieuprofiel]],'3. Kengetallen (DC-uitdraai)'!D:D,0)),"")</f>
        <v>Cat.3 (30%)</v>
      </c>
      <c r="I115" s="26">
        <v>11</v>
      </c>
      <c r="J115" t="s">
        <v>93</v>
      </c>
      <c r="K115" t="str">
        <f>IF(ISTEXT(Table1[[#This Row],[Milieuprofiel]]),"Ja","Nee")</f>
        <v>Ja</v>
      </c>
      <c r="L115" s="27">
        <v>1</v>
      </c>
      <c r="M115" s="26">
        <f>Table1[[#This Row],[Volume]]*Table1[[#This Row],[Factor]]</f>
        <v>11</v>
      </c>
      <c r="N115" t="str">
        <f>IFERROR(INDEX('3. Kengetallen (DC-uitdraai)'!H:H,MATCH(Table1[[#This Row],[Milieuprofiel]],'3. Kengetallen (DC-uitdraai)'!D:D,0)),"")</f>
        <v>m1</v>
      </c>
      <c r="O115">
        <f>IFERROR(INDEX('3. Kengetallen (DC-uitdraai)'!I:I,MATCH(Table1[[#This Row],[Milieuprofiel]],'3. Kengetallen (DC-uitdraai)'!D:D,0)),0)</f>
        <v>999</v>
      </c>
      <c r="P115" s="125">
        <f>IFERROR(INDEX('3. Kengetallen (DC-uitdraai)'!P:P,MATCH(Table1[[#This Row],[Milieuprofiel]],'3. Kengetallen (DC-uitdraai)'!D:D,0))*Table1[[#This Row],[Hvd]]*(1+INDEX('3. Kengetallen (DC-uitdraai)'!K:K,MATCH(Table1[[#This Row],[Milieuprofiel]],'3. Kengetallen (DC-uitdraai)'!D:D,0))),0)</f>
        <v>74.20569608579622</v>
      </c>
      <c r="Q115" s="126">
        <f>IFERROR(INDEX('3. Kengetallen (DC-uitdraai)'!U:U,MATCH(Table1[[#This Row],[Milieuprofiel]],'3. Kengetallen (DC-uitdraai)'!D:D,0))*Table1[[#This Row],[Hvd]]*(1+INDEX('3. Kengetallen (DC-uitdraai)'!K:K,MATCH(Table1[[#This Row],[Milieuprofiel]],'3. Kengetallen (DC-uitdraai)'!D:D,0))),0)</f>
        <v>0</v>
      </c>
      <c r="R115" s="126">
        <f>IFERROR(INDEX('3. Kengetallen (DC-uitdraai)'!V:V,MATCH(Table1[[#This Row],[Milieuprofiel]],'3. Kengetallen (DC-uitdraai)'!D:D,0))*Table1[[#This Row],[Hvd]]*(1+INDEX('3. Kengetallen (DC-uitdraai)'!K:K,MATCH(Table1[[#This Row],[Milieuprofiel]],'3. Kengetallen (DC-uitdraai)'!D:D,0))),0)</f>
        <v>57.081304157949269</v>
      </c>
      <c r="S115" s="126">
        <f>IFERROR(INDEX('3. Kengetallen (DC-uitdraai)'!W:W,MATCH(Table1[[#This Row],[Milieuprofiel]],'3. Kengetallen (DC-uitdraai)'!D:D,0))*Table1[[#This Row],[Hvd]]*(1+INDEX('3. Kengetallen (DC-uitdraai)'!K:K,MATCH(Table1[[#This Row],[Milieuprofiel]],'3. Kengetallen (DC-uitdraai)'!D:D,0))),0)</f>
        <v>0</v>
      </c>
      <c r="T115" s="126">
        <f>IFERROR(INDEX('3. Kengetallen (DC-uitdraai)'!X:X,MATCH(Table1[[#This Row],[Milieuprofiel]],'3. Kengetallen (DC-uitdraai)'!D:D,0))*Table1[[#This Row],[Hvd]]*(1+INDEX('3. Kengetallen (DC-uitdraai)'!K:K,MATCH(Table1[[#This Row],[Milieuprofiel]],'3. Kengetallen (DC-uitdraai)'!D:D,0))),0)</f>
        <v>0</v>
      </c>
      <c r="U115" s="126"/>
      <c r="V115" s="126"/>
      <c r="W115" s="126"/>
      <c r="X115" s="114">
        <f>IFERROR(INDEX('Eigen database'!P:P,MATCH(Table1[[#This Row],[Potentieel alternatief]],'Eigen database'!D:D,0))*Table1[[#This Row],[Hoeveelheid]]*(1+INDEX('Eigen database'!K:K,MATCH(Table1[[#This Row],[Potentieel alternatief]],'Eigen database'!D:D,0))),0)</f>
        <v>0</v>
      </c>
      <c r="Y115" s="126">
        <f>IF(Table1[[#This Row],[MKI A-D nieuw]]=0,Table1[[#This Row],[MKI A-D]],Table1[[#This Row],[MKI A-D nieuw]])</f>
        <v>74.20569608579622</v>
      </c>
      <c r="Z115" s="126"/>
      <c r="AA115" s="127">
        <f>IFERROR(INDEX('3. Kengetallen (DC-uitdraai)'!AM:AM,MATCH(Table1[[#This Row],[Milieuprofiel]],'3. Kengetallen (DC-uitdraai)'!C:C,0)),0)*Table1[[#This Row],[Hvd]]</f>
        <v>0</v>
      </c>
      <c r="AB115" s="127">
        <f>IFERROR(INDEX('3. Kengetallen (DC-uitdraai)'!AM:AM,MATCH(Table1[[#This Row],[Potentieel alternatief]],'3. Kengetallen (DC-uitdraai)'!C:C,0)),0)*Table1[[#This Row],[Hvd]]</f>
        <v>0</v>
      </c>
    </row>
    <row r="116" spans="1:28">
      <c r="A116" s="89" t="s">
        <v>340</v>
      </c>
      <c r="B116" s="89"/>
      <c r="C116" s="42"/>
      <c r="D116" s="42"/>
      <c r="E116" t="s">
        <v>341</v>
      </c>
      <c r="F116" t="s">
        <v>342</v>
      </c>
      <c r="H116" t="str">
        <f>IFERROR(INDEX('3. Kengetallen (DC-uitdraai)'!F:F,MATCH(Table1[[#This Row],[Milieuprofiel]],'3. Kengetallen (DC-uitdraai)'!D:D,0)),"")</f>
        <v>Cat.3 (30%)</v>
      </c>
      <c r="I116" s="104">
        <v>140.4</v>
      </c>
      <c r="J116" t="s">
        <v>118</v>
      </c>
      <c r="K116" t="str">
        <f>IF(ISTEXT(Table1[[#This Row],[Milieuprofiel]]),"Ja","Nee")</f>
        <v>Ja</v>
      </c>
      <c r="L116" s="27">
        <v>1</v>
      </c>
      <c r="M116" s="26">
        <f>Table1[[#This Row],[Volume]]*Table1[[#This Row],[Factor]]</f>
        <v>140.4</v>
      </c>
      <c r="N116" t="str">
        <f>IFERROR(INDEX('3. Kengetallen (DC-uitdraai)'!H:H,MATCH(Table1[[#This Row],[Milieuprofiel]],'3. Kengetallen (DC-uitdraai)'!D:D,0)),"")</f>
        <v>m2</v>
      </c>
      <c r="O116">
        <f>IFERROR(INDEX('3. Kengetallen (DC-uitdraai)'!I:I,MATCH(Table1[[#This Row],[Milieuprofiel]],'3. Kengetallen (DC-uitdraai)'!D:D,0)),0)</f>
        <v>10</v>
      </c>
      <c r="P116" s="125">
        <f>IFERROR(INDEX('3. Kengetallen (DC-uitdraai)'!P:P,MATCH(Table1[[#This Row],[Milieuprofiel]],'3. Kengetallen (DC-uitdraai)'!D:D,0))*Table1[[#This Row],[Hvd]]*(1+INDEX('3. Kengetallen (DC-uitdraai)'!K:K,MATCH(Table1[[#This Row],[Milieuprofiel]],'3. Kengetallen (DC-uitdraai)'!D:D,0))),0)</f>
        <v>1256.4300548464148</v>
      </c>
      <c r="Q116" s="126">
        <f>IFERROR(INDEX('3. Kengetallen (DC-uitdraai)'!U:U,MATCH(Table1[[#This Row],[Milieuprofiel]],'3. Kengetallen (DC-uitdraai)'!D:D,0))*Table1[[#This Row],[Hvd]]*(1+INDEX('3. Kengetallen (DC-uitdraai)'!K:K,MATCH(Table1[[#This Row],[Milieuprofiel]],'3. Kengetallen (DC-uitdraai)'!D:D,0))),0)</f>
        <v>60.580054264397624</v>
      </c>
      <c r="R116" s="126">
        <f>IFERROR(INDEX('3. Kengetallen (DC-uitdraai)'!V:V,MATCH(Table1[[#This Row],[Milieuprofiel]],'3. Kengetallen (DC-uitdraai)'!D:D,0))*Table1[[#This Row],[Hvd]]*(1+INDEX('3. Kengetallen (DC-uitdraai)'!K:K,MATCH(Table1[[#This Row],[Milieuprofiel]],'3. Kengetallen (DC-uitdraai)'!D:D,0))),0)</f>
        <v>89.782307134459316</v>
      </c>
      <c r="S116" s="126">
        <f>IFERROR(INDEX('3. Kengetallen (DC-uitdraai)'!W:W,MATCH(Table1[[#This Row],[Milieuprofiel]],'3. Kengetallen (DC-uitdraai)'!D:D,0))*Table1[[#This Row],[Hvd]]*(1+INDEX('3. Kengetallen (DC-uitdraai)'!K:K,MATCH(Table1[[#This Row],[Milieuprofiel]],'3. Kengetallen (DC-uitdraai)'!D:D,0))),0)</f>
        <v>767.42474552692784</v>
      </c>
      <c r="T116" s="126">
        <f>IFERROR(INDEX('3. Kengetallen (DC-uitdraai)'!X:X,MATCH(Table1[[#This Row],[Milieuprofiel]],'3. Kengetallen (DC-uitdraai)'!D:D,0))*Table1[[#This Row],[Hvd]]*(1+INDEX('3. Kengetallen (DC-uitdraai)'!K:K,MATCH(Table1[[#This Row],[Milieuprofiel]],'3. Kengetallen (DC-uitdraai)'!D:D,0))),0)</f>
        <v>41.493824982875019</v>
      </c>
      <c r="U116" s="126"/>
      <c r="V116" s="126"/>
      <c r="W116" s="126"/>
      <c r="X116" s="114">
        <f>IFERROR(INDEX('Eigen database'!P:P,MATCH(Table1[[#This Row],[Potentieel alternatief]],'Eigen database'!D:D,0))*Table1[[#This Row],[Hoeveelheid]]*(1+INDEX('Eigen database'!K:K,MATCH(Table1[[#This Row],[Potentieel alternatief]],'Eigen database'!D:D,0))),0)</f>
        <v>0</v>
      </c>
      <c r="Y116" s="126">
        <f>IF(Table1[[#This Row],[MKI A-D nieuw]]=0,Table1[[#This Row],[MKI A-D]],Table1[[#This Row],[MKI A-D nieuw]])</f>
        <v>1256.4300548464148</v>
      </c>
      <c r="Z116" s="126"/>
      <c r="AA116" s="127">
        <f>IFERROR(INDEX('3. Kengetallen (DC-uitdraai)'!AM:AM,MATCH(Table1[[#This Row],[Milieuprofiel]],'3. Kengetallen (DC-uitdraai)'!C:C,0)),0)*Table1[[#This Row],[Hvd]]</f>
        <v>0</v>
      </c>
      <c r="AB116" s="127">
        <f>IFERROR(INDEX('3. Kengetallen (DC-uitdraai)'!AM:AM,MATCH(Table1[[#This Row],[Potentieel alternatief]],'3. Kengetallen (DC-uitdraai)'!C:C,0)),0)*Table1[[#This Row],[Hvd]]</f>
        <v>0</v>
      </c>
    </row>
    <row r="117" spans="1:28">
      <c r="A117" s="89" t="s">
        <v>343</v>
      </c>
      <c r="B117" s="89" t="s">
        <v>344</v>
      </c>
      <c r="C117" s="42" t="s">
        <v>216</v>
      </c>
      <c r="D117" s="42" t="s">
        <v>345</v>
      </c>
      <c r="E117" t="s">
        <v>346</v>
      </c>
      <c r="F117" t="s">
        <v>347</v>
      </c>
      <c r="H117" t="str">
        <f>IFERROR(INDEX('3. Kengetallen (DC-uitdraai)'!F:F,MATCH(Table1[[#This Row],[Milieuprofiel]],'3. Kengetallen (DC-uitdraai)'!D:D,0)),"")</f>
        <v>Cat.3 (30%)</v>
      </c>
      <c r="I117" s="26">
        <v>2</v>
      </c>
      <c r="J117" t="s">
        <v>132</v>
      </c>
      <c r="K117" t="str">
        <f>IF(ISTEXT(Table1[[#This Row],[Milieuprofiel]]),"Ja","Nee")</f>
        <v>Ja</v>
      </c>
      <c r="L117" s="27">
        <v>1</v>
      </c>
      <c r="M117" s="26">
        <f>Table1[[#This Row],[Volume]]*Table1[[#This Row],[Factor]]</f>
        <v>2</v>
      </c>
      <c r="N117" t="str">
        <f>IFERROR(INDEX('3. Kengetallen (DC-uitdraai)'!H:H,MATCH(Table1[[#This Row],[Milieuprofiel]],'3. Kengetallen (DC-uitdraai)'!D:D,0)),"")</f>
        <v>p</v>
      </c>
      <c r="O117">
        <f>IFERROR(INDEX('3. Kengetallen (DC-uitdraai)'!I:I,MATCH(Table1[[#This Row],[Milieuprofiel]],'3. Kengetallen (DC-uitdraai)'!D:D,0)),0)</f>
        <v>100</v>
      </c>
      <c r="P117" s="106">
        <f>IFERROR(INDEX('3. Kengetallen (DC-uitdraai)'!P:P,MATCH(Table1[[#This Row],[Milieuprofiel]],'3. Kengetallen (DC-uitdraai)'!D:D,0))*Table1[[#This Row],[Hvd]]*(1+INDEX('3. Kengetallen (DC-uitdraai)'!K:K,MATCH(Table1[[#This Row],[Milieuprofiel]],'3. Kengetallen (DC-uitdraai)'!D:D,0))),0)</f>
        <v>210.67783778909362</v>
      </c>
      <c r="Q117" s="16">
        <f>IFERROR(INDEX('3. Kengetallen (DC-uitdraai)'!U:U,MATCH(Table1[[#This Row],[Milieuprofiel]],'3. Kengetallen (DC-uitdraai)'!D:D,0))*Table1[[#This Row],[Hvd]]*(1+INDEX('3. Kengetallen (DC-uitdraai)'!K:K,MATCH(Table1[[#This Row],[Milieuprofiel]],'3. Kengetallen (DC-uitdraai)'!D:D,0))),0)</f>
        <v>78.339511800445806</v>
      </c>
      <c r="R117" s="16">
        <f>IFERROR(INDEX('3. Kengetallen (DC-uitdraai)'!V:V,MATCH(Table1[[#This Row],[Milieuprofiel]],'3. Kengetallen (DC-uitdraai)'!D:D,0))*Table1[[#This Row],[Hvd]]*(1+INDEX('3. Kengetallen (DC-uitdraai)'!K:K,MATCH(Table1[[#This Row],[Milieuprofiel]],'3. Kengetallen (DC-uitdraai)'!D:D,0))),0)</f>
        <v>64.093038909415043</v>
      </c>
      <c r="S117" s="16">
        <f>IFERROR(INDEX('3. Kengetallen (DC-uitdraai)'!W:W,MATCH(Table1[[#This Row],[Milieuprofiel]],'3. Kengetallen (DC-uitdraai)'!D:D,0))*Table1[[#This Row],[Hvd]]*(1+INDEX('3. Kengetallen (DC-uitdraai)'!K:K,MATCH(Table1[[#This Row],[Milieuprofiel]],'3. Kengetallen (DC-uitdraai)'!D:D,0))),0)</f>
        <v>0</v>
      </c>
      <c r="T117" s="16">
        <f>IFERROR(INDEX('3. Kengetallen (DC-uitdraai)'!X:X,MATCH(Table1[[#This Row],[Milieuprofiel]],'3. Kengetallen (DC-uitdraai)'!D:D,0))*Table1[[#This Row],[Hvd]]*(1+INDEX('3. Kengetallen (DC-uitdraai)'!K:K,MATCH(Table1[[#This Row],[Milieuprofiel]],'3. Kengetallen (DC-uitdraai)'!D:D,0))),0)</f>
        <v>16.173902496405141</v>
      </c>
      <c r="U117" s="16"/>
      <c r="V117" s="16"/>
      <c r="W117" s="16"/>
      <c r="X117" s="108">
        <f>IFERROR(INDEX('Eigen database'!P:P,MATCH(Table1[[#This Row],[Potentieel alternatief]],'Eigen database'!D:D,0))*Table1[[#This Row],[Hoeveelheid]]*(1+INDEX('Eigen database'!K:K,MATCH(Table1[[#This Row],[Potentieel alternatief]],'Eigen database'!D:D,0))),0)</f>
        <v>0</v>
      </c>
      <c r="Y117" s="16">
        <f>IF(Table1[[#This Row],[MKI A-D nieuw]]=0,Table1[[#This Row],[MKI A-D]],Table1[[#This Row],[MKI A-D nieuw]])</f>
        <v>210.67783778909362</v>
      </c>
      <c r="Z117" s="16"/>
      <c r="AA117" s="28">
        <f>IFERROR(INDEX('3. Kengetallen (DC-uitdraai)'!AM:AM,MATCH(Table1[[#This Row],[Milieuprofiel]],'3. Kengetallen (DC-uitdraai)'!C:C,0)),0)*Table1[[#This Row],[Hvd]]</f>
        <v>0</v>
      </c>
      <c r="AB117" s="28">
        <f>IFERROR(INDEX('3. Kengetallen (DC-uitdraai)'!AM:AM,MATCH(Table1[[#This Row],[Potentieel alternatief]],'3. Kengetallen (DC-uitdraai)'!C:C,0)),0)*Table1[[#This Row],[Hvd]]</f>
        <v>0</v>
      </c>
    </row>
    <row r="118" spans="1:28">
      <c r="A118" s="89" t="s">
        <v>348</v>
      </c>
      <c r="B118" s="89"/>
      <c r="C118" s="42"/>
      <c r="D118" s="42"/>
      <c r="E118" t="s">
        <v>349</v>
      </c>
      <c r="F118" t="s">
        <v>350</v>
      </c>
      <c r="H118" t="str">
        <f>IFERROR(INDEX('3. Kengetallen (DC-uitdraai)'!F:F,MATCH(Table1[[#This Row],[Milieuprofiel]],'3. Kengetallen (DC-uitdraai)'!D:D,0)),"")</f>
        <v>Cat.3 (30%)</v>
      </c>
      <c r="I118" s="26">
        <v>4</v>
      </c>
      <c r="J118" t="s">
        <v>132</v>
      </c>
      <c r="K118" t="str">
        <f>IF(ISTEXT(Table1[[#This Row],[Milieuprofiel]]),"Ja","Nee")</f>
        <v>Ja</v>
      </c>
      <c r="L118" s="27">
        <v>1</v>
      </c>
      <c r="M118" s="26">
        <f>Table1[[#This Row],[Volume]]*Table1[[#This Row],[Factor]]</f>
        <v>4</v>
      </c>
      <c r="N118" t="str">
        <f>IFERROR(INDEX('3. Kengetallen (DC-uitdraai)'!H:H,MATCH(Table1[[#This Row],[Milieuprofiel]],'3. Kengetallen (DC-uitdraai)'!D:D,0)),"")</f>
        <v>p</v>
      </c>
      <c r="O118">
        <f>IFERROR(INDEX('3. Kengetallen (DC-uitdraai)'!I:I,MATCH(Table1[[#This Row],[Milieuprofiel]],'3. Kengetallen (DC-uitdraai)'!D:D,0)),0)</f>
        <v>12</v>
      </c>
      <c r="P118" s="125">
        <f>IFERROR(INDEX('3. Kengetallen (DC-uitdraai)'!P:P,MATCH(Table1[[#This Row],[Milieuprofiel]],'3. Kengetallen (DC-uitdraai)'!D:D,0))*Table1[[#This Row],[Hvd]]*(1+INDEX('3. Kengetallen (DC-uitdraai)'!K:K,MATCH(Table1[[#This Row],[Milieuprofiel]],'3. Kengetallen (DC-uitdraai)'!D:D,0))),0)</f>
        <v>755.24686598875462</v>
      </c>
      <c r="Q118" s="126">
        <f>IFERROR(INDEX('3. Kengetallen (DC-uitdraai)'!U:U,MATCH(Table1[[#This Row],[Milieuprofiel]],'3. Kengetallen (DC-uitdraai)'!D:D,0))*Table1[[#This Row],[Hvd]]*(1+INDEX('3. Kengetallen (DC-uitdraai)'!K:K,MATCH(Table1[[#This Row],[Milieuprofiel]],'3. Kengetallen (DC-uitdraai)'!D:D,0))),0)</f>
        <v>172.36997553361951</v>
      </c>
      <c r="R118" s="126">
        <f>IFERROR(INDEX('3. Kengetallen (DC-uitdraai)'!V:V,MATCH(Table1[[#This Row],[Milieuprofiel]],'3. Kengetallen (DC-uitdraai)'!D:D,0))*Table1[[#This Row],[Hvd]]*(1+INDEX('3. Kengetallen (DC-uitdraai)'!K:K,MATCH(Table1[[#This Row],[Milieuprofiel]],'3. Kengetallen (DC-uitdraai)'!D:D,0))),0)</f>
        <v>6.2401498685090555</v>
      </c>
      <c r="S118" s="126">
        <f>IFERROR(INDEX('3. Kengetallen (DC-uitdraai)'!W:W,MATCH(Table1[[#This Row],[Milieuprofiel]],'3. Kengetallen (DC-uitdraai)'!D:D,0))*Table1[[#This Row],[Hvd]]*(1+INDEX('3. Kengetallen (DC-uitdraai)'!K:K,MATCH(Table1[[#This Row],[Milieuprofiel]],'3. Kengetallen (DC-uitdraai)'!D:D,0))),0)</f>
        <v>404.07042839328835</v>
      </c>
      <c r="T118" s="126">
        <f>IFERROR(INDEX('3. Kengetallen (DC-uitdraai)'!X:X,MATCH(Table1[[#This Row],[Milieuprofiel]],'3. Kengetallen (DC-uitdraai)'!D:D,0))*Table1[[#This Row],[Hvd]]*(1+INDEX('3. Kengetallen (DC-uitdraai)'!K:K,MATCH(Table1[[#This Row],[Milieuprofiel]],'3. Kengetallen (DC-uitdraai)'!D:D,0))),0)</f>
        <v>-54.65944406740595</v>
      </c>
      <c r="U118" s="126"/>
      <c r="V118" s="126"/>
      <c r="W118" s="126"/>
      <c r="X118" s="114">
        <f>IFERROR(INDEX('Eigen database'!P:P,MATCH(Table1[[#This Row],[Potentieel alternatief]],'Eigen database'!D:D,0))*Table1[[#This Row],[Hoeveelheid]]*(1+INDEX('Eigen database'!K:K,MATCH(Table1[[#This Row],[Potentieel alternatief]],'Eigen database'!D:D,0))),0)</f>
        <v>0</v>
      </c>
      <c r="Y118" s="126">
        <f>IF(Table1[[#This Row],[MKI A-D nieuw]]=0,Table1[[#This Row],[MKI A-D]],Table1[[#This Row],[MKI A-D nieuw]])</f>
        <v>755.24686598875462</v>
      </c>
      <c r="Z118" s="126"/>
      <c r="AA118" s="127">
        <f>IFERROR(INDEX('3. Kengetallen (DC-uitdraai)'!AM:AM,MATCH(Table1[[#This Row],[Milieuprofiel]],'3. Kengetallen (DC-uitdraai)'!C:C,0)),0)*Table1[[#This Row],[Hvd]]</f>
        <v>0</v>
      </c>
      <c r="AB118" s="127">
        <f>IFERROR(INDEX('3. Kengetallen (DC-uitdraai)'!AM:AM,MATCH(Table1[[#This Row],[Potentieel alternatief]],'3. Kengetallen (DC-uitdraai)'!C:C,0)),0)*Table1[[#This Row],[Hvd]]</f>
        <v>0</v>
      </c>
    </row>
    <row r="119" spans="1:28">
      <c r="A119" s="89" t="s">
        <v>351</v>
      </c>
      <c r="B119" s="89" t="s">
        <v>352</v>
      </c>
      <c r="C119" s="42" t="s">
        <v>353</v>
      </c>
      <c r="D119" s="42" t="s">
        <v>354</v>
      </c>
      <c r="E119" t="s">
        <v>355</v>
      </c>
      <c r="F119" t="s">
        <v>210</v>
      </c>
      <c r="H119" t="str">
        <f>IFERROR(INDEX('3. Kengetallen (DC-uitdraai)'!F:F,MATCH(Table1[[#This Row],[Milieuprofiel]],'3. Kengetallen (DC-uitdraai)'!D:D,0)),"")</f>
        <v>Cat.3 (30%)</v>
      </c>
      <c r="I119" s="129">
        <v>8700</v>
      </c>
      <c r="J119" t="s">
        <v>118</v>
      </c>
      <c r="K119" t="str">
        <f>IF(ISTEXT(Table1[[#This Row],[Milieuprofiel]]),"Ja","Nee")</f>
        <v>Ja</v>
      </c>
      <c r="L119" s="27">
        <v>1</v>
      </c>
      <c r="M119" s="26">
        <f>Table1[[#This Row],[Volume]]*Table1[[#This Row],[Factor]]</f>
        <v>8700</v>
      </c>
      <c r="N119" t="str">
        <f>IFERROR(INDEX('3. Kengetallen (DC-uitdraai)'!H:H,MATCH(Table1[[#This Row],[Milieuprofiel]],'3. Kengetallen (DC-uitdraai)'!D:D,0)),"")</f>
        <v>m2</v>
      </c>
      <c r="O119">
        <f>IFERROR(INDEX('3. Kengetallen (DC-uitdraai)'!I:I,MATCH(Table1[[#This Row],[Milieuprofiel]],'3. Kengetallen (DC-uitdraai)'!D:D,0)),0)</f>
        <v>999</v>
      </c>
      <c r="P119" s="106">
        <f>IFERROR(INDEX('3. Kengetallen (DC-uitdraai)'!P:P,MATCH(Table1[[#This Row],[Milieuprofiel]],'3. Kengetallen (DC-uitdraai)'!D:D,0))*Table1[[#This Row],[Hvd]]*(1+INDEX('3. Kengetallen (DC-uitdraai)'!K:K,MATCH(Table1[[#This Row],[Milieuprofiel]],'3. Kengetallen (DC-uitdraai)'!D:D,0))),0)</f>
        <v>9701.7860159371485</v>
      </c>
      <c r="Q119" s="16">
        <f>IFERROR(INDEX('3. Kengetallen (DC-uitdraai)'!U:U,MATCH(Table1[[#This Row],[Milieuprofiel]],'3. Kengetallen (DC-uitdraai)'!D:D,0))*Table1[[#This Row],[Hvd]]*(1+INDEX('3. Kengetallen (DC-uitdraai)'!K:K,MATCH(Table1[[#This Row],[Milieuprofiel]],'3. Kengetallen (DC-uitdraai)'!D:D,0))),0)</f>
        <v>5334.148208110877</v>
      </c>
      <c r="R119" s="16">
        <f>IFERROR(INDEX('3. Kengetallen (DC-uitdraai)'!V:V,MATCH(Table1[[#This Row],[Milieuprofiel]],'3. Kengetallen (DC-uitdraai)'!D:D,0))*Table1[[#This Row],[Hvd]]*(1+INDEX('3. Kengetallen (DC-uitdraai)'!K:K,MATCH(Table1[[#This Row],[Milieuprofiel]],'3. Kengetallen (DC-uitdraai)'!D:D,0))),0)</f>
        <v>1965.7566947470696</v>
      </c>
      <c r="S119" s="16">
        <f>IFERROR(INDEX('3. Kengetallen (DC-uitdraai)'!W:W,MATCH(Table1[[#This Row],[Milieuprofiel]],'3. Kengetallen (DC-uitdraai)'!D:D,0))*Table1[[#This Row],[Hvd]]*(1+INDEX('3. Kengetallen (DC-uitdraai)'!K:K,MATCH(Table1[[#This Row],[Milieuprofiel]],'3. Kengetallen (DC-uitdraai)'!D:D,0))),0)</f>
        <v>0</v>
      </c>
      <c r="T119" s="16">
        <f>IFERROR(INDEX('3. Kengetallen (DC-uitdraai)'!X:X,MATCH(Table1[[#This Row],[Milieuprofiel]],'3. Kengetallen (DC-uitdraai)'!D:D,0))*Table1[[#This Row],[Hvd]]*(1+INDEX('3. Kengetallen (DC-uitdraai)'!K:K,MATCH(Table1[[#This Row],[Milieuprofiel]],'3. Kengetallen (DC-uitdraai)'!D:D,0))),0)</f>
        <v>-282.77326045437957</v>
      </c>
      <c r="U119" s="16"/>
      <c r="V119" s="16"/>
      <c r="W119" s="16"/>
      <c r="X119" s="108">
        <f>IFERROR(INDEX('Eigen database'!P:P,MATCH(Table1[[#This Row],[Potentieel alternatief]],'Eigen database'!D:D,0))*Table1[[#This Row],[Hoeveelheid]]*(1+INDEX('Eigen database'!K:K,MATCH(Table1[[#This Row],[Potentieel alternatief]],'Eigen database'!D:D,0))),0)</f>
        <v>0</v>
      </c>
      <c r="Y119" s="16">
        <f>IF(Table1[[#This Row],[MKI A-D nieuw]]=0,Table1[[#This Row],[MKI A-D]],Table1[[#This Row],[MKI A-D nieuw]])</f>
        <v>9701.7860159371485</v>
      </c>
      <c r="Z119" s="16"/>
      <c r="AA119" s="28">
        <f>IFERROR(INDEX('3. Kengetallen (DC-uitdraai)'!AM:AM,MATCH(Table1[[#This Row],[Milieuprofiel]],'3. Kengetallen (DC-uitdraai)'!C:C,0)),0)*Table1[[#This Row],[Hvd]]</f>
        <v>0</v>
      </c>
      <c r="AB119" s="28">
        <f>IFERROR(INDEX('3. Kengetallen (DC-uitdraai)'!AM:AM,MATCH(Table1[[#This Row],[Potentieel alternatief]],'3. Kengetallen (DC-uitdraai)'!C:C,0)),0)*Table1[[#This Row],[Hvd]]</f>
        <v>0</v>
      </c>
    </row>
    <row r="120" spans="1:28">
      <c r="A120" s="89" t="s">
        <v>356</v>
      </c>
      <c r="B120" s="89" t="s">
        <v>357</v>
      </c>
      <c r="C120" s="42" t="s">
        <v>353</v>
      </c>
      <c r="D120" s="42" t="s">
        <v>354</v>
      </c>
      <c r="E120" t="s">
        <v>358</v>
      </c>
      <c r="F120" t="s">
        <v>359</v>
      </c>
      <c r="H120" t="str">
        <f>IFERROR(INDEX('3. Kengetallen (DC-uitdraai)'!F:F,MATCH(Table1[[#This Row],[Milieuprofiel]],'3. Kengetallen (DC-uitdraai)'!D:D,0)),"")</f>
        <v>Cat.3 (30%)</v>
      </c>
      <c r="I120" s="129">
        <v>2380</v>
      </c>
      <c r="J120" t="s">
        <v>118</v>
      </c>
      <c r="K120" t="str">
        <f>IF(ISTEXT(Table1[[#This Row],[Milieuprofiel]]),"Ja","Nee")</f>
        <v>Ja</v>
      </c>
      <c r="L120" s="43">
        <f>50/1000</f>
        <v>0.05</v>
      </c>
      <c r="M120" s="26">
        <f>Table1[[#This Row],[Volume]]*Table1[[#This Row],[Factor]]</f>
        <v>119</v>
      </c>
      <c r="N120" t="str">
        <f>IFERROR(INDEX('3. Kengetallen (DC-uitdraai)'!H:H,MATCH(Table1[[#This Row],[Milieuprofiel]],'3. Kengetallen (DC-uitdraai)'!D:D,0)),"")</f>
        <v>m3</v>
      </c>
      <c r="O120">
        <f>IFERROR(INDEX('3. Kengetallen (DC-uitdraai)'!I:I,MATCH(Table1[[#This Row],[Milieuprofiel]],'3. Kengetallen (DC-uitdraai)'!D:D,0)),0)</f>
        <v>100</v>
      </c>
      <c r="P120" s="106">
        <f>IFERROR(INDEX('3. Kengetallen (DC-uitdraai)'!P:P,MATCH(Table1[[#This Row],[Milieuprofiel]],'3. Kengetallen (DC-uitdraai)'!D:D,0))*Table1[[#This Row],[Hvd]]*(1+INDEX('3. Kengetallen (DC-uitdraai)'!K:K,MATCH(Table1[[#This Row],[Milieuprofiel]],'3. Kengetallen (DC-uitdraai)'!D:D,0))),0)</f>
        <v>1620.4823983907891</v>
      </c>
      <c r="Q120" s="16">
        <f>IFERROR(INDEX('3. Kengetallen (DC-uitdraai)'!U:U,MATCH(Table1[[#This Row],[Milieuprofiel]],'3. Kengetallen (DC-uitdraai)'!D:D,0))*Table1[[#This Row],[Hvd]]*(1+INDEX('3. Kengetallen (DC-uitdraai)'!K:K,MATCH(Table1[[#This Row],[Milieuprofiel]],'3. Kengetallen (DC-uitdraai)'!D:D,0))),0)</f>
        <v>300.32511828249437</v>
      </c>
      <c r="R120" s="16">
        <f>IFERROR(INDEX('3. Kengetallen (DC-uitdraai)'!V:V,MATCH(Table1[[#This Row],[Milieuprofiel]],'3. Kengetallen (DC-uitdraai)'!D:D,0))*Table1[[#This Row],[Hvd]]*(1+INDEX('3. Kengetallen (DC-uitdraai)'!K:K,MATCH(Table1[[#This Row],[Milieuprofiel]],'3. Kengetallen (DC-uitdraai)'!D:D,0))),0)</f>
        <v>512.53948897927069</v>
      </c>
      <c r="S120" s="16">
        <f>IFERROR(INDEX('3. Kengetallen (DC-uitdraai)'!W:W,MATCH(Table1[[#This Row],[Milieuprofiel]],'3. Kengetallen (DC-uitdraai)'!D:D,0))*Table1[[#This Row],[Hvd]]*(1+INDEX('3. Kengetallen (DC-uitdraai)'!K:K,MATCH(Table1[[#This Row],[Milieuprofiel]],'3. Kengetallen (DC-uitdraai)'!D:D,0))),0)</f>
        <v>0</v>
      </c>
      <c r="T120" s="16">
        <f>IFERROR(INDEX('3. Kengetallen (DC-uitdraai)'!X:X,MATCH(Table1[[#This Row],[Milieuprofiel]],'3. Kengetallen (DC-uitdraai)'!D:D,0))*Table1[[#This Row],[Hvd]]*(1+INDEX('3. Kengetallen (DC-uitdraai)'!K:K,MATCH(Table1[[#This Row],[Milieuprofiel]],'3. Kengetallen (DC-uitdraai)'!D:D,0))),0)</f>
        <v>409.29282247720084</v>
      </c>
      <c r="U120" s="16"/>
      <c r="V120" s="16"/>
      <c r="W120" s="16"/>
      <c r="X120" s="108">
        <f>IFERROR(INDEX('Eigen database'!P:P,MATCH(Table1[[#This Row],[Potentieel alternatief]],'Eigen database'!D:D,0))*Table1[[#This Row],[Hoeveelheid]]*(1+INDEX('Eigen database'!K:K,MATCH(Table1[[#This Row],[Potentieel alternatief]],'Eigen database'!D:D,0))),0)</f>
        <v>0</v>
      </c>
      <c r="Y120" s="16">
        <f>IF(Table1[[#This Row],[MKI A-D nieuw]]=0,Table1[[#This Row],[MKI A-D]],Table1[[#This Row],[MKI A-D nieuw]])</f>
        <v>1620.4823983907891</v>
      </c>
      <c r="Z120" s="16"/>
      <c r="AA120" s="28">
        <f>IFERROR(INDEX('3. Kengetallen (DC-uitdraai)'!AM:AM,MATCH(Table1[[#This Row],[Milieuprofiel]],'3. Kengetallen (DC-uitdraai)'!C:C,0)),0)*Table1[[#This Row],[Hvd]]</f>
        <v>0</v>
      </c>
      <c r="AB120" s="28">
        <f>IFERROR(INDEX('3. Kengetallen (DC-uitdraai)'!AM:AM,MATCH(Table1[[#This Row],[Potentieel alternatief]],'3. Kengetallen (DC-uitdraai)'!C:C,0)),0)*Table1[[#This Row],[Hvd]]</f>
        <v>0</v>
      </c>
    </row>
    <row r="121" spans="1:28">
      <c r="A121" s="89" t="s">
        <v>360</v>
      </c>
      <c r="B121" s="89"/>
      <c r="C121" s="42"/>
      <c r="D121" s="42"/>
      <c r="E121" t="s">
        <v>361</v>
      </c>
      <c r="F121" t="s">
        <v>150</v>
      </c>
      <c r="G121" t="s">
        <v>151</v>
      </c>
      <c r="H121" t="str">
        <f>IFERROR(INDEX('3. Kengetallen (DC-uitdraai)'!F:F,MATCH(Table1[[#This Row],[Milieuprofiel]],'3. Kengetallen (DC-uitdraai)'!D:D,0)),"")</f>
        <v>Cat.3 (30%)</v>
      </c>
      <c r="I121" s="26">
        <v>4280</v>
      </c>
      <c r="J121" t="s">
        <v>118</v>
      </c>
      <c r="K121" t="str">
        <f>IF(ISTEXT(Table1[[#This Row],[Milieuprofiel]]),"Ja","Nee")</f>
        <v>Ja</v>
      </c>
      <c r="L121" s="27">
        <v>6.0000000000000001E-3</v>
      </c>
      <c r="M121" s="26">
        <f>Table1[[#This Row],[Volume]]*Table1[[#This Row],[Factor]]</f>
        <v>25.68</v>
      </c>
      <c r="N121" t="str">
        <f>IFERROR(INDEX('3. Kengetallen (DC-uitdraai)'!H:H,MATCH(Table1[[#This Row],[Milieuprofiel]],'3. Kengetallen (DC-uitdraai)'!D:D,0)),"")</f>
        <v>uur</v>
      </c>
      <c r="O121">
        <f>IFERROR(INDEX('3. Kengetallen (DC-uitdraai)'!I:I,MATCH(Table1[[#This Row],[Milieuprofiel]],'3. Kengetallen (DC-uitdraai)'!D:D,0)),0)</f>
        <v>999</v>
      </c>
      <c r="P121" s="125">
        <f>IFERROR(INDEX('3. Kengetallen (DC-uitdraai)'!P:P,MATCH(Table1[[#This Row],[Milieuprofiel]],'3. Kengetallen (DC-uitdraai)'!D:D,0))*Table1[[#This Row],[Hvd]]*(1+INDEX('3. Kengetallen (DC-uitdraai)'!K:K,MATCH(Table1[[#This Row],[Milieuprofiel]],'3. Kengetallen (DC-uitdraai)'!D:D,0))),0)</f>
        <v>122.44850973694963</v>
      </c>
      <c r="Q121" s="126">
        <f>IFERROR(INDEX('3. Kengetallen (DC-uitdraai)'!U:U,MATCH(Table1[[#This Row],[Milieuprofiel]],'3. Kengetallen (DC-uitdraai)'!D:D,0))*Table1[[#This Row],[Hvd]]*(1+INDEX('3. Kengetallen (DC-uitdraai)'!K:K,MATCH(Table1[[#This Row],[Milieuprofiel]],'3. Kengetallen (DC-uitdraai)'!D:D,0))),0)</f>
        <v>0</v>
      </c>
      <c r="R121" s="126">
        <f>IFERROR(INDEX('3. Kengetallen (DC-uitdraai)'!V:V,MATCH(Table1[[#This Row],[Milieuprofiel]],'3. Kengetallen (DC-uitdraai)'!D:D,0))*Table1[[#This Row],[Hvd]]*(1+INDEX('3. Kengetallen (DC-uitdraai)'!K:K,MATCH(Table1[[#This Row],[Milieuprofiel]],'3. Kengetallen (DC-uitdraai)'!D:D,0))),0)</f>
        <v>94.19116047238731</v>
      </c>
      <c r="S121" s="126">
        <f>IFERROR(INDEX('3. Kengetallen (DC-uitdraai)'!W:W,MATCH(Table1[[#This Row],[Milieuprofiel]],'3. Kengetallen (DC-uitdraai)'!D:D,0))*Table1[[#This Row],[Hvd]]*(1+INDEX('3. Kengetallen (DC-uitdraai)'!K:K,MATCH(Table1[[#This Row],[Milieuprofiel]],'3. Kengetallen (DC-uitdraai)'!D:D,0))),0)</f>
        <v>0</v>
      </c>
      <c r="T121" s="126">
        <f>IFERROR(INDEX('3. Kengetallen (DC-uitdraai)'!X:X,MATCH(Table1[[#This Row],[Milieuprofiel]],'3. Kengetallen (DC-uitdraai)'!D:D,0))*Table1[[#This Row],[Hvd]]*(1+INDEX('3. Kengetallen (DC-uitdraai)'!K:K,MATCH(Table1[[#This Row],[Milieuprofiel]],'3. Kengetallen (DC-uitdraai)'!D:D,0))),0)</f>
        <v>0</v>
      </c>
      <c r="U121" s="126"/>
      <c r="V121" s="126"/>
      <c r="W121" s="126"/>
      <c r="X121" s="114">
        <f>IFERROR(INDEX('Eigen database'!P:P,MATCH(Table1[[#This Row],[Potentieel alternatief]],'Eigen database'!D:D,0))*Table1[[#This Row],[Hoeveelheid]]*(1+INDEX('Eigen database'!K:K,MATCH(Table1[[#This Row],[Potentieel alternatief]],'Eigen database'!D:D,0))),0)</f>
        <v>0</v>
      </c>
      <c r="Y121" s="126">
        <f>IF(Table1[[#This Row],[MKI A-D nieuw]]=0,Table1[[#This Row],[MKI A-D]],Table1[[#This Row],[MKI A-D nieuw]])</f>
        <v>122.44850973694963</v>
      </c>
      <c r="Z121" s="126"/>
      <c r="AA121" s="127">
        <f>IFERROR(INDEX('3. Kengetallen (DC-uitdraai)'!AM:AM,MATCH(Table1[[#This Row],[Milieuprofiel]],'3. Kengetallen (DC-uitdraai)'!C:C,0)),0)*Table1[[#This Row],[Hvd]]</f>
        <v>0</v>
      </c>
      <c r="AB121" s="127">
        <f>IFERROR(INDEX('3. Kengetallen (DC-uitdraai)'!AM:AM,MATCH(Table1[[#This Row],[Potentieel alternatief]],'3. Kengetallen (DC-uitdraai)'!C:C,0)),0)*Table1[[#This Row],[Hvd]]</f>
        <v>0</v>
      </c>
    </row>
    <row r="122" spans="1:28">
      <c r="A122" s="89" t="s">
        <v>362</v>
      </c>
      <c r="B122" s="89" t="s">
        <v>363</v>
      </c>
      <c r="C122" s="42" t="s">
        <v>353</v>
      </c>
      <c r="D122" s="42" t="s">
        <v>364</v>
      </c>
      <c r="E122" t="s">
        <v>365</v>
      </c>
      <c r="F122" t="s">
        <v>366</v>
      </c>
      <c r="H122" t="str">
        <f>IFERROR(INDEX('3. Kengetallen (DC-uitdraai)'!F:F,MATCH(Table1[[#This Row],[Milieuprofiel]],'3. Kengetallen (DC-uitdraai)'!D:D,0)),"")</f>
        <v>Cat.3 (30%)</v>
      </c>
      <c r="I122" s="26">
        <v>40</v>
      </c>
      <c r="J122" t="s">
        <v>118</v>
      </c>
      <c r="K122" t="str">
        <f>IF(ISTEXT(Table1[[#This Row],[Milieuprofiel]]),"Ja","Nee")</f>
        <v>Ja</v>
      </c>
      <c r="L122" s="27">
        <v>0.5</v>
      </c>
      <c r="M122" s="26">
        <f>Table1[[#This Row],[Volume]]*Table1[[#This Row],[Factor]]</f>
        <v>20</v>
      </c>
      <c r="N122" t="str">
        <f>IFERROR(INDEX('3. Kengetallen (DC-uitdraai)'!H:H,MATCH(Table1[[#This Row],[Milieuprofiel]],'3. Kengetallen (DC-uitdraai)'!D:D,0)),"")</f>
        <v>m2</v>
      </c>
      <c r="O122">
        <f>IFERROR(INDEX('3. Kengetallen (DC-uitdraai)'!I:I,MATCH(Table1[[#This Row],[Milieuprofiel]],'3. Kengetallen (DC-uitdraai)'!D:D,0)),0)</f>
        <v>100</v>
      </c>
      <c r="P122" s="106">
        <f>IFERROR(INDEX('3. Kengetallen (DC-uitdraai)'!P:P,MATCH(Table1[[#This Row],[Milieuprofiel]],'3. Kengetallen (DC-uitdraai)'!D:D,0))*Table1[[#This Row],[Hvd]]*(1+INDEX('3. Kengetallen (DC-uitdraai)'!K:K,MATCH(Table1[[#This Row],[Milieuprofiel]],'3. Kengetallen (DC-uitdraai)'!D:D,0))),0)</f>
        <v>17.097053226718749</v>
      </c>
      <c r="Q122" s="16">
        <f>IFERROR(INDEX('3. Kengetallen (DC-uitdraai)'!U:U,MATCH(Table1[[#This Row],[Milieuprofiel]],'3. Kengetallen (DC-uitdraai)'!D:D,0))*Table1[[#This Row],[Hvd]]*(1+INDEX('3. Kengetallen (DC-uitdraai)'!K:K,MATCH(Table1[[#This Row],[Milieuprofiel]],'3. Kengetallen (DC-uitdraai)'!D:D,0))),0)</f>
        <v>0</v>
      </c>
      <c r="R122" s="16">
        <f>IFERROR(INDEX('3. Kengetallen (DC-uitdraai)'!V:V,MATCH(Table1[[#This Row],[Milieuprofiel]],'3. Kengetallen (DC-uitdraai)'!D:D,0))*Table1[[#This Row],[Hvd]]*(1+INDEX('3. Kengetallen (DC-uitdraai)'!K:K,MATCH(Table1[[#This Row],[Milieuprofiel]],'3. Kengetallen (DC-uitdraai)'!D:D,0))),0)</f>
        <v>7.7043168476198982</v>
      </c>
      <c r="S122" s="16">
        <f>IFERROR(INDEX('3. Kengetallen (DC-uitdraai)'!W:W,MATCH(Table1[[#This Row],[Milieuprofiel]],'3. Kengetallen (DC-uitdraai)'!D:D,0))*Table1[[#This Row],[Hvd]]*(1+INDEX('3. Kengetallen (DC-uitdraai)'!K:K,MATCH(Table1[[#This Row],[Milieuprofiel]],'3. Kengetallen (DC-uitdraai)'!D:D,0))),0)</f>
        <v>0.54989876379999991</v>
      </c>
      <c r="T122" s="16">
        <f>IFERROR(INDEX('3. Kengetallen (DC-uitdraai)'!X:X,MATCH(Table1[[#This Row],[Milieuprofiel]],'3. Kengetallen (DC-uitdraai)'!D:D,0))*Table1[[#This Row],[Hvd]]*(1+INDEX('3. Kengetallen (DC-uitdraai)'!K:K,MATCH(Table1[[#This Row],[Milieuprofiel]],'3. Kengetallen (DC-uitdraai)'!D:D,0))),0)</f>
        <v>4.8973636731491084</v>
      </c>
      <c r="U122" s="16"/>
      <c r="V122" s="16"/>
      <c r="W122" s="16"/>
      <c r="X122" s="108">
        <f>IFERROR(INDEX('Eigen database'!P:P,MATCH(Table1[[#This Row],[Potentieel alternatief]],'Eigen database'!D:D,0))*Table1[[#This Row],[Hoeveelheid]]*(1+INDEX('Eigen database'!K:K,MATCH(Table1[[#This Row],[Potentieel alternatief]],'Eigen database'!D:D,0))),0)</f>
        <v>0</v>
      </c>
      <c r="Y122" s="16">
        <f>IF(Table1[[#This Row],[MKI A-D nieuw]]=0,Table1[[#This Row],[MKI A-D]],Table1[[#This Row],[MKI A-D nieuw]])</f>
        <v>17.097053226718749</v>
      </c>
      <c r="Z122" s="16"/>
      <c r="AA122" s="28">
        <f>IFERROR(INDEX('3. Kengetallen (DC-uitdraai)'!AM:AM,MATCH(Table1[[#This Row],[Milieuprofiel]],'3. Kengetallen (DC-uitdraai)'!C:C,0)),0)*Table1[[#This Row],[Hvd]]</f>
        <v>0</v>
      </c>
      <c r="AB122" s="28">
        <f>IFERROR(INDEX('3. Kengetallen (DC-uitdraai)'!AM:AM,MATCH(Table1[[#This Row],[Potentieel alternatief]],'3. Kengetallen (DC-uitdraai)'!C:C,0)),0)*Table1[[#This Row],[Hvd]]</f>
        <v>0</v>
      </c>
    </row>
    <row r="123" spans="1:28">
      <c r="A123" s="89" t="s">
        <v>367</v>
      </c>
      <c r="B123" s="89" t="s">
        <v>363</v>
      </c>
      <c r="C123" s="42" t="s">
        <v>353</v>
      </c>
      <c r="D123" s="42" t="s">
        <v>364</v>
      </c>
      <c r="E123" t="s">
        <v>368</v>
      </c>
      <c r="F123" t="s">
        <v>369</v>
      </c>
      <c r="H123" t="str">
        <f>IFERROR(INDEX('3. Kengetallen (DC-uitdraai)'!F:F,MATCH(Table1[[#This Row],[Milieuprofiel]],'3. Kengetallen (DC-uitdraai)'!D:D,0)),"")</f>
        <v>Cat.3 (30%)</v>
      </c>
      <c r="I123" s="26">
        <v>1200</v>
      </c>
      <c r="J123" t="s">
        <v>118</v>
      </c>
      <c r="K123" t="str">
        <f>IF(ISTEXT(Table1[[#This Row],[Milieuprofiel]]),"Ja","Nee")</f>
        <v>Ja</v>
      </c>
      <c r="L123" s="27">
        <v>1</v>
      </c>
      <c r="M123" s="26">
        <f>Table1[[#This Row],[Volume]]*Table1[[#This Row],[Factor]]</f>
        <v>1200</v>
      </c>
      <c r="N123" t="str">
        <f>IFERROR(INDEX('3. Kengetallen (DC-uitdraai)'!H:H,MATCH(Table1[[#This Row],[Milieuprofiel]],'3. Kengetallen (DC-uitdraai)'!D:D,0)),"")</f>
        <v>m2</v>
      </c>
      <c r="O123">
        <f>IFERROR(INDEX('3. Kengetallen (DC-uitdraai)'!I:I,MATCH(Table1[[#This Row],[Milieuprofiel]],'3. Kengetallen (DC-uitdraai)'!D:D,0)),0)</f>
        <v>100</v>
      </c>
      <c r="P123" s="106">
        <f>IFERROR(INDEX('3. Kengetallen (DC-uitdraai)'!P:P,MATCH(Table1[[#This Row],[Milieuprofiel]],'3. Kengetallen (DC-uitdraai)'!D:D,0))*Table1[[#This Row],[Hvd]]*(1+INDEX('3. Kengetallen (DC-uitdraai)'!K:K,MATCH(Table1[[#This Row],[Milieuprofiel]],'3. Kengetallen (DC-uitdraai)'!D:D,0))),0)</f>
        <v>1164.2649493251877</v>
      </c>
      <c r="Q123" s="16">
        <f>IFERROR(INDEX('3. Kengetallen (DC-uitdraai)'!U:U,MATCH(Table1[[#This Row],[Milieuprofiel]],'3. Kengetallen (DC-uitdraai)'!D:D,0))*Table1[[#This Row],[Hvd]]*(1+INDEX('3. Kengetallen (DC-uitdraai)'!K:K,MATCH(Table1[[#This Row],[Milieuprofiel]],'3. Kengetallen (DC-uitdraai)'!D:D,0))),0)</f>
        <v>0</v>
      </c>
      <c r="R123" s="16">
        <f>IFERROR(INDEX('3. Kengetallen (DC-uitdraai)'!V:V,MATCH(Table1[[#This Row],[Milieuprofiel]],'3. Kengetallen (DC-uitdraai)'!D:D,0))*Table1[[#This Row],[Hvd]]*(1+INDEX('3. Kengetallen (DC-uitdraai)'!K:K,MATCH(Table1[[#This Row],[Milieuprofiel]],'3. Kengetallen (DC-uitdraai)'!D:D,0))),0)</f>
        <v>508.50083004625407</v>
      </c>
      <c r="S123" s="16">
        <f>IFERROR(INDEX('3. Kengetallen (DC-uitdraai)'!W:W,MATCH(Table1[[#This Row],[Milieuprofiel]],'3. Kengetallen (DC-uitdraai)'!D:D,0))*Table1[[#This Row],[Hvd]]*(1+INDEX('3. Kengetallen (DC-uitdraai)'!K:K,MATCH(Table1[[#This Row],[Milieuprofiel]],'3. Kengetallen (DC-uitdraai)'!D:D,0))),0)</f>
        <v>41.242407284999999</v>
      </c>
      <c r="T123" s="16">
        <f>IFERROR(INDEX('3. Kengetallen (DC-uitdraai)'!X:X,MATCH(Table1[[#This Row],[Milieuprofiel]],'3. Kengetallen (DC-uitdraai)'!D:D,0))*Table1[[#This Row],[Hvd]]*(1+INDEX('3. Kengetallen (DC-uitdraai)'!K:K,MATCH(Table1[[#This Row],[Milieuprofiel]],'3. Kengetallen (DC-uitdraai)'!D:D,0))),0)</f>
        <v>345.84517701408566</v>
      </c>
      <c r="U123" s="16"/>
      <c r="V123" s="16"/>
      <c r="W123" s="16"/>
      <c r="X123" s="108">
        <f>IFERROR(INDEX('Eigen database'!P:P,MATCH(Table1[[#This Row],[Potentieel alternatief]],'Eigen database'!D:D,0))*Table1[[#This Row],[Hoeveelheid]]*(1+INDEX('Eigen database'!K:K,MATCH(Table1[[#This Row],[Potentieel alternatief]],'Eigen database'!D:D,0))),0)</f>
        <v>0</v>
      </c>
      <c r="Y123" s="16">
        <f>IF(Table1[[#This Row],[MKI A-D nieuw]]=0,Table1[[#This Row],[MKI A-D]],Table1[[#This Row],[MKI A-D nieuw]])</f>
        <v>1164.2649493251877</v>
      </c>
      <c r="Z123" s="16"/>
      <c r="AA123" s="28">
        <f>IFERROR(INDEX('3. Kengetallen (DC-uitdraai)'!AM:AM,MATCH(Table1[[#This Row],[Milieuprofiel]],'3. Kengetallen (DC-uitdraai)'!C:C,0)),0)*Table1[[#This Row],[Hvd]]</f>
        <v>0</v>
      </c>
      <c r="AB123" s="28">
        <f>IFERROR(INDEX('3. Kengetallen (DC-uitdraai)'!AM:AM,MATCH(Table1[[#This Row],[Potentieel alternatief]],'3. Kengetallen (DC-uitdraai)'!C:C,0)),0)*Table1[[#This Row],[Hvd]]</f>
        <v>0</v>
      </c>
    </row>
    <row r="124" spans="1:28">
      <c r="A124" s="89" t="s">
        <v>370</v>
      </c>
      <c r="B124" s="89" t="s">
        <v>363</v>
      </c>
      <c r="C124" s="42" t="s">
        <v>353</v>
      </c>
      <c r="D124" s="42" t="s">
        <v>364</v>
      </c>
      <c r="E124" t="s">
        <v>371</v>
      </c>
      <c r="F124" t="s">
        <v>366</v>
      </c>
      <c r="H124" t="str">
        <f>IFERROR(INDEX('3. Kengetallen (DC-uitdraai)'!F:F,MATCH(Table1[[#This Row],[Milieuprofiel]],'3. Kengetallen (DC-uitdraai)'!D:D,0)),"")</f>
        <v>Cat.3 (30%)</v>
      </c>
      <c r="I124" s="26">
        <v>300</v>
      </c>
      <c r="J124" t="s">
        <v>118</v>
      </c>
      <c r="K124" t="str">
        <f>IF(ISTEXT(Table1[[#This Row],[Milieuprofiel]]),"Ja","Nee")</f>
        <v>Ja</v>
      </c>
      <c r="L124" s="27">
        <f>0.3/0.2</f>
        <v>1.4999999999999998</v>
      </c>
      <c r="M124" s="26">
        <f>Table1[[#This Row],[Volume]]*Table1[[#This Row],[Factor]]</f>
        <v>449.99999999999994</v>
      </c>
      <c r="N124" t="str">
        <f>IFERROR(INDEX('3. Kengetallen (DC-uitdraai)'!H:H,MATCH(Table1[[#This Row],[Milieuprofiel]],'3. Kengetallen (DC-uitdraai)'!D:D,0)),"")</f>
        <v>m2</v>
      </c>
      <c r="O124">
        <f>IFERROR(INDEX('3. Kengetallen (DC-uitdraai)'!I:I,MATCH(Table1[[#This Row],[Milieuprofiel]],'3. Kengetallen (DC-uitdraai)'!D:D,0)),0)</f>
        <v>100</v>
      </c>
      <c r="P124" s="106">
        <f>IFERROR(INDEX('3. Kengetallen (DC-uitdraai)'!P:P,MATCH(Table1[[#This Row],[Milieuprofiel]],'3. Kengetallen (DC-uitdraai)'!D:D,0))*Table1[[#This Row],[Hvd]]*(1+INDEX('3. Kengetallen (DC-uitdraai)'!K:K,MATCH(Table1[[#This Row],[Milieuprofiel]],'3. Kengetallen (DC-uitdraai)'!D:D,0))),0)</f>
        <v>384.68369760117184</v>
      </c>
      <c r="Q124" s="16">
        <f>IFERROR(INDEX('3. Kengetallen (DC-uitdraai)'!U:U,MATCH(Table1[[#This Row],[Milieuprofiel]],'3. Kengetallen (DC-uitdraai)'!D:D,0))*Table1[[#This Row],[Hvd]]*(1+INDEX('3. Kengetallen (DC-uitdraai)'!K:K,MATCH(Table1[[#This Row],[Milieuprofiel]],'3. Kengetallen (DC-uitdraai)'!D:D,0))),0)</f>
        <v>0</v>
      </c>
      <c r="R124" s="16">
        <f>IFERROR(INDEX('3. Kengetallen (DC-uitdraai)'!V:V,MATCH(Table1[[#This Row],[Milieuprofiel]],'3. Kengetallen (DC-uitdraai)'!D:D,0))*Table1[[#This Row],[Hvd]]*(1+INDEX('3. Kengetallen (DC-uitdraai)'!K:K,MATCH(Table1[[#This Row],[Milieuprofiel]],'3. Kengetallen (DC-uitdraai)'!D:D,0))),0)</f>
        <v>173.34712907144771</v>
      </c>
      <c r="S124" s="16">
        <f>IFERROR(INDEX('3. Kengetallen (DC-uitdraai)'!W:W,MATCH(Table1[[#This Row],[Milieuprofiel]],'3. Kengetallen (DC-uitdraai)'!D:D,0))*Table1[[#This Row],[Hvd]]*(1+INDEX('3. Kengetallen (DC-uitdraai)'!K:K,MATCH(Table1[[#This Row],[Milieuprofiel]],'3. Kengetallen (DC-uitdraai)'!D:D,0))),0)</f>
        <v>12.372722185499997</v>
      </c>
      <c r="T124" s="16">
        <f>IFERROR(INDEX('3. Kengetallen (DC-uitdraai)'!X:X,MATCH(Table1[[#This Row],[Milieuprofiel]],'3. Kengetallen (DC-uitdraai)'!D:D,0))*Table1[[#This Row],[Hvd]]*(1+INDEX('3. Kengetallen (DC-uitdraai)'!K:K,MATCH(Table1[[#This Row],[Milieuprofiel]],'3. Kengetallen (DC-uitdraai)'!D:D,0))),0)</f>
        <v>110.19068264585492</v>
      </c>
      <c r="U124" s="16"/>
      <c r="V124" s="16"/>
      <c r="W124" s="16"/>
      <c r="X124" s="108">
        <f>IFERROR(INDEX('Eigen database'!P:P,MATCH(Table1[[#This Row],[Potentieel alternatief]],'Eigen database'!D:D,0))*Table1[[#This Row],[Hoeveelheid]]*(1+INDEX('Eigen database'!K:K,MATCH(Table1[[#This Row],[Potentieel alternatief]],'Eigen database'!D:D,0))),0)</f>
        <v>0</v>
      </c>
      <c r="Y124" s="16">
        <f>IF(Table1[[#This Row],[MKI A-D nieuw]]=0,Table1[[#This Row],[MKI A-D]],Table1[[#This Row],[MKI A-D nieuw]])</f>
        <v>384.68369760117184</v>
      </c>
      <c r="Z124" s="16"/>
      <c r="AA124" s="28">
        <f>IFERROR(INDEX('3. Kengetallen (DC-uitdraai)'!AM:AM,MATCH(Table1[[#This Row],[Milieuprofiel]],'3. Kengetallen (DC-uitdraai)'!C:C,0)),0)*Table1[[#This Row],[Hvd]]</f>
        <v>0</v>
      </c>
      <c r="AB124" s="28">
        <f>IFERROR(INDEX('3. Kengetallen (DC-uitdraai)'!AM:AM,MATCH(Table1[[#This Row],[Potentieel alternatief]],'3. Kengetallen (DC-uitdraai)'!C:C,0)),0)*Table1[[#This Row],[Hvd]]</f>
        <v>0</v>
      </c>
    </row>
    <row r="125" spans="1:28">
      <c r="A125" s="89" t="s">
        <v>372</v>
      </c>
      <c r="B125" s="89" t="s">
        <v>363</v>
      </c>
      <c r="C125" s="42" t="s">
        <v>353</v>
      </c>
      <c r="D125" s="42" t="s">
        <v>364</v>
      </c>
      <c r="E125" t="s">
        <v>373</v>
      </c>
      <c r="F125" t="s">
        <v>366</v>
      </c>
      <c r="H125" t="str">
        <f>IFERROR(INDEX('3. Kengetallen (DC-uitdraai)'!F:F,MATCH(Table1[[#This Row],[Milieuprofiel]],'3. Kengetallen (DC-uitdraai)'!D:D,0)),"")</f>
        <v>Cat.3 (30%)</v>
      </c>
      <c r="I125" s="26">
        <v>5250</v>
      </c>
      <c r="J125" t="s">
        <v>118</v>
      </c>
      <c r="K125" t="str">
        <f>IF(ISTEXT(Table1[[#This Row],[Milieuprofiel]]),"Ja","Nee")</f>
        <v>Ja</v>
      </c>
      <c r="L125" s="27">
        <f>0.35/0.2</f>
        <v>1.7499999999999998</v>
      </c>
      <c r="M125" s="26">
        <f>Table1[[#This Row],[Volume]]*Table1[[#This Row],[Factor]]</f>
        <v>9187.4999999999982</v>
      </c>
      <c r="N125" t="str">
        <f>IFERROR(INDEX('3. Kengetallen (DC-uitdraai)'!H:H,MATCH(Table1[[#This Row],[Milieuprofiel]],'3. Kengetallen (DC-uitdraai)'!D:D,0)),"")</f>
        <v>m2</v>
      </c>
      <c r="O125">
        <f>IFERROR(INDEX('3. Kengetallen (DC-uitdraai)'!I:I,MATCH(Table1[[#This Row],[Milieuprofiel]],'3. Kengetallen (DC-uitdraai)'!D:D,0)),0)</f>
        <v>100</v>
      </c>
      <c r="P125" s="106">
        <f>IFERROR(INDEX('3. Kengetallen (DC-uitdraai)'!P:P,MATCH(Table1[[#This Row],[Milieuprofiel]],'3. Kengetallen (DC-uitdraai)'!D:D,0))*Table1[[#This Row],[Hvd]]*(1+INDEX('3. Kengetallen (DC-uitdraai)'!K:K,MATCH(Table1[[#This Row],[Milieuprofiel]],'3. Kengetallen (DC-uitdraai)'!D:D,0))),0)</f>
        <v>7853.9588260239243</v>
      </c>
      <c r="Q125" s="16">
        <f>IFERROR(INDEX('3. Kengetallen (DC-uitdraai)'!U:U,MATCH(Table1[[#This Row],[Milieuprofiel]],'3. Kengetallen (DC-uitdraai)'!D:D,0))*Table1[[#This Row],[Hvd]]*(1+INDEX('3. Kengetallen (DC-uitdraai)'!K:K,MATCH(Table1[[#This Row],[Milieuprofiel]],'3. Kengetallen (DC-uitdraai)'!D:D,0))),0)</f>
        <v>0</v>
      </c>
      <c r="R125" s="16">
        <f>IFERROR(INDEX('3. Kengetallen (DC-uitdraai)'!V:V,MATCH(Table1[[#This Row],[Milieuprofiel]],'3. Kengetallen (DC-uitdraai)'!D:D,0))*Table1[[#This Row],[Hvd]]*(1+INDEX('3. Kengetallen (DC-uitdraai)'!K:K,MATCH(Table1[[#This Row],[Milieuprofiel]],'3. Kengetallen (DC-uitdraai)'!D:D,0))),0)</f>
        <v>3539.1705518753902</v>
      </c>
      <c r="S125" s="16">
        <f>IFERROR(INDEX('3. Kengetallen (DC-uitdraai)'!W:W,MATCH(Table1[[#This Row],[Milieuprofiel]],'3. Kengetallen (DC-uitdraai)'!D:D,0))*Table1[[#This Row],[Hvd]]*(1+INDEX('3. Kengetallen (DC-uitdraai)'!K:K,MATCH(Table1[[#This Row],[Milieuprofiel]],'3. Kengetallen (DC-uitdraai)'!D:D,0))),0)</f>
        <v>252.60974462062492</v>
      </c>
      <c r="T125" s="16">
        <f>IFERROR(INDEX('3. Kengetallen (DC-uitdraai)'!X:X,MATCH(Table1[[#This Row],[Milieuprofiel]],'3. Kengetallen (DC-uitdraai)'!D:D,0))*Table1[[#This Row],[Hvd]]*(1+INDEX('3. Kengetallen (DC-uitdraai)'!K:K,MATCH(Table1[[#This Row],[Milieuprofiel]],'3. Kengetallen (DC-uitdraai)'!D:D,0))),0)</f>
        <v>2249.726437352871</v>
      </c>
      <c r="U125" s="16"/>
      <c r="V125" s="16"/>
      <c r="W125" s="16"/>
      <c r="X125" s="108">
        <f>IFERROR(INDEX('Eigen database'!P:P,MATCH(Table1[[#This Row],[Potentieel alternatief]],'Eigen database'!D:D,0))*Table1[[#This Row],[Hoeveelheid]]*(1+INDEX('Eigen database'!K:K,MATCH(Table1[[#This Row],[Potentieel alternatief]],'Eigen database'!D:D,0))),0)</f>
        <v>0</v>
      </c>
      <c r="Y125" s="16">
        <f>IF(Table1[[#This Row],[MKI A-D nieuw]]=0,Table1[[#This Row],[MKI A-D]],Table1[[#This Row],[MKI A-D nieuw]])</f>
        <v>7853.9588260239243</v>
      </c>
      <c r="Z125" s="16"/>
      <c r="AA125" s="28">
        <f>IFERROR(INDEX('3. Kengetallen (DC-uitdraai)'!AM:AM,MATCH(Table1[[#This Row],[Milieuprofiel]],'3. Kengetallen (DC-uitdraai)'!C:C,0)),0)*Table1[[#This Row],[Hvd]]</f>
        <v>0</v>
      </c>
      <c r="AB125" s="28">
        <f>IFERROR(INDEX('3. Kengetallen (DC-uitdraai)'!AM:AM,MATCH(Table1[[#This Row],[Potentieel alternatief]],'3. Kengetallen (DC-uitdraai)'!C:C,0)),0)*Table1[[#This Row],[Hvd]]</f>
        <v>0</v>
      </c>
    </row>
    <row r="126" spans="1:28">
      <c r="A126" s="89" t="s">
        <v>374</v>
      </c>
      <c r="B126" s="89" t="s">
        <v>363</v>
      </c>
      <c r="C126" s="42" t="s">
        <v>353</v>
      </c>
      <c r="D126" s="42" t="s">
        <v>364</v>
      </c>
      <c r="E126" t="s">
        <v>368</v>
      </c>
      <c r="F126" t="s">
        <v>375</v>
      </c>
      <c r="H126" t="str">
        <f>IFERROR(INDEX('3. Kengetallen (DC-uitdraai)'!F:F,MATCH(Table1[[#This Row],[Milieuprofiel]],'3. Kengetallen (DC-uitdraai)'!D:D,0)),"")</f>
        <v>Cat.3 (30%)</v>
      </c>
      <c r="I126" s="129">
        <v>1050</v>
      </c>
      <c r="J126" t="s">
        <v>118</v>
      </c>
      <c r="K126" t="str">
        <f>IF(ISTEXT(Table1[[#This Row],[Milieuprofiel]]),"Ja","Nee")</f>
        <v>Ja</v>
      </c>
      <c r="L126" s="27">
        <v>1</v>
      </c>
      <c r="M126" s="26">
        <f>Table1[[#This Row],[Volume]]*Table1[[#This Row],[Factor]]</f>
        <v>1050</v>
      </c>
      <c r="N126" t="str">
        <f>IFERROR(INDEX('3. Kengetallen (DC-uitdraai)'!H:H,MATCH(Table1[[#This Row],[Milieuprofiel]],'3. Kengetallen (DC-uitdraai)'!D:D,0)),"")</f>
        <v>m2</v>
      </c>
      <c r="O126">
        <f>IFERROR(INDEX('3. Kengetallen (DC-uitdraai)'!I:I,MATCH(Table1[[#This Row],[Milieuprofiel]],'3. Kengetallen (DC-uitdraai)'!D:D,0)),0)</f>
        <v>100</v>
      </c>
      <c r="P126" s="106">
        <f>IFERROR(INDEX('3. Kengetallen (DC-uitdraai)'!P:P,MATCH(Table1[[#This Row],[Milieuprofiel]],'3. Kengetallen (DC-uitdraai)'!D:D,0))*Table1[[#This Row],[Hvd]]*(1+INDEX('3. Kengetallen (DC-uitdraai)'!K:K,MATCH(Table1[[#This Row],[Milieuprofiel]],'3. Kengetallen (DC-uitdraai)'!D:D,0))),0)</f>
        <v>1101.1474021368197</v>
      </c>
      <c r="Q126" s="16">
        <f>IFERROR(INDEX('3. Kengetallen (DC-uitdraai)'!U:U,MATCH(Table1[[#This Row],[Milieuprofiel]],'3. Kengetallen (DC-uitdraai)'!D:D,0))*Table1[[#This Row],[Hvd]]*(1+INDEX('3. Kengetallen (DC-uitdraai)'!K:K,MATCH(Table1[[#This Row],[Milieuprofiel]],'3. Kengetallen (DC-uitdraai)'!D:D,0))),0)</f>
        <v>0</v>
      </c>
      <c r="R126" s="16">
        <f>IFERROR(INDEX('3. Kengetallen (DC-uitdraai)'!V:V,MATCH(Table1[[#This Row],[Milieuprofiel]],'3. Kengetallen (DC-uitdraai)'!D:D,0))*Table1[[#This Row],[Hvd]]*(1+INDEX('3. Kengetallen (DC-uitdraai)'!K:K,MATCH(Table1[[#This Row],[Milieuprofiel]],'3. Kengetallen (DC-uitdraai)'!D:D,0))),0)</f>
        <v>404.02097601854376</v>
      </c>
      <c r="S126" s="16">
        <f>IFERROR(INDEX('3. Kengetallen (DC-uitdraai)'!W:W,MATCH(Table1[[#This Row],[Milieuprofiel]],'3. Kengetallen (DC-uitdraai)'!D:D,0))*Table1[[#This Row],[Hvd]]*(1+INDEX('3. Kengetallen (DC-uitdraai)'!K:K,MATCH(Table1[[#This Row],[Milieuprofiel]],'3. Kengetallen (DC-uitdraai)'!D:D,0))),0)</f>
        <v>36.087106374375004</v>
      </c>
      <c r="T126" s="16">
        <f>IFERROR(INDEX('3. Kengetallen (DC-uitdraai)'!X:X,MATCH(Table1[[#This Row],[Milieuprofiel]],'3. Kengetallen (DC-uitdraai)'!D:D,0))*Table1[[#This Row],[Hvd]]*(1+INDEX('3. Kengetallen (DC-uitdraai)'!K:K,MATCH(Table1[[#This Row],[Milieuprofiel]],'3. Kengetallen (DC-uitdraai)'!D:D,0))),0)</f>
        <v>406.92837302197211</v>
      </c>
      <c r="U126" s="16"/>
      <c r="V126" s="16"/>
      <c r="W126" s="16"/>
      <c r="X126" s="108">
        <f>IFERROR(INDEX('Eigen database'!P:P,MATCH(Table1[[#This Row],[Potentieel alternatief]],'Eigen database'!D:D,0))*Table1[[#This Row],[Hoeveelheid]]*(1+INDEX('Eigen database'!K:K,MATCH(Table1[[#This Row],[Potentieel alternatief]],'Eigen database'!D:D,0))),0)</f>
        <v>0</v>
      </c>
      <c r="Y126" s="16">
        <f>IF(Table1[[#This Row],[MKI A-D nieuw]]=0,Table1[[#This Row],[MKI A-D]],Table1[[#This Row],[MKI A-D nieuw]])</f>
        <v>1101.1474021368197</v>
      </c>
      <c r="Z126" s="16"/>
      <c r="AA126" s="28">
        <f>IFERROR(INDEX('3. Kengetallen (DC-uitdraai)'!AM:AM,MATCH(Table1[[#This Row],[Milieuprofiel]],'3. Kengetallen (DC-uitdraai)'!C:C,0)),0)*Table1[[#This Row],[Hvd]]</f>
        <v>0</v>
      </c>
      <c r="AB126" s="28">
        <f>IFERROR(INDEX('3. Kengetallen (DC-uitdraai)'!AM:AM,MATCH(Table1[[#This Row],[Potentieel alternatief]],'3. Kengetallen (DC-uitdraai)'!C:C,0)),0)*Table1[[#This Row],[Hvd]]</f>
        <v>0</v>
      </c>
    </row>
    <row r="127" spans="1:28">
      <c r="A127" s="131" t="s">
        <v>376</v>
      </c>
      <c r="B127" s="131" t="s">
        <v>377</v>
      </c>
      <c r="C127" s="132" t="s">
        <v>353</v>
      </c>
      <c r="D127" s="132" t="s">
        <v>364</v>
      </c>
      <c r="E127" s="133" t="s">
        <v>378</v>
      </c>
      <c r="F127" s="133" t="s">
        <v>232</v>
      </c>
      <c r="G127" s="133" t="s">
        <v>233</v>
      </c>
      <c r="H127" s="133" t="str">
        <f>IFERROR(INDEX('3. Kengetallen (DC-uitdraai)'!F:F,MATCH(Table1[[#This Row],[Milieuprofiel]],'3. Kengetallen (DC-uitdraai)'!D:D,0)),"")</f>
        <v>Cat.3 (30%)</v>
      </c>
      <c r="I127" s="129">
        <v>1855</v>
      </c>
      <c r="J127" t="s">
        <v>112</v>
      </c>
      <c r="K127" t="str">
        <f>IF(ISTEXT(Table1[[#This Row],[Milieuprofiel]]),"Ja","Nee")</f>
        <v>Ja</v>
      </c>
      <c r="L127" s="43">
        <v>0.02</v>
      </c>
      <c r="M127" s="26">
        <f>Table1[[#This Row],[Volume]]*Table1[[#This Row],[Factor]]</f>
        <v>37.1</v>
      </c>
      <c r="N127" t="str">
        <f>IFERROR(INDEX('3. Kengetallen (DC-uitdraai)'!H:H,MATCH(Table1[[#This Row],[Milieuprofiel]],'3. Kengetallen (DC-uitdraai)'!D:D,0)),"")</f>
        <v>uur</v>
      </c>
      <c r="O127">
        <f>IFERROR(INDEX('3. Kengetallen (DC-uitdraai)'!I:I,MATCH(Table1[[#This Row],[Milieuprofiel]],'3. Kengetallen (DC-uitdraai)'!D:D,0)),0)</f>
        <v>999</v>
      </c>
      <c r="P127" s="106">
        <f>IFERROR(INDEX('3. Kengetallen (DC-uitdraai)'!P:P,MATCH(Table1[[#This Row],[Milieuprofiel]],'3. Kengetallen (DC-uitdraai)'!D:D,0))*Table1[[#This Row],[Hvd]]*(1+INDEX('3. Kengetallen (DC-uitdraai)'!K:K,MATCH(Table1[[#This Row],[Milieuprofiel]],'3. Kengetallen (DC-uitdraai)'!D:D,0))),0)</f>
        <v>344.95862293300706</v>
      </c>
      <c r="Q127" s="16">
        <f>IFERROR(INDEX('3. Kengetallen (DC-uitdraai)'!U:U,MATCH(Table1[[#This Row],[Milieuprofiel]],'3. Kengetallen (DC-uitdraai)'!D:D,0))*Table1[[#This Row],[Hvd]]*(1+INDEX('3. Kengetallen (DC-uitdraai)'!K:K,MATCH(Table1[[#This Row],[Milieuprofiel]],'3. Kengetallen (DC-uitdraai)'!D:D,0))),0)</f>
        <v>0</v>
      </c>
      <c r="R127" s="16">
        <f>IFERROR(INDEX('3. Kengetallen (DC-uitdraai)'!V:V,MATCH(Table1[[#This Row],[Milieuprofiel]],'3. Kengetallen (DC-uitdraai)'!D:D,0))*Table1[[#This Row],[Hvd]]*(1+INDEX('3. Kengetallen (DC-uitdraai)'!K:K,MATCH(Table1[[#This Row],[Milieuprofiel]],'3. Kengetallen (DC-uitdraai)'!D:D,0))),0)</f>
        <v>265.35278443827337</v>
      </c>
      <c r="S127" s="16">
        <f>IFERROR(INDEX('3. Kengetallen (DC-uitdraai)'!W:W,MATCH(Table1[[#This Row],[Milieuprofiel]],'3. Kengetallen (DC-uitdraai)'!D:D,0))*Table1[[#This Row],[Hvd]]*(1+INDEX('3. Kengetallen (DC-uitdraai)'!K:K,MATCH(Table1[[#This Row],[Milieuprofiel]],'3. Kengetallen (DC-uitdraai)'!D:D,0))),0)</f>
        <v>0</v>
      </c>
      <c r="T127" s="16">
        <f>IFERROR(INDEX('3. Kengetallen (DC-uitdraai)'!X:X,MATCH(Table1[[#This Row],[Milieuprofiel]],'3. Kengetallen (DC-uitdraai)'!D:D,0))*Table1[[#This Row],[Hvd]]*(1+INDEX('3. Kengetallen (DC-uitdraai)'!K:K,MATCH(Table1[[#This Row],[Milieuprofiel]],'3. Kengetallen (DC-uitdraai)'!D:D,0))),0)</f>
        <v>0</v>
      </c>
      <c r="U127" s="111">
        <f>Table1[[#This Row],[Factor]]</f>
        <v>0.02</v>
      </c>
      <c r="V127" s="43">
        <f>Table1[[#This Row],[Volume]]*Table1[[#This Row],[omrekenfactor]]</f>
        <v>37.1</v>
      </c>
      <c r="W127" s="16" t="s">
        <v>379</v>
      </c>
      <c r="X127" s="108">
        <f>IFERROR(INDEX('Eigen database'!P:P,MATCH(Table1[[#This Row],[Potentieel alternatief]],'Eigen database'!D:D,0))*Table1[[#This Row],[Hoeveelheid]]*(1+INDEX('Eigen database'!K:K,MATCH(Table1[[#This Row],[Potentieel alternatief]],'Eigen database'!D:D,0))),0)</f>
        <v>48.781633773739699</v>
      </c>
      <c r="Y127" s="16">
        <f>IF(Table1[[#This Row],[MKI A-D nieuw]]=0,Table1[[#This Row],[MKI A-D]],Table1[[#This Row],[MKI A-D nieuw]])</f>
        <v>48.781633773739699</v>
      </c>
      <c r="Z127" s="16"/>
      <c r="AA127" s="28">
        <f>IFERROR(INDEX('3. Kengetallen (DC-uitdraai)'!AM:AM,MATCH(Table1[[#This Row],[Milieuprofiel]],'3. Kengetallen (DC-uitdraai)'!C:C,0)),0)*Table1[[#This Row],[Hvd]]</f>
        <v>0</v>
      </c>
      <c r="AB127" s="28">
        <f>IFERROR(INDEX('3. Kengetallen (DC-uitdraai)'!AM:AM,MATCH(Table1[[#This Row],[Potentieel alternatief]],'3. Kengetallen (DC-uitdraai)'!C:C,0)),0)*Table1[[#This Row],[Hvd]]</f>
        <v>0</v>
      </c>
    </row>
    <row r="128" spans="1:28">
      <c r="A128" s="131" t="s">
        <v>380</v>
      </c>
      <c r="B128" s="131" t="s">
        <v>377</v>
      </c>
      <c r="C128" s="132" t="s">
        <v>353</v>
      </c>
      <c r="D128" s="132" t="s">
        <v>364</v>
      </c>
      <c r="E128" s="133" t="s">
        <v>381</v>
      </c>
      <c r="F128" s="133" t="s">
        <v>179</v>
      </c>
      <c r="G128" s="133" t="s">
        <v>180</v>
      </c>
      <c r="H128" s="133" t="str">
        <f>IFERROR(INDEX('3. Kengetallen (DC-uitdraai)'!F:F,MATCH(Table1[[#This Row],[Milieuprofiel]],'3. Kengetallen (DC-uitdraai)'!D:D,0)),"")</f>
        <v>Cat.3 (30%)</v>
      </c>
      <c r="I128" s="129">
        <v>1855</v>
      </c>
      <c r="J128" t="s">
        <v>112</v>
      </c>
      <c r="K128" t="str">
        <f>IF(ISTEXT(Table1[[#This Row],[Milieuprofiel]]),"Ja","Nee")</f>
        <v>Ja</v>
      </c>
      <c r="L128" s="27">
        <f>1.95*0.5</f>
        <v>0.97499999999999998</v>
      </c>
      <c r="M128" s="26">
        <f>Table1[[#This Row],[Volume]]*Table1[[#This Row],[Factor]]</f>
        <v>1808.625</v>
      </c>
      <c r="N128" t="str">
        <f>IFERROR(INDEX('3. Kengetallen (DC-uitdraai)'!H:H,MATCH(Table1[[#This Row],[Milieuprofiel]],'3. Kengetallen (DC-uitdraai)'!D:D,0)),"")</f>
        <v>t*km</v>
      </c>
      <c r="O128">
        <f>IFERROR(INDEX('3. Kengetallen (DC-uitdraai)'!I:I,MATCH(Table1[[#This Row],[Milieuprofiel]],'3. Kengetallen (DC-uitdraai)'!D:D,0)),0)</f>
        <v>999</v>
      </c>
      <c r="P128" s="106">
        <f>IFERROR(INDEX('3. Kengetallen (DC-uitdraai)'!P:P,MATCH(Table1[[#This Row],[Milieuprofiel]],'3. Kengetallen (DC-uitdraai)'!D:D,0))*Table1[[#This Row],[Hvd]]*(1+INDEX('3. Kengetallen (DC-uitdraai)'!K:K,MATCH(Table1[[#This Row],[Milieuprofiel]],'3. Kengetallen (DC-uitdraai)'!D:D,0))),0)</f>
        <v>20.35437657864011</v>
      </c>
      <c r="Q128" s="16">
        <f>IFERROR(INDEX('3. Kengetallen (DC-uitdraai)'!U:U,MATCH(Table1[[#This Row],[Milieuprofiel]],'3. Kengetallen (DC-uitdraai)'!D:D,0))*Table1[[#This Row],[Hvd]]*(1+INDEX('3. Kengetallen (DC-uitdraai)'!K:K,MATCH(Table1[[#This Row],[Milieuprofiel]],'3. Kengetallen (DC-uitdraai)'!D:D,0))),0)</f>
        <v>15.657212609224301</v>
      </c>
      <c r="R128" s="16">
        <f>IFERROR(INDEX('3. Kengetallen (DC-uitdraai)'!V:V,MATCH(Table1[[#This Row],[Milieuprofiel]],'3. Kengetallen (DC-uitdraai)'!D:D,0))*Table1[[#This Row],[Hvd]]*(1+INDEX('3. Kengetallen (DC-uitdraai)'!K:K,MATCH(Table1[[#This Row],[Milieuprofiel]],'3. Kengetallen (DC-uitdraai)'!D:D,0))),0)</f>
        <v>0</v>
      </c>
      <c r="S128" s="16">
        <f>IFERROR(INDEX('3. Kengetallen (DC-uitdraai)'!W:W,MATCH(Table1[[#This Row],[Milieuprofiel]],'3. Kengetallen (DC-uitdraai)'!D:D,0))*Table1[[#This Row],[Hvd]]*(1+INDEX('3. Kengetallen (DC-uitdraai)'!K:K,MATCH(Table1[[#This Row],[Milieuprofiel]],'3. Kengetallen (DC-uitdraai)'!D:D,0))),0)</f>
        <v>0</v>
      </c>
      <c r="T128" s="16">
        <f>IFERROR(INDEX('3. Kengetallen (DC-uitdraai)'!X:X,MATCH(Table1[[#This Row],[Milieuprofiel]],'3. Kengetallen (DC-uitdraai)'!D:D,0))*Table1[[#This Row],[Hvd]]*(1+INDEX('3. Kengetallen (DC-uitdraai)'!K:K,MATCH(Table1[[#This Row],[Milieuprofiel]],'3. Kengetallen (DC-uitdraai)'!D:D,0))),0)</f>
        <v>0</v>
      </c>
      <c r="U128" s="111">
        <f>Table1[[#This Row],[Factor]]</f>
        <v>0.97499999999999998</v>
      </c>
      <c r="V128" s="43">
        <f>Table1[[#This Row],[Volume]]*Table1[[#This Row],[omrekenfactor]]</f>
        <v>1808.625</v>
      </c>
      <c r="W128" s="16" t="str">
        <f>Table1[[#This Row],[Ehd profiel]]</f>
        <v>t*km</v>
      </c>
      <c r="X128" s="108">
        <f>IFERROR(INDEX('Eigen database'!P:P,MATCH(Table1[[#This Row],[Potentieel alternatief]],'Eigen database'!D:D,0))*Table1[[#This Row],[Hoeveelheid]]*(1+INDEX('Eigen database'!K:K,MATCH(Table1[[#This Row],[Potentieel alternatief]],'Eigen database'!D:D,0))),0)</f>
        <v>10.76303449922232</v>
      </c>
      <c r="Y128" s="16">
        <f>IF(Table1[[#This Row],[MKI A-D nieuw]]=0,Table1[[#This Row],[MKI A-D]],Table1[[#This Row],[MKI A-D nieuw]])</f>
        <v>10.76303449922232</v>
      </c>
      <c r="Z128" s="16"/>
      <c r="AA128" s="28">
        <f>IFERROR(INDEX('3. Kengetallen (DC-uitdraai)'!AM:AM,MATCH(Table1[[#This Row],[Milieuprofiel]],'3. Kengetallen (DC-uitdraai)'!C:C,0)),0)*Table1[[#This Row],[Hvd]]</f>
        <v>0</v>
      </c>
      <c r="AB128" s="28">
        <f>IFERROR(INDEX('3. Kengetallen (DC-uitdraai)'!AM:AM,MATCH(Table1[[#This Row],[Potentieel alternatief]],'3. Kengetallen (DC-uitdraai)'!C:C,0)),0)*Table1[[#This Row],[Hvd]]</f>
        <v>0</v>
      </c>
    </row>
    <row r="129" spans="1:58">
      <c r="A129" s="131" t="s">
        <v>380</v>
      </c>
      <c r="B129" s="131" t="s">
        <v>377</v>
      </c>
      <c r="C129" s="132" t="s">
        <v>353</v>
      </c>
      <c r="D129" s="132" t="s">
        <v>364</v>
      </c>
      <c r="E129" s="133" t="s">
        <v>382</v>
      </c>
      <c r="F129" s="133" t="s">
        <v>383</v>
      </c>
      <c r="G129" s="133"/>
      <c r="H129" s="133" t="str">
        <f>IFERROR(INDEX('3. Kengetallen (DC-uitdraai)'!F:F,MATCH(Table1[[#This Row],[Milieuprofiel]],'3. Kengetallen (DC-uitdraai)'!D:D,0)),"")</f>
        <v>Cat.3 (30%)</v>
      </c>
      <c r="I129" s="129">
        <v>690</v>
      </c>
      <c r="J129" t="s">
        <v>384</v>
      </c>
      <c r="K129" t="str">
        <f>IF(ISTEXT(Table1[[#This Row],[Milieuprofiel]]),"Ja","Nee")</f>
        <v>Ja</v>
      </c>
      <c r="L129" s="27">
        <f>0.3/1.95</f>
        <v>0.15384615384615385</v>
      </c>
      <c r="M129" s="26">
        <f>Table1[[#This Row],[Volume]]*Table1[[#This Row],[Factor]]</f>
        <v>106.15384615384616</v>
      </c>
      <c r="N129" t="str">
        <f>IFERROR(INDEX('3. Kengetallen (DC-uitdraai)'!H:H,MATCH(Table1[[#This Row],[Milieuprofiel]],'3. Kengetallen (DC-uitdraai)'!D:D,0)),"")</f>
        <v>m2</v>
      </c>
      <c r="O129">
        <f>IFERROR(INDEX('3. Kengetallen (DC-uitdraai)'!I:I,MATCH(Table1[[#This Row],[Milieuprofiel]],'3. Kengetallen (DC-uitdraai)'!D:D,0)),0)</f>
        <v>100</v>
      </c>
      <c r="P129" s="106">
        <f>IFERROR(INDEX('3. Kengetallen (DC-uitdraai)'!P:P,MATCH(Table1[[#This Row],[Milieuprofiel]],'3. Kengetallen (DC-uitdraai)'!D:D,0))*Table1[[#This Row],[Hvd]]*(1+INDEX('3. Kengetallen (DC-uitdraai)'!K:K,MATCH(Table1[[#This Row],[Milieuprofiel]],'3. Kengetallen (DC-uitdraai)'!D:D,0))),0)</f>
        <v>137.09806404665656</v>
      </c>
      <c r="Q129" s="16">
        <f>IFERROR(INDEX('3. Kengetallen (DC-uitdraai)'!U:U,MATCH(Table1[[#This Row],[Milieuprofiel]],'3. Kengetallen (DC-uitdraai)'!D:D,0))*Table1[[#This Row],[Hvd]]*(1+INDEX('3. Kengetallen (DC-uitdraai)'!K:K,MATCH(Table1[[#This Row],[Milieuprofiel]],'3. Kengetallen (DC-uitdraai)'!D:D,0))),0)</f>
        <v>0</v>
      </c>
      <c r="R129" s="16">
        <f>IFERROR(INDEX('3. Kengetallen (DC-uitdraai)'!V:V,MATCH(Table1[[#This Row],[Milieuprofiel]],'3. Kengetallen (DC-uitdraai)'!D:D,0))*Table1[[#This Row],[Hvd]]*(1+INDEX('3. Kengetallen (DC-uitdraai)'!K:K,MATCH(Table1[[#This Row],[Milieuprofiel]],'3. Kengetallen (DC-uitdraai)'!D:D,0))),0)</f>
        <v>42.45427537902917</v>
      </c>
      <c r="S129" s="16">
        <f>IFERROR(INDEX('3. Kengetallen (DC-uitdraai)'!W:W,MATCH(Table1[[#This Row],[Milieuprofiel]],'3. Kengetallen (DC-uitdraai)'!D:D,0))*Table1[[#This Row],[Hvd]]*(1+INDEX('3. Kengetallen (DC-uitdraai)'!K:K,MATCH(Table1[[#This Row],[Milieuprofiel]],'3. Kengetallen (DC-uitdraai)'!D:D,0))),0)</f>
        <v>4.3780401579461543</v>
      </c>
      <c r="T129" s="16">
        <f>IFERROR(INDEX('3. Kengetallen (DC-uitdraai)'!X:X,MATCH(Table1[[#This Row],[Milieuprofiel]],'3. Kengetallen (DC-uitdraai)'!D:D,0))*Table1[[#This Row],[Hvd]]*(1+INDEX('3. Kengetallen (DC-uitdraai)'!K:K,MATCH(Table1[[#This Row],[Milieuprofiel]],'3. Kengetallen (DC-uitdraai)'!D:D,0))),0)</f>
        <v>58.62773276262071</v>
      </c>
      <c r="U129" s="16"/>
      <c r="V129" s="16"/>
      <c r="W129" s="16"/>
      <c r="X129" s="108">
        <f>IFERROR(INDEX('Eigen database'!P:P,MATCH(Table1[[#This Row],[Potentieel alternatief]],'Eigen database'!D:D,0))*Table1[[#This Row],[Hoeveelheid]]*(1+INDEX('Eigen database'!K:K,MATCH(Table1[[#This Row],[Potentieel alternatief]],'Eigen database'!D:D,0))),0)</f>
        <v>0</v>
      </c>
      <c r="Y129" s="16">
        <f>IF(Table1[[#This Row],[MKI A-D nieuw]]=0,Table1[[#This Row],[MKI A-D]],Table1[[#This Row],[MKI A-D nieuw]])</f>
        <v>137.09806404665656</v>
      </c>
      <c r="Z129" s="16"/>
      <c r="AA129" s="28">
        <f>IFERROR(INDEX('3. Kengetallen (DC-uitdraai)'!AM:AM,MATCH(Table1[[#This Row],[Milieuprofiel]],'3. Kengetallen (DC-uitdraai)'!C:C,0)),0)*Table1[[#This Row],[Hvd]]</f>
        <v>0</v>
      </c>
      <c r="AB129" s="28">
        <f>IFERROR(INDEX('3. Kengetallen (DC-uitdraai)'!AM:AM,MATCH(Table1[[#This Row],[Potentieel alternatief]],'3. Kengetallen (DC-uitdraai)'!C:C,0)),0)*Table1[[#This Row],[Hvd]]</f>
        <v>0</v>
      </c>
    </row>
    <row r="130" spans="1:58">
      <c r="A130" s="89" t="s">
        <v>385</v>
      </c>
      <c r="B130" s="89" t="s">
        <v>386</v>
      </c>
      <c r="C130" s="42" t="s">
        <v>353</v>
      </c>
      <c r="D130" s="42" t="s">
        <v>387</v>
      </c>
      <c r="E130" s="113" t="s">
        <v>388</v>
      </c>
      <c r="F130" t="s">
        <v>389</v>
      </c>
      <c r="G130" t="s">
        <v>390</v>
      </c>
      <c r="H130" t="str">
        <f>IFERROR(INDEX('3. Kengetallen (DC-uitdraai)'!F:F,MATCH(Table1[[#This Row],[Milieuprofiel]],'3. Kengetallen (DC-uitdraai)'!D:D,0)),"")</f>
        <v>Cat.3 (30%)</v>
      </c>
      <c r="I130" s="129">
        <v>2170</v>
      </c>
      <c r="J130" t="s">
        <v>93</v>
      </c>
      <c r="K130" t="str">
        <f>IF(ISTEXT(Table1[[#This Row],[Milieuprofiel]]),"Ja","Nee")</f>
        <v>Ja</v>
      </c>
      <c r="L130" s="27">
        <f>(200*250)/(100*200)</f>
        <v>2.5</v>
      </c>
      <c r="M130" s="26">
        <f>Table1[[#This Row],[Volume]]*Table1[[#This Row],[Factor]]</f>
        <v>5425</v>
      </c>
      <c r="N130" t="str">
        <f>IFERROR(INDEX('3. Kengetallen (DC-uitdraai)'!H:H,MATCH(Table1[[#This Row],[Milieuprofiel]],'3. Kengetallen (DC-uitdraai)'!D:D,0)),"")</f>
        <v>m1</v>
      </c>
      <c r="O130">
        <f>IFERROR(INDEX('3. Kengetallen (DC-uitdraai)'!I:I,MATCH(Table1[[#This Row],[Milieuprofiel]],'3. Kengetallen (DC-uitdraai)'!D:D,0)),0)</f>
        <v>50</v>
      </c>
      <c r="P130" s="125">
        <f>IFERROR(INDEX('3. Kengetallen (DC-uitdraai)'!P:P,MATCH(Table1[[#This Row],[Milieuprofiel]],'3. Kengetallen (DC-uitdraai)'!D:D,0))*Table1[[#This Row],[Hvd]]*(1+INDEX('3. Kengetallen (DC-uitdraai)'!K:K,MATCH(Table1[[#This Row],[Milieuprofiel]],'3. Kengetallen (DC-uitdraai)'!D:D,0))),0)</f>
        <v>9952.4560815550431</v>
      </c>
      <c r="Q130" s="126">
        <f>IFERROR(INDEX('3. Kengetallen (DC-uitdraai)'!U:U,MATCH(Table1[[#This Row],[Milieuprofiel]],'3. Kengetallen (DC-uitdraai)'!D:D,0))*Table1[[#This Row],[Hvd]]*(1+INDEX('3. Kengetallen (DC-uitdraai)'!K:K,MATCH(Table1[[#This Row],[Milieuprofiel]],'3. Kengetallen (DC-uitdraai)'!D:D,0))),0)</f>
        <v>2242.2170206190226</v>
      </c>
      <c r="R130" s="126">
        <f>IFERROR(INDEX('3. Kengetallen (DC-uitdraai)'!V:V,MATCH(Table1[[#This Row],[Milieuprofiel]],'3. Kengetallen (DC-uitdraai)'!D:D,0))*Table1[[#This Row],[Hvd]]*(1+INDEX('3. Kengetallen (DC-uitdraai)'!K:K,MATCH(Table1[[#This Row],[Milieuprofiel]],'3. Kengetallen (DC-uitdraai)'!D:D,0))),0)</f>
        <v>1039.5830109076185</v>
      </c>
      <c r="S130" s="126">
        <f>IFERROR(INDEX('3. Kengetallen (DC-uitdraai)'!W:W,MATCH(Table1[[#This Row],[Milieuprofiel]],'3. Kengetallen (DC-uitdraai)'!D:D,0))*Table1[[#This Row],[Hvd]]*(1+INDEX('3. Kengetallen (DC-uitdraai)'!K:K,MATCH(Table1[[#This Row],[Milieuprofiel]],'3. Kengetallen (DC-uitdraai)'!D:D,0))),0)</f>
        <v>3878.234770242756</v>
      </c>
      <c r="T130" s="126">
        <f>IFERROR(INDEX('3. Kengetallen (DC-uitdraai)'!X:X,MATCH(Table1[[#This Row],[Milieuprofiel]],'3. Kengetallen (DC-uitdraai)'!D:D,0))*Table1[[#This Row],[Hvd]]*(1+INDEX('3. Kengetallen (DC-uitdraai)'!K:K,MATCH(Table1[[#This Row],[Milieuprofiel]],'3. Kengetallen (DC-uitdraai)'!D:D,0))),0)</f>
        <v>465.48032517566844</v>
      </c>
      <c r="U130" s="43">
        <f>0.1*0.2</f>
        <v>2.0000000000000004E-2</v>
      </c>
      <c r="V130" s="43">
        <f>Table1[[#This Row],[Volume]]*Table1[[#This Row],[omrekenfactor]]</f>
        <v>43.400000000000006</v>
      </c>
      <c r="W130" s="43" t="str">
        <f>IFERROR(INDEX('Eigen database'!H:H,MATCH(Table1[[#This Row],[Potentieel alternatief]],'Eigen database'!D:D,0)),"")</f>
        <v>m3</v>
      </c>
      <c r="X130" s="114">
        <f>IFERROR(INDEX('Eigen database'!P:P,MATCH(Table1[[#This Row],[Potentieel alternatief]],'Eigen database'!D:D,0))*Table1[[#This Row],[Hoeveelheid]]*(1+INDEX('Eigen database'!K:K,MATCH(Table1[[#This Row],[Potentieel alternatief]],'Eigen database'!D:D,0))),0)</f>
        <v>1085.0000000000002</v>
      </c>
      <c r="Y130" s="128">
        <f>IF(Table1[[#This Row],[MKI A-D nieuw]]=0,Table1[[#This Row],[MKI A-D]],Table1[[#This Row],[MKI A-D nieuw]])</f>
        <v>1085.0000000000002</v>
      </c>
      <c r="Z130" s="16"/>
      <c r="AA130" s="28">
        <f>IFERROR(INDEX('3. Kengetallen (DC-uitdraai)'!AM:AM,MATCH(Table1[[#This Row],[Milieuprofiel]],'3. Kengetallen (DC-uitdraai)'!C:C,0)),0)*Table1[[#This Row],[Hvd]]</f>
        <v>0</v>
      </c>
      <c r="AB130" s="28">
        <f>IFERROR(INDEX('3. Kengetallen (DC-uitdraai)'!AM:AM,MATCH(Table1[[#This Row],[Potentieel alternatief]],'3. Kengetallen (DC-uitdraai)'!C:C,0)),0)*Table1[[#This Row],[Hvd]]</f>
        <v>0</v>
      </c>
    </row>
    <row r="131" spans="1:58" s="117" customFormat="1">
      <c r="A131" s="89" t="s">
        <v>391</v>
      </c>
      <c r="B131" s="89" t="s">
        <v>386</v>
      </c>
      <c r="C131" s="42"/>
      <c r="D131" s="42"/>
      <c r="E131" s="113" t="s">
        <v>392</v>
      </c>
      <c r="F131" t="s">
        <v>393</v>
      </c>
      <c r="G131" t="s">
        <v>390</v>
      </c>
      <c r="H131" t="str">
        <f>IFERROR(INDEX('3. Kengetallen (DC-uitdraai)'!F:F,MATCH(Table1[[#This Row],[Milieuprofiel]],'3. Kengetallen (DC-uitdraai)'!D:D,0)),"")</f>
        <v>Cat.3 (30%)</v>
      </c>
      <c r="I131" s="26">
        <v>40</v>
      </c>
      <c r="J131" t="s">
        <v>93</v>
      </c>
      <c r="K131" t="str">
        <f>IF(ISTEXT(Table1[[#This Row],[Milieuprofiel]]),"Ja","Nee")</f>
        <v>Ja</v>
      </c>
      <c r="L131" s="27">
        <f>60/300</f>
        <v>0.2</v>
      </c>
      <c r="M131" s="26">
        <f>Table1[[#This Row],[Volume]]*Table1[[#This Row],[Factor]]</f>
        <v>8</v>
      </c>
      <c r="N131" t="str">
        <f>IFERROR(INDEX('3. Kengetallen (DC-uitdraai)'!H:H,MATCH(Table1[[#This Row],[Milieuprofiel]],'3. Kengetallen (DC-uitdraai)'!D:D,0)),"")</f>
        <v>m1</v>
      </c>
      <c r="O131">
        <f>IFERROR(INDEX('3. Kengetallen (DC-uitdraai)'!I:I,MATCH(Table1[[#This Row],[Milieuprofiel]],'3. Kengetallen (DC-uitdraai)'!D:D,0)),0)</f>
        <v>75</v>
      </c>
      <c r="P131" s="125">
        <f>IFERROR(INDEX('3. Kengetallen (DC-uitdraai)'!P:P,MATCH(Table1[[#This Row],[Milieuprofiel]],'3. Kengetallen (DC-uitdraai)'!D:D,0))*Table1[[#This Row],[Hvd]]*(1+INDEX('3. Kengetallen (DC-uitdraai)'!K:K,MATCH(Table1[[#This Row],[Milieuprofiel]],'3. Kengetallen (DC-uitdraai)'!D:D,0))),0)</f>
        <v>17.631430326640377</v>
      </c>
      <c r="Q131" s="126">
        <f>IFERROR(INDEX('3. Kengetallen (DC-uitdraai)'!U:U,MATCH(Table1[[#This Row],[Milieuprofiel]],'3. Kengetallen (DC-uitdraai)'!D:D,0))*Table1[[#This Row],[Hvd]]*(1+INDEX('3. Kengetallen (DC-uitdraai)'!K:K,MATCH(Table1[[#This Row],[Milieuprofiel]],'3. Kengetallen (DC-uitdraai)'!D:D,0))),0)</f>
        <v>7.5629741230821121</v>
      </c>
      <c r="R131" s="126">
        <f>IFERROR(INDEX('3. Kengetallen (DC-uitdraai)'!V:V,MATCH(Table1[[#This Row],[Milieuprofiel]],'3. Kengetallen (DC-uitdraai)'!D:D,0))*Table1[[#This Row],[Hvd]]*(1+INDEX('3. Kengetallen (DC-uitdraai)'!K:K,MATCH(Table1[[#This Row],[Milieuprofiel]],'3. Kengetallen (DC-uitdraai)'!D:D,0))),0)</f>
        <v>6.1885833787528055</v>
      </c>
      <c r="S131" s="126">
        <f>IFERROR(INDEX('3. Kengetallen (DC-uitdraai)'!W:W,MATCH(Table1[[#This Row],[Milieuprofiel]],'3. Kengetallen (DC-uitdraai)'!D:D,0))*Table1[[#This Row],[Hvd]]*(1+INDEX('3. Kengetallen (DC-uitdraai)'!K:K,MATCH(Table1[[#This Row],[Milieuprofiel]],'3. Kengetallen (DC-uitdraai)'!D:D,0))),0)</f>
        <v>0</v>
      </c>
      <c r="T131" s="126">
        <f>IFERROR(INDEX('3. Kengetallen (DC-uitdraai)'!X:X,MATCH(Table1[[#This Row],[Milieuprofiel]],'3. Kengetallen (DC-uitdraai)'!D:D,0))*Table1[[#This Row],[Hvd]]*(1+INDEX('3. Kengetallen (DC-uitdraai)'!K:K,MATCH(Table1[[#This Row],[Milieuprofiel]],'3. Kengetallen (DC-uitdraai)'!D:D,0))),0)</f>
        <v>-1.1187701425996077</v>
      </c>
      <c r="U131" s="43">
        <f>0.06*0.15</f>
        <v>8.9999999999999993E-3</v>
      </c>
      <c r="V131" s="43">
        <f>Table1[[#This Row],[Volume]]*Table1[[#This Row],[omrekenfactor]]</f>
        <v>0.36</v>
      </c>
      <c r="W131" s="43" t="str">
        <f>IFERROR(INDEX('Eigen database'!H:H,MATCH(Table1[[#This Row],[Potentieel alternatief]],'Eigen database'!D:D,0)),"")</f>
        <v>m3</v>
      </c>
      <c r="X131" s="114">
        <f>IFERROR(INDEX('Eigen database'!P:P,MATCH(Table1[[#This Row],[Potentieel alternatief]],'Eigen database'!D:D,0))*Table1[[#This Row],[Hoeveelheid]]*(1+INDEX('Eigen database'!K:K,MATCH(Table1[[#This Row],[Potentieel alternatief]],'Eigen database'!D:D,0))),0)</f>
        <v>9</v>
      </c>
      <c r="Y131" s="128">
        <f>IF(Table1[[#This Row],[MKI A-D nieuw]]=0,Table1[[#This Row],[MKI A-D]],Table1[[#This Row],[MKI A-D nieuw]])</f>
        <v>9</v>
      </c>
      <c r="Z131" s="126"/>
      <c r="AA131" s="127">
        <f>IFERROR(INDEX('3. Kengetallen (DC-uitdraai)'!AM:AM,MATCH(Table1[[#This Row],[Milieuprofiel]],'3. Kengetallen (DC-uitdraai)'!C:C,0)),0)*Table1[[#This Row],[Hvd]]</f>
        <v>0</v>
      </c>
      <c r="AB131" s="127">
        <f>IFERROR(INDEX('3. Kengetallen (DC-uitdraai)'!AM:AM,MATCH(Table1[[#This Row],[Potentieel alternatief]],'3. Kengetallen (DC-uitdraai)'!C:C,0)),0)*Table1[[#This Row],[Hvd]]</f>
        <v>0</v>
      </c>
      <c r="AC131"/>
      <c r="AD131"/>
      <c r="AE131"/>
      <c r="AF131"/>
      <c r="AG131"/>
      <c r="AH131"/>
      <c r="AI131"/>
      <c r="AJ131"/>
      <c r="AK131"/>
      <c r="AL131"/>
      <c r="AM131"/>
      <c r="AN131"/>
      <c r="AO131"/>
      <c r="AP131"/>
      <c r="AQ131"/>
      <c r="AR131"/>
      <c r="AS131"/>
      <c r="AT131"/>
      <c r="AU131"/>
      <c r="AV131"/>
      <c r="AW131"/>
      <c r="AX131"/>
      <c r="AY131"/>
      <c r="AZ131"/>
      <c r="BA131"/>
      <c r="BB131"/>
      <c r="BC131"/>
      <c r="BD131"/>
      <c r="BE131"/>
      <c r="BF131"/>
    </row>
    <row r="132" spans="1:58" s="117" customFormat="1">
      <c r="A132" s="137" t="s">
        <v>394</v>
      </c>
      <c r="B132" s="89"/>
      <c r="C132" s="42" t="s">
        <v>353</v>
      </c>
      <c r="D132" s="42" t="s">
        <v>387</v>
      </c>
      <c r="E132" s="113" t="s">
        <v>395</v>
      </c>
      <c r="F132" s="141" t="s">
        <v>396</v>
      </c>
      <c r="G132"/>
      <c r="H132" t="str">
        <f>IFERROR(INDEX('3. Kengetallen (DC-uitdraai)'!F:F,MATCH(Table1[[#This Row],[Milieuprofiel]],'3. Kengetallen (DC-uitdraai)'!D:D,0)),"")</f>
        <v>Cat.2</v>
      </c>
      <c r="I132" s="138">
        <v>2115</v>
      </c>
      <c r="J132" t="s">
        <v>397</v>
      </c>
      <c r="K132" t="str">
        <f>IF(ISTEXT(Table1[[#This Row],[Milieuprofiel]]),"Ja","Nee")</f>
        <v>Ja</v>
      </c>
      <c r="L132" s="139">
        <f>0.2*0.25</f>
        <v>0.05</v>
      </c>
      <c r="M132" s="26">
        <f>Table1[[#This Row],[Volume]]*Table1[[#This Row],[Factor]]</f>
        <v>105.75</v>
      </c>
      <c r="N132" t="str">
        <f>IFERROR(INDEX('3. Kengetallen (DC-uitdraai)'!H:H,MATCH(Table1[[#This Row],[Milieuprofiel]],'3. Kengetallen (DC-uitdraai)'!D:D,0)),"")</f>
        <v>m3</v>
      </c>
      <c r="O132">
        <f>IFERROR(INDEX('3. Kengetallen (DC-uitdraai)'!I:I,MATCH(Table1[[#This Row],[Milieuprofiel]],'3. Kengetallen (DC-uitdraai)'!D:D,0)),0)</f>
        <v>25</v>
      </c>
      <c r="P132" s="125">
        <f>IFERROR(INDEX('3. Kengetallen (DC-uitdraai)'!P:P,MATCH(Table1[[#This Row],[Milieuprofiel]],'3. Kengetallen (DC-uitdraai)'!D:D,0))*Table1[[#This Row],[Hvd]]*(1+INDEX('3. Kengetallen (DC-uitdraai)'!K:K,MATCH(Table1[[#This Row],[Milieuprofiel]],'3. Kengetallen (DC-uitdraai)'!D:D,0))),0)</f>
        <v>3845.26881</v>
      </c>
      <c r="Q132" s="126">
        <f>IFERROR(INDEX('3. Kengetallen (DC-uitdraai)'!U:U,MATCH(Table1[[#This Row],[Milieuprofiel]],'3. Kengetallen (DC-uitdraai)'!D:D,0))*Table1[[#This Row],[Hvd]]*(1+INDEX('3. Kengetallen (DC-uitdraai)'!K:K,MATCH(Table1[[#This Row],[Milieuprofiel]],'3. Kengetallen (DC-uitdraai)'!D:D,0))),0)</f>
        <v>0</v>
      </c>
      <c r="R132" s="126">
        <f>IFERROR(INDEX('3. Kengetallen (DC-uitdraai)'!V:V,MATCH(Table1[[#This Row],[Milieuprofiel]],'3. Kengetallen (DC-uitdraai)'!D:D,0))*Table1[[#This Row],[Hvd]]*(1+INDEX('3. Kengetallen (DC-uitdraai)'!K:K,MATCH(Table1[[#This Row],[Milieuprofiel]],'3. Kengetallen (DC-uitdraai)'!D:D,0))),0)</f>
        <v>0</v>
      </c>
      <c r="S132" s="126">
        <f>IFERROR(INDEX('3. Kengetallen (DC-uitdraai)'!W:W,MATCH(Table1[[#This Row],[Milieuprofiel]],'3. Kengetallen (DC-uitdraai)'!D:D,0))*Table1[[#This Row],[Hvd]]*(1+INDEX('3. Kengetallen (DC-uitdraai)'!K:K,MATCH(Table1[[#This Row],[Milieuprofiel]],'3. Kengetallen (DC-uitdraai)'!D:D,0))),0)</f>
        <v>0</v>
      </c>
      <c r="T132" s="126">
        <f>IFERROR(INDEX('3. Kengetallen (DC-uitdraai)'!X:X,MATCH(Table1[[#This Row],[Milieuprofiel]],'3. Kengetallen (DC-uitdraai)'!D:D,0))*Table1[[#This Row],[Hvd]]*(1+INDEX('3. Kengetallen (DC-uitdraai)'!K:K,MATCH(Table1[[#This Row],[Milieuprofiel]],'3. Kengetallen (DC-uitdraai)'!D:D,0))),0)</f>
        <v>0</v>
      </c>
      <c r="U132" s="16"/>
      <c r="V132" s="16"/>
      <c r="W132" s="16"/>
      <c r="X132" s="114">
        <f>IFERROR(INDEX('Eigen database'!P:P,MATCH(Table1[[#This Row],[Potentieel alternatief]],'Eigen database'!D:D,0))*Table1[[#This Row],[Hoeveelheid]]*(1+INDEX('Eigen database'!K:K,MATCH(Table1[[#This Row],[Potentieel alternatief]],'Eigen database'!D:D,0))),0)</f>
        <v>0</v>
      </c>
      <c r="Y132" s="128">
        <f>IF(Table1[[#This Row],[MKI A-D nieuw]]=0,Table1[[#This Row],[MKI A-D]],Table1[[#This Row],[MKI A-D nieuw]])</f>
        <v>3845.26881</v>
      </c>
      <c r="Z132" s="126"/>
      <c r="AA132" s="127">
        <f>IFERROR(INDEX('3. Kengetallen (DC-uitdraai)'!AM:AM,MATCH(Table1[[#This Row],[Milieuprofiel]],'3. Kengetallen (DC-uitdraai)'!C:C,0)),0)*Table1[[#This Row],[Hvd]]</f>
        <v>0</v>
      </c>
      <c r="AB132" s="127">
        <f>IFERROR(INDEX('3. Kengetallen (DC-uitdraai)'!AM:AM,MATCH(Table1[[#This Row],[Potentieel alternatief]],'3. Kengetallen (DC-uitdraai)'!C:C,0)),0)*Table1[[#This Row],[Hvd]]</f>
        <v>0</v>
      </c>
      <c r="AC132"/>
      <c r="AD132"/>
      <c r="AE132"/>
      <c r="AF132"/>
      <c r="AG132"/>
      <c r="AH132"/>
      <c r="AI132"/>
      <c r="AJ132"/>
      <c r="AK132"/>
      <c r="AL132"/>
      <c r="AM132"/>
      <c r="AN132"/>
      <c r="AO132"/>
      <c r="AP132"/>
      <c r="AQ132"/>
      <c r="AR132"/>
      <c r="AS132"/>
      <c r="AT132"/>
      <c r="AU132"/>
      <c r="AV132"/>
      <c r="AW132"/>
      <c r="AX132"/>
      <c r="AY132"/>
      <c r="AZ132"/>
      <c r="BA132"/>
      <c r="BB132"/>
      <c r="BC132"/>
      <c r="BD132"/>
      <c r="BE132"/>
      <c r="BF132"/>
    </row>
    <row r="133" spans="1:58" s="117" customFormat="1">
      <c r="A133" s="137" t="s">
        <v>398</v>
      </c>
      <c r="B133" s="89"/>
      <c r="C133" s="42" t="s">
        <v>353</v>
      </c>
      <c r="D133" s="42" t="s">
        <v>387</v>
      </c>
      <c r="E133" s="113" t="s">
        <v>395</v>
      </c>
      <c r="F133" s="141" t="s">
        <v>396</v>
      </c>
      <c r="G133"/>
      <c r="H133" t="str">
        <f>IFERROR(INDEX('3. Kengetallen (DC-uitdraai)'!F:F,MATCH(Table1[[#This Row],[Milieuprofiel]],'3. Kengetallen (DC-uitdraai)'!D:D,0)),"")</f>
        <v>Cat.2</v>
      </c>
      <c r="I133" s="138">
        <v>40</v>
      </c>
      <c r="J133" t="s">
        <v>397</v>
      </c>
      <c r="K133" t="str">
        <f>IF(ISTEXT(Table1[[#This Row],[Milieuprofiel]]),"Ja","Nee")</f>
        <v>Ja</v>
      </c>
      <c r="L133" s="139">
        <f>0.06*0.15</f>
        <v>8.9999999999999993E-3</v>
      </c>
      <c r="M133" s="124">
        <f>Table1[[#This Row],[Volume]]*Table1[[#This Row],[Factor]]</f>
        <v>0.36</v>
      </c>
      <c r="N133" t="str">
        <f>IFERROR(INDEX('3. Kengetallen (DC-uitdraai)'!H:H,MATCH(Table1[[#This Row],[Milieuprofiel]],'3. Kengetallen (DC-uitdraai)'!D:D,0)),"")</f>
        <v>m3</v>
      </c>
      <c r="O133">
        <f>IFERROR(INDEX('3. Kengetallen (DC-uitdraai)'!I:I,MATCH(Table1[[#This Row],[Milieuprofiel]],'3. Kengetallen (DC-uitdraai)'!D:D,0)),0)</f>
        <v>25</v>
      </c>
      <c r="P133" s="125">
        <f>IFERROR(INDEX('3. Kengetallen (DC-uitdraai)'!P:P,MATCH(Table1[[#This Row],[Milieuprofiel]],'3. Kengetallen (DC-uitdraai)'!D:D,0))*Table1[[#This Row],[Hvd]]*(1+INDEX('3. Kengetallen (DC-uitdraai)'!K:K,MATCH(Table1[[#This Row],[Milieuprofiel]],'3. Kengetallen (DC-uitdraai)'!D:D,0))),0)</f>
        <v>13.0902768</v>
      </c>
      <c r="Q133" s="126">
        <f>IFERROR(INDEX('3. Kengetallen (DC-uitdraai)'!U:U,MATCH(Table1[[#This Row],[Milieuprofiel]],'3. Kengetallen (DC-uitdraai)'!D:D,0))*Table1[[#This Row],[Hvd]]*(1+INDEX('3. Kengetallen (DC-uitdraai)'!K:K,MATCH(Table1[[#This Row],[Milieuprofiel]],'3. Kengetallen (DC-uitdraai)'!D:D,0))),0)</f>
        <v>0</v>
      </c>
      <c r="R133" s="126">
        <f>IFERROR(INDEX('3. Kengetallen (DC-uitdraai)'!V:V,MATCH(Table1[[#This Row],[Milieuprofiel]],'3. Kengetallen (DC-uitdraai)'!D:D,0))*Table1[[#This Row],[Hvd]]*(1+INDEX('3. Kengetallen (DC-uitdraai)'!K:K,MATCH(Table1[[#This Row],[Milieuprofiel]],'3. Kengetallen (DC-uitdraai)'!D:D,0))),0)</f>
        <v>0</v>
      </c>
      <c r="S133" s="126">
        <f>IFERROR(INDEX('3. Kengetallen (DC-uitdraai)'!W:W,MATCH(Table1[[#This Row],[Milieuprofiel]],'3. Kengetallen (DC-uitdraai)'!D:D,0))*Table1[[#This Row],[Hvd]]*(1+INDEX('3. Kengetallen (DC-uitdraai)'!K:K,MATCH(Table1[[#This Row],[Milieuprofiel]],'3. Kengetallen (DC-uitdraai)'!D:D,0))),0)</f>
        <v>0</v>
      </c>
      <c r="T133" s="126">
        <f>IFERROR(INDEX('3. Kengetallen (DC-uitdraai)'!X:X,MATCH(Table1[[#This Row],[Milieuprofiel]],'3. Kengetallen (DC-uitdraai)'!D:D,0))*Table1[[#This Row],[Hvd]]*(1+INDEX('3. Kengetallen (DC-uitdraai)'!K:K,MATCH(Table1[[#This Row],[Milieuprofiel]],'3. Kengetallen (DC-uitdraai)'!D:D,0))),0)</f>
        <v>0</v>
      </c>
      <c r="U133" s="16"/>
      <c r="V133" s="16"/>
      <c r="W133" s="16"/>
      <c r="X133" s="114">
        <f>IFERROR(INDEX('Eigen database'!P:P,MATCH(Table1[[#This Row],[Potentieel alternatief]],'Eigen database'!D:D,0))*Table1[[#This Row],[Hoeveelheid]]*(1+INDEX('Eigen database'!K:K,MATCH(Table1[[#This Row],[Potentieel alternatief]],'Eigen database'!D:D,0))),0)</f>
        <v>0</v>
      </c>
      <c r="Y133" s="128">
        <f>IF(Table1[[#This Row],[MKI A-D nieuw]]=0,Table1[[#This Row],[MKI A-D]],Table1[[#This Row],[MKI A-D nieuw]])</f>
        <v>13.0902768</v>
      </c>
      <c r="Z133" s="126"/>
      <c r="AA133" s="127">
        <f>IFERROR(INDEX('3. Kengetallen (DC-uitdraai)'!AM:AM,MATCH(Table1[[#This Row],[Milieuprofiel]],'3. Kengetallen (DC-uitdraai)'!C:C,0)),0)*Table1[[#This Row],[Hvd]]</f>
        <v>0</v>
      </c>
      <c r="AB133" s="127">
        <f>IFERROR(INDEX('3. Kengetallen (DC-uitdraai)'!AM:AM,MATCH(Table1[[#This Row],[Potentieel alternatief]],'3. Kengetallen (DC-uitdraai)'!C:C,0)),0)*Table1[[#This Row],[Hvd]]</f>
        <v>0</v>
      </c>
      <c r="AC133"/>
      <c r="AD133"/>
      <c r="AE133"/>
      <c r="AF133"/>
      <c r="AG133"/>
      <c r="AH133"/>
      <c r="AI133"/>
      <c r="AJ133"/>
      <c r="AK133"/>
      <c r="AL133"/>
      <c r="AM133"/>
      <c r="AN133"/>
      <c r="AO133"/>
      <c r="AP133"/>
      <c r="AQ133"/>
      <c r="AR133"/>
      <c r="AS133"/>
      <c r="AT133"/>
      <c r="AU133"/>
      <c r="AV133"/>
      <c r="AW133"/>
      <c r="AX133"/>
      <c r="AY133"/>
      <c r="AZ133"/>
      <c r="BA133"/>
      <c r="BB133"/>
      <c r="BC133"/>
      <c r="BD133"/>
      <c r="BE133"/>
      <c r="BF133"/>
    </row>
    <row r="134" spans="1:58" s="117" customFormat="1">
      <c r="A134" s="137" t="s">
        <v>399</v>
      </c>
      <c r="B134" s="89"/>
      <c r="C134" s="42" t="s">
        <v>353</v>
      </c>
      <c r="D134" s="42" t="s">
        <v>387</v>
      </c>
      <c r="E134" s="113" t="s">
        <v>395</v>
      </c>
      <c r="F134" s="141" t="s">
        <v>396</v>
      </c>
      <c r="G134"/>
      <c r="H134" t="str">
        <f>IFERROR(INDEX('3. Kengetallen (DC-uitdraai)'!F:F,MATCH(Table1[[#This Row],[Milieuprofiel]],'3. Kengetallen (DC-uitdraai)'!D:D,0)),"")</f>
        <v>Cat.2</v>
      </c>
      <c r="I134" s="138">
        <v>69</v>
      </c>
      <c r="J134" t="s">
        <v>397</v>
      </c>
      <c r="K134" t="str">
        <f>IF(ISTEXT(Table1[[#This Row],[Milieuprofiel]]),"Ja","Nee")</f>
        <v>Ja</v>
      </c>
      <c r="L134" s="139">
        <f>0.2*0.25</f>
        <v>0.05</v>
      </c>
      <c r="M134" s="26">
        <f>Table1[[#This Row],[Volume]]*Table1[[#This Row],[Factor]]</f>
        <v>3.45</v>
      </c>
      <c r="N134" t="str">
        <f>IFERROR(INDEX('3. Kengetallen (DC-uitdraai)'!H:H,MATCH(Table1[[#This Row],[Milieuprofiel]],'3. Kengetallen (DC-uitdraai)'!D:D,0)),"")</f>
        <v>m3</v>
      </c>
      <c r="O134">
        <f>IFERROR(INDEX('3. Kengetallen (DC-uitdraai)'!I:I,MATCH(Table1[[#This Row],[Milieuprofiel]],'3. Kengetallen (DC-uitdraai)'!D:D,0)),0)</f>
        <v>25</v>
      </c>
      <c r="P134" s="125">
        <f>IFERROR(INDEX('3. Kengetallen (DC-uitdraai)'!P:P,MATCH(Table1[[#This Row],[Milieuprofiel]],'3. Kengetallen (DC-uitdraai)'!D:D,0))*Table1[[#This Row],[Hvd]]*(1+INDEX('3. Kengetallen (DC-uitdraai)'!K:K,MATCH(Table1[[#This Row],[Milieuprofiel]],'3. Kengetallen (DC-uitdraai)'!D:D,0))),0)</f>
        <v>125.448486</v>
      </c>
      <c r="Q134" s="126">
        <f>IFERROR(INDEX('3. Kengetallen (DC-uitdraai)'!U:U,MATCH(Table1[[#This Row],[Milieuprofiel]],'3. Kengetallen (DC-uitdraai)'!D:D,0))*Table1[[#This Row],[Hvd]]*(1+INDEX('3. Kengetallen (DC-uitdraai)'!K:K,MATCH(Table1[[#This Row],[Milieuprofiel]],'3. Kengetallen (DC-uitdraai)'!D:D,0))),0)</f>
        <v>0</v>
      </c>
      <c r="R134" s="126">
        <f>IFERROR(INDEX('3. Kengetallen (DC-uitdraai)'!V:V,MATCH(Table1[[#This Row],[Milieuprofiel]],'3. Kengetallen (DC-uitdraai)'!D:D,0))*Table1[[#This Row],[Hvd]]*(1+INDEX('3. Kengetallen (DC-uitdraai)'!K:K,MATCH(Table1[[#This Row],[Milieuprofiel]],'3. Kengetallen (DC-uitdraai)'!D:D,0))),0)</f>
        <v>0</v>
      </c>
      <c r="S134" s="126">
        <f>IFERROR(INDEX('3. Kengetallen (DC-uitdraai)'!W:W,MATCH(Table1[[#This Row],[Milieuprofiel]],'3. Kengetallen (DC-uitdraai)'!D:D,0))*Table1[[#This Row],[Hvd]]*(1+INDEX('3. Kengetallen (DC-uitdraai)'!K:K,MATCH(Table1[[#This Row],[Milieuprofiel]],'3. Kengetallen (DC-uitdraai)'!D:D,0))),0)</f>
        <v>0</v>
      </c>
      <c r="T134" s="126">
        <f>IFERROR(INDEX('3. Kengetallen (DC-uitdraai)'!X:X,MATCH(Table1[[#This Row],[Milieuprofiel]],'3. Kengetallen (DC-uitdraai)'!D:D,0))*Table1[[#This Row],[Hvd]]*(1+INDEX('3. Kengetallen (DC-uitdraai)'!K:K,MATCH(Table1[[#This Row],[Milieuprofiel]],'3. Kengetallen (DC-uitdraai)'!D:D,0))),0)</f>
        <v>0</v>
      </c>
      <c r="U134" s="16"/>
      <c r="V134" s="16"/>
      <c r="W134" s="16"/>
      <c r="X134" s="114">
        <f>IFERROR(INDEX('Eigen database'!P:P,MATCH(Table1[[#This Row],[Potentieel alternatief]],'Eigen database'!D:D,0))*Table1[[#This Row],[Hoeveelheid]]*(1+INDEX('Eigen database'!K:K,MATCH(Table1[[#This Row],[Potentieel alternatief]],'Eigen database'!D:D,0))),0)</f>
        <v>0</v>
      </c>
      <c r="Y134" s="128">
        <f>IF(Table1[[#This Row],[MKI A-D nieuw]]=0,Table1[[#This Row],[MKI A-D]],Table1[[#This Row],[MKI A-D nieuw]])</f>
        <v>125.448486</v>
      </c>
      <c r="Z134" s="126"/>
      <c r="AA134" s="127">
        <f>IFERROR(INDEX('3. Kengetallen (DC-uitdraai)'!AM:AM,MATCH(Table1[[#This Row],[Milieuprofiel]],'3. Kengetallen (DC-uitdraai)'!C:C,0)),0)*Table1[[#This Row],[Hvd]]</f>
        <v>0</v>
      </c>
      <c r="AB134" s="127">
        <f>IFERROR(INDEX('3. Kengetallen (DC-uitdraai)'!AM:AM,MATCH(Table1[[#This Row],[Potentieel alternatief]],'3. Kengetallen (DC-uitdraai)'!C:C,0)),0)*Table1[[#This Row],[Hvd]]</f>
        <v>0</v>
      </c>
      <c r="AC134"/>
      <c r="AD134"/>
      <c r="AE134"/>
      <c r="AF134"/>
      <c r="AG134"/>
      <c r="AH134"/>
      <c r="AI134"/>
      <c r="AJ134"/>
      <c r="AK134"/>
      <c r="AL134"/>
      <c r="AM134"/>
      <c r="AN134"/>
      <c r="AO134"/>
      <c r="AP134"/>
      <c r="AQ134"/>
      <c r="AR134"/>
      <c r="AS134"/>
      <c r="AT134"/>
      <c r="AU134"/>
      <c r="AV134"/>
      <c r="AW134"/>
      <c r="AX134"/>
      <c r="AY134"/>
      <c r="AZ134"/>
      <c r="BA134"/>
      <c r="BB134"/>
      <c r="BC134"/>
      <c r="BD134"/>
      <c r="BE134"/>
      <c r="BF134"/>
    </row>
    <row r="135" spans="1:58" s="117" customFormat="1">
      <c r="A135" s="137" t="s">
        <v>400</v>
      </c>
      <c r="B135" s="89"/>
      <c r="C135" s="42" t="s">
        <v>353</v>
      </c>
      <c r="D135" s="42" t="s">
        <v>387</v>
      </c>
      <c r="E135" s="113" t="s">
        <v>401</v>
      </c>
      <c r="F135" s="141" t="s">
        <v>396</v>
      </c>
      <c r="G135"/>
      <c r="H135" t="str">
        <f>IFERROR(INDEX('3. Kengetallen (DC-uitdraai)'!F:F,MATCH(Table1[[#This Row],[Milieuprofiel]],'3. Kengetallen (DC-uitdraai)'!D:D,0)),"")</f>
        <v>Cat.2</v>
      </c>
      <c r="I135" s="138">
        <v>26</v>
      </c>
      <c r="J135" t="s">
        <v>397</v>
      </c>
      <c r="K135" t="str">
        <f>IF(ISTEXT(Table1[[#This Row],[Milieuprofiel]]),"Ja","Nee")</f>
        <v>Ja</v>
      </c>
      <c r="L135" s="139">
        <f>0.2*0.25*0.45</f>
        <v>2.2500000000000003E-2</v>
      </c>
      <c r="M135" s="26">
        <f>Table1[[#This Row],[Volume]]*Table1[[#This Row],[Factor]]</f>
        <v>0.58500000000000008</v>
      </c>
      <c r="N135" t="str">
        <f>IFERROR(INDEX('3. Kengetallen (DC-uitdraai)'!H:H,MATCH(Table1[[#This Row],[Milieuprofiel]],'3. Kengetallen (DC-uitdraai)'!D:D,0)),"")</f>
        <v>m3</v>
      </c>
      <c r="O135">
        <f>IFERROR(INDEX('3. Kengetallen (DC-uitdraai)'!I:I,MATCH(Table1[[#This Row],[Milieuprofiel]],'3. Kengetallen (DC-uitdraai)'!D:D,0)),0)</f>
        <v>25</v>
      </c>
      <c r="P135" s="125">
        <f>IFERROR(INDEX('3. Kengetallen (DC-uitdraai)'!P:P,MATCH(Table1[[#This Row],[Milieuprofiel]],'3. Kengetallen (DC-uitdraai)'!D:D,0))*Table1[[#This Row],[Hvd]]*(1+INDEX('3. Kengetallen (DC-uitdraai)'!K:K,MATCH(Table1[[#This Row],[Milieuprofiel]],'3. Kengetallen (DC-uitdraai)'!D:D,0))),0)</f>
        <v>21.271699800000004</v>
      </c>
      <c r="Q135" s="126">
        <f>IFERROR(INDEX('3. Kengetallen (DC-uitdraai)'!U:U,MATCH(Table1[[#This Row],[Milieuprofiel]],'3. Kengetallen (DC-uitdraai)'!D:D,0))*Table1[[#This Row],[Hvd]]*(1+INDEX('3. Kengetallen (DC-uitdraai)'!K:K,MATCH(Table1[[#This Row],[Milieuprofiel]],'3. Kengetallen (DC-uitdraai)'!D:D,0))),0)</f>
        <v>0</v>
      </c>
      <c r="R135" s="126">
        <f>IFERROR(INDEX('3. Kengetallen (DC-uitdraai)'!V:V,MATCH(Table1[[#This Row],[Milieuprofiel]],'3. Kengetallen (DC-uitdraai)'!D:D,0))*Table1[[#This Row],[Hvd]]*(1+INDEX('3. Kengetallen (DC-uitdraai)'!K:K,MATCH(Table1[[#This Row],[Milieuprofiel]],'3. Kengetallen (DC-uitdraai)'!D:D,0))),0)</f>
        <v>0</v>
      </c>
      <c r="S135" s="126">
        <f>IFERROR(INDEX('3. Kengetallen (DC-uitdraai)'!W:W,MATCH(Table1[[#This Row],[Milieuprofiel]],'3. Kengetallen (DC-uitdraai)'!D:D,0))*Table1[[#This Row],[Hvd]]*(1+INDEX('3. Kengetallen (DC-uitdraai)'!K:K,MATCH(Table1[[#This Row],[Milieuprofiel]],'3. Kengetallen (DC-uitdraai)'!D:D,0))),0)</f>
        <v>0</v>
      </c>
      <c r="T135" s="126">
        <f>IFERROR(INDEX('3. Kengetallen (DC-uitdraai)'!X:X,MATCH(Table1[[#This Row],[Milieuprofiel]],'3. Kengetallen (DC-uitdraai)'!D:D,0))*Table1[[#This Row],[Hvd]]*(1+INDEX('3. Kengetallen (DC-uitdraai)'!K:K,MATCH(Table1[[#This Row],[Milieuprofiel]],'3. Kengetallen (DC-uitdraai)'!D:D,0))),0)</f>
        <v>0</v>
      </c>
      <c r="U135" s="16"/>
      <c r="V135" s="16"/>
      <c r="W135" s="16"/>
      <c r="X135" s="114">
        <f>IFERROR(INDEX('Eigen database'!P:P,MATCH(Table1[[#This Row],[Potentieel alternatief]],'Eigen database'!D:D,0))*Table1[[#This Row],[Hoeveelheid]]*(1+INDEX('Eigen database'!K:K,MATCH(Table1[[#This Row],[Potentieel alternatief]],'Eigen database'!D:D,0))),0)</f>
        <v>0</v>
      </c>
      <c r="Y135" s="128">
        <f>IF(Table1[[#This Row],[MKI A-D nieuw]]=0,Table1[[#This Row],[MKI A-D]],Table1[[#This Row],[MKI A-D nieuw]])</f>
        <v>21.271699800000004</v>
      </c>
      <c r="Z135" s="126"/>
      <c r="AA135" s="127">
        <f>IFERROR(INDEX('3. Kengetallen (DC-uitdraai)'!AM:AM,MATCH(Table1[[#This Row],[Milieuprofiel]],'3. Kengetallen (DC-uitdraai)'!C:C,0)),0)*Table1[[#This Row],[Hvd]]</f>
        <v>0</v>
      </c>
      <c r="AB135" s="127">
        <f>IFERROR(INDEX('3. Kengetallen (DC-uitdraai)'!AM:AM,MATCH(Table1[[#This Row],[Potentieel alternatief]],'3. Kengetallen (DC-uitdraai)'!C:C,0)),0)*Table1[[#This Row],[Hvd]]</f>
        <v>0</v>
      </c>
      <c r="AC135"/>
      <c r="AD135"/>
      <c r="AE135"/>
      <c r="AF135"/>
      <c r="AG135"/>
      <c r="AH135"/>
      <c r="AI135"/>
      <c r="AJ135"/>
      <c r="AK135"/>
      <c r="AL135"/>
      <c r="AM135"/>
      <c r="AN135"/>
      <c r="AO135"/>
      <c r="AP135"/>
      <c r="AQ135"/>
      <c r="AR135"/>
      <c r="AS135"/>
      <c r="AT135"/>
      <c r="AU135"/>
      <c r="AV135"/>
      <c r="AW135"/>
      <c r="AX135"/>
      <c r="AY135"/>
      <c r="AZ135"/>
      <c r="BA135"/>
      <c r="BB135"/>
      <c r="BC135"/>
      <c r="BD135"/>
      <c r="BE135"/>
      <c r="BF135"/>
    </row>
    <row r="136" spans="1:58" s="117" customFormat="1">
      <c r="A136" s="137" t="s">
        <v>402</v>
      </c>
      <c r="B136" s="89"/>
      <c r="C136" s="42" t="s">
        <v>353</v>
      </c>
      <c r="D136" s="42" t="s">
        <v>387</v>
      </c>
      <c r="E136" s="113" t="s">
        <v>401</v>
      </c>
      <c r="F136" s="141" t="s">
        <v>396</v>
      </c>
      <c r="G136"/>
      <c r="H136" t="str">
        <f>IFERROR(INDEX('3. Kengetallen (DC-uitdraai)'!F:F,MATCH(Table1[[#This Row],[Milieuprofiel]],'3. Kengetallen (DC-uitdraai)'!D:D,0)),"")</f>
        <v>Cat.2</v>
      </c>
      <c r="I136" s="138">
        <v>14</v>
      </c>
      <c r="J136" t="s">
        <v>397</v>
      </c>
      <c r="K136" t="str">
        <f>IF(ISTEXT(Table1[[#This Row],[Milieuprofiel]]),"Ja","Nee")</f>
        <v>Ja</v>
      </c>
      <c r="L136" s="139">
        <f>0.2*0.25</f>
        <v>0.05</v>
      </c>
      <c r="M136" s="26">
        <f>Table1[[#This Row],[Volume]]*Table1[[#This Row],[Factor]]</f>
        <v>0.70000000000000007</v>
      </c>
      <c r="N136" t="str">
        <f>IFERROR(INDEX('3. Kengetallen (DC-uitdraai)'!H:H,MATCH(Table1[[#This Row],[Milieuprofiel]],'3. Kengetallen (DC-uitdraai)'!D:D,0)),"")</f>
        <v>m3</v>
      </c>
      <c r="O136">
        <f>IFERROR(INDEX('3. Kengetallen (DC-uitdraai)'!I:I,MATCH(Table1[[#This Row],[Milieuprofiel]],'3. Kengetallen (DC-uitdraai)'!D:D,0)),0)</f>
        <v>25</v>
      </c>
      <c r="P136" s="125">
        <f>IFERROR(INDEX('3. Kengetallen (DC-uitdraai)'!P:P,MATCH(Table1[[#This Row],[Milieuprofiel]],'3. Kengetallen (DC-uitdraai)'!D:D,0))*Table1[[#This Row],[Hvd]]*(1+INDEX('3. Kengetallen (DC-uitdraai)'!K:K,MATCH(Table1[[#This Row],[Milieuprofiel]],'3. Kengetallen (DC-uitdraai)'!D:D,0))),0)</f>
        <v>25.453316000000001</v>
      </c>
      <c r="Q136" s="126">
        <f>IFERROR(INDEX('3. Kengetallen (DC-uitdraai)'!U:U,MATCH(Table1[[#This Row],[Milieuprofiel]],'3. Kengetallen (DC-uitdraai)'!D:D,0))*Table1[[#This Row],[Hvd]]*(1+INDEX('3. Kengetallen (DC-uitdraai)'!K:K,MATCH(Table1[[#This Row],[Milieuprofiel]],'3. Kengetallen (DC-uitdraai)'!D:D,0))),0)</f>
        <v>0</v>
      </c>
      <c r="R136" s="126">
        <f>IFERROR(INDEX('3. Kengetallen (DC-uitdraai)'!V:V,MATCH(Table1[[#This Row],[Milieuprofiel]],'3. Kengetallen (DC-uitdraai)'!D:D,0))*Table1[[#This Row],[Hvd]]*(1+INDEX('3. Kengetallen (DC-uitdraai)'!K:K,MATCH(Table1[[#This Row],[Milieuprofiel]],'3. Kengetallen (DC-uitdraai)'!D:D,0))),0)</f>
        <v>0</v>
      </c>
      <c r="S136" s="126">
        <f>IFERROR(INDEX('3. Kengetallen (DC-uitdraai)'!W:W,MATCH(Table1[[#This Row],[Milieuprofiel]],'3. Kengetallen (DC-uitdraai)'!D:D,0))*Table1[[#This Row],[Hvd]]*(1+INDEX('3. Kengetallen (DC-uitdraai)'!K:K,MATCH(Table1[[#This Row],[Milieuprofiel]],'3. Kengetallen (DC-uitdraai)'!D:D,0))),0)</f>
        <v>0</v>
      </c>
      <c r="T136" s="126">
        <f>IFERROR(INDEX('3. Kengetallen (DC-uitdraai)'!X:X,MATCH(Table1[[#This Row],[Milieuprofiel]],'3. Kengetallen (DC-uitdraai)'!D:D,0))*Table1[[#This Row],[Hvd]]*(1+INDEX('3. Kengetallen (DC-uitdraai)'!K:K,MATCH(Table1[[#This Row],[Milieuprofiel]],'3. Kengetallen (DC-uitdraai)'!D:D,0))),0)</f>
        <v>0</v>
      </c>
      <c r="U136" s="16"/>
      <c r="V136" s="16"/>
      <c r="W136" s="16"/>
      <c r="X136" s="114">
        <f>IFERROR(INDEX('Eigen database'!P:P,MATCH(Table1[[#This Row],[Potentieel alternatief]],'Eigen database'!D:D,0))*Table1[[#This Row],[Hoeveelheid]]*(1+INDEX('Eigen database'!K:K,MATCH(Table1[[#This Row],[Potentieel alternatief]],'Eigen database'!D:D,0))),0)</f>
        <v>0</v>
      </c>
      <c r="Y136" s="128">
        <f>IF(Table1[[#This Row],[MKI A-D nieuw]]=0,Table1[[#This Row],[MKI A-D]],Table1[[#This Row],[MKI A-D nieuw]])</f>
        <v>25.453316000000001</v>
      </c>
      <c r="Z136" s="126"/>
      <c r="AA136" s="127">
        <f>IFERROR(INDEX('3. Kengetallen (DC-uitdraai)'!AM:AM,MATCH(Table1[[#This Row],[Milieuprofiel]],'3. Kengetallen (DC-uitdraai)'!C:C,0)),0)*Table1[[#This Row],[Hvd]]</f>
        <v>0</v>
      </c>
      <c r="AB136" s="127">
        <f>IFERROR(INDEX('3. Kengetallen (DC-uitdraai)'!AM:AM,MATCH(Table1[[#This Row],[Potentieel alternatief]],'3. Kengetallen (DC-uitdraai)'!C:C,0)),0)*Table1[[#This Row],[Hvd]]</f>
        <v>0</v>
      </c>
      <c r="AC136"/>
      <c r="AD136"/>
      <c r="AE136"/>
      <c r="AF136"/>
      <c r="AG136"/>
      <c r="AH136"/>
      <c r="AI136"/>
      <c r="AJ136"/>
      <c r="AK136"/>
      <c r="AL136"/>
      <c r="AM136"/>
      <c r="AN136"/>
      <c r="AO136"/>
      <c r="AP136"/>
      <c r="AQ136"/>
      <c r="AR136"/>
      <c r="AS136"/>
      <c r="AT136"/>
      <c r="AU136"/>
      <c r="AV136"/>
      <c r="AW136"/>
      <c r="AX136"/>
      <c r="AY136"/>
      <c r="AZ136"/>
      <c r="BA136"/>
      <c r="BB136"/>
      <c r="BC136"/>
      <c r="BD136"/>
      <c r="BE136"/>
      <c r="BF136"/>
    </row>
    <row r="137" spans="1:58" s="117" customFormat="1">
      <c r="A137" s="137" t="s">
        <v>403</v>
      </c>
      <c r="B137" s="89"/>
      <c r="C137" s="42" t="s">
        <v>353</v>
      </c>
      <c r="D137" s="42" t="s">
        <v>387</v>
      </c>
      <c r="E137" s="113" t="s">
        <v>401</v>
      </c>
      <c r="F137" s="141" t="s">
        <v>396</v>
      </c>
      <c r="G137"/>
      <c r="H137" t="str">
        <f>IFERROR(INDEX('3. Kengetallen (DC-uitdraai)'!F:F,MATCH(Table1[[#This Row],[Milieuprofiel]],'3. Kengetallen (DC-uitdraai)'!D:D,0)),"")</f>
        <v>Cat.2</v>
      </c>
      <c r="I137" s="138">
        <v>16</v>
      </c>
      <c r="J137" t="s">
        <v>397</v>
      </c>
      <c r="K137" t="str">
        <f>IF(ISTEXT(Table1[[#This Row],[Milieuprofiel]]),"Ja","Nee")</f>
        <v>Ja</v>
      </c>
      <c r="L137" s="139">
        <f>0.06*0.15*0.25</f>
        <v>2.2499999999999998E-3</v>
      </c>
      <c r="M137" s="26">
        <f>Table1[[#This Row],[Volume]]*Table1[[#This Row],[Factor]]</f>
        <v>3.5999999999999997E-2</v>
      </c>
      <c r="N137" t="str">
        <f>IFERROR(INDEX('3. Kengetallen (DC-uitdraai)'!H:H,MATCH(Table1[[#This Row],[Milieuprofiel]],'3. Kengetallen (DC-uitdraai)'!D:D,0)),"")</f>
        <v>m3</v>
      </c>
      <c r="O137">
        <f>IFERROR(INDEX('3. Kengetallen (DC-uitdraai)'!I:I,MATCH(Table1[[#This Row],[Milieuprofiel]],'3. Kengetallen (DC-uitdraai)'!D:D,0)),0)</f>
        <v>25</v>
      </c>
      <c r="P137" s="125">
        <f>IFERROR(INDEX('3. Kengetallen (DC-uitdraai)'!P:P,MATCH(Table1[[#This Row],[Milieuprofiel]],'3. Kengetallen (DC-uitdraai)'!D:D,0))*Table1[[#This Row],[Hvd]]*(1+INDEX('3. Kengetallen (DC-uitdraai)'!K:K,MATCH(Table1[[#This Row],[Milieuprofiel]],'3. Kengetallen (DC-uitdraai)'!D:D,0))),0)</f>
        <v>1.3090276799999998</v>
      </c>
      <c r="Q137" s="126">
        <f>IFERROR(INDEX('3. Kengetallen (DC-uitdraai)'!U:U,MATCH(Table1[[#This Row],[Milieuprofiel]],'3. Kengetallen (DC-uitdraai)'!D:D,0))*Table1[[#This Row],[Hvd]]*(1+INDEX('3. Kengetallen (DC-uitdraai)'!K:K,MATCH(Table1[[#This Row],[Milieuprofiel]],'3. Kengetallen (DC-uitdraai)'!D:D,0))),0)</f>
        <v>0</v>
      </c>
      <c r="R137" s="126">
        <f>IFERROR(INDEX('3. Kengetallen (DC-uitdraai)'!V:V,MATCH(Table1[[#This Row],[Milieuprofiel]],'3. Kengetallen (DC-uitdraai)'!D:D,0))*Table1[[#This Row],[Hvd]]*(1+INDEX('3. Kengetallen (DC-uitdraai)'!K:K,MATCH(Table1[[#This Row],[Milieuprofiel]],'3. Kengetallen (DC-uitdraai)'!D:D,0))),0)</f>
        <v>0</v>
      </c>
      <c r="S137" s="126">
        <f>IFERROR(INDEX('3. Kengetallen (DC-uitdraai)'!W:W,MATCH(Table1[[#This Row],[Milieuprofiel]],'3. Kengetallen (DC-uitdraai)'!D:D,0))*Table1[[#This Row],[Hvd]]*(1+INDEX('3. Kengetallen (DC-uitdraai)'!K:K,MATCH(Table1[[#This Row],[Milieuprofiel]],'3. Kengetallen (DC-uitdraai)'!D:D,0))),0)</f>
        <v>0</v>
      </c>
      <c r="T137" s="126">
        <f>IFERROR(INDEX('3. Kengetallen (DC-uitdraai)'!X:X,MATCH(Table1[[#This Row],[Milieuprofiel]],'3. Kengetallen (DC-uitdraai)'!D:D,0))*Table1[[#This Row],[Hvd]]*(1+INDEX('3. Kengetallen (DC-uitdraai)'!K:K,MATCH(Table1[[#This Row],[Milieuprofiel]],'3. Kengetallen (DC-uitdraai)'!D:D,0))),0)</f>
        <v>0</v>
      </c>
      <c r="U137" s="16"/>
      <c r="V137" s="16"/>
      <c r="W137" s="16"/>
      <c r="X137" s="114">
        <f>IFERROR(INDEX('Eigen database'!P:P,MATCH(Table1[[#This Row],[Potentieel alternatief]],'Eigen database'!D:D,0))*Table1[[#This Row],[Hoeveelheid]]*(1+INDEX('Eigen database'!K:K,MATCH(Table1[[#This Row],[Potentieel alternatief]],'Eigen database'!D:D,0))),0)</f>
        <v>0</v>
      </c>
      <c r="Y137" s="128">
        <f>IF(Table1[[#This Row],[MKI A-D nieuw]]=0,Table1[[#This Row],[MKI A-D]],Table1[[#This Row],[MKI A-D nieuw]])</f>
        <v>1.3090276799999998</v>
      </c>
      <c r="Z137" s="126"/>
      <c r="AA137" s="127">
        <f>IFERROR(INDEX('3. Kengetallen (DC-uitdraai)'!AM:AM,MATCH(Table1[[#This Row],[Milieuprofiel]],'3. Kengetallen (DC-uitdraai)'!C:C,0)),0)*Table1[[#This Row],[Hvd]]</f>
        <v>0</v>
      </c>
      <c r="AB137" s="127">
        <f>IFERROR(INDEX('3. Kengetallen (DC-uitdraai)'!AM:AM,MATCH(Table1[[#This Row],[Potentieel alternatief]],'3. Kengetallen (DC-uitdraai)'!C:C,0)),0)*Table1[[#This Row],[Hvd]]</f>
        <v>0</v>
      </c>
      <c r="AC137"/>
      <c r="AD137"/>
      <c r="AE137"/>
      <c r="AF137"/>
      <c r="AG137"/>
      <c r="AH137"/>
      <c r="AI137"/>
      <c r="AJ137"/>
      <c r="AK137"/>
      <c r="AL137"/>
      <c r="AM137"/>
      <c r="AN137"/>
      <c r="AO137"/>
      <c r="AP137"/>
      <c r="AQ137"/>
      <c r="AR137"/>
      <c r="AS137"/>
      <c r="AT137"/>
      <c r="AU137"/>
      <c r="AV137"/>
      <c r="AW137"/>
      <c r="AX137"/>
      <c r="AY137"/>
      <c r="AZ137"/>
      <c r="BA137"/>
      <c r="BB137"/>
      <c r="BC137"/>
      <c r="BD137"/>
      <c r="BE137"/>
      <c r="BF137"/>
    </row>
    <row r="138" spans="1:58">
      <c r="A138" s="137" t="s">
        <v>404</v>
      </c>
      <c r="B138" s="89" t="s">
        <v>405</v>
      </c>
      <c r="C138" s="42" t="s">
        <v>353</v>
      </c>
      <c r="D138" s="42" t="s">
        <v>387</v>
      </c>
      <c r="E138" s="113" t="s">
        <v>406</v>
      </c>
      <c r="F138" s="141" t="s">
        <v>396</v>
      </c>
      <c r="H138" t="str">
        <f>IFERROR(INDEX('3. Kengetallen (DC-uitdraai)'!F:F,MATCH(Table1[[#This Row],[Milieuprofiel]],'3. Kengetallen (DC-uitdraai)'!D:D,0)),"")</f>
        <v>Cat.2</v>
      </c>
      <c r="I138" s="138">
        <v>330</v>
      </c>
      <c r="J138" t="s">
        <v>93</v>
      </c>
      <c r="K138" t="str">
        <f>IF(ISTEXT(Table1[[#This Row],[Milieuprofiel]]),"Ja","Nee")</f>
        <v>Ja</v>
      </c>
      <c r="L138" s="139">
        <f>0.2*0.25</f>
        <v>0.05</v>
      </c>
      <c r="M138" s="26">
        <f>Table1[[#This Row],[Volume]]*Table1[[#This Row],[Factor]]</f>
        <v>16.5</v>
      </c>
      <c r="N138" t="str">
        <f>IFERROR(INDEX('3. Kengetallen (DC-uitdraai)'!H:H,MATCH(Table1[[#This Row],[Milieuprofiel]],'3. Kengetallen (DC-uitdraai)'!D:D,0)),"")</f>
        <v>m3</v>
      </c>
      <c r="O138">
        <f>IFERROR(INDEX('3. Kengetallen (DC-uitdraai)'!I:I,MATCH(Table1[[#This Row],[Milieuprofiel]],'3. Kengetallen (DC-uitdraai)'!D:D,0)),0)</f>
        <v>25</v>
      </c>
      <c r="P138" s="125">
        <f>IFERROR(INDEX('3. Kengetallen (DC-uitdraai)'!P:P,MATCH(Table1[[#This Row],[Milieuprofiel]],'3. Kengetallen (DC-uitdraai)'!D:D,0))*Table1[[#This Row],[Hvd]]*(1+INDEX('3. Kengetallen (DC-uitdraai)'!K:K,MATCH(Table1[[#This Row],[Milieuprofiel]],'3. Kengetallen (DC-uitdraai)'!D:D,0))),0)</f>
        <v>599.97101999999995</v>
      </c>
      <c r="Q138" s="126">
        <f>IFERROR(INDEX('3. Kengetallen (DC-uitdraai)'!U:U,MATCH(Table1[[#This Row],[Milieuprofiel]],'3. Kengetallen (DC-uitdraai)'!D:D,0))*Table1[[#This Row],[Hvd]]*(1+INDEX('3. Kengetallen (DC-uitdraai)'!K:K,MATCH(Table1[[#This Row],[Milieuprofiel]],'3. Kengetallen (DC-uitdraai)'!D:D,0))),0)</f>
        <v>0</v>
      </c>
      <c r="R138" s="126">
        <f>IFERROR(INDEX('3. Kengetallen (DC-uitdraai)'!V:V,MATCH(Table1[[#This Row],[Milieuprofiel]],'3. Kengetallen (DC-uitdraai)'!D:D,0))*Table1[[#This Row],[Hvd]]*(1+INDEX('3. Kengetallen (DC-uitdraai)'!K:K,MATCH(Table1[[#This Row],[Milieuprofiel]],'3. Kengetallen (DC-uitdraai)'!D:D,0))),0)</f>
        <v>0</v>
      </c>
      <c r="S138" s="126">
        <f>IFERROR(INDEX('3. Kengetallen (DC-uitdraai)'!W:W,MATCH(Table1[[#This Row],[Milieuprofiel]],'3. Kengetallen (DC-uitdraai)'!D:D,0))*Table1[[#This Row],[Hvd]]*(1+INDEX('3. Kengetallen (DC-uitdraai)'!K:K,MATCH(Table1[[#This Row],[Milieuprofiel]],'3. Kengetallen (DC-uitdraai)'!D:D,0))),0)</f>
        <v>0</v>
      </c>
      <c r="T138" s="126">
        <f>IFERROR(INDEX('3. Kengetallen (DC-uitdraai)'!X:X,MATCH(Table1[[#This Row],[Milieuprofiel]],'3. Kengetallen (DC-uitdraai)'!D:D,0))*Table1[[#This Row],[Hvd]]*(1+INDEX('3. Kengetallen (DC-uitdraai)'!K:K,MATCH(Table1[[#This Row],[Milieuprofiel]],'3. Kengetallen (DC-uitdraai)'!D:D,0))),0)</f>
        <v>0</v>
      </c>
      <c r="U138" s="43">
        <f>0.2*0.25</f>
        <v>0.05</v>
      </c>
      <c r="V138" s="43">
        <f>Table1[[#This Row],[Volume]]*Table1[[#This Row],[omrekenfactor]]</f>
        <v>16.5</v>
      </c>
      <c r="W138" s="43" t="str">
        <f>IFERROR(INDEX('Eigen database'!H:H,MATCH(Table1[[#This Row],[Potentieel alternatief]],'Eigen database'!D:D,0)),"")</f>
        <v/>
      </c>
      <c r="X138" s="114">
        <f>IFERROR(INDEX('Eigen database'!P:P,MATCH(Table1[[#This Row],[Potentieel alternatief]],'Eigen database'!D:D,0))*Table1[[#This Row],[Hoeveelheid]]*(1+INDEX('Eigen database'!K:K,MATCH(Table1[[#This Row],[Potentieel alternatief]],'Eigen database'!D:D,0))),0)</f>
        <v>0</v>
      </c>
      <c r="Y138" s="128">
        <f>IF(Table1[[#This Row],[MKI A-D nieuw]]=0,Table1[[#This Row],[MKI A-D]],Table1[[#This Row],[MKI A-D nieuw]])</f>
        <v>599.97101999999995</v>
      </c>
      <c r="Z138" s="126"/>
      <c r="AA138" s="127">
        <f>IFERROR(INDEX('3. Kengetallen (DC-uitdraai)'!AM:AM,MATCH(Table1[[#This Row],[Milieuprofiel]],'3. Kengetallen (DC-uitdraai)'!C:C,0)),0)*Table1[[#This Row],[Hvd]]</f>
        <v>0</v>
      </c>
      <c r="AB138" s="127">
        <f>IFERROR(INDEX('3. Kengetallen (DC-uitdraai)'!AM:AM,MATCH(Table1[[#This Row],[Potentieel alternatief]],'3. Kengetallen (DC-uitdraai)'!C:C,0)),0)*Table1[[#This Row],[Hvd]]</f>
        <v>0</v>
      </c>
    </row>
    <row r="139" spans="1:58" s="117" customFormat="1">
      <c r="A139" s="137" t="s">
        <v>407</v>
      </c>
      <c r="B139" s="89" t="s">
        <v>405</v>
      </c>
      <c r="C139" s="42" t="s">
        <v>353</v>
      </c>
      <c r="D139" s="42" t="s">
        <v>387</v>
      </c>
      <c r="E139" s="113" t="s">
        <v>406</v>
      </c>
      <c r="F139" s="141" t="s">
        <v>396</v>
      </c>
      <c r="G139"/>
      <c r="H139" t="str">
        <f>IFERROR(INDEX('3. Kengetallen (DC-uitdraai)'!F:F,MATCH(Table1[[#This Row],[Milieuprofiel]],'3. Kengetallen (DC-uitdraai)'!D:D,0)),"")</f>
        <v>Cat.2</v>
      </c>
      <c r="I139" s="138">
        <v>145</v>
      </c>
      <c r="J139" t="s">
        <v>93</v>
      </c>
      <c r="K139" t="str">
        <f>IF(ISTEXT(Table1[[#This Row],[Milieuprofiel]]),"Ja","Nee")</f>
        <v>Ja</v>
      </c>
      <c r="L139" s="139">
        <f>0.2*0.25</f>
        <v>0.05</v>
      </c>
      <c r="M139" s="26">
        <f>Table1[[#This Row],[Volume]]*Table1[[#This Row],[Factor]]</f>
        <v>7.25</v>
      </c>
      <c r="N139" t="str">
        <f>IFERROR(INDEX('3. Kengetallen (DC-uitdraai)'!H:H,MATCH(Table1[[#This Row],[Milieuprofiel]],'3. Kengetallen (DC-uitdraai)'!D:D,0)),"")</f>
        <v>m3</v>
      </c>
      <c r="O139">
        <f>IFERROR(INDEX('3. Kengetallen (DC-uitdraai)'!I:I,MATCH(Table1[[#This Row],[Milieuprofiel]],'3. Kengetallen (DC-uitdraai)'!D:D,0)),0)</f>
        <v>25</v>
      </c>
      <c r="P139" s="125">
        <f>IFERROR(INDEX('3. Kengetallen (DC-uitdraai)'!P:P,MATCH(Table1[[#This Row],[Milieuprofiel]],'3. Kengetallen (DC-uitdraai)'!D:D,0))*Table1[[#This Row],[Hvd]]*(1+INDEX('3. Kengetallen (DC-uitdraai)'!K:K,MATCH(Table1[[#This Row],[Milieuprofiel]],'3. Kengetallen (DC-uitdraai)'!D:D,0))),0)</f>
        <v>263.62362999999999</v>
      </c>
      <c r="Q139" s="126">
        <f>IFERROR(INDEX('3. Kengetallen (DC-uitdraai)'!U:U,MATCH(Table1[[#This Row],[Milieuprofiel]],'3. Kengetallen (DC-uitdraai)'!D:D,0))*Table1[[#This Row],[Hvd]]*(1+INDEX('3. Kengetallen (DC-uitdraai)'!K:K,MATCH(Table1[[#This Row],[Milieuprofiel]],'3. Kengetallen (DC-uitdraai)'!D:D,0))),0)</f>
        <v>0</v>
      </c>
      <c r="R139" s="126">
        <f>IFERROR(INDEX('3. Kengetallen (DC-uitdraai)'!V:V,MATCH(Table1[[#This Row],[Milieuprofiel]],'3. Kengetallen (DC-uitdraai)'!D:D,0))*Table1[[#This Row],[Hvd]]*(1+INDEX('3. Kengetallen (DC-uitdraai)'!K:K,MATCH(Table1[[#This Row],[Milieuprofiel]],'3. Kengetallen (DC-uitdraai)'!D:D,0))),0)</f>
        <v>0</v>
      </c>
      <c r="S139" s="126">
        <f>IFERROR(INDEX('3. Kengetallen (DC-uitdraai)'!W:W,MATCH(Table1[[#This Row],[Milieuprofiel]],'3. Kengetallen (DC-uitdraai)'!D:D,0))*Table1[[#This Row],[Hvd]]*(1+INDEX('3. Kengetallen (DC-uitdraai)'!K:K,MATCH(Table1[[#This Row],[Milieuprofiel]],'3. Kengetallen (DC-uitdraai)'!D:D,0))),0)</f>
        <v>0</v>
      </c>
      <c r="T139" s="126">
        <f>IFERROR(INDEX('3. Kengetallen (DC-uitdraai)'!X:X,MATCH(Table1[[#This Row],[Milieuprofiel]],'3. Kengetallen (DC-uitdraai)'!D:D,0))*Table1[[#This Row],[Hvd]]*(1+INDEX('3. Kengetallen (DC-uitdraai)'!K:K,MATCH(Table1[[#This Row],[Milieuprofiel]],'3. Kengetallen (DC-uitdraai)'!D:D,0))),0)</f>
        <v>0</v>
      </c>
      <c r="U139" s="43">
        <f>0.5*0.16</f>
        <v>0.08</v>
      </c>
      <c r="V139" s="43">
        <f>Table1[[#This Row],[Volume]]*Table1[[#This Row],[omrekenfactor]]</f>
        <v>11.6</v>
      </c>
      <c r="W139" s="43" t="str">
        <f>IFERROR(INDEX('Eigen database'!H:H,MATCH(Table1[[#This Row],[Potentieel alternatief]],'Eigen database'!D:D,0)),"")</f>
        <v/>
      </c>
      <c r="X139" s="114">
        <f>IFERROR(INDEX('Eigen database'!P:P,MATCH(Table1[[#This Row],[Potentieel alternatief]],'Eigen database'!D:D,0))*Table1[[#This Row],[Hoeveelheid]]*(1+INDEX('Eigen database'!K:K,MATCH(Table1[[#This Row],[Potentieel alternatief]],'Eigen database'!D:D,0))),0)</f>
        <v>0</v>
      </c>
      <c r="Y139" s="128">
        <f>IF(Table1[[#This Row],[MKI A-D nieuw]]=0,Table1[[#This Row],[MKI A-D]],Table1[[#This Row],[MKI A-D nieuw]])</f>
        <v>263.62362999999999</v>
      </c>
      <c r="Z139" s="126"/>
      <c r="AA139" s="127">
        <f>IFERROR(INDEX('3. Kengetallen (DC-uitdraai)'!AM:AM,MATCH(Table1[[#This Row],[Milieuprofiel]],'3. Kengetallen (DC-uitdraai)'!C:C,0)),0)*Table1[[#This Row],[Hvd]]</f>
        <v>0</v>
      </c>
      <c r="AB139" s="127">
        <f>IFERROR(INDEX('3. Kengetallen (DC-uitdraai)'!AM:AM,MATCH(Table1[[#This Row],[Potentieel alternatief]],'3. Kengetallen (DC-uitdraai)'!C:C,0)),0)*Table1[[#This Row],[Hvd]]</f>
        <v>0</v>
      </c>
      <c r="AC139"/>
      <c r="AD139"/>
      <c r="AE139"/>
      <c r="AF139"/>
      <c r="AG139"/>
      <c r="AH139"/>
      <c r="AI139"/>
      <c r="AJ139"/>
      <c r="AK139"/>
      <c r="AL139"/>
      <c r="AM139"/>
      <c r="AN139"/>
      <c r="AO139"/>
      <c r="AP139"/>
      <c r="AQ139"/>
      <c r="AR139"/>
      <c r="AS139"/>
      <c r="AT139"/>
      <c r="AU139"/>
      <c r="AV139"/>
      <c r="AW139"/>
      <c r="AX139"/>
      <c r="AY139"/>
      <c r="AZ139"/>
      <c r="BA139"/>
      <c r="BB139"/>
      <c r="BC139"/>
      <c r="BD139"/>
      <c r="BE139"/>
      <c r="BF139"/>
    </row>
    <row r="140" spans="1:58" s="117" customFormat="1">
      <c r="A140" s="137" t="s">
        <v>408</v>
      </c>
      <c r="B140" s="89"/>
      <c r="C140" s="42" t="s">
        <v>353</v>
      </c>
      <c r="D140" s="42" t="s">
        <v>387</v>
      </c>
      <c r="E140" s="113" t="s">
        <v>406</v>
      </c>
      <c r="F140" s="141" t="s">
        <v>396</v>
      </c>
      <c r="G140"/>
      <c r="H140" t="str">
        <f>IFERROR(INDEX('3. Kengetallen (DC-uitdraai)'!F:F,MATCH(Table1[[#This Row],[Milieuprofiel]],'3. Kengetallen (DC-uitdraai)'!D:D,0)),"")</f>
        <v>Cat.2</v>
      </c>
      <c r="I140" s="138">
        <v>330</v>
      </c>
      <c r="J140" t="s">
        <v>93</v>
      </c>
      <c r="K140" t="str">
        <f>IF(ISTEXT(Table1[[#This Row],[Milieuprofiel]]),"Ja","Nee")</f>
        <v>Ja</v>
      </c>
      <c r="L140" s="139">
        <f>0.2*0.25</f>
        <v>0.05</v>
      </c>
      <c r="M140" s="26">
        <f>Table1[[#This Row],[Volume]]*Table1[[#This Row],[Factor]]</f>
        <v>16.5</v>
      </c>
      <c r="N140" t="str">
        <f>IFERROR(INDEX('3. Kengetallen (DC-uitdraai)'!H:H,MATCH(Table1[[#This Row],[Milieuprofiel]],'3. Kengetallen (DC-uitdraai)'!D:D,0)),"")</f>
        <v>m3</v>
      </c>
      <c r="O140">
        <f>IFERROR(INDEX('3. Kengetallen (DC-uitdraai)'!I:I,MATCH(Table1[[#This Row],[Milieuprofiel]],'3. Kengetallen (DC-uitdraai)'!D:D,0)),0)</f>
        <v>25</v>
      </c>
      <c r="P140" s="125">
        <f>IFERROR(INDEX('3. Kengetallen (DC-uitdraai)'!P:P,MATCH(Table1[[#This Row],[Milieuprofiel]],'3. Kengetallen (DC-uitdraai)'!D:D,0))*Table1[[#This Row],[Hvd]]*(1+INDEX('3. Kengetallen (DC-uitdraai)'!K:K,MATCH(Table1[[#This Row],[Milieuprofiel]],'3. Kengetallen (DC-uitdraai)'!D:D,0))),0)</f>
        <v>599.97101999999995</v>
      </c>
      <c r="Q140" s="126">
        <f>IFERROR(INDEX('3. Kengetallen (DC-uitdraai)'!U:U,MATCH(Table1[[#This Row],[Milieuprofiel]],'3. Kengetallen (DC-uitdraai)'!D:D,0))*Table1[[#This Row],[Hvd]]*(1+INDEX('3. Kengetallen (DC-uitdraai)'!K:K,MATCH(Table1[[#This Row],[Milieuprofiel]],'3. Kengetallen (DC-uitdraai)'!D:D,0))),0)</f>
        <v>0</v>
      </c>
      <c r="R140" s="126">
        <f>IFERROR(INDEX('3. Kengetallen (DC-uitdraai)'!V:V,MATCH(Table1[[#This Row],[Milieuprofiel]],'3. Kengetallen (DC-uitdraai)'!D:D,0))*Table1[[#This Row],[Hvd]]*(1+INDEX('3. Kengetallen (DC-uitdraai)'!K:K,MATCH(Table1[[#This Row],[Milieuprofiel]],'3. Kengetallen (DC-uitdraai)'!D:D,0))),0)</f>
        <v>0</v>
      </c>
      <c r="S140" s="126">
        <f>IFERROR(INDEX('3. Kengetallen (DC-uitdraai)'!W:W,MATCH(Table1[[#This Row],[Milieuprofiel]],'3. Kengetallen (DC-uitdraai)'!D:D,0))*Table1[[#This Row],[Hvd]]*(1+INDEX('3. Kengetallen (DC-uitdraai)'!K:K,MATCH(Table1[[#This Row],[Milieuprofiel]],'3. Kengetallen (DC-uitdraai)'!D:D,0))),0)</f>
        <v>0</v>
      </c>
      <c r="T140" s="126">
        <f>IFERROR(INDEX('3. Kengetallen (DC-uitdraai)'!X:X,MATCH(Table1[[#This Row],[Milieuprofiel]],'3. Kengetallen (DC-uitdraai)'!D:D,0))*Table1[[#This Row],[Hvd]]*(1+INDEX('3. Kengetallen (DC-uitdraai)'!K:K,MATCH(Table1[[#This Row],[Milieuprofiel]],'3. Kengetallen (DC-uitdraai)'!D:D,0))),0)</f>
        <v>0</v>
      </c>
      <c r="U140" s="16"/>
      <c r="V140" s="16"/>
      <c r="W140" s="16"/>
      <c r="X140" s="114">
        <f>IFERROR(INDEX('Eigen database'!P:P,MATCH(Table1[[#This Row],[Potentieel alternatief]],'Eigen database'!D:D,0))*Table1[[#This Row],[Hoeveelheid]]*(1+INDEX('Eigen database'!K:K,MATCH(Table1[[#This Row],[Potentieel alternatief]],'Eigen database'!D:D,0))),0)</f>
        <v>0</v>
      </c>
      <c r="Y140" s="128">
        <f>IF(Table1[[#This Row],[MKI A-D nieuw]]=0,Table1[[#This Row],[MKI A-D]],Table1[[#This Row],[MKI A-D nieuw]])</f>
        <v>599.97101999999995</v>
      </c>
      <c r="Z140" s="126"/>
      <c r="AA140" s="127">
        <f>IFERROR(INDEX('3. Kengetallen (DC-uitdraai)'!AM:AM,MATCH(Table1[[#This Row],[Milieuprofiel]],'3. Kengetallen (DC-uitdraai)'!C:C,0)),0)*Table1[[#This Row],[Hvd]]</f>
        <v>0</v>
      </c>
      <c r="AB140" s="127">
        <f>IFERROR(INDEX('3. Kengetallen (DC-uitdraai)'!AM:AM,MATCH(Table1[[#This Row],[Potentieel alternatief]],'3. Kengetallen (DC-uitdraai)'!C:C,0)),0)*Table1[[#This Row],[Hvd]]</f>
        <v>0</v>
      </c>
      <c r="AC140"/>
      <c r="AD140"/>
      <c r="AE140"/>
      <c r="AF140"/>
      <c r="AG140"/>
      <c r="AH140"/>
      <c r="AI140"/>
      <c r="AJ140"/>
      <c r="AK140"/>
      <c r="AL140"/>
      <c r="AM140"/>
      <c r="AN140"/>
      <c r="AO140"/>
      <c r="AP140"/>
      <c r="AQ140"/>
      <c r="AR140"/>
      <c r="AS140"/>
      <c r="AT140"/>
      <c r="AU140"/>
      <c r="AV140"/>
      <c r="AW140"/>
      <c r="AX140"/>
      <c r="AY140"/>
      <c r="AZ140"/>
      <c r="BA140"/>
      <c r="BB140"/>
      <c r="BC140"/>
      <c r="BD140"/>
      <c r="BE140"/>
      <c r="BF140"/>
    </row>
    <row r="141" spans="1:58" s="117" customFormat="1">
      <c r="A141" s="137" t="s">
        <v>409</v>
      </c>
      <c r="B141" s="89"/>
      <c r="C141" s="42" t="s">
        <v>353</v>
      </c>
      <c r="D141" s="42" t="s">
        <v>387</v>
      </c>
      <c r="E141" s="113" t="s">
        <v>406</v>
      </c>
      <c r="F141" s="141" t="s">
        <v>396</v>
      </c>
      <c r="G141"/>
      <c r="H141" t="str">
        <f>IFERROR(INDEX('3. Kengetallen (DC-uitdraai)'!F:F,MATCH(Table1[[#This Row],[Milieuprofiel]],'3. Kengetallen (DC-uitdraai)'!D:D,0)),"")</f>
        <v>Cat.2</v>
      </c>
      <c r="I141" s="138">
        <v>178</v>
      </c>
      <c r="J141" t="s">
        <v>93</v>
      </c>
      <c r="K141" t="str">
        <f>IF(ISTEXT(Table1[[#This Row],[Milieuprofiel]]),"Ja","Nee")</f>
        <v>Ja</v>
      </c>
      <c r="L141" s="139">
        <f>0.2*0.25</f>
        <v>0.05</v>
      </c>
      <c r="M141" s="26">
        <f>Table1[[#This Row],[Volume]]*Table1[[#This Row],[Factor]]</f>
        <v>8.9</v>
      </c>
      <c r="N141" t="str">
        <f>IFERROR(INDEX('3. Kengetallen (DC-uitdraai)'!H:H,MATCH(Table1[[#This Row],[Milieuprofiel]],'3. Kengetallen (DC-uitdraai)'!D:D,0)),"")</f>
        <v>m3</v>
      </c>
      <c r="O141">
        <f>IFERROR(INDEX('3. Kengetallen (DC-uitdraai)'!I:I,MATCH(Table1[[#This Row],[Milieuprofiel]],'3. Kengetallen (DC-uitdraai)'!D:D,0)),0)</f>
        <v>25</v>
      </c>
      <c r="P141" s="125">
        <f>IFERROR(INDEX('3. Kengetallen (DC-uitdraai)'!P:P,MATCH(Table1[[#This Row],[Milieuprofiel]],'3. Kengetallen (DC-uitdraai)'!D:D,0))*Table1[[#This Row],[Hvd]]*(1+INDEX('3. Kengetallen (DC-uitdraai)'!K:K,MATCH(Table1[[#This Row],[Milieuprofiel]],'3. Kengetallen (DC-uitdraai)'!D:D,0))),0)</f>
        <v>323.62073200000003</v>
      </c>
      <c r="Q141" s="126">
        <f>IFERROR(INDEX('3. Kengetallen (DC-uitdraai)'!U:U,MATCH(Table1[[#This Row],[Milieuprofiel]],'3. Kengetallen (DC-uitdraai)'!D:D,0))*Table1[[#This Row],[Hvd]]*(1+INDEX('3. Kengetallen (DC-uitdraai)'!K:K,MATCH(Table1[[#This Row],[Milieuprofiel]],'3. Kengetallen (DC-uitdraai)'!D:D,0))),0)</f>
        <v>0</v>
      </c>
      <c r="R141" s="126">
        <f>IFERROR(INDEX('3. Kengetallen (DC-uitdraai)'!V:V,MATCH(Table1[[#This Row],[Milieuprofiel]],'3. Kengetallen (DC-uitdraai)'!D:D,0))*Table1[[#This Row],[Hvd]]*(1+INDEX('3. Kengetallen (DC-uitdraai)'!K:K,MATCH(Table1[[#This Row],[Milieuprofiel]],'3. Kengetallen (DC-uitdraai)'!D:D,0))),0)</f>
        <v>0</v>
      </c>
      <c r="S141" s="126">
        <f>IFERROR(INDEX('3. Kengetallen (DC-uitdraai)'!W:W,MATCH(Table1[[#This Row],[Milieuprofiel]],'3. Kengetallen (DC-uitdraai)'!D:D,0))*Table1[[#This Row],[Hvd]]*(1+INDEX('3. Kengetallen (DC-uitdraai)'!K:K,MATCH(Table1[[#This Row],[Milieuprofiel]],'3. Kengetallen (DC-uitdraai)'!D:D,0))),0)</f>
        <v>0</v>
      </c>
      <c r="T141" s="126">
        <f>IFERROR(INDEX('3. Kengetallen (DC-uitdraai)'!X:X,MATCH(Table1[[#This Row],[Milieuprofiel]],'3. Kengetallen (DC-uitdraai)'!D:D,0))*Table1[[#This Row],[Hvd]]*(1+INDEX('3. Kengetallen (DC-uitdraai)'!K:K,MATCH(Table1[[#This Row],[Milieuprofiel]],'3. Kengetallen (DC-uitdraai)'!D:D,0))),0)</f>
        <v>0</v>
      </c>
      <c r="U141" s="16"/>
      <c r="V141" s="16"/>
      <c r="W141" s="16"/>
      <c r="X141" s="114">
        <f>IFERROR(INDEX('Eigen database'!P:P,MATCH(Table1[[#This Row],[Potentieel alternatief]],'Eigen database'!D:D,0))*Table1[[#This Row],[Hoeveelheid]]*(1+INDEX('Eigen database'!K:K,MATCH(Table1[[#This Row],[Potentieel alternatief]],'Eigen database'!D:D,0))),0)</f>
        <v>0</v>
      </c>
      <c r="Y141" s="128">
        <f>IF(Table1[[#This Row],[MKI A-D nieuw]]=0,Table1[[#This Row],[MKI A-D]],Table1[[#This Row],[MKI A-D nieuw]])</f>
        <v>323.62073200000003</v>
      </c>
      <c r="Z141" s="126"/>
      <c r="AA141" s="127">
        <f>IFERROR(INDEX('3. Kengetallen (DC-uitdraai)'!AM:AM,MATCH(Table1[[#This Row],[Milieuprofiel]],'3. Kengetallen (DC-uitdraai)'!C:C,0)),0)*Table1[[#This Row],[Hvd]]</f>
        <v>0</v>
      </c>
      <c r="AB141" s="127">
        <f>IFERROR(INDEX('3. Kengetallen (DC-uitdraai)'!AM:AM,MATCH(Table1[[#This Row],[Potentieel alternatief]],'3. Kengetallen (DC-uitdraai)'!C:C,0)),0)*Table1[[#This Row],[Hvd]]</f>
        <v>0</v>
      </c>
      <c r="AC141"/>
      <c r="AD141"/>
      <c r="AE141"/>
      <c r="AF141"/>
      <c r="AG141"/>
      <c r="AH141"/>
      <c r="AI141"/>
      <c r="AJ141"/>
      <c r="AK141"/>
      <c r="AL141"/>
      <c r="AM141"/>
      <c r="AN141"/>
      <c r="AO141"/>
      <c r="AP141"/>
      <c r="AQ141"/>
      <c r="AR141"/>
      <c r="AS141"/>
      <c r="AT141"/>
      <c r="AU141"/>
      <c r="AV141"/>
      <c r="AW141"/>
      <c r="AX141"/>
      <c r="AY141"/>
      <c r="AZ141"/>
      <c r="BA141"/>
      <c r="BB141"/>
      <c r="BC141"/>
      <c r="BD141"/>
      <c r="BE141"/>
      <c r="BF141"/>
    </row>
    <row r="142" spans="1:58" s="117" customFormat="1">
      <c r="A142" s="137" t="s">
        <v>410</v>
      </c>
      <c r="B142" s="89"/>
      <c r="C142" s="42" t="s">
        <v>353</v>
      </c>
      <c r="D142" s="42" t="s">
        <v>387</v>
      </c>
      <c r="E142" s="113" t="s">
        <v>411</v>
      </c>
      <c r="F142" s="141" t="s">
        <v>396</v>
      </c>
      <c r="G142"/>
      <c r="H142" t="str">
        <f>IFERROR(INDEX('3. Kengetallen (DC-uitdraai)'!F:F,MATCH(Table1[[#This Row],[Milieuprofiel]],'3. Kengetallen (DC-uitdraai)'!D:D,0)),"")</f>
        <v>Cat.2</v>
      </c>
      <c r="I142" s="138">
        <v>1</v>
      </c>
      <c r="J142" t="s">
        <v>397</v>
      </c>
      <c r="K142" t="str">
        <f>IF(ISTEXT(Table1[[#This Row],[Milieuprofiel]]),"Ja","Nee")</f>
        <v>Ja</v>
      </c>
      <c r="L142" s="139">
        <f>0.2*0.25*0.5</f>
        <v>2.5000000000000001E-2</v>
      </c>
      <c r="M142" s="26">
        <f>Table1[[#This Row],[Volume]]*Table1[[#This Row],[Factor]]</f>
        <v>2.5000000000000001E-2</v>
      </c>
      <c r="N142" t="str">
        <f>IFERROR(INDEX('3. Kengetallen (DC-uitdraai)'!H:H,MATCH(Table1[[#This Row],[Milieuprofiel]],'3. Kengetallen (DC-uitdraai)'!D:D,0)),"")</f>
        <v>m3</v>
      </c>
      <c r="O142">
        <f>IFERROR(INDEX('3. Kengetallen (DC-uitdraai)'!I:I,MATCH(Table1[[#This Row],[Milieuprofiel]],'3. Kengetallen (DC-uitdraai)'!D:D,0)),0)</f>
        <v>25</v>
      </c>
      <c r="P142" s="125">
        <f>IFERROR(INDEX('3. Kengetallen (DC-uitdraai)'!P:P,MATCH(Table1[[#This Row],[Milieuprofiel]],'3. Kengetallen (DC-uitdraai)'!D:D,0))*Table1[[#This Row],[Hvd]]*(1+INDEX('3. Kengetallen (DC-uitdraai)'!K:K,MATCH(Table1[[#This Row],[Milieuprofiel]],'3. Kengetallen (DC-uitdraai)'!D:D,0))),0)</f>
        <v>0.90904700000000005</v>
      </c>
      <c r="Q142" s="126">
        <f>IFERROR(INDEX('3. Kengetallen (DC-uitdraai)'!U:U,MATCH(Table1[[#This Row],[Milieuprofiel]],'3. Kengetallen (DC-uitdraai)'!D:D,0))*Table1[[#This Row],[Hvd]]*(1+INDEX('3. Kengetallen (DC-uitdraai)'!K:K,MATCH(Table1[[#This Row],[Milieuprofiel]],'3. Kengetallen (DC-uitdraai)'!D:D,0))),0)</f>
        <v>0</v>
      </c>
      <c r="R142" s="126">
        <f>IFERROR(INDEX('3. Kengetallen (DC-uitdraai)'!V:V,MATCH(Table1[[#This Row],[Milieuprofiel]],'3. Kengetallen (DC-uitdraai)'!D:D,0))*Table1[[#This Row],[Hvd]]*(1+INDEX('3. Kengetallen (DC-uitdraai)'!K:K,MATCH(Table1[[#This Row],[Milieuprofiel]],'3. Kengetallen (DC-uitdraai)'!D:D,0))),0)</f>
        <v>0</v>
      </c>
      <c r="S142" s="126">
        <f>IFERROR(INDEX('3. Kengetallen (DC-uitdraai)'!W:W,MATCH(Table1[[#This Row],[Milieuprofiel]],'3. Kengetallen (DC-uitdraai)'!D:D,0))*Table1[[#This Row],[Hvd]]*(1+INDEX('3. Kengetallen (DC-uitdraai)'!K:K,MATCH(Table1[[#This Row],[Milieuprofiel]],'3. Kengetallen (DC-uitdraai)'!D:D,0))),0)</f>
        <v>0</v>
      </c>
      <c r="T142" s="126">
        <f>IFERROR(INDEX('3. Kengetallen (DC-uitdraai)'!X:X,MATCH(Table1[[#This Row],[Milieuprofiel]],'3. Kengetallen (DC-uitdraai)'!D:D,0))*Table1[[#This Row],[Hvd]]*(1+INDEX('3. Kengetallen (DC-uitdraai)'!K:K,MATCH(Table1[[#This Row],[Milieuprofiel]],'3. Kengetallen (DC-uitdraai)'!D:D,0))),0)</f>
        <v>0</v>
      </c>
      <c r="U142" s="16"/>
      <c r="V142" s="16"/>
      <c r="W142" s="16"/>
      <c r="X142" s="114">
        <f>IFERROR(INDEX('Eigen database'!P:P,MATCH(Table1[[#This Row],[Potentieel alternatief]],'Eigen database'!D:D,0))*Table1[[#This Row],[Hoeveelheid]]*(1+INDEX('Eigen database'!K:K,MATCH(Table1[[#This Row],[Potentieel alternatief]],'Eigen database'!D:D,0))),0)</f>
        <v>0</v>
      </c>
      <c r="Y142" s="140">
        <f>IF(Table1[[#This Row],[MKI A-D nieuw]]=0,Table1[[#This Row],[MKI A-D]],Table1[[#This Row],[MKI A-D nieuw]])</f>
        <v>0.90904700000000005</v>
      </c>
      <c r="Z142" s="126"/>
      <c r="AA142" s="127">
        <f>IFERROR(INDEX('3. Kengetallen (DC-uitdraai)'!AM:AM,MATCH(Table1[[#This Row],[Milieuprofiel]],'3. Kengetallen (DC-uitdraai)'!C:C,0)),0)*Table1[[#This Row],[Hvd]]</f>
        <v>0</v>
      </c>
      <c r="AB142" s="127">
        <f>IFERROR(INDEX('3. Kengetallen (DC-uitdraai)'!AM:AM,MATCH(Table1[[#This Row],[Potentieel alternatief]],'3. Kengetallen (DC-uitdraai)'!C:C,0)),0)*Table1[[#This Row],[Hvd]]</f>
        <v>0</v>
      </c>
      <c r="AC142"/>
      <c r="AD142"/>
      <c r="AE142"/>
      <c r="AF142"/>
      <c r="AG142"/>
      <c r="AH142"/>
      <c r="AI142"/>
      <c r="AJ142"/>
      <c r="AK142"/>
      <c r="AL142"/>
      <c r="AM142"/>
      <c r="AN142"/>
      <c r="AO142"/>
      <c r="AP142"/>
      <c r="AQ142"/>
      <c r="AR142"/>
      <c r="AS142"/>
      <c r="AT142"/>
      <c r="AU142"/>
      <c r="AV142"/>
      <c r="AW142"/>
      <c r="AX142"/>
      <c r="AY142"/>
      <c r="AZ142"/>
      <c r="BA142"/>
      <c r="BB142"/>
      <c r="BC142"/>
      <c r="BD142"/>
      <c r="BE142"/>
      <c r="BF142"/>
    </row>
    <row r="143" spans="1:58" s="117" customFormat="1">
      <c r="A143" s="137" t="s">
        <v>412</v>
      </c>
      <c r="B143" s="89"/>
      <c r="C143" s="42" t="s">
        <v>353</v>
      </c>
      <c r="D143" s="42" t="s">
        <v>387</v>
      </c>
      <c r="E143" s="113" t="s">
        <v>411</v>
      </c>
      <c r="F143" s="141" t="s">
        <v>396</v>
      </c>
      <c r="G143"/>
      <c r="H143" t="str">
        <f>IFERROR(INDEX('3. Kengetallen (DC-uitdraai)'!F:F,MATCH(Table1[[#This Row],[Milieuprofiel]],'3. Kengetallen (DC-uitdraai)'!D:D,0)),"")</f>
        <v>Cat.2</v>
      </c>
      <c r="I143" s="138">
        <v>3</v>
      </c>
      <c r="J143" t="s">
        <v>397</v>
      </c>
      <c r="K143" t="str">
        <f>IF(ISTEXT(Table1[[#This Row],[Milieuprofiel]]),"Ja","Nee")</f>
        <v>Ja</v>
      </c>
      <c r="L143" s="139">
        <f>0.2*0.25*0.5</f>
        <v>2.5000000000000001E-2</v>
      </c>
      <c r="M143" s="26">
        <f>Table1[[#This Row],[Volume]]*Table1[[#This Row],[Factor]]</f>
        <v>7.5000000000000011E-2</v>
      </c>
      <c r="N143" t="str">
        <f>IFERROR(INDEX('3. Kengetallen (DC-uitdraai)'!H:H,MATCH(Table1[[#This Row],[Milieuprofiel]],'3. Kengetallen (DC-uitdraai)'!D:D,0)),"")</f>
        <v>m3</v>
      </c>
      <c r="O143">
        <f>IFERROR(INDEX('3. Kengetallen (DC-uitdraai)'!I:I,MATCH(Table1[[#This Row],[Milieuprofiel]],'3. Kengetallen (DC-uitdraai)'!D:D,0)),0)</f>
        <v>25</v>
      </c>
      <c r="P143" s="125">
        <f>IFERROR(INDEX('3. Kengetallen (DC-uitdraai)'!P:P,MATCH(Table1[[#This Row],[Milieuprofiel]],'3. Kengetallen (DC-uitdraai)'!D:D,0))*Table1[[#This Row],[Hvd]]*(1+INDEX('3. Kengetallen (DC-uitdraai)'!K:K,MATCH(Table1[[#This Row],[Milieuprofiel]],'3. Kengetallen (DC-uitdraai)'!D:D,0))),0)</f>
        <v>2.7271410000000005</v>
      </c>
      <c r="Q143" s="126">
        <f>IFERROR(INDEX('3. Kengetallen (DC-uitdraai)'!U:U,MATCH(Table1[[#This Row],[Milieuprofiel]],'3. Kengetallen (DC-uitdraai)'!D:D,0))*Table1[[#This Row],[Hvd]]*(1+INDEX('3. Kengetallen (DC-uitdraai)'!K:K,MATCH(Table1[[#This Row],[Milieuprofiel]],'3. Kengetallen (DC-uitdraai)'!D:D,0))),0)</f>
        <v>0</v>
      </c>
      <c r="R143" s="126">
        <f>IFERROR(INDEX('3. Kengetallen (DC-uitdraai)'!V:V,MATCH(Table1[[#This Row],[Milieuprofiel]],'3. Kengetallen (DC-uitdraai)'!D:D,0))*Table1[[#This Row],[Hvd]]*(1+INDEX('3. Kengetallen (DC-uitdraai)'!K:K,MATCH(Table1[[#This Row],[Milieuprofiel]],'3. Kengetallen (DC-uitdraai)'!D:D,0))),0)</f>
        <v>0</v>
      </c>
      <c r="S143" s="126">
        <f>IFERROR(INDEX('3. Kengetallen (DC-uitdraai)'!W:W,MATCH(Table1[[#This Row],[Milieuprofiel]],'3. Kengetallen (DC-uitdraai)'!D:D,0))*Table1[[#This Row],[Hvd]]*(1+INDEX('3. Kengetallen (DC-uitdraai)'!K:K,MATCH(Table1[[#This Row],[Milieuprofiel]],'3. Kengetallen (DC-uitdraai)'!D:D,0))),0)</f>
        <v>0</v>
      </c>
      <c r="T143" s="126">
        <f>IFERROR(INDEX('3. Kengetallen (DC-uitdraai)'!X:X,MATCH(Table1[[#This Row],[Milieuprofiel]],'3. Kengetallen (DC-uitdraai)'!D:D,0))*Table1[[#This Row],[Hvd]]*(1+INDEX('3. Kengetallen (DC-uitdraai)'!K:K,MATCH(Table1[[#This Row],[Milieuprofiel]],'3. Kengetallen (DC-uitdraai)'!D:D,0))),0)</f>
        <v>0</v>
      </c>
      <c r="U143" s="16"/>
      <c r="V143" s="16"/>
      <c r="W143" s="16"/>
      <c r="X143" s="114">
        <f>IFERROR(INDEX('Eigen database'!P:P,MATCH(Table1[[#This Row],[Potentieel alternatief]],'Eigen database'!D:D,0))*Table1[[#This Row],[Hoeveelheid]]*(1+INDEX('Eigen database'!K:K,MATCH(Table1[[#This Row],[Potentieel alternatief]],'Eigen database'!D:D,0))),0)</f>
        <v>0</v>
      </c>
      <c r="Y143" s="128">
        <f>IF(Table1[[#This Row],[MKI A-D nieuw]]=0,Table1[[#This Row],[MKI A-D]],Table1[[#This Row],[MKI A-D nieuw]])</f>
        <v>2.7271410000000005</v>
      </c>
      <c r="Z143" s="126"/>
      <c r="AA143" s="127">
        <f>IFERROR(INDEX('3. Kengetallen (DC-uitdraai)'!AM:AM,MATCH(Table1[[#This Row],[Milieuprofiel]],'3. Kengetallen (DC-uitdraai)'!C:C,0)),0)*Table1[[#This Row],[Hvd]]</f>
        <v>0</v>
      </c>
      <c r="AB143" s="127">
        <f>IFERROR(INDEX('3. Kengetallen (DC-uitdraai)'!AM:AM,MATCH(Table1[[#This Row],[Potentieel alternatief]],'3. Kengetallen (DC-uitdraai)'!C:C,0)),0)*Table1[[#This Row],[Hvd]]</f>
        <v>0</v>
      </c>
      <c r="AC143"/>
      <c r="AD143"/>
      <c r="AE143"/>
      <c r="AF143"/>
      <c r="AG143"/>
      <c r="AH143"/>
      <c r="AI143"/>
      <c r="AJ143"/>
      <c r="AK143"/>
      <c r="AL143"/>
      <c r="AM143"/>
      <c r="AN143"/>
      <c r="AO143"/>
      <c r="AP143"/>
      <c r="AQ143"/>
      <c r="AR143"/>
      <c r="AS143"/>
      <c r="AT143"/>
      <c r="AU143"/>
      <c r="AV143"/>
      <c r="AW143"/>
      <c r="AX143"/>
      <c r="AY143"/>
      <c r="AZ143"/>
      <c r="BA143"/>
      <c r="BB143"/>
      <c r="BC143"/>
      <c r="BD143"/>
      <c r="BE143"/>
      <c r="BF143"/>
    </row>
    <row r="144" spans="1:58">
      <c r="A144" s="89" t="s">
        <v>413</v>
      </c>
      <c r="B144" s="89" t="s">
        <v>405</v>
      </c>
      <c r="C144" s="42" t="s">
        <v>353</v>
      </c>
      <c r="D144" s="42" t="s">
        <v>387</v>
      </c>
      <c r="E144" s="113" t="s">
        <v>414</v>
      </c>
      <c r="F144" t="s">
        <v>415</v>
      </c>
      <c r="G144" t="s">
        <v>390</v>
      </c>
      <c r="H144" t="str">
        <f>IFERROR(INDEX('3. Kengetallen (DC-uitdraai)'!F:F,MATCH(Table1[[#This Row],[Milieuprofiel]],'3. Kengetallen (DC-uitdraai)'!D:D,0)),"")</f>
        <v>Cat.3 (30%)</v>
      </c>
      <c r="I144" s="26">
        <v>6</v>
      </c>
      <c r="J144" t="s">
        <v>93</v>
      </c>
      <c r="K144" t="str">
        <f>IF(ISTEXT(Table1[[#This Row],[Milieuprofiel]]),"Ja","Nee")</f>
        <v>Ja</v>
      </c>
      <c r="L144" s="27">
        <f>(220*250)/(200*250)</f>
        <v>1.1000000000000001</v>
      </c>
      <c r="M144" s="26">
        <f>Table1[[#This Row],[Volume]]*Table1[[#This Row],[Factor]]</f>
        <v>6.6000000000000005</v>
      </c>
      <c r="N144" t="str">
        <f>IFERROR(INDEX('3. Kengetallen (DC-uitdraai)'!H:H,MATCH(Table1[[#This Row],[Milieuprofiel]],'3. Kengetallen (DC-uitdraai)'!D:D,0)),"")</f>
        <v>m1</v>
      </c>
      <c r="O144">
        <f>IFERROR(INDEX('3. Kengetallen (DC-uitdraai)'!I:I,MATCH(Table1[[#This Row],[Milieuprofiel]],'3. Kengetallen (DC-uitdraai)'!D:D,0)),0)</f>
        <v>75</v>
      </c>
      <c r="P144" s="125">
        <f>IFERROR(INDEX('3. Kengetallen (DC-uitdraai)'!P:P,MATCH(Table1[[#This Row],[Milieuprofiel]],'3. Kengetallen (DC-uitdraai)'!D:D,0))*Table1[[#This Row],[Hvd]]*(1+INDEX('3. Kengetallen (DC-uitdraai)'!K:K,MATCH(Table1[[#This Row],[Milieuprofiel]],'3. Kengetallen (DC-uitdraai)'!D:D,0))),0)</f>
        <v>12.291134421911664</v>
      </c>
      <c r="Q144" s="126">
        <f>IFERROR(INDEX('3. Kengetallen (DC-uitdraai)'!U:U,MATCH(Table1[[#This Row],[Milieuprofiel]],'3. Kengetallen (DC-uitdraai)'!D:D,0))*Table1[[#This Row],[Hvd]]*(1+INDEX('3. Kengetallen (DC-uitdraai)'!K:K,MATCH(Table1[[#This Row],[Milieuprofiel]],'3. Kengetallen (DC-uitdraai)'!D:D,0))),0)</f>
        <v>4.9135697505899101</v>
      </c>
      <c r="R144" s="126">
        <f>IFERROR(INDEX('3. Kengetallen (DC-uitdraai)'!V:V,MATCH(Table1[[#This Row],[Milieuprofiel]],'3. Kengetallen (DC-uitdraai)'!D:D,0))*Table1[[#This Row],[Hvd]]*(1+INDEX('3. Kengetallen (DC-uitdraai)'!K:K,MATCH(Table1[[#This Row],[Milieuprofiel]],'3. Kengetallen (DC-uitdraai)'!D:D,0))),0)</f>
        <v>4.318087062303837</v>
      </c>
      <c r="S144" s="126">
        <f>IFERROR(INDEX('3. Kengetallen (DC-uitdraai)'!W:W,MATCH(Table1[[#This Row],[Milieuprofiel]],'3. Kengetallen (DC-uitdraai)'!D:D,0))*Table1[[#This Row],[Hvd]]*(1+INDEX('3. Kengetallen (DC-uitdraai)'!K:K,MATCH(Table1[[#This Row],[Milieuprofiel]],'3. Kengetallen (DC-uitdraai)'!D:D,0))),0)</f>
        <v>0</v>
      </c>
      <c r="T144" s="126">
        <f>IFERROR(INDEX('3. Kengetallen (DC-uitdraai)'!X:X,MATCH(Table1[[#This Row],[Milieuprofiel]],'3. Kengetallen (DC-uitdraai)'!D:D,0))*Table1[[#This Row],[Hvd]]*(1+INDEX('3. Kengetallen (DC-uitdraai)'!K:K,MATCH(Table1[[#This Row],[Milieuprofiel]],'3. Kengetallen (DC-uitdraai)'!D:D,0))),0)</f>
        <v>-0.39664282726317041</v>
      </c>
      <c r="U144" s="43">
        <f>0.22*0.25</f>
        <v>5.5E-2</v>
      </c>
      <c r="V144" s="43">
        <f>Table1[[#This Row],[Volume]]*Table1[[#This Row],[omrekenfactor]]</f>
        <v>0.33</v>
      </c>
      <c r="W144" s="43" t="str">
        <f>IFERROR(INDEX('Eigen database'!H:H,MATCH(Table1[[#This Row],[Potentieel alternatief]],'Eigen database'!D:D,0)),"")</f>
        <v>m3</v>
      </c>
      <c r="X144" s="114">
        <f>IFERROR(INDEX('Eigen database'!P:P,MATCH(Table1[[#This Row],[Potentieel alternatief]],'Eigen database'!D:D,0))*Table1[[#This Row],[Hoeveelheid]]*(1+INDEX('Eigen database'!K:K,MATCH(Table1[[#This Row],[Potentieel alternatief]],'Eigen database'!D:D,0))),0)</f>
        <v>8.25</v>
      </c>
      <c r="Y144" s="128">
        <f>IF(Table1[[#This Row],[MKI A-D nieuw]]=0,Table1[[#This Row],[MKI A-D]],Table1[[#This Row],[MKI A-D nieuw]])</f>
        <v>8.25</v>
      </c>
      <c r="Z144" s="126"/>
      <c r="AA144" s="127">
        <f>IFERROR(INDEX('3. Kengetallen (DC-uitdraai)'!AM:AM,MATCH(Table1[[#This Row],[Milieuprofiel]],'3. Kengetallen (DC-uitdraai)'!C:C,0)),0)*Table1[[#This Row],[Hvd]]</f>
        <v>0</v>
      </c>
      <c r="AB144" s="127">
        <f>IFERROR(INDEX('3. Kengetallen (DC-uitdraai)'!AM:AM,MATCH(Table1[[#This Row],[Potentieel alternatief]],'3. Kengetallen (DC-uitdraai)'!C:C,0)),0)*Table1[[#This Row],[Hvd]]</f>
        <v>0</v>
      </c>
    </row>
    <row r="145" spans="1:58">
      <c r="A145" s="137" t="s">
        <v>416</v>
      </c>
      <c r="B145" s="89"/>
      <c r="C145" s="42" t="s">
        <v>353</v>
      </c>
      <c r="D145" s="42" t="s">
        <v>387</v>
      </c>
      <c r="E145" s="113" t="s">
        <v>417</v>
      </c>
      <c r="F145" s="141" t="s">
        <v>396</v>
      </c>
      <c r="H145" t="str">
        <f>IFERROR(INDEX('3. Kengetallen (DC-uitdraai)'!F:F,MATCH(Table1[[#This Row],[Milieuprofiel]],'3. Kengetallen (DC-uitdraai)'!D:D,0)),"")</f>
        <v>Cat.2</v>
      </c>
      <c r="I145" s="138">
        <v>6</v>
      </c>
      <c r="J145" t="s">
        <v>397</v>
      </c>
      <c r="K145" t="str">
        <f>IF(ISTEXT(Table1[[#This Row],[Milieuprofiel]]),"Ja","Nee")</f>
        <v>Ja</v>
      </c>
      <c r="L145" s="139">
        <f>0.22*0.25</f>
        <v>5.5E-2</v>
      </c>
      <c r="M145" s="124">
        <f>Table1[[#This Row],[Volume]]*Table1[[#This Row],[Factor]]</f>
        <v>0.33</v>
      </c>
      <c r="N145" t="str">
        <f>IFERROR(INDEX('3. Kengetallen (DC-uitdraai)'!H:H,MATCH(Table1[[#This Row],[Milieuprofiel]],'3. Kengetallen (DC-uitdraai)'!D:D,0)),"")</f>
        <v>m3</v>
      </c>
      <c r="O145">
        <f>IFERROR(INDEX('3. Kengetallen (DC-uitdraai)'!I:I,MATCH(Table1[[#This Row],[Milieuprofiel]],'3. Kengetallen (DC-uitdraai)'!D:D,0)),0)</f>
        <v>25</v>
      </c>
      <c r="P145" s="125">
        <f>IFERROR(INDEX('3. Kengetallen (DC-uitdraai)'!P:P,MATCH(Table1[[#This Row],[Milieuprofiel]],'3. Kengetallen (DC-uitdraai)'!D:D,0))*Table1[[#This Row],[Hvd]]*(1+INDEX('3. Kengetallen (DC-uitdraai)'!K:K,MATCH(Table1[[#This Row],[Milieuprofiel]],'3. Kengetallen (DC-uitdraai)'!D:D,0))),0)</f>
        <v>11.9994204</v>
      </c>
      <c r="Q145" s="126">
        <f>IFERROR(INDEX('3. Kengetallen (DC-uitdraai)'!U:U,MATCH(Table1[[#This Row],[Milieuprofiel]],'3. Kengetallen (DC-uitdraai)'!D:D,0))*Table1[[#This Row],[Hvd]]*(1+INDEX('3. Kengetallen (DC-uitdraai)'!K:K,MATCH(Table1[[#This Row],[Milieuprofiel]],'3. Kengetallen (DC-uitdraai)'!D:D,0))),0)</f>
        <v>0</v>
      </c>
      <c r="R145" s="126">
        <f>IFERROR(INDEX('3. Kengetallen (DC-uitdraai)'!V:V,MATCH(Table1[[#This Row],[Milieuprofiel]],'3. Kengetallen (DC-uitdraai)'!D:D,0))*Table1[[#This Row],[Hvd]]*(1+INDEX('3. Kengetallen (DC-uitdraai)'!K:K,MATCH(Table1[[#This Row],[Milieuprofiel]],'3. Kengetallen (DC-uitdraai)'!D:D,0))),0)</f>
        <v>0</v>
      </c>
      <c r="S145" s="126">
        <f>IFERROR(INDEX('3. Kengetallen (DC-uitdraai)'!W:W,MATCH(Table1[[#This Row],[Milieuprofiel]],'3. Kengetallen (DC-uitdraai)'!D:D,0))*Table1[[#This Row],[Hvd]]*(1+INDEX('3. Kengetallen (DC-uitdraai)'!K:K,MATCH(Table1[[#This Row],[Milieuprofiel]],'3. Kengetallen (DC-uitdraai)'!D:D,0))),0)</f>
        <v>0</v>
      </c>
      <c r="T145" s="126">
        <f>IFERROR(INDEX('3. Kengetallen (DC-uitdraai)'!X:X,MATCH(Table1[[#This Row],[Milieuprofiel]],'3. Kengetallen (DC-uitdraai)'!D:D,0))*Table1[[#This Row],[Hvd]]*(1+INDEX('3. Kengetallen (DC-uitdraai)'!K:K,MATCH(Table1[[#This Row],[Milieuprofiel]],'3. Kengetallen (DC-uitdraai)'!D:D,0))),0)</f>
        <v>0</v>
      </c>
      <c r="U145" s="16"/>
      <c r="V145" s="16"/>
      <c r="W145" s="16"/>
      <c r="X145" s="114">
        <f>IFERROR(INDEX('Eigen database'!P:P,MATCH(Table1[[#This Row],[Potentieel alternatief]],'Eigen database'!D:D,0))*Table1[[#This Row],[Hoeveelheid]]*(1+INDEX('Eigen database'!K:K,MATCH(Table1[[#This Row],[Potentieel alternatief]],'Eigen database'!D:D,0))),0)</f>
        <v>0</v>
      </c>
      <c r="Y145" s="128">
        <f>IF(Table1[[#This Row],[MKI A-D nieuw]]=0,Table1[[#This Row],[MKI A-D]],Table1[[#This Row],[MKI A-D nieuw]])</f>
        <v>11.9994204</v>
      </c>
      <c r="Z145" s="126"/>
      <c r="AA145" s="127">
        <f>IFERROR(INDEX('3. Kengetallen (DC-uitdraai)'!AM:AM,MATCH(Table1[[#This Row],[Milieuprofiel]],'3. Kengetallen (DC-uitdraai)'!C:C,0)),0)*Table1[[#This Row],[Hvd]]</f>
        <v>0</v>
      </c>
      <c r="AB145" s="127">
        <f>IFERROR(INDEX('3. Kengetallen (DC-uitdraai)'!AM:AM,MATCH(Table1[[#This Row],[Potentieel alternatief]],'3. Kengetallen (DC-uitdraai)'!C:C,0)),0)*Table1[[#This Row],[Hvd]]</f>
        <v>0</v>
      </c>
    </row>
    <row r="146" spans="1:58">
      <c r="A146" s="137" t="s">
        <v>418</v>
      </c>
      <c r="B146" s="89"/>
      <c r="C146" s="42" t="s">
        <v>353</v>
      </c>
      <c r="D146" s="42" t="s">
        <v>387</v>
      </c>
      <c r="E146" s="113" t="s">
        <v>417</v>
      </c>
      <c r="F146" s="141" t="s">
        <v>396</v>
      </c>
      <c r="H146" t="str">
        <f>IFERROR(INDEX('3. Kengetallen (DC-uitdraai)'!F:F,MATCH(Table1[[#This Row],[Milieuprofiel]],'3. Kengetallen (DC-uitdraai)'!D:D,0)),"")</f>
        <v>Cat.2</v>
      </c>
      <c r="I146" s="138">
        <v>2</v>
      </c>
      <c r="J146" t="s">
        <v>397</v>
      </c>
      <c r="K146" t="str">
        <f>IF(ISTEXT(Table1[[#This Row],[Milieuprofiel]]),"Ja","Nee")</f>
        <v>Ja</v>
      </c>
      <c r="L146" s="139">
        <f>0.22*0.25</f>
        <v>5.5E-2</v>
      </c>
      <c r="M146" s="26">
        <f>Table1[[#This Row],[Volume]]*Table1[[#This Row],[Factor]]</f>
        <v>0.11</v>
      </c>
      <c r="N146" t="str">
        <f>IFERROR(INDEX('3. Kengetallen (DC-uitdraai)'!H:H,MATCH(Table1[[#This Row],[Milieuprofiel]],'3. Kengetallen (DC-uitdraai)'!D:D,0)),"")</f>
        <v>m3</v>
      </c>
      <c r="O146">
        <f>IFERROR(INDEX('3. Kengetallen (DC-uitdraai)'!I:I,MATCH(Table1[[#This Row],[Milieuprofiel]],'3. Kengetallen (DC-uitdraai)'!D:D,0)),0)</f>
        <v>25</v>
      </c>
      <c r="P146" s="125">
        <f>IFERROR(INDEX('3. Kengetallen (DC-uitdraai)'!P:P,MATCH(Table1[[#This Row],[Milieuprofiel]],'3. Kengetallen (DC-uitdraai)'!D:D,0))*Table1[[#This Row],[Hvd]]*(1+INDEX('3. Kengetallen (DC-uitdraai)'!K:K,MATCH(Table1[[#This Row],[Milieuprofiel]],'3. Kengetallen (DC-uitdraai)'!D:D,0))),0)</f>
        <v>3.9998068</v>
      </c>
      <c r="Q146" s="126">
        <f>IFERROR(INDEX('3. Kengetallen (DC-uitdraai)'!U:U,MATCH(Table1[[#This Row],[Milieuprofiel]],'3. Kengetallen (DC-uitdraai)'!D:D,0))*Table1[[#This Row],[Hvd]]*(1+INDEX('3. Kengetallen (DC-uitdraai)'!K:K,MATCH(Table1[[#This Row],[Milieuprofiel]],'3. Kengetallen (DC-uitdraai)'!D:D,0))),0)</f>
        <v>0</v>
      </c>
      <c r="R146" s="126">
        <f>IFERROR(INDEX('3. Kengetallen (DC-uitdraai)'!V:V,MATCH(Table1[[#This Row],[Milieuprofiel]],'3. Kengetallen (DC-uitdraai)'!D:D,0))*Table1[[#This Row],[Hvd]]*(1+INDEX('3. Kengetallen (DC-uitdraai)'!K:K,MATCH(Table1[[#This Row],[Milieuprofiel]],'3. Kengetallen (DC-uitdraai)'!D:D,0))),0)</f>
        <v>0</v>
      </c>
      <c r="S146" s="126">
        <f>IFERROR(INDEX('3. Kengetallen (DC-uitdraai)'!W:W,MATCH(Table1[[#This Row],[Milieuprofiel]],'3. Kengetallen (DC-uitdraai)'!D:D,0))*Table1[[#This Row],[Hvd]]*(1+INDEX('3. Kengetallen (DC-uitdraai)'!K:K,MATCH(Table1[[#This Row],[Milieuprofiel]],'3. Kengetallen (DC-uitdraai)'!D:D,0))),0)</f>
        <v>0</v>
      </c>
      <c r="T146" s="126">
        <f>IFERROR(INDEX('3. Kengetallen (DC-uitdraai)'!X:X,MATCH(Table1[[#This Row],[Milieuprofiel]],'3. Kengetallen (DC-uitdraai)'!D:D,0))*Table1[[#This Row],[Hvd]]*(1+INDEX('3. Kengetallen (DC-uitdraai)'!K:K,MATCH(Table1[[#This Row],[Milieuprofiel]],'3. Kengetallen (DC-uitdraai)'!D:D,0))),0)</f>
        <v>0</v>
      </c>
      <c r="U146" s="16"/>
      <c r="V146" s="16"/>
      <c r="W146" s="16"/>
      <c r="X146" s="114">
        <f>IFERROR(INDEX('Eigen database'!P:P,MATCH(Table1[[#This Row],[Potentieel alternatief]],'Eigen database'!D:D,0))*Table1[[#This Row],[Hoeveelheid]]*(1+INDEX('Eigen database'!K:K,MATCH(Table1[[#This Row],[Potentieel alternatief]],'Eigen database'!D:D,0))),0)</f>
        <v>0</v>
      </c>
      <c r="Y146" s="128">
        <f>IF(Table1[[#This Row],[MKI A-D nieuw]]=0,Table1[[#This Row],[MKI A-D]],Table1[[#This Row],[MKI A-D nieuw]])</f>
        <v>3.9998068</v>
      </c>
      <c r="Z146" s="126"/>
      <c r="AA146" s="127">
        <f>IFERROR(INDEX('3. Kengetallen (DC-uitdraai)'!AM:AM,MATCH(Table1[[#This Row],[Milieuprofiel]],'3. Kengetallen (DC-uitdraai)'!C:C,0)),0)*Table1[[#This Row],[Hvd]]</f>
        <v>0</v>
      </c>
      <c r="AB146" s="127">
        <f>IFERROR(INDEX('3. Kengetallen (DC-uitdraai)'!AM:AM,MATCH(Table1[[#This Row],[Potentieel alternatief]],'3. Kengetallen (DC-uitdraai)'!C:C,0)),0)*Table1[[#This Row],[Hvd]]</f>
        <v>0</v>
      </c>
    </row>
    <row r="147" spans="1:58" s="117" customFormat="1">
      <c r="A147" s="89" t="s">
        <v>419</v>
      </c>
      <c r="B147" s="89" t="s">
        <v>420</v>
      </c>
      <c r="C147" s="42" t="s">
        <v>353</v>
      </c>
      <c r="D147" s="42" t="s">
        <v>387</v>
      </c>
      <c r="E147" s="113" t="s">
        <v>421</v>
      </c>
      <c r="F147" t="s">
        <v>393</v>
      </c>
      <c r="G147" t="s">
        <v>390</v>
      </c>
      <c r="H147" t="str">
        <f>IFERROR(INDEX('3. Kengetallen (DC-uitdraai)'!F:F,MATCH(Table1[[#This Row],[Milieuprofiel]],'3. Kengetallen (DC-uitdraai)'!D:D,0)),"")</f>
        <v>Cat.3 (30%)</v>
      </c>
      <c r="I147" s="26">
        <v>40</v>
      </c>
      <c r="J147" t="s">
        <v>93</v>
      </c>
      <c r="K147" t="str">
        <f>IF(ISTEXT(Table1[[#This Row],[Milieuprofiel]]),"Ja","Nee")</f>
        <v>Ja</v>
      </c>
      <c r="L147" s="27">
        <f>(600*300)/(300*150)</f>
        <v>4</v>
      </c>
      <c r="M147" s="26">
        <f>Table1[[#This Row],[Volume]]*Table1[[#This Row],[Factor]]</f>
        <v>160</v>
      </c>
      <c r="N147" t="str">
        <f>IFERROR(INDEX('3. Kengetallen (DC-uitdraai)'!H:H,MATCH(Table1[[#This Row],[Milieuprofiel]],'3. Kengetallen (DC-uitdraai)'!D:D,0)),"")</f>
        <v>m1</v>
      </c>
      <c r="O147">
        <f>IFERROR(INDEX('3. Kengetallen (DC-uitdraai)'!I:I,MATCH(Table1[[#This Row],[Milieuprofiel]],'3. Kengetallen (DC-uitdraai)'!D:D,0)),0)</f>
        <v>75</v>
      </c>
      <c r="P147" s="125">
        <f>IFERROR(INDEX('3. Kengetallen (DC-uitdraai)'!P:P,MATCH(Table1[[#This Row],[Milieuprofiel]],'3. Kengetallen (DC-uitdraai)'!D:D,0))*Table1[[#This Row],[Hvd]]*(1+INDEX('3. Kengetallen (DC-uitdraai)'!K:K,MATCH(Table1[[#This Row],[Milieuprofiel]],'3. Kengetallen (DC-uitdraai)'!D:D,0))),0)</f>
        <v>352.62860653280757</v>
      </c>
      <c r="Q147" s="126">
        <f>IFERROR(INDEX('3. Kengetallen (DC-uitdraai)'!U:U,MATCH(Table1[[#This Row],[Milieuprofiel]],'3. Kengetallen (DC-uitdraai)'!D:D,0))*Table1[[#This Row],[Hvd]]*(1+INDEX('3. Kengetallen (DC-uitdraai)'!K:K,MATCH(Table1[[#This Row],[Milieuprofiel]],'3. Kengetallen (DC-uitdraai)'!D:D,0))),0)</f>
        <v>151.25948246164225</v>
      </c>
      <c r="R147" s="126">
        <f>IFERROR(INDEX('3. Kengetallen (DC-uitdraai)'!V:V,MATCH(Table1[[#This Row],[Milieuprofiel]],'3. Kengetallen (DC-uitdraai)'!D:D,0))*Table1[[#This Row],[Hvd]]*(1+INDEX('3. Kengetallen (DC-uitdraai)'!K:K,MATCH(Table1[[#This Row],[Milieuprofiel]],'3. Kengetallen (DC-uitdraai)'!D:D,0))),0)</f>
        <v>123.77166757505611</v>
      </c>
      <c r="S147" s="126">
        <f>IFERROR(INDEX('3. Kengetallen (DC-uitdraai)'!W:W,MATCH(Table1[[#This Row],[Milieuprofiel]],'3. Kengetallen (DC-uitdraai)'!D:D,0))*Table1[[#This Row],[Hvd]]*(1+INDEX('3. Kengetallen (DC-uitdraai)'!K:K,MATCH(Table1[[#This Row],[Milieuprofiel]],'3. Kengetallen (DC-uitdraai)'!D:D,0))),0)</f>
        <v>0</v>
      </c>
      <c r="T147" s="126">
        <f>IFERROR(INDEX('3. Kengetallen (DC-uitdraai)'!X:X,MATCH(Table1[[#This Row],[Milieuprofiel]],'3. Kengetallen (DC-uitdraai)'!D:D,0))*Table1[[#This Row],[Hvd]]*(1+INDEX('3. Kengetallen (DC-uitdraai)'!K:K,MATCH(Table1[[#This Row],[Milieuprofiel]],'3. Kengetallen (DC-uitdraai)'!D:D,0))),0)</f>
        <v>-22.375402851992156</v>
      </c>
      <c r="U147" s="43">
        <f>0.6*0.3</f>
        <v>0.18</v>
      </c>
      <c r="V147" s="134">
        <f>Table1[[#This Row],[Volume]]*Table1[[#This Row],[omrekenfactor]]</f>
        <v>7.1999999999999993</v>
      </c>
      <c r="W147" s="43" t="str">
        <f>IFERROR(INDEX('Eigen database'!H:H,MATCH(Table1[[#This Row],[Potentieel alternatief]],'Eigen database'!D:D,0)),"")</f>
        <v>m3</v>
      </c>
      <c r="X147" s="114">
        <f>IFERROR(INDEX('Eigen database'!P:P,MATCH(Table1[[#This Row],[Potentieel alternatief]],'Eigen database'!D:D,0))*Table1[[#This Row],[Hoeveelheid]]*(1+INDEX('Eigen database'!K:K,MATCH(Table1[[#This Row],[Potentieel alternatief]],'Eigen database'!D:D,0))),0)</f>
        <v>179.99999999999997</v>
      </c>
      <c r="Y147" s="128">
        <f>IF(Table1[[#This Row],[MKI A-D nieuw]]=0,Table1[[#This Row],[MKI A-D]],Table1[[#This Row],[MKI A-D nieuw]])</f>
        <v>179.99999999999997</v>
      </c>
      <c r="Z147" s="126"/>
      <c r="AA147" s="127">
        <f>IFERROR(INDEX('3. Kengetallen (DC-uitdraai)'!AM:AM,MATCH(Table1[[#This Row],[Milieuprofiel]],'3. Kengetallen (DC-uitdraai)'!C:C,0)),0)*Table1[[#This Row],[Hvd]]</f>
        <v>0</v>
      </c>
      <c r="AB147" s="127">
        <f>IFERROR(INDEX('3. Kengetallen (DC-uitdraai)'!AM:AM,MATCH(Table1[[#This Row],[Potentieel alternatief]],'3. Kengetallen (DC-uitdraai)'!C:C,0)),0)*Table1[[#This Row],[Hvd]]</f>
        <v>0</v>
      </c>
      <c r="AC147"/>
      <c r="AD147"/>
      <c r="AE147"/>
      <c r="AF147"/>
      <c r="AG147"/>
      <c r="AH147"/>
      <c r="AI147"/>
      <c r="AJ147"/>
      <c r="AK147"/>
      <c r="AL147"/>
      <c r="AM147"/>
      <c r="AN147"/>
      <c r="AO147"/>
      <c r="AP147"/>
      <c r="AQ147"/>
      <c r="AR147"/>
      <c r="AS147"/>
      <c r="AT147"/>
      <c r="AU147"/>
      <c r="AV147"/>
      <c r="AW147"/>
      <c r="AX147"/>
      <c r="AY147"/>
      <c r="AZ147"/>
      <c r="BA147"/>
      <c r="BB147"/>
      <c r="BC147"/>
      <c r="BD147"/>
      <c r="BE147"/>
      <c r="BF147"/>
    </row>
    <row r="148" spans="1:58" s="117" customFormat="1">
      <c r="A148" s="137" t="s">
        <v>422</v>
      </c>
      <c r="B148" s="89"/>
      <c r="C148" s="42" t="s">
        <v>353</v>
      </c>
      <c r="D148" s="42" t="s">
        <v>387</v>
      </c>
      <c r="E148" s="113" t="s">
        <v>423</v>
      </c>
      <c r="F148" s="141" t="s">
        <v>396</v>
      </c>
      <c r="G148"/>
      <c r="H148" t="str">
        <f>IFERROR(INDEX('3. Kengetallen (DC-uitdraai)'!F:F,MATCH(Table1[[#This Row],[Milieuprofiel]],'3. Kengetallen (DC-uitdraai)'!D:D,0)),"")</f>
        <v>Cat.2</v>
      </c>
      <c r="I148" s="138">
        <v>10</v>
      </c>
      <c r="J148" t="s">
        <v>397</v>
      </c>
      <c r="K148" t="str">
        <f>IF(ISTEXT(Table1[[#This Row],[Milieuprofiel]]),"Ja","Nee")</f>
        <v>Ja</v>
      </c>
      <c r="L148" s="139">
        <f>0.6*0.3*1</f>
        <v>0.18</v>
      </c>
      <c r="M148" s="26">
        <f>Table1[[#This Row],[Volume]]*Table1[[#This Row],[Factor]]</f>
        <v>1.7999999999999998</v>
      </c>
      <c r="N148" t="str">
        <f>IFERROR(INDEX('3. Kengetallen (DC-uitdraai)'!H:H,MATCH(Table1[[#This Row],[Milieuprofiel]],'3. Kengetallen (DC-uitdraai)'!D:D,0)),"")</f>
        <v>m3</v>
      </c>
      <c r="O148">
        <f>IFERROR(INDEX('3. Kengetallen (DC-uitdraai)'!I:I,MATCH(Table1[[#This Row],[Milieuprofiel]],'3. Kengetallen (DC-uitdraai)'!D:D,0)),0)</f>
        <v>25</v>
      </c>
      <c r="P148" s="125">
        <f>IFERROR(INDEX('3. Kengetallen (DC-uitdraai)'!P:P,MATCH(Table1[[#This Row],[Milieuprofiel]],'3. Kengetallen (DC-uitdraai)'!D:D,0))*Table1[[#This Row],[Hvd]]*(1+INDEX('3. Kengetallen (DC-uitdraai)'!K:K,MATCH(Table1[[#This Row],[Milieuprofiel]],'3. Kengetallen (DC-uitdraai)'!D:D,0))),0)</f>
        <v>65.45138399999999</v>
      </c>
      <c r="Q148" s="126">
        <f>IFERROR(INDEX('3. Kengetallen (DC-uitdraai)'!U:U,MATCH(Table1[[#This Row],[Milieuprofiel]],'3. Kengetallen (DC-uitdraai)'!D:D,0))*Table1[[#This Row],[Hvd]]*(1+INDEX('3. Kengetallen (DC-uitdraai)'!K:K,MATCH(Table1[[#This Row],[Milieuprofiel]],'3. Kengetallen (DC-uitdraai)'!D:D,0))),0)</f>
        <v>0</v>
      </c>
      <c r="R148" s="126">
        <f>IFERROR(INDEX('3. Kengetallen (DC-uitdraai)'!V:V,MATCH(Table1[[#This Row],[Milieuprofiel]],'3. Kengetallen (DC-uitdraai)'!D:D,0))*Table1[[#This Row],[Hvd]]*(1+INDEX('3. Kengetallen (DC-uitdraai)'!K:K,MATCH(Table1[[#This Row],[Milieuprofiel]],'3. Kengetallen (DC-uitdraai)'!D:D,0))),0)</f>
        <v>0</v>
      </c>
      <c r="S148" s="126">
        <f>IFERROR(INDEX('3. Kengetallen (DC-uitdraai)'!W:W,MATCH(Table1[[#This Row],[Milieuprofiel]],'3. Kengetallen (DC-uitdraai)'!D:D,0))*Table1[[#This Row],[Hvd]]*(1+INDEX('3. Kengetallen (DC-uitdraai)'!K:K,MATCH(Table1[[#This Row],[Milieuprofiel]],'3. Kengetallen (DC-uitdraai)'!D:D,0))),0)</f>
        <v>0</v>
      </c>
      <c r="T148" s="126">
        <f>IFERROR(INDEX('3. Kengetallen (DC-uitdraai)'!X:X,MATCH(Table1[[#This Row],[Milieuprofiel]],'3. Kengetallen (DC-uitdraai)'!D:D,0))*Table1[[#This Row],[Hvd]]*(1+INDEX('3. Kengetallen (DC-uitdraai)'!K:K,MATCH(Table1[[#This Row],[Milieuprofiel]],'3. Kengetallen (DC-uitdraai)'!D:D,0))),0)</f>
        <v>0</v>
      </c>
      <c r="U148" s="16"/>
      <c r="V148" s="16"/>
      <c r="W148" s="16"/>
      <c r="X148" s="114">
        <f>IFERROR(INDEX('Eigen database'!P:P,MATCH(Table1[[#This Row],[Potentieel alternatief]],'Eigen database'!D:D,0))*Table1[[#This Row],[Hoeveelheid]]*(1+INDEX('Eigen database'!K:K,MATCH(Table1[[#This Row],[Potentieel alternatief]],'Eigen database'!D:D,0))),0)</f>
        <v>0</v>
      </c>
      <c r="Y148" s="128">
        <f>IF(Table1[[#This Row],[MKI A-D nieuw]]=0,Table1[[#This Row],[MKI A-D]],Table1[[#This Row],[MKI A-D nieuw]])</f>
        <v>65.45138399999999</v>
      </c>
      <c r="Z148" s="126"/>
      <c r="AA148" s="127">
        <f>IFERROR(INDEX('3. Kengetallen (DC-uitdraai)'!AM:AM,MATCH(Table1[[#This Row],[Milieuprofiel]],'3. Kengetallen (DC-uitdraai)'!C:C,0)),0)*Table1[[#This Row],[Hvd]]</f>
        <v>0</v>
      </c>
      <c r="AB148" s="127">
        <f>IFERROR(INDEX('3. Kengetallen (DC-uitdraai)'!AM:AM,MATCH(Table1[[#This Row],[Potentieel alternatief]],'3. Kengetallen (DC-uitdraai)'!C:C,0)),0)*Table1[[#This Row],[Hvd]]</f>
        <v>0</v>
      </c>
      <c r="AC148"/>
      <c r="AD148"/>
      <c r="AE148"/>
      <c r="AF148"/>
      <c r="AG148"/>
      <c r="AH148"/>
      <c r="AI148"/>
      <c r="AJ148"/>
      <c r="AK148"/>
      <c r="AL148"/>
      <c r="AM148"/>
      <c r="AN148"/>
      <c r="AO148"/>
      <c r="AP148"/>
      <c r="AQ148"/>
      <c r="AR148"/>
      <c r="AS148"/>
      <c r="AT148"/>
      <c r="AU148"/>
      <c r="AV148"/>
      <c r="AW148"/>
      <c r="AX148"/>
      <c r="AY148"/>
      <c r="AZ148"/>
      <c r="BA148"/>
      <c r="BB148"/>
      <c r="BC148"/>
      <c r="BD148"/>
      <c r="BE148"/>
      <c r="BF148"/>
    </row>
    <row r="149" spans="1:58">
      <c r="A149" s="89" t="s">
        <v>424</v>
      </c>
      <c r="B149" s="89" t="s">
        <v>425</v>
      </c>
      <c r="C149" s="42" t="s">
        <v>353</v>
      </c>
      <c r="D149" s="42" t="s">
        <v>426</v>
      </c>
      <c r="E149" s="113" t="s">
        <v>427</v>
      </c>
      <c r="F149" t="s">
        <v>428</v>
      </c>
      <c r="G149" t="s">
        <v>429</v>
      </c>
      <c r="H149" t="str">
        <f>IFERROR(INDEX('3. Kengetallen (DC-uitdraai)'!F:F,MATCH(Table1[[#This Row],[Milieuprofiel]],'3. Kengetallen (DC-uitdraai)'!D:D,0)),"")</f>
        <v>Cat.2</v>
      </c>
      <c r="I149" s="26">
        <v>835</v>
      </c>
      <c r="J149" t="s">
        <v>384</v>
      </c>
      <c r="K149" t="str">
        <f>IF(ISTEXT(Table1[[#This Row],[Milieuprofiel]]),"Ja","Nee")</f>
        <v>Ja</v>
      </c>
      <c r="L149" s="27">
        <v>1000</v>
      </c>
      <c r="M149" s="26">
        <f>Table1[[#This Row],[Volume]]*Table1[[#This Row],[Factor]]</f>
        <v>835000</v>
      </c>
      <c r="N149" t="str">
        <f>IFERROR(INDEX('3. Kengetallen (DC-uitdraai)'!H:H,MATCH(Table1[[#This Row],[Milieuprofiel]],'3. Kengetallen (DC-uitdraai)'!D:D,0)),"")</f>
        <v>kg</v>
      </c>
      <c r="O149">
        <f>IFERROR(INDEX('3. Kengetallen (DC-uitdraai)'!I:I,MATCH(Table1[[#This Row],[Milieuprofiel]],'3. Kengetallen (DC-uitdraai)'!D:D,0)),0)</f>
        <v>45</v>
      </c>
      <c r="P149" s="125">
        <f>IFERROR(INDEX('3. Kengetallen (DC-uitdraai)'!P:P,MATCH(Table1[[#This Row],[Milieuprofiel]],'3. Kengetallen (DC-uitdraai)'!D:D,0))*Table1[[#This Row],[Hvd]]*(1+INDEX('3. Kengetallen (DC-uitdraai)'!K:K,MATCH(Table1[[#This Row],[Milieuprofiel]],'3. Kengetallen (DC-uitdraai)'!D:D,0))),0)</f>
        <v>5044.2945667615732</v>
      </c>
      <c r="Q149" s="126">
        <f>IFERROR(INDEX('3. Kengetallen (DC-uitdraai)'!U:U,MATCH(Table1[[#This Row],[Milieuprofiel]],'3. Kengetallen (DC-uitdraai)'!D:D,0))*Table1[[#This Row],[Hvd]]*(1+INDEX('3. Kengetallen (DC-uitdraai)'!K:K,MATCH(Table1[[#This Row],[Milieuprofiel]],'3. Kengetallen (DC-uitdraai)'!D:D,0))),0)</f>
        <v>5481.9310044411086</v>
      </c>
      <c r="R149" s="126">
        <f>IFERROR(INDEX('3. Kengetallen (DC-uitdraai)'!V:V,MATCH(Table1[[#This Row],[Milieuprofiel]],'3. Kengetallen (DC-uitdraai)'!D:D,0))*Table1[[#This Row],[Hvd]]*(1+INDEX('3. Kengetallen (DC-uitdraai)'!K:K,MATCH(Table1[[#This Row],[Milieuprofiel]],'3. Kengetallen (DC-uitdraai)'!D:D,0))),0)</f>
        <v>479.87988882873765</v>
      </c>
      <c r="S149" s="126">
        <f>IFERROR(INDEX('3. Kengetallen (DC-uitdraai)'!W:W,MATCH(Table1[[#This Row],[Milieuprofiel]],'3. Kengetallen (DC-uitdraai)'!D:D,0))*Table1[[#This Row],[Hvd]]*(1+INDEX('3. Kengetallen (DC-uitdraai)'!K:K,MATCH(Table1[[#This Row],[Milieuprofiel]],'3. Kengetallen (DC-uitdraai)'!D:D,0))),0)</f>
        <v>504.42945667615754</v>
      </c>
      <c r="T149" s="126">
        <f>IFERROR(INDEX('3. Kengetallen (DC-uitdraai)'!X:X,MATCH(Table1[[#This Row],[Milieuprofiel]],'3. Kengetallen (DC-uitdraai)'!D:D,0))*Table1[[#This Row],[Hvd]]*(1+INDEX('3. Kengetallen (DC-uitdraai)'!K:K,MATCH(Table1[[#This Row],[Milieuprofiel]],'3. Kengetallen (DC-uitdraai)'!D:D,0))),0)</f>
        <v>-1421.9457831844302</v>
      </c>
      <c r="U149" s="43">
        <v>1</v>
      </c>
      <c r="V149" s="43">
        <f>Table1[[#This Row],[Volume]]*Table1[[#This Row],[omrekenfactor]]</f>
        <v>835</v>
      </c>
      <c r="W149" s="43" t="str">
        <f>IFERROR(INDEX('Eigen database'!H:H,MATCH(Table1[[#This Row],[Potentieel alternatief]],'Eigen database'!D:D,0)),"")</f>
        <v>ton</v>
      </c>
      <c r="X149" s="114">
        <f>IFERROR(INDEX('Eigen database'!P:P,MATCH(Table1[[#This Row],[Potentieel alternatief]],'Eigen database'!D:D,0))*Table1[[#This Row],[Hoeveelheid]]*(1+INDEX('Eigen database'!K:K,MATCH(Table1[[#This Row],[Potentieel alternatief]],'Eigen database'!D:D,0))),0)</f>
        <v>3627.6111111111113</v>
      </c>
      <c r="Y149" s="128">
        <f>IF(Table1[[#This Row],[MKI A-D nieuw]]=0,Table1[[#This Row],[MKI A-D]],Table1[[#This Row],[MKI A-D nieuw]])</f>
        <v>3627.6111111111113</v>
      </c>
      <c r="Z149" s="16"/>
      <c r="AA149" s="28">
        <f>IFERROR(INDEX('3. Kengetallen (DC-uitdraai)'!AM:AM,MATCH(Table1[[#This Row],[Milieuprofiel]],'3. Kengetallen (DC-uitdraai)'!C:C,0)),0)*Table1[[#This Row],[Hvd]]</f>
        <v>0</v>
      </c>
      <c r="AB149" s="28">
        <f>IFERROR(INDEX('3. Kengetallen (DC-uitdraai)'!AM:AM,MATCH(Table1[[#This Row],[Potentieel alternatief]],'3. Kengetallen (DC-uitdraai)'!C:C,0)),0)*Table1[[#This Row],[Hvd]]</f>
        <v>0</v>
      </c>
    </row>
    <row r="150" spans="1:58">
      <c r="A150" s="89" t="s">
        <v>424</v>
      </c>
      <c r="B150" s="89" t="s">
        <v>425</v>
      </c>
      <c r="C150" s="42" t="s">
        <v>353</v>
      </c>
      <c r="D150" s="42" t="s">
        <v>426</v>
      </c>
      <c r="E150" s="113" t="s">
        <v>430</v>
      </c>
      <c r="F150" t="s">
        <v>428</v>
      </c>
      <c r="G150" t="s">
        <v>429</v>
      </c>
      <c r="H150" t="str">
        <f>IFERROR(INDEX('3. Kengetallen (DC-uitdraai)'!F:F,MATCH(Table1[[#This Row],[Milieuprofiel]],'3. Kengetallen (DC-uitdraai)'!D:D,0)),"")</f>
        <v>Cat.2</v>
      </c>
      <c r="I150" s="26">
        <v>595</v>
      </c>
      <c r="J150" t="s">
        <v>384</v>
      </c>
      <c r="K150" t="str">
        <f>IF(ISTEXT(Table1[[#This Row],[Milieuprofiel]]),"Ja","Nee")</f>
        <v>Ja</v>
      </c>
      <c r="L150" s="27">
        <v>1000</v>
      </c>
      <c r="M150" s="26">
        <f>Table1[[#This Row],[Volume]]*Table1[[#This Row],[Factor]]</f>
        <v>595000</v>
      </c>
      <c r="N150" t="str">
        <f>IFERROR(INDEX('3. Kengetallen (DC-uitdraai)'!H:H,MATCH(Table1[[#This Row],[Milieuprofiel]],'3. Kengetallen (DC-uitdraai)'!D:D,0)),"")</f>
        <v>kg</v>
      </c>
      <c r="O150">
        <f>IFERROR(INDEX('3. Kengetallen (DC-uitdraai)'!I:I,MATCH(Table1[[#This Row],[Milieuprofiel]],'3. Kengetallen (DC-uitdraai)'!D:D,0)),0)</f>
        <v>45</v>
      </c>
      <c r="P150" s="125">
        <f>IFERROR(INDEX('3. Kengetallen (DC-uitdraai)'!P:P,MATCH(Table1[[#This Row],[Milieuprofiel]],'3. Kengetallen (DC-uitdraai)'!D:D,0))*Table1[[#This Row],[Hvd]]*(1+INDEX('3. Kengetallen (DC-uitdraai)'!K:K,MATCH(Table1[[#This Row],[Milieuprofiel]],'3. Kengetallen (DC-uitdraai)'!D:D,0))),0)</f>
        <v>3594.4374457762106</v>
      </c>
      <c r="Q150" s="126">
        <f>IFERROR(INDEX('3. Kengetallen (DC-uitdraai)'!U:U,MATCH(Table1[[#This Row],[Milieuprofiel]],'3. Kengetallen (DC-uitdraai)'!D:D,0))*Table1[[#This Row],[Hvd]]*(1+INDEX('3. Kengetallen (DC-uitdraai)'!K:K,MATCH(Table1[[#This Row],[Milieuprofiel]],'3. Kengetallen (DC-uitdraai)'!D:D,0))),0)</f>
        <v>3906.2861648412691</v>
      </c>
      <c r="R150" s="126">
        <f>IFERROR(INDEX('3. Kengetallen (DC-uitdraai)'!V:V,MATCH(Table1[[#This Row],[Milieuprofiel]],'3. Kengetallen (DC-uitdraai)'!D:D,0))*Table1[[#This Row],[Hvd]]*(1+INDEX('3. Kengetallen (DC-uitdraai)'!K:K,MATCH(Table1[[#This Row],[Milieuprofiel]],'3. Kengetallen (DC-uitdraai)'!D:D,0))),0)</f>
        <v>341.95033994383101</v>
      </c>
      <c r="S150" s="126">
        <f>IFERROR(INDEX('3. Kengetallen (DC-uitdraai)'!W:W,MATCH(Table1[[#This Row],[Milieuprofiel]],'3. Kengetallen (DC-uitdraai)'!D:D,0))*Table1[[#This Row],[Hvd]]*(1+INDEX('3. Kengetallen (DC-uitdraai)'!K:K,MATCH(Table1[[#This Row],[Milieuprofiel]],'3. Kengetallen (DC-uitdraai)'!D:D,0))),0)</f>
        <v>359.44374457762126</v>
      </c>
      <c r="T150" s="126">
        <f>IFERROR(INDEX('3. Kengetallen (DC-uitdraai)'!X:X,MATCH(Table1[[#This Row],[Milieuprofiel]],'3. Kengetallen (DC-uitdraai)'!D:D,0))*Table1[[#This Row],[Hvd]]*(1+INDEX('3. Kengetallen (DC-uitdraai)'!K:K,MATCH(Table1[[#This Row],[Milieuprofiel]],'3. Kengetallen (DC-uitdraai)'!D:D,0))),0)</f>
        <v>-1013.2428035865103</v>
      </c>
      <c r="U150" s="43">
        <v>1</v>
      </c>
      <c r="V150" s="43">
        <f>Table1[[#This Row],[Volume]]*Table1[[#This Row],[omrekenfactor]]</f>
        <v>595</v>
      </c>
      <c r="W150" s="43" t="str">
        <f>IFERROR(INDEX('Eigen database'!H:H,MATCH(Table1[[#This Row],[Potentieel alternatief]],'Eigen database'!D:D,0)),"")</f>
        <v>ton</v>
      </c>
      <c r="X150" s="114">
        <f>IFERROR(INDEX('Eigen database'!P:P,MATCH(Table1[[#This Row],[Potentieel alternatief]],'Eigen database'!D:D,0))*Table1[[#This Row],[Hoeveelheid]]*(1+INDEX('Eigen database'!K:K,MATCH(Table1[[#This Row],[Potentieel alternatief]],'Eigen database'!D:D,0))),0)</f>
        <v>2584.9444444444448</v>
      </c>
      <c r="Y150" s="128">
        <f>IF(Table1[[#This Row],[MKI A-D nieuw]]=0,Table1[[#This Row],[MKI A-D]],Table1[[#This Row],[MKI A-D nieuw]])</f>
        <v>2584.9444444444448</v>
      </c>
      <c r="Z150" s="16"/>
      <c r="AA150" s="28">
        <f>IFERROR(INDEX('3. Kengetallen (DC-uitdraai)'!AM:AM,MATCH(Table1[[#This Row],[Milieuprofiel]],'3. Kengetallen (DC-uitdraai)'!C:C,0)),0)*Table1[[#This Row],[Hvd]]</f>
        <v>0</v>
      </c>
      <c r="AB150" s="28">
        <f>IFERROR(INDEX('3. Kengetallen (DC-uitdraai)'!AM:AM,MATCH(Table1[[#This Row],[Potentieel alternatief]],'3. Kengetallen (DC-uitdraai)'!C:C,0)),0)*Table1[[#This Row],[Hvd]]</f>
        <v>0</v>
      </c>
    </row>
    <row r="151" spans="1:58">
      <c r="A151" s="89" t="s">
        <v>431</v>
      </c>
      <c r="B151" s="89" t="s">
        <v>432</v>
      </c>
      <c r="C151" s="42" t="s">
        <v>353</v>
      </c>
      <c r="D151" s="42" t="s">
        <v>426</v>
      </c>
      <c r="E151" s="113" t="s">
        <v>433</v>
      </c>
      <c r="F151" t="s">
        <v>434</v>
      </c>
      <c r="G151" t="s">
        <v>435</v>
      </c>
      <c r="H151" t="str">
        <f>IFERROR(INDEX('3. Kengetallen (DC-uitdraai)'!F:F,MATCH(Table1[[#This Row],[Milieuprofiel]],'3. Kengetallen (DC-uitdraai)'!D:D,0)),"")</f>
        <v>Cat.2</v>
      </c>
      <c r="I151" s="26">
        <v>1125</v>
      </c>
      <c r="J151" t="s">
        <v>384</v>
      </c>
      <c r="K151" t="str">
        <f>IF(ISTEXT(Table1[[#This Row],[Milieuprofiel]]),"Ja","Nee")</f>
        <v>Ja</v>
      </c>
      <c r="L151" s="27">
        <v>1000</v>
      </c>
      <c r="M151" s="26">
        <f>Table1[[#This Row],[Volume]]*Table1[[#This Row],[Factor]]</f>
        <v>1125000</v>
      </c>
      <c r="N151" t="str">
        <f>IFERROR(INDEX('3. Kengetallen (DC-uitdraai)'!H:H,MATCH(Table1[[#This Row],[Milieuprofiel]],'3. Kengetallen (DC-uitdraai)'!D:D,0)),"")</f>
        <v>kg</v>
      </c>
      <c r="O151">
        <f>IFERROR(INDEX('3. Kengetallen (DC-uitdraai)'!I:I,MATCH(Table1[[#This Row],[Milieuprofiel]],'3. Kengetallen (DC-uitdraai)'!D:D,0)),0)</f>
        <v>14</v>
      </c>
      <c r="P151" s="106">
        <f>IFERROR(INDEX('3. Kengetallen (DC-uitdraai)'!P:P,MATCH(Table1[[#This Row],[Milieuprofiel]],'3. Kengetallen (DC-uitdraai)'!D:D,0))*Table1[[#This Row],[Hvd]]*(1+INDEX('3. Kengetallen (DC-uitdraai)'!K:K,MATCH(Table1[[#This Row],[Milieuprofiel]],'3. Kengetallen (DC-uitdraai)'!D:D,0))),0)</f>
        <v>142045.31642719414</v>
      </c>
      <c r="Q151" s="16">
        <f>IFERROR(INDEX('3. Kengetallen (DC-uitdraai)'!U:U,MATCH(Table1[[#This Row],[Milieuprofiel]],'3. Kengetallen (DC-uitdraai)'!D:D,0))*Table1[[#This Row],[Hvd]]*(1+INDEX('3. Kengetallen (DC-uitdraai)'!K:K,MATCH(Table1[[#This Row],[Milieuprofiel]],'3. Kengetallen (DC-uitdraai)'!D:D,0))),0)</f>
        <v>51979.385839546601</v>
      </c>
      <c r="R151" s="16">
        <f>IFERROR(INDEX('3. Kengetallen (DC-uitdraai)'!V:V,MATCH(Table1[[#This Row],[Milieuprofiel]],'3. Kengetallen (DC-uitdraai)'!D:D,0))*Table1[[#This Row],[Hvd]]*(1+INDEX('3. Kengetallen (DC-uitdraai)'!K:K,MATCH(Table1[[#This Row],[Milieuprofiel]],'3. Kengetallen (DC-uitdraai)'!D:D,0))),0)</f>
        <v>2552.0055321141958</v>
      </c>
      <c r="S151" s="16">
        <f>IFERROR(INDEX('3. Kengetallen (DC-uitdraai)'!W:W,MATCH(Table1[[#This Row],[Milieuprofiel]],'3. Kengetallen (DC-uitdraai)'!D:D,0))*Table1[[#This Row],[Hvd]]*(1+INDEX('3. Kengetallen (DC-uitdraai)'!K:K,MATCH(Table1[[#This Row],[Milieuprofiel]],'3. Kengetallen (DC-uitdraai)'!D:D,0))),0)</f>
        <v>102602.41295736331</v>
      </c>
      <c r="T151" s="16">
        <f>IFERROR(INDEX('3. Kengetallen (DC-uitdraai)'!X:X,MATCH(Table1[[#This Row],[Milieuprofiel]],'3. Kengetallen (DC-uitdraai)'!D:D,0))*Table1[[#This Row],[Hvd]]*(1+INDEX('3. Kengetallen (DC-uitdraai)'!K:K,MATCH(Table1[[#This Row],[Milieuprofiel]],'3. Kengetallen (DC-uitdraai)'!D:D,0))),0)</f>
        <v>-15088.487901829953</v>
      </c>
      <c r="U151" s="43">
        <v>1</v>
      </c>
      <c r="V151" s="43">
        <f>Table1[[#This Row],[Volume]]*Table1[[#This Row],[omrekenfactor]]</f>
        <v>1125</v>
      </c>
      <c r="W151" s="43" t="str">
        <f>IFERROR(INDEX('Eigen database'!H:H,MATCH(Table1[[#This Row],[Potentieel alternatief]],'Eigen database'!D:D,0)),"")</f>
        <v>ton</v>
      </c>
      <c r="X151" s="114">
        <f>IFERROR(INDEX('Eigen database'!P:P,MATCH(Table1[[#This Row],[Potentieel alternatief]],'Eigen database'!D:D,0))*Table1[[#This Row],[Hoeveelheid]]*(1+INDEX('Eigen database'!K:K,MATCH(Table1[[#This Row],[Potentieel alternatief]],'Eigen database'!D:D,0))),0)</f>
        <v>27522.321428571431</v>
      </c>
      <c r="Y151" s="128">
        <f>IF(Table1[[#This Row],[MKI A-D nieuw]]=0,Table1[[#This Row],[MKI A-D]],Table1[[#This Row],[MKI A-D nieuw]])</f>
        <v>27522.321428571431</v>
      </c>
      <c r="Z151" s="16"/>
      <c r="AA151" s="28">
        <f>IFERROR(INDEX('3. Kengetallen (DC-uitdraai)'!AM:AM,MATCH(Table1[[#This Row],[Milieuprofiel]],'3. Kengetallen (DC-uitdraai)'!C:C,0)),0)*Table1[[#This Row],[Hvd]]</f>
        <v>0</v>
      </c>
      <c r="AB151" s="28">
        <f>IFERROR(INDEX('3. Kengetallen (DC-uitdraai)'!AM:AM,MATCH(Table1[[#This Row],[Potentieel alternatief]],'3. Kengetallen (DC-uitdraai)'!C:C,0)),0)*Table1[[#This Row],[Hvd]]</f>
        <v>0</v>
      </c>
    </row>
    <row r="152" spans="1:58">
      <c r="A152" s="89" t="s">
        <v>436</v>
      </c>
      <c r="B152" s="89" t="s">
        <v>437</v>
      </c>
      <c r="C152" s="42" t="s">
        <v>353</v>
      </c>
      <c r="D152" s="42" t="s">
        <v>426</v>
      </c>
      <c r="E152" t="s">
        <v>438</v>
      </c>
      <c r="F152" t="s">
        <v>439</v>
      </c>
      <c r="H152" t="str">
        <f>IFERROR(INDEX('3. Kengetallen (DC-uitdraai)'!F:F,MATCH(Table1[[#This Row],[Milieuprofiel]],'3. Kengetallen (DC-uitdraai)'!D:D,0)),"")</f>
        <v>Cat.3 (30%)</v>
      </c>
      <c r="I152" s="26">
        <v>9460</v>
      </c>
      <c r="J152" t="s">
        <v>118</v>
      </c>
      <c r="K152" t="str">
        <f>IF(ISTEXT(Table1[[#This Row],[Milieuprofiel]]),"Ja","Nee")</f>
        <v>Ja</v>
      </c>
      <c r="L152" s="27">
        <v>1</v>
      </c>
      <c r="M152" s="26">
        <f>Table1[[#This Row],[Volume]]*Table1[[#This Row],[Factor]]</f>
        <v>9460</v>
      </c>
      <c r="N152" t="str">
        <f>IFERROR(INDEX('3. Kengetallen (DC-uitdraai)'!H:H,MATCH(Table1[[#This Row],[Milieuprofiel]],'3. Kengetallen (DC-uitdraai)'!D:D,0)),"")</f>
        <v>m2</v>
      </c>
      <c r="O152">
        <f>IFERROR(INDEX('3. Kengetallen (DC-uitdraai)'!I:I,MATCH(Table1[[#This Row],[Milieuprofiel]],'3. Kengetallen (DC-uitdraai)'!D:D,0)),0)</f>
        <v>45</v>
      </c>
      <c r="P152" s="106">
        <f>IFERROR(INDEX('3. Kengetallen (DC-uitdraai)'!P:P,MATCH(Table1[[#This Row],[Milieuprofiel]],'3. Kengetallen (DC-uitdraai)'!D:D,0))*Table1[[#This Row],[Hvd]]*(1+INDEX('3. Kengetallen (DC-uitdraai)'!K:K,MATCH(Table1[[#This Row],[Milieuprofiel]],'3. Kengetallen (DC-uitdraai)'!D:D,0))),0)</f>
        <v>1340.6382146349997</v>
      </c>
      <c r="Q152" s="16">
        <f>IFERROR(INDEX('3. Kengetallen (DC-uitdraai)'!U:U,MATCH(Table1[[#This Row],[Milieuprofiel]],'3. Kengetallen (DC-uitdraai)'!D:D,0))*Table1[[#This Row],[Hvd]]*(1+INDEX('3. Kengetallen (DC-uitdraai)'!K:K,MATCH(Table1[[#This Row],[Milieuprofiel]],'3. Kengetallen (DC-uitdraai)'!D:D,0))),0)</f>
        <v>607.8717851210597</v>
      </c>
      <c r="R152" s="16">
        <f>IFERROR(INDEX('3. Kengetallen (DC-uitdraai)'!V:V,MATCH(Table1[[#This Row],[Milieuprofiel]],'3. Kengetallen (DC-uitdraai)'!D:D,0))*Table1[[#This Row],[Hvd]]*(1+INDEX('3. Kengetallen (DC-uitdraai)'!K:K,MATCH(Table1[[#This Row],[Milieuprofiel]],'3. Kengetallen (DC-uitdraai)'!D:D,0))),0)</f>
        <v>316.14023905804981</v>
      </c>
      <c r="S152" s="16">
        <f>IFERROR(INDEX('3. Kengetallen (DC-uitdraai)'!W:W,MATCH(Table1[[#This Row],[Milieuprofiel]],'3. Kengetallen (DC-uitdraai)'!D:D,0))*Table1[[#This Row],[Hvd]]*(1+INDEX('3. Kengetallen (DC-uitdraai)'!K:K,MATCH(Table1[[#This Row],[Milieuprofiel]],'3. Kengetallen (DC-uitdraai)'!D:D,0))),0)</f>
        <v>103.06633472010493</v>
      </c>
      <c r="T152" s="16">
        <f>IFERROR(INDEX('3. Kengetallen (DC-uitdraai)'!X:X,MATCH(Table1[[#This Row],[Milieuprofiel]],'3. Kengetallen (DC-uitdraai)'!D:D,0))*Table1[[#This Row],[Hvd]]*(1+INDEX('3. Kengetallen (DC-uitdraai)'!K:K,MATCH(Table1[[#This Row],[Milieuprofiel]],'3. Kengetallen (DC-uitdraai)'!D:D,0))),0)</f>
        <v>3.5849883018344211</v>
      </c>
      <c r="U152" s="16"/>
      <c r="V152" s="16"/>
      <c r="W152" s="43" t="str">
        <f>IFERROR(INDEX('Eigen database'!H:H,MATCH(Table1[[#This Row],[Potentieel alternatief]],'Eigen database'!D:D,0)),"")</f>
        <v/>
      </c>
      <c r="X152" s="108">
        <f>IFERROR(INDEX('Eigen database'!P:P,MATCH(Table1[[#This Row],[Potentieel alternatief]],'Eigen database'!D:D,0))*Table1[[#This Row],[Hoeveelheid]]*(1+INDEX('Eigen database'!K:K,MATCH(Table1[[#This Row],[Potentieel alternatief]],'Eigen database'!D:D,0))),0)</f>
        <v>0</v>
      </c>
      <c r="Y152" s="16">
        <f>IF(Table1[[#This Row],[MKI A-D nieuw]]=0,Table1[[#This Row],[MKI A-D]],Table1[[#This Row],[MKI A-D nieuw]])</f>
        <v>1340.6382146349997</v>
      </c>
      <c r="Z152" s="16"/>
      <c r="AA152" s="28">
        <f>IFERROR(INDEX('3. Kengetallen (DC-uitdraai)'!AM:AM,MATCH(Table1[[#This Row],[Milieuprofiel]],'3. Kengetallen (DC-uitdraai)'!C:C,0)),0)*Table1[[#This Row],[Hvd]]</f>
        <v>0</v>
      </c>
      <c r="AB152" s="28">
        <f>IFERROR(INDEX('3. Kengetallen (DC-uitdraai)'!AM:AM,MATCH(Table1[[#This Row],[Potentieel alternatief]],'3. Kengetallen (DC-uitdraai)'!C:C,0)),0)*Table1[[#This Row],[Hvd]]</f>
        <v>0</v>
      </c>
    </row>
    <row r="153" spans="1:58">
      <c r="A153" s="89" t="s">
        <v>440</v>
      </c>
      <c r="B153" s="89" t="s">
        <v>437</v>
      </c>
      <c r="C153" s="42" t="s">
        <v>353</v>
      </c>
      <c r="D153" s="42" t="s">
        <v>426</v>
      </c>
      <c r="E153" t="s">
        <v>441</v>
      </c>
      <c r="F153" t="s">
        <v>439</v>
      </c>
      <c r="H153" t="str">
        <f>IFERROR(INDEX('3. Kengetallen (DC-uitdraai)'!F:F,MATCH(Table1[[#This Row],[Milieuprofiel]],'3. Kengetallen (DC-uitdraai)'!D:D,0)),"")</f>
        <v>Cat.3 (30%)</v>
      </c>
      <c r="I153" s="26">
        <v>4280</v>
      </c>
      <c r="J153" t="s">
        <v>118</v>
      </c>
      <c r="K153" t="str">
        <f>IF(ISTEXT(Table1[[#This Row],[Milieuprofiel]]),"Ja","Nee")</f>
        <v>Ja</v>
      </c>
      <c r="L153" s="27">
        <f>0.3/0.4</f>
        <v>0.74999999999999989</v>
      </c>
      <c r="M153" s="26">
        <f>Table1[[#This Row],[Volume]]*Table1[[#This Row],[Factor]]</f>
        <v>3209.9999999999995</v>
      </c>
      <c r="N153" t="str">
        <f>IFERROR(INDEX('3. Kengetallen (DC-uitdraai)'!H:H,MATCH(Table1[[#This Row],[Milieuprofiel]],'3. Kengetallen (DC-uitdraai)'!D:D,0)),"")</f>
        <v>m2</v>
      </c>
      <c r="O153">
        <f>IFERROR(INDEX('3. Kengetallen (DC-uitdraai)'!I:I,MATCH(Table1[[#This Row],[Milieuprofiel]],'3. Kengetallen (DC-uitdraai)'!D:D,0)),0)</f>
        <v>45</v>
      </c>
      <c r="P153" s="106">
        <f>IFERROR(INDEX('3. Kengetallen (DC-uitdraai)'!P:P,MATCH(Table1[[#This Row],[Milieuprofiel]],'3. Kengetallen (DC-uitdraai)'!D:D,0))*Table1[[#This Row],[Hvd]]*(1+INDEX('3. Kengetallen (DC-uitdraai)'!K:K,MATCH(Table1[[#This Row],[Milieuprofiel]],'3. Kengetallen (DC-uitdraai)'!D:D,0))),0)</f>
        <v>454.91000729158014</v>
      </c>
      <c r="Q153" s="16">
        <f>IFERROR(INDEX('3. Kengetallen (DC-uitdraai)'!U:U,MATCH(Table1[[#This Row],[Milieuprofiel]],'3. Kengetallen (DC-uitdraai)'!D:D,0))*Table1[[#This Row],[Hvd]]*(1+INDEX('3. Kengetallen (DC-uitdraai)'!K:K,MATCH(Table1[[#This Row],[Milieuprofiel]],'3. Kengetallen (DC-uitdraai)'!D:D,0))),0)</f>
        <v>206.26516175883734</v>
      </c>
      <c r="R153" s="16">
        <f>IFERROR(INDEX('3. Kengetallen (DC-uitdraai)'!V:V,MATCH(Table1[[#This Row],[Milieuprofiel]],'3. Kengetallen (DC-uitdraai)'!D:D,0))*Table1[[#This Row],[Hvd]]*(1+INDEX('3. Kengetallen (DC-uitdraai)'!K:K,MATCH(Table1[[#This Row],[Milieuprofiel]],'3. Kengetallen (DC-uitdraai)'!D:D,0))),0)</f>
        <v>107.27380204823889</v>
      </c>
      <c r="S153" s="16">
        <f>IFERROR(INDEX('3. Kengetallen (DC-uitdraai)'!W:W,MATCH(Table1[[#This Row],[Milieuprofiel]],'3. Kengetallen (DC-uitdraai)'!D:D,0))*Table1[[#This Row],[Hvd]]*(1+INDEX('3. Kengetallen (DC-uitdraai)'!K:K,MATCH(Table1[[#This Row],[Milieuprofiel]],'3. Kengetallen (DC-uitdraai)'!D:D,0))),0)</f>
        <v>34.972826051959494</v>
      </c>
      <c r="T153" s="16">
        <f>IFERROR(INDEX('3. Kengetallen (DC-uitdraai)'!X:X,MATCH(Table1[[#This Row],[Milieuprofiel]],'3. Kengetallen (DC-uitdraai)'!D:D,0))*Table1[[#This Row],[Hvd]]*(1+INDEX('3. Kengetallen (DC-uitdraai)'!K:K,MATCH(Table1[[#This Row],[Milieuprofiel]],'3. Kengetallen (DC-uitdraai)'!D:D,0))),0)</f>
        <v>1.216470660559037</v>
      </c>
      <c r="U153" s="16"/>
      <c r="V153" s="16"/>
      <c r="W153" s="43" t="str">
        <f>IFERROR(INDEX('Eigen database'!H:H,MATCH(Table1[[#This Row],[Potentieel alternatief]],'Eigen database'!D:D,0)),"")</f>
        <v/>
      </c>
      <c r="X153" s="108">
        <f>IFERROR(INDEX('Eigen database'!P:P,MATCH(Table1[[#This Row],[Potentieel alternatief]],'Eigen database'!D:D,0))*Table1[[#This Row],[Hoeveelheid]]*(1+INDEX('Eigen database'!K:K,MATCH(Table1[[#This Row],[Potentieel alternatief]],'Eigen database'!D:D,0))),0)</f>
        <v>0</v>
      </c>
      <c r="Y153" s="16">
        <f>IF(Table1[[#This Row],[MKI A-D nieuw]]=0,Table1[[#This Row],[MKI A-D]],Table1[[#This Row],[MKI A-D nieuw]])</f>
        <v>454.91000729158014</v>
      </c>
      <c r="Z153" s="16"/>
      <c r="AA153" s="28">
        <f>IFERROR(INDEX('3. Kengetallen (DC-uitdraai)'!AM:AM,MATCH(Table1[[#This Row],[Milieuprofiel]],'3. Kengetallen (DC-uitdraai)'!C:C,0)),0)*Table1[[#This Row],[Hvd]]</f>
        <v>0</v>
      </c>
      <c r="AB153" s="28">
        <f>IFERROR(INDEX('3. Kengetallen (DC-uitdraai)'!AM:AM,MATCH(Table1[[#This Row],[Potentieel alternatief]],'3. Kengetallen (DC-uitdraai)'!C:C,0)),0)*Table1[[#This Row],[Hvd]]</f>
        <v>0</v>
      </c>
    </row>
    <row r="154" spans="1:58">
      <c r="A154" s="89" t="s">
        <v>442</v>
      </c>
      <c r="B154" s="89"/>
      <c r="C154" s="42"/>
      <c r="D154" s="42"/>
      <c r="E154" t="s">
        <v>443</v>
      </c>
      <c r="F154" t="s">
        <v>111</v>
      </c>
      <c r="H154" t="str">
        <f>IFERROR(INDEX('3. Kengetallen (DC-uitdraai)'!F:F,MATCH(Table1[[#This Row],[Milieuprofiel]],'3. Kengetallen (DC-uitdraai)'!D:D,0)),"")</f>
        <v>Cat.3 (30%)</v>
      </c>
      <c r="I154" s="26">
        <v>80</v>
      </c>
      <c r="J154" t="s">
        <v>118</v>
      </c>
      <c r="K154" t="str">
        <f>IF(ISTEXT(Table1[[#This Row],[Milieuprofiel]]),"Ja","Nee")</f>
        <v>Ja</v>
      </c>
      <c r="L154" s="27">
        <f>2.35/(400/24)</f>
        <v>0.14099999999999999</v>
      </c>
      <c r="M154" s="26">
        <f>Table1[[#This Row],[Volume]]*Table1[[#This Row],[Factor]]</f>
        <v>11.28</v>
      </c>
      <c r="N154" t="str">
        <f>IFERROR(INDEX('3. Kengetallen (DC-uitdraai)'!H:H,MATCH(Table1[[#This Row],[Milieuprofiel]],'3. Kengetallen (DC-uitdraai)'!D:D,0)),"")</f>
        <v>uur</v>
      </c>
      <c r="O154">
        <f>IFERROR(INDEX('3. Kengetallen (DC-uitdraai)'!I:I,MATCH(Table1[[#This Row],[Milieuprofiel]],'3. Kengetallen (DC-uitdraai)'!D:D,0)),0)</f>
        <v>999</v>
      </c>
      <c r="P154" s="125">
        <f>IFERROR(INDEX('3. Kengetallen (DC-uitdraai)'!P:P,MATCH(Table1[[#This Row],[Milieuprofiel]],'3. Kengetallen (DC-uitdraai)'!D:D,0))*Table1[[#This Row],[Hvd]]*(1+INDEX('3. Kengetallen (DC-uitdraai)'!K:K,MATCH(Table1[[#This Row],[Milieuprofiel]],'3. Kengetallen (DC-uitdraai)'!D:D,0))),0)</f>
        <v>121.0180364923591</v>
      </c>
      <c r="Q154" s="126">
        <f>IFERROR(INDEX('3. Kengetallen (DC-uitdraai)'!U:U,MATCH(Table1[[#This Row],[Milieuprofiel]],'3. Kengetallen (DC-uitdraai)'!D:D,0))*Table1[[#This Row],[Hvd]]*(1+INDEX('3. Kengetallen (DC-uitdraai)'!K:K,MATCH(Table1[[#This Row],[Milieuprofiel]],'3. Kengetallen (DC-uitdraai)'!D:D,0))),0)</f>
        <v>0</v>
      </c>
      <c r="R154" s="126">
        <f>IFERROR(INDEX('3. Kengetallen (DC-uitdraai)'!V:V,MATCH(Table1[[#This Row],[Milieuprofiel]],'3. Kengetallen (DC-uitdraai)'!D:D,0))*Table1[[#This Row],[Hvd]]*(1+INDEX('3. Kengetallen (DC-uitdraai)'!K:K,MATCH(Table1[[#This Row],[Milieuprofiel]],'3. Kengetallen (DC-uitdraai)'!D:D,0))),0)</f>
        <v>93.090796448177173</v>
      </c>
      <c r="S154" s="126">
        <f>IFERROR(INDEX('3. Kengetallen (DC-uitdraai)'!W:W,MATCH(Table1[[#This Row],[Milieuprofiel]],'3. Kengetallen (DC-uitdraai)'!D:D,0))*Table1[[#This Row],[Hvd]]*(1+INDEX('3. Kengetallen (DC-uitdraai)'!K:K,MATCH(Table1[[#This Row],[Milieuprofiel]],'3. Kengetallen (DC-uitdraai)'!D:D,0))),0)</f>
        <v>0</v>
      </c>
      <c r="T154" s="126">
        <f>IFERROR(INDEX('3. Kengetallen (DC-uitdraai)'!X:X,MATCH(Table1[[#This Row],[Milieuprofiel]],'3. Kengetallen (DC-uitdraai)'!D:D,0))*Table1[[#This Row],[Hvd]]*(1+INDEX('3. Kengetallen (DC-uitdraai)'!K:K,MATCH(Table1[[#This Row],[Milieuprofiel]],'3. Kengetallen (DC-uitdraai)'!D:D,0))),0)</f>
        <v>0</v>
      </c>
      <c r="U154" s="126"/>
      <c r="V154" s="126"/>
      <c r="W154" s="43"/>
      <c r="X154" s="114">
        <f>IFERROR(INDEX('Eigen database'!P:P,MATCH(Table1[[#This Row],[Potentieel alternatief]],'Eigen database'!D:D,0))*Table1[[#This Row],[Hoeveelheid]]*(1+INDEX('Eigen database'!K:K,MATCH(Table1[[#This Row],[Potentieel alternatief]],'Eigen database'!D:D,0))),0)</f>
        <v>0</v>
      </c>
      <c r="Y154" s="126">
        <f>IF(Table1[[#This Row],[MKI A-D nieuw]]=0,Table1[[#This Row],[MKI A-D]],Table1[[#This Row],[MKI A-D nieuw]])</f>
        <v>121.0180364923591</v>
      </c>
      <c r="Z154" s="126"/>
      <c r="AA154" s="127">
        <f>IFERROR(INDEX('3. Kengetallen (DC-uitdraai)'!AM:AM,MATCH(Table1[[#This Row],[Milieuprofiel]],'3. Kengetallen (DC-uitdraai)'!C:C,0)),0)*Table1[[#This Row],[Hvd]]</f>
        <v>0</v>
      </c>
      <c r="AB154" s="127">
        <f>IFERROR(INDEX('3. Kengetallen (DC-uitdraai)'!AM:AM,MATCH(Table1[[#This Row],[Potentieel alternatief]],'3. Kengetallen (DC-uitdraai)'!C:C,0)),0)*Table1[[#This Row],[Hvd]]</f>
        <v>0</v>
      </c>
    </row>
    <row r="155" spans="1:58">
      <c r="A155" s="89" t="s">
        <v>444</v>
      </c>
      <c r="B155" s="89"/>
      <c r="C155" s="42"/>
      <c r="D155" s="42"/>
      <c r="E155" t="s">
        <v>445</v>
      </c>
      <c r="F155" t="s">
        <v>446</v>
      </c>
      <c r="H155" t="str">
        <f>IFERROR(INDEX('3. Kengetallen (DC-uitdraai)'!F:F,MATCH(Table1[[#This Row],[Milieuprofiel]],'3. Kengetallen (DC-uitdraai)'!D:D,0)),"")</f>
        <v>Cat.3 (30%)</v>
      </c>
      <c r="I155" s="26">
        <v>80</v>
      </c>
      <c r="J155" t="s">
        <v>118</v>
      </c>
      <c r="K155" t="str">
        <f>IF(ISTEXT(Table1[[#This Row],[Milieuprofiel]]),"Ja","Nee")</f>
        <v>Ja</v>
      </c>
      <c r="L155" s="27">
        <v>1</v>
      </c>
      <c r="M155" s="26">
        <f>Table1[[#This Row],[Volume]]*Table1[[#This Row],[Factor]]</f>
        <v>80</v>
      </c>
      <c r="N155" t="str">
        <f>IFERROR(INDEX('3. Kengetallen (DC-uitdraai)'!H:H,MATCH(Table1[[#This Row],[Milieuprofiel]],'3. Kengetallen (DC-uitdraai)'!D:D,0)),"")</f>
        <v>m2</v>
      </c>
      <c r="O155">
        <f>IFERROR(INDEX('3. Kengetallen (DC-uitdraai)'!I:I,MATCH(Table1[[#This Row],[Milieuprofiel]],'3. Kengetallen (DC-uitdraai)'!D:D,0)),0)</f>
        <v>999</v>
      </c>
      <c r="P155" s="125">
        <f>IFERROR(INDEX('3. Kengetallen (DC-uitdraai)'!P:P,MATCH(Table1[[#This Row],[Milieuprofiel]],'3. Kengetallen (DC-uitdraai)'!D:D,0))*Table1[[#This Row],[Hvd]]*(1+INDEX('3. Kengetallen (DC-uitdraai)'!K:K,MATCH(Table1[[#This Row],[Milieuprofiel]],'3. Kengetallen (DC-uitdraai)'!D:D,0))),0)</f>
        <v>41.76432684224914</v>
      </c>
      <c r="Q155" s="126">
        <f>IFERROR(INDEX('3. Kengetallen (DC-uitdraai)'!U:U,MATCH(Table1[[#This Row],[Milieuprofiel]],'3. Kengetallen (DC-uitdraai)'!D:D,0))*Table1[[#This Row],[Hvd]]*(1+INDEX('3. Kengetallen (DC-uitdraai)'!K:K,MATCH(Table1[[#This Row],[Milieuprofiel]],'3. Kengetallen (DC-uitdraai)'!D:D,0))),0)</f>
        <v>6.0562850720006409</v>
      </c>
      <c r="R155" s="126">
        <f>IFERROR(INDEX('3. Kengetallen (DC-uitdraai)'!V:V,MATCH(Table1[[#This Row],[Milieuprofiel]],'3. Kengetallen (DC-uitdraai)'!D:D,0))*Table1[[#This Row],[Hvd]]*(1+INDEX('3. Kengetallen (DC-uitdraai)'!K:K,MATCH(Table1[[#This Row],[Milieuprofiel]],'3. Kengetallen (DC-uitdraai)'!D:D,0))),0)</f>
        <v>10.219407973491146</v>
      </c>
      <c r="S155" s="126">
        <f>IFERROR(INDEX('3. Kengetallen (DC-uitdraai)'!W:W,MATCH(Table1[[#This Row],[Milieuprofiel]],'3. Kengetallen (DC-uitdraai)'!D:D,0))*Table1[[#This Row],[Hvd]]*(1+INDEX('3. Kengetallen (DC-uitdraai)'!K:K,MATCH(Table1[[#This Row],[Milieuprofiel]],'3. Kengetallen (DC-uitdraai)'!D:D,0))),0)</f>
        <v>0</v>
      </c>
      <c r="T155" s="126">
        <f>IFERROR(INDEX('3. Kengetallen (DC-uitdraai)'!X:X,MATCH(Table1[[#This Row],[Milieuprofiel]],'3. Kengetallen (DC-uitdraai)'!D:D,0))*Table1[[#This Row],[Hvd]]*(1+INDEX('3. Kengetallen (DC-uitdraai)'!K:K,MATCH(Table1[[#This Row],[Milieuprofiel]],'3. Kengetallen (DC-uitdraai)'!D:D,0))),0)</f>
        <v>15.584504619773636</v>
      </c>
      <c r="U155" s="126"/>
      <c r="V155" s="126"/>
      <c r="W155" s="43"/>
      <c r="X155" s="114">
        <f>IFERROR(INDEX('Eigen database'!P:P,MATCH(Table1[[#This Row],[Potentieel alternatief]],'Eigen database'!D:D,0))*Table1[[#This Row],[Hoeveelheid]]*(1+INDEX('Eigen database'!K:K,MATCH(Table1[[#This Row],[Potentieel alternatief]],'Eigen database'!D:D,0))),0)</f>
        <v>0</v>
      </c>
      <c r="Y155" s="126">
        <f>IF(Table1[[#This Row],[MKI A-D nieuw]]=0,Table1[[#This Row],[MKI A-D]],Table1[[#This Row],[MKI A-D nieuw]])</f>
        <v>41.76432684224914</v>
      </c>
      <c r="Z155" s="126"/>
      <c r="AA155" s="127">
        <f>IFERROR(INDEX('3. Kengetallen (DC-uitdraai)'!AM:AM,MATCH(Table1[[#This Row],[Milieuprofiel]],'3. Kengetallen (DC-uitdraai)'!C:C,0)),0)*Table1[[#This Row],[Hvd]]</f>
        <v>0</v>
      </c>
      <c r="AB155" s="127">
        <f>IFERROR(INDEX('3. Kengetallen (DC-uitdraai)'!AM:AM,MATCH(Table1[[#This Row],[Potentieel alternatief]],'3. Kengetallen (DC-uitdraai)'!C:C,0)),0)*Table1[[#This Row],[Hvd]]</f>
        <v>0</v>
      </c>
    </row>
    <row r="156" spans="1:58">
      <c r="A156" s="89" t="s">
        <v>447</v>
      </c>
      <c r="B156" s="89"/>
      <c r="C156" s="42"/>
      <c r="D156" s="42"/>
      <c r="E156" t="s">
        <v>448</v>
      </c>
      <c r="F156" t="s">
        <v>439</v>
      </c>
      <c r="H156" t="str">
        <f>IFERROR(INDEX('3. Kengetallen (DC-uitdraai)'!F:F,MATCH(Table1[[#This Row],[Milieuprofiel]],'3. Kengetallen (DC-uitdraai)'!D:D,0)),"")</f>
        <v>Cat.3 (30%)</v>
      </c>
      <c r="I156" s="26">
        <v>80</v>
      </c>
      <c r="J156" t="s">
        <v>118</v>
      </c>
      <c r="K156" t="str">
        <f>IF(ISTEXT(Table1[[#This Row],[Milieuprofiel]]),"Ja","Nee")</f>
        <v>Ja</v>
      </c>
      <c r="L156" s="27">
        <f>0.7/0.4</f>
        <v>1.7499999999999998</v>
      </c>
      <c r="M156" s="26">
        <f>Table1[[#This Row],[Volume]]*Table1[[#This Row],[Factor]]</f>
        <v>139.99999999999997</v>
      </c>
      <c r="N156" t="str">
        <f>IFERROR(INDEX('3. Kengetallen (DC-uitdraai)'!H:H,MATCH(Table1[[#This Row],[Milieuprofiel]],'3. Kengetallen (DC-uitdraai)'!D:D,0)),"")</f>
        <v>m2</v>
      </c>
      <c r="O156">
        <f>IFERROR(INDEX('3. Kengetallen (DC-uitdraai)'!I:I,MATCH(Table1[[#This Row],[Milieuprofiel]],'3. Kengetallen (DC-uitdraai)'!D:D,0)),0)</f>
        <v>45</v>
      </c>
      <c r="P156" s="125">
        <f>IFERROR(INDEX('3. Kengetallen (DC-uitdraai)'!P:P,MATCH(Table1[[#This Row],[Milieuprofiel]],'3. Kengetallen (DC-uitdraai)'!D:D,0))*Table1[[#This Row],[Hvd]]*(1+INDEX('3. Kengetallen (DC-uitdraai)'!K:K,MATCH(Table1[[#This Row],[Milieuprofiel]],'3. Kengetallen (DC-uitdraai)'!D:D,0))),0)</f>
        <v>19.840311844492593</v>
      </c>
      <c r="Q156" s="126">
        <f>IFERROR(INDEX('3. Kengetallen (DC-uitdraai)'!U:U,MATCH(Table1[[#This Row],[Milieuprofiel]],'3. Kengetallen (DC-uitdraai)'!D:D,0))*Table1[[#This Row],[Hvd]]*(1+INDEX('3. Kengetallen (DC-uitdraai)'!K:K,MATCH(Table1[[#This Row],[Milieuprofiel]],'3. Kengetallen (DC-uitdraai)'!D:D,0))),0)</f>
        <v>8.9959883633137778</v>
      </c>
      <c r="R156" s="126">
        <f>IFERROR(INDEX('3. Kengetallen (DC-uitdraai)'!V:V,MATCH(Table1[[#This Row],[Milieuprofiel]],'3. Kengetallen (DC-uitdraai)'!D:D,0))*Table1[[#This Row],[Hvd]]*(1+INDEX('3. Kengetallen (DC-uitdraai)'!K:K,MATCH(Table1[[#This Row],[Milieuprofiel]],'3. Kengetallen (DC-uitdraai)'!D:D,0))),0)</f>
        <v>4.6786081890197639</v>
      </c>
      <c r="S156" s="126">
        <f>IFERROR(INDEX('3. Kengetallen (DC-uitdraai)'!W:W,MATCH(Table1[[#This Row],[Milieuprofiel]],'3. Kengetallen (DC-uitdraai)'!D:D,0))*Table1[[#This Row],[Hvd]]*(1+INDEX('3. Kengetallen (DC-uitdraai)'!K:K,MATCH(Table1[[#This Row],[Milieuprofiel]],'3. Kengetallen (DC-uitdraai)'!D:D,0))),0)</f>
        <v>1.5252945941664575</v>
      </c>
      <c r="T156" s="126">
        <f>IFERROR(INDEX('3. Kengetallen (DC-uitdraai)'!X:X,MATCH(Table1[[#This Row],[Milieuprofiel]],'3. Kengetallen (DC-uitdraai)'!D:D,0))*Table1[[#This Row],[Hvd]]*(1+INDEX('3. Kengetallen (DC-uitdraai)'!K:K,MATCH(Table1[[#This Row],[Milieuprofiel]],'3. Kengetallen (DC-uitdraai)'!D:D,0))),0)</f>
        <v>5.3054795164568583E-2</v>
      </c>
      <c r="U156" s="126"/>
      <c r="V156" s="126"/>
      <c r="W156" s="43"/>
      <c r="X156" s="114">
        <f>IFERROR(INDEX('Eigen database'!P:P,MATCH(Table1[[#This Row],[Potentieel alternatief]],'Eigen database'!D:D,0))*Table1[[#This Row],[Hoeveelheid]]*(1+INDEX('Eigen database'!K:K,MATCH(Table1[[#This Row],[Potentieel alternatief]],'Eigen database'!D:D,0))),0)</f>
        <v>0</v>
      </c>
      <c r="Y156" s="126">
        <f>IF(Table1[[#This Row],[MKI A-D nieuw]]=0,Table1[[#This Row],[MKI A-D]],Table1[[#This Row],[MKI A-D nieuw]])</f>
        <v>19.840311844492593</v>
      </c>
      <c r="Z156" s="126"/>
      <c r="AA156" s="127">
        <f>IFERROR(INDEX('3. Kengetallen (DC-uitdraai)'!AM:AM,MATCH(Table1[[#This Row],[Milieuprofiel]],'3. Kengetallen (DC-uitdraai)'!C:C,0)),0)*Table1[[#This Row],[Hvd]]</f>
        <v>0</v>
      </c>
      <c r="AB156" s="127">
        <f>IFERROR(INDEX('3. Kengetallen (DC-uitdraai)'!AM:AM,MATCH(Table1[[#This Row],[Potentieel alternatief]],'3. Kengetallen (DC-uitdraai)'!C:C,0)),0)*Table1[[#This Row],[Hvd]]</f>
        <v>0</v>
      </c>
    </row>
    <row r="157" spans="1:58">
      <c r="A157" s="89" t="s">
        <v>449</v>
      </c>
      <c r="B157" s="89"/>
      <c r="C157" s="42"/>
      <c r="D157" s="42"/>
      <c r="E157" t="s">
        <v>450</v>
      </c>
      <c r="F157" t="s">
        <v>428</v>
      </c>
      <c r="G157" t="s">
        <v>429</v>
      </c>
      <c r="H157" t="str">
        <f>IFERROR(INDEX('3. Kengetallen (DC-uitdraai)'!F:F,MATCH(Table1[[#This Row],[Milieuprofiel]],'3. Kengetallen (DC-uitdraai)'!D:D,0)),"")</f>
        <v>Cat.2</v>
      </c>
      <c r="I157" s="26">
        <v>10</v>
      </c>
      <c r="J157" t="s">
        <v>384</v>
      </c>
      <c r="K157" t="str">
        <f>IF(ISTEXT(Table1[[#This Row],[Milieuprofiel]]),"Ja","Nee")</f>
        <v>Ja</v>
      </c>
      <c r="L157" s="27">
        <v>1000</v>
      </c>
      <c r="M157" s="26">
        <f>Table1[[#This Row],[Volume]]*Table1[[#This Row],[Factor]]</f>
        <v>10000</v>
      </c>
      <c r="N157" t="str">
        <f>IFERROR(INDEX('3. Kengetallen (DC-uitdraai)'!H:H,MATCH(Table1[[#This Row],[Milieuprofiel]],'3. Kengetallen (DC-uitdraai)'!D:D,0)),"")</f>
        <v>kg</v>
      </c>
      <c r="O157">
        <f>IFERROR(INDEX('3. Kengetallen (DC-uitdraai)'!I:I,MATCH(Table1[[#This Row],[Milieuprofiel]],'3. Kengetallen (DC-uitdraai)'!D:D,0)),0)</f>
        <v>45</v>
      </c>
      <c r="P157" s="125">
        <f>IFERROR(INDEX('3. Kengetallen (DC-uitdraai)'!P:P,MATCH(Table1[[#This Row],[Milieuprofiel]],'3. Kengetallen (DC-uitdraai)'!D:D,0))*Table1[[#This Row],[Hvd]]*(1+INDEX('3. Kengetallen (DC-uitdraai)'!K:K,MATCH(Table1[[#This Row],[Milieuprofiel]],'3. Kengetallen (DC-uitdraai)'!D:D,0))),0)</f>
        <v>60.410713374390099</v>
      </c>
      <c r="Q157" s="126">
        <f>IFERROR(INDEX('3. Kengetallen (DC-uitdraai)'!U:U,MATCH(Table1[[#This Row],[Milieuprofiel]],'3. Kengetallen (DC-uitdraai)'!D:D,0))*Table1[[#This Row],[Hvd]]*(1+INDEX('3. Kengetallen (DC-uitdraai)'!K:K,MATCH(Table1[[#This Row],[Milieuprofiel]],'3. Kengetallen (DC-uitdraai)'!D:D,0))),0)</f>
        <v>65.651868316659986</v>
      </c>
      <c r="R157" s="126">
        <f>IFERROR(INDEX('3. Kengetallen (DC-uitdraai)'!V:V,MATCH(Table1[[#This Row],[Milieuprofiel]],'3. Kengetallen (DC-uitdraai)'!D:D,0))*Table1[[#This Row],[Hvd]]*(1+INDEX('3. Kengetallen (DC-uitdraai)'!K:K,MATCH(Table1[[#This Row],[Milieuprofiel]],'3. Kengetallen (DC-uitdraai)'!D:D,0))),0)</f>
        <v>5.7470645368711093</v>
      </c>
      <c r="S157" s="126">
        <f>IFERROR(INDEX('3. Kengetallen (DC-uitdraai)'!W:W,MATCH(Table1[[#This Row],[Milieuprofiel]],'3. Kengetallen (DC-uitdraai)'!D:D,0))*Table1[[#This Row],[Hvd]]*(1+INDEX('3. Kengetallen (DC-uitdraai)'!K:K,MATCH(Table1[[#This Row],[Milieuprofiel]],'3. Kengetallen (DC-uitdraai)'!D:D,0))),0)</f>
        <v>6.0410713374390124</v>
      </c>
      <c r="T157" s="126">
        <f>IFERROR(INDEX('3. Kengetallen (DC-uitdraai)'!X:X,MATCH(Table1[[#This Row],[Milieuprofiel]],'3. Kengetallen (DC-uitdraai)'!D:D,0))*Table1[[#This Row],[Hvd]]*(1+INDEX('3. Kengetallen (DC-uitdraai)'!K:K,MATCH(Table1[[#This Row],[Milieuprofiel]],'3. Kengetallen (DC-uitdraai)'!D:D,0))),0)</f>
        <v>-17.029290816580005</v>
      </c>
      <c r="U157" s="43">
        <v>1</v>
      </c>
      <c r="V157" s="43">
        <f>Table1[[#This Row],[Volume]]*Table1[[#This Row],[omrekenfactor]]</f>
        <v>10</v>
      </c>
      <c r="W157" s="43" t="str">
        <f>IFERROR(INDEX('Eigen database'!H:H,MATCH(Table1[[#This Row],[Potentieel alternatief]],'Eigen database'!D:D,0)),"")</f>
        <v>ton</v>
      </c>
      <c r="X157" s="114">
        <f>IFERROR(INDEX('Eigen database'!P:P,MATCH(Table1[[#This Row],[Potentieel alternatief]],'Eigen database'!D:D,0))*Table1[[#This Row],[Hoeveelheid]]*(1+INDEX('Eigen database'!K:K,MATCH(Table1[[#This Row],[Potentieel alternatief]],'Eigen database'!D:D,0))),0)</f>
        <v>43.44444444444445</v>
      </c>
      <c r="Y157" s="128">
        <f>IF(Table1[[#This Row],[MKI A-D nieuw]]=0,Table1[[#This Row],[MKI A-D]],Table1[[#This Row],[MKI A-D nieuw]])</f>
        <v>43.44444444444445</v>
      </c>
      <c r="Z157" s="126"/>
      <c r="AA157" s="127">
        <f>IFERROR(INDEX('3. Kengetallen (DC-uitdraai)'!AM:AM,MATCH(Table1[[#This Row],[Milieuprofiel]],'3. Kengetallen (DC-uitdraai)'!C:C,0)),0)*Table1[[#This Row],[Hvd]]</f>
        <v>0</v>
      </c>
      <c r="AB157" s="127">
        <f>IFERROR(INDEX('3. Kengetallen (DC-uitdraai)'!AM:AM,MATCH(Table1[[#This Row],[Potentieel alternatief]],'3. Kengetallen (DC-uitdraai)'!C:C,0)),0)*Table1[[#This Row],[Hvd]]</f>
        <v>0</v>
      </c>
    </row>
    <row r="158" spans="1:58">
      <c r="A158" s="137" t="s">
        <v>451</v>
      </c>
      <c r="B158" s="89"/>
      <c r="C158" s="42" t="s">
        <v>353</v>
      </c>
      <c r="D158" s="42" t="s">
        <v>452</v>
      </c>
      <c r="E158" t="s">
        <v>453</v>
      </c>
      <c r="F158" s="141" t="s">
        <v>454</v>
      </c>
      <c r="H158" t="str">
        <f>IFERROR(INDEX('3. Kengetallen (DC-uitdraai)'!F:F,MATCH(Table1[[#This Row],[Milieuprofiel]],'3. Kengetallen (DC-uitdraai)'!D:D,0)),"")</f>
        <v>Cat.2</v>
      </c>
      <c r="I158" s="138">
        <v>840</v>
      </c>
      <c r="J158" t="s">
        <v>118</v>
      </c>
      <c r="K158" t="str">
        <f>IF(ISTEXT(Table1[[#This Row],[Milieuprofiel]]),"Ja","Nee")</f>
        <v>Ja</v>
      </c>
      <c r="L158" s="139">
        <v>0.1</v>
      </c>
      <c r="M158" s="26">
        <f>Table1[[#This Row],[Volume]]*Table1[[#This Row],[Factor]]</f>
        <v>84</v>
      </c>
      <c r="N158" t="str">
        <f>IFERROR(INDEX('3. Kengetallen (DC-uitdraai)'!H:H,MATCH(Table1[[#This Row],[Milieuprofiel]],'3. Kengetallen (DC-uitdraai)'!D:D,0)),"")</f>
        <v>m3</v>
      </c>
      <c r="O158">
        <f>IFERROR(INDEX('3. Kengetallen (DC-uitdraai)'!I:I,MATCH(Table1[[#This Row],[Milieuprofiel]],'3. Kengetallen (DC-uitdraai)'!D:D,0)),0)</f>
        <v>25</v>
      </c>
      <c r="P158" s="125">
        <f>IFERROR(INDEX('3. Kengetallen (DC-uitdraai)'!P:P,MATCH(Table1[[#This Row],[Milieuprofiel]],'3. Kengetallen (DC-uitdraai)'!D:D,0))*Table1[[#This Row],[Hvd]]*(1+INDEX('3. Kengetallen (DC-uitdraai)'!K:K,MATCH(Table1[[#This Row],[Milieuprofiel]],'3. Kengetallen (DC-uitdraai)'!D:D,0))),0)</f>
        <v>2770.6375199999998</v>
      </c>
      <c r="Q158" s="126">
        <f>IFERROR(INDEX('3. Kengetallen (DC-uitdraai)'!U:U,MATCH(Table1[[#This Row],[Milieuprofiel]],'3. Kengetallen (DC-uitdraai)'!D:D,0))*Table1[[#This Row],[Hvd]]*(1+INDEX('3. Kengetallen (DC-uitdraai)'!K:K,MATCH(Table1[[#This Row],[Milieuprofiel]],'3. Kengetallen (DC-uitdraai)'!D:D,0))),0)</f>
        <v>0</v>
      </c>
      <c r="R158" s="126">
        <f>IFERROR(INDEX('3. Kengetallen (DC-uitdraai)'!V:V,MATCH(Table1[[#This Row],[Milieuprofiel]],'3. Kengetallen (DC-uitdraai)'!D:D,0))*Table1[[#This Row],[Hvd]]*(1+INDEX('3. Kengetallen (DC-uitdraai)'!K:K,MATCH(Table1[[#This Row],[Milieuprofiel]],'3. Kengetallen (DC-uitdraai)'!D:D,0))),0)</f>
        <v>0</v>
      </c>
      <c r="S158" s="126">
        <f>IFERROR(INDEX('3. Kengetallen (DC-uitdraai)'!W:W,MATCH(Table1[[#This Row],[Milieuprofiel]],'3. Kengetallen (DC-uitdraai)'!D:D,0))*Table1[[#This Row],[Hvd]]*(1+INDEX('3. Kengetallen (DC-uitdraai)'!K:K,MATCH(Table1[[#This Row],[Milieuprofiel]],'3. Kengetallen (DC-uitdraai)'!D:D,0))),0)</f>
        <v>0</v>
      </c>
      <c r="T158" s="126">
        <f>IFERROR(INDEX('3. Kengetallen (DC-uitdraai)'!X:X,MATCH(Table1[[#This Row],[Milieuprofiel]],'3. Kengetallen (DC-uitdraai)'!D:D,0))*Table1[[#This Row],[Hvd]]*(1+INDEX('3. Kengetallen (DC-uitdraai)'!K:K,MATCH(Table1[[#This Row],[Milieuprofiel]],'3. Kengetallen (DC-uitdraai)'!D:D,0))),0)</f>
        <v>0</v>
      </c>
      <c r="U158" s="126"/>
      <c r="V158" s="126"/>
      <c r="W158" s="126"/>
      <c r="X158" s="114">
        <f>IFERROR(INDEX('Eigen database'!P:P,MATCH(Table1[[#This Row],[Potentieel alternatief]],'Eigen database'!D:D,0))*Table1[[#This Row],[Hoeveelheid]]*(1+INDEX('Eigen database'!K:K,MATCH(Table1[[#This Row],[Potentieel alternatief]],'Eigen database'!D:D,0))),0)</f>
        <v>0</v>
      </c>
      <c r="Y158" s="128">
        <f>IF(Table1[[#This Row],[MKI A-D nieuw]]=0,Table1[[#This Row],[MKI A-D]],Table1[[#This Row],[MKI A-D nieuw]])</f>
        <v>2770.6375199999998</v>
      </c>
      <c r="Z158" s="126"/>
      <c r="AA158" s="127">
        <f>IFERROR(INDEX('3. Kengetallen (DC-uitdraai)'!AM:AM,MATCH(Table1[[#This Row],[Milieuprofiel]],'3. Kengetallen (DC-uitdraai)'!C:C,0)),0)*Table1[[#This Row],[Hvd]]</f>
        <v>0</v>
      </c>
      <c r="AB158" s="127">
        <f>IFERROR(INDEX('3. Kengetallen (DC-uitdraai)'!AM:AM,MATCH(Table1[[#This Row],[Potentieel alternatief]],'3. Kengetallen (DC-uitdraai)'!C:C,0)),0)*Table1[[#This Row],[Hvd]]</f>
        <v>0</v>
      </c>
    </row>
    <row r="159" spans="1:58">
      <c r="A159" s="137" t="s">
        <v>455</v>
      </c>
      <c r="B159" s="89" t="s">
        <v>456</v>
      </c>
      <c r="C159" s="42" t="s">
        <v>353</v>
      </c>
      <c r="D159" s="42" t="s">
        <v>452</v>
      </c>
      <c r="E159" s="113" t="s">
        <v>457</v>
      </c>
      <c r="F159" s="141" t="s">
        <v>458</v>
      </c>
      <c r="H159" t="str">
        <f>IFERROR(INDEX('3. Kengetallen (DC-uitdraai)'!F:F,MATCH(Table1[[#This Row],[Milieuprofiel]],'3. Kengetallen (DC-uitdraai)'!D:D,0)),"")</f>
        <v>Cat.2</v>
      </c>
      <c r="I159" s="138">
        <v>10</v>
      </c>
      <c r="J159" t="s">
        <v>93</v>
      </c>
      <c r="K159" t="str">
        <f>IF(ISTEXT(Table1[[#This Row],[Milieuprofiel]]),"Ja","Nee")</f>
        <v>Ja</v>
      </c>
      <c r="L159" s="139">
        <f>0.1*0.15</f>
        <v>1.4999999999999999E-2</v>
      </c>
      <c r="M159" s="26">
        <f>Table1[[#This Row],[Volume]]*Table1[[#This Row],[Factor]]</f>
        <v>0.15</v>
      </c>
      <c r="N159" t="str">
        <f>IFERROR(INDEX('3. Kengetallen (DC-uitdraai)'!H:H,MATCH(Table1[[#This Row],[Milieuprofiel]],'3. Kengetallen (DC-uitdraai)'!D:D,0)),"")</f>
        <v>m3</v>
      </c>
      <c r="O159">
        <f>IFERROR(INDEX('3. Kengetallen (DC-uitdraai)'!I:I,MATCH(Table1[[#This Row],[Milieuprofiel]],'3. Kengetallen (DC-uitdraai)'!D:D,0)),0)</f>
        <v>25</v>
      </c>
      <c r="P159" s="106">
        <f>IFERROR(INDEX('3. Kengetallen (DC-uitdraai)'!P:P,MATCH(Table1[[#This Row],[Milieuprofiel]],'3. Kengetallen (DC-uitdraai)'!D:D,0))*Table1[[#This Row],[Hvd]]*(1+INDEX('3. Kengetallen (DC-uitdraai)'!K:K,MATCH(Table1[[#This Row],[Milieuprofiel]],'3. Kengetallen (DC-uitdraai)'!D:D,0))),0)</f>
        <v>5.5849650000000013</v>
      </c>
      <c r="Q159" s="16">
        <f>IFERROR(INDEX('3. Kengetallen (DC-uitdraai)'!U:U,MATCH(Table1[[#This Row],[Milieuprofiel]],'3. Kengetallen (DC-uitdraai)'!D:D,0))*Table1[[#This Row],[Hvd]]*(1+INDEX('3. Kengetallen (DC-uitdraai)'!K:K,MATCH(Table1[[#This Row],[Milieuprofiel]],'3. Kengetallen (DC-uitdraai)'!D:D,0))),0)</f>
        <v>0</v>
      </c>
      <c r="R159" s="16">
        <f>IFERROR(INDEX('3. Kengetallen (DC-uitdraai)'!V:V,MATCH(Table1[[#This Row],[Milieuprofiel]],'3. Kengetallen (DC-uitdraai)'!D:D,0))*Table1[[#This Row],[Hvd]]*(1+INDEX('3. Kengetallen (DC-uitdraai)'!K:K,MATCH(Table1[[#This Row],[Milieuprofiel]],'3. Kengetallen (DC-uitdraai)'!D:D,0))),0)</f>
        <v>0</v>
      </c>
      <c r="S159" s="16">
        <f>IFERROR(INDEX('3. Kengetallen (DC-uitdraai)'!W:W,MATCH(Table1[[#This Row],[Milieuprofiel]],'3. Kengetallen (DC-uitdraai)'!D:D,0))*Table1[[#This Row],[Hvd]]*(1+INDEX('3. Kengetallen (DC-uitdraai)'!K:K,MATCH(Table1[[#This Row],[Milieuprofiel]],'3. Kengetallen (DC-uitdraai)'!D:D,0))),0)</f>
        <v>0</v>
      </c>
      <c r="T159" s="16">
        <f>IFERROR(INDEX('3. Kengetallen (DC-uitdraai)'!X:X,MATCH(Table1[[#This Row],[Milieuprofiel]],'3. Kengetallen (DC-uitdraai)'!D:D,0))*Table1[[#This Row],[Hvd]]*(1+INDEX('3. Kengetallen (DC-uitdraai)'!K:K,MATCH(Table1[[#This Row],[Milieuprofiel]],'3. Kengetallen (DC-uitdraai)'!D:D,0))),0)</f>
        <v>0</v>
      </c>
      <c r="U159" s="16"/>
      <c r="V159" s="16"/>
      <c r="W159" s="43" t="str">
        <f>IFERROR(INDEX('Eigen database'!H:H,MATCH(Table1[[#This Row],[Potentieel alternatief]],'Eigen database'!D:D,0)),"")</f>
        <v/>
      </c>
      <c r="X159" s="108">
        <f>IFERROR(INDEX('Eigen database'!P:P,MATCH(Table1[[#This Row],[Potentieel alternatief]],'Eigen database'!D:D,0))*Table1[[#This Row],[Hoeveelheid]]*(1+INDEX('Eigen database'!K:K,MATCH(Table1[[#This Row],[Potentieel alternatief]],'Eigen database'!D:D,0))),0)</f>
        <v>0</v>
      </c>
      <c r="Y159" s="128">
        <f>IF(Table1[[#This Row],[MKI A-D nieuw]]=0,Table1[[#This Row],[MKI A-D]],Table1[[#This Row],[MKI A-D nieuw]])</f>
        <v>5.5849650000000013</v>
      </c>
      <c r="Z159" s="16"/>
      <c r="AA159" s="28">
        <f>IFERROR(INDEX('3. Kengetallen (DC-uitdraai)'!AM:AM,MATCH(Table1[[#This Row],[Milieuprofiel]],'3. Kengetallen (DC-uitdraai)'!C:C,0)),0)*Table1[[#This Row],[Hvd]]</f>
        <v>0</v>
      </c>
      <c r="AB159" s="28">
        <f>IFERROR(INDEX('3. Kengetallen (DC-uitdraai)'!AM:AM,MATCH(Table1[[#This Row],[Potentieel alternatief]],'3. Kengetallen (DC-uitdraai)'!C:C,0)),0)*Table1[[#This Row],[Hvd]]</f>
        <v>0</v>
      </c>
    </row>
    <row r="160" spans="1:58" s="117" customFormat="1">
      <c r="A160" s="137" t="s">
        <v>459</v>
      </c>
      <c r="B160" s="89"/>
      <c r="C160" s="42"/>
      <c r="D160" s="42"/>
      <c r="E160" s="113" t="s">
        <v>457</v>
      </c>
      <c r="F160" s="141" t="s">
        <v>458</v>
      </c>
      <c r="G160"/>
      <c r="H160" t="str">
        <f>IFERROR(INDEX('3. Kengetallen (DC-uitdraai)'!F:F,MATCH(Table1[[#This Row],[Milieuprofiel]],'3. Kengetallen (DC-uitdraai)'!D:D,0)),"")</f>
        <v>Cat.2</v>
      </c>
      <c r="I160" s="138">
        <v>260</v>
      </c>
      <c r="J160" t="s">
        <v>93</v>
      </c>
      <c r="K160" t="str">
        <f>IF(ISTEXT(Table1[[#This Row],[Milieuprofiel]]),"Ja","Nee")</f>
        <v>Ja</v>
      </c>
      <c r="L160" s="139">
        <f>0.1*0.3</f>
        <v>0.03</v>
      </c>
      <c r="M160" s="26">
        <f>Table1[[#This Row],[Volume]]*Table1[[#This Row],[Factor]]</f>
        <v>7.8</v>
      </c>
      <c r="N160" t="str">
        <f>IFERROR(INDEX('3. Kengetallen (DC-uitdraai)'!H:H,MATCH(Table1[[#This Row],[Milieuprofiel]],'3. Kengetallen (DC-uitdraai)'!D:D,0)),"")</f>
        <v>m3</v>
      </c>
      <c r="O160">
        <f>IFERROR(INDEX('3. Kengetallen (DC-uitdraai)'!I:I,MATCH(Table1[[#This Row],[Milieuprofiel]],'3. Kengetallen (DC-uitdraai)'!D:D,0)),0)</f>
        <v>25</v>
      </c>
      <c r="P160" s="125">
        <f>IFERROR(INDEX('3. Kengetallen (DC-uitdraai)'!P:P,MATCH(Table1[[#This Row],[Milieuprofiel]],'3. Kengetallen (DC-uitdraai)'!D:D,0))*Table1[[#This Row],[Hvd]]*(1+INDEX('3. Kengetallen (DC-uitdraai)'!K:K,MATCH(Table1[[#This Row],[Milieuprofiel]],'3. Kengetallen (DC-uitdraai)'!D:D,0))),0)</f>
        <v>290.41818000000006</v>
      </c>
      <c r="Q160" s="126">
        <f>IFERROR(INDEX('3. Kengetallen (DC-uitdraai)'!U:U,MATCH(Table1[[#This Row],[Milieuprofiel]],'3. Kengetallen (DC-uitdraai)'!D:D,0))*Table1[[#This Row],[Hvd]]*(1+INDEX('3. Kengetallen (DC-uitdraai)'!K:K,MATCH(Table1[[#This Row],[Milieuprofiel]],'3. Kengetallen (DC-uitdraai)'!D:D,0))),0)</f>
        <v>0</v>
      </c>
      <c r="R160" s="126">
        <f>IFERROR(INDEX('3. Kengetallen (DC-uitdraai)'!V:V,MATCH(Table1[[#This Row],[Milieuprofiel]],'3. Kengetallen (DC-uitdraai)'!D:D,0))*Table1[[#This Row],[Hvd]]*(1+INDEX('3. Kengetallen (DC-uitdraai)'!K:K,MATCH(Table1[[#This Row],[Milieuprofiel]],'3. Kengetallen (DC-uitdraai)'!D:D,0))),0)</f>
        <v>0</v>
      </c>
      <c r="S160" s="126">
        <f>IFERROR(INDEX('3. Kengetallen (DC-uitdraai)'!W:W,MATCH(Table1[[#This Row],[Milieuprofiel]],'3. Kengetallen (DC-uitdraai)'!D:D,0))*Table1[[#This Row],[Hvd]]*(1+INDEX('3. Kengetallen (DC-uitdraai)'!K:K,MATCH(Table1[[#This Row],[Milieuprofiel]],'3. Kengetallen (DC-uitdraai)'!D:D,0))),0)</f>
        <v>0</v>
      </c>
      <c r="T160" s="126">
        <f>IFERROR(INDEX('3. Kengetallen (DC-uitdraai)'!X:X,MATCH(Table1[[#This Row],[Milieuprofiel]],'3. Kengetallen (DC-uitdraai)'!D:D,0))*Table1[[#This Row],[Hvd]]*(1+INDEX('3. Kengetallen (DC-uitdraai)'!K:K,MATCH(Table1[[#This Row],[Milieuprofiel]],'3. Kengetallen (DC-uitdraai)'!D:D,0))),0)</f>
        <v>0</v>
      </c>
      <c r="U160" s="126"/>
      <c r="V160" s="126"/>
      <c r="W160" s="126"/>
      <c r="X160" s="114">
        <f>IFERROR(INDEX('Eigen database'!P:P,MATCH(Table1[[#This Row],[Potentieel alternatief]],'Eigen database'!D:D,0))*Table1[[#This Row],[Hoeveelheid]]*(1+INDEX('Eigen database'!K:K,MATCH(Table1[[#This Row],[Potentieel alternatief]],'Eigen database'!D:D,0))),0)</f>
        <v>0</v>
      </c>
      <c r="Y160" s="128">
        <f>IF(Table1[[#This Row],[MKI A-D nieuw]]=0,Table1[[#This Row],[MKI A-D]],Table1[[#This Row],[MKI A-D nieuw]])</f>
        <v>290.41818000000006</v>
      </c>
      <c r="Z160" s="126"/>
      <c r="AA160" s="127">
        <f>IFERROR(INDEX('3. Kengetallen (DC-uitdraai)'!AM:AM,MATCH(Table1[[#This Row],[Milieuprofiel]],'3. Kengetallen (DC-uitdraai)'!C:C,0)),0)*Table1[[#This Row],[Hvd]]</f>
        <v>0</v>
      </c>
      <c r="AB160" s="127">
        <f>IFERROR(INDEX('3. Kengetallen (DC-uitdraai)'!AM:AM,MATCH(Table1[[#This Row],[Potentieel alternatief]],'3. Kengetallen (DC-uitdraai)'!C:C,0)),0)*Table1[[#This Row],[Hvd]]</f>
        <v>0</v>
      </c>
      <c r="AC160"/>
      <c r="AD160"/>
      <c r="AE160"/>
      <c r="AF160"/>
      <c r="AG160"/>
      <c r="AH160"/>
      <c r="AI160"/>
      <c r="AJ160"/>
      <c r="AK160"/>
      <c r="AL160"/>
      <c r="AM160"/>
      <c r="AN160"/>
      <c r="AO160"/>
      <c r="AP160"/>
      <c r="AQ160"/>
      <c r="AR160"/>
      <c r="AS160"/>
    </row>
    <row r="161" spans="1:45" s="117" customFormat="1">
      <c r="A161" s="131" t="s">
        <v>460</v>
      </c>
      <c r="B161" s="131" t="s">
        <v>461</v>
      </c>
      <c r="C161" s="132"/>
      <c r="D161" s="132"/>
      <c r="E161" s="133" t="s">
        <v>462</v>
      </c>
      <c r="F161" s="133" t="s">
        <v>463</v>
      </c>
      <c r="G161" s="133" t="s">
        <v>464</v>
      </c>
      <c r="H161" s="133" t="str">
        <f>IFERROR(INDEX('3. Kengetallen (DC-uitdraai)'!F:F,MATCH(Table1[[#This Row],[Milieuprofiel]],'3. Kengetallen (DC-uitdraai)'!D:D,0)),"")</f>
        <v>Cat.3 (30%)</v>
      </c>
      <c r="I161" s="129">
        <v>280</v>
      </c>
      <c r="J161" t="s">
        <v>118</v>
      </c>
      <c r="K161" t="str">
        <f>IF(ISTEXT(Table1[[#This Row],[Milieuprofiel]]),"Ja","Nee")</f>
        <v>Ja</v>
      </c>
      <c r="L161" s="27">
        <v>1</v>
      </c>
      <c r="M161" s="26">
        <f>Table1[[#This Row],[Volume]]*Table1[[#This Row],[Factor]]</f>
        <v>280</v>
      </c>
      <c r="N161" t="str">
        <f>IFERROR(INDEX('3. Kengetallen (DC-uitdraai)'!H:H,MATCH(Table1[[#This Row],[Milieuprofiel]],'3. Kengetallen (DC-uitdraai)'!D:D,0)),"")</f>
        <v>m2</v>
      </c>
      <c r="O161">
        <f>IFERROR(INDEX('3. Kengetallen (DC-uitdraai)'!I:I,MATCH(Table1[[#This Row],[Milieuprofiel]],'3. Kengetallen (DC-uitdraai)'!D:D,0)),0)</f>
        <v>25</v>
      </c>
      <c r="P161" s="125">
        <f>IFERROR(INDEX('3. Kengetallen (DC-uitdraai)'!P:P,MATCH(Table1[[#This Row],[Milieuprofiel]],'3. Kengetallen (DC-uitdraai)'!D:D,0))*Table1[[#This Row],[Hvd]]*(1+INDEX('3. Kengetallen (DC-uitdraai)'!K:K,MATCH(Table1[[#This Row],[Milieuprofiel]],'3. Kengetallen (DC-uitdraai)'!D:D,0))),0)</f>
        <v>3516.2860805768205</v>
      </c>
      <c r="Q161" s="126">
        <f>IFERROR(INDEX('3. Kengetallen (DC-uitdraai)'!U:U,MATCH(Table1[[#This Row],[Milieuprofiel]],'3. Kengetallen (DC-uitdraai)'!D:D,0))*Table1[[#This Row],[Hvd]]*(1+INDEX('3. Kengetallen (DC-uitdraai)'!K:K,MATCH(Table1[[#This Row],[Milieuprofiel]],'3. Kengetallen (DC-uitdraai)'!D:D,0))),0)</f>
        <v>925.81864077172543</v>
      </c>
      <c r="R161" s="126">
        <f>IFERROR(INDEX('3. Kengetallen (DC-uitdraai)'!V:V,MATCH(Table1[[#This Row],[Milieuprofiel]],'3. Kengetallen (DC-uitdraai)'!D:D,0))*Table1[[#This Row],[Hvd]]*(1+INDEX('3. Kengetallen (DC-uitdraai)'!K:K,MATCH(Table1[[#This Row],[Milieuprofiel]],'3. Kengetallen (DC-uitdraai)'!D:D,0))),0)</f>
        <v>325.19155389152166</v>
      </c>
      <c r="S161" s="126">
        <f>IFERROR(INDEX('3. Kengetallen (DC-uitdraai)'!W:W,MATCH(Table1[[#This Row],[Milieuprofiel]],'3. Kengetallen (DC-uitdraai)'!D:D,0))*Table1[[#This Row],[Hvd]]*(1+INDEX('3. Kengetallen (DC-uitdraai)'!K:K,MATCH(Table1[[#This Row],[Milieuprofiel]],'3. Kengetallen (DC-uitdraai)'!D:D,0))),0)</f>
        <v>1339.9396721039764</v>
      </c>
      <c r="T161" s="126">
        <f>IFERROR(INDEX('3. Kengetallen (DC-uitdraai)'!X:X,MATCH(Table1[[#This Row],[Milieuprofiel]],'3. Kengetallen (DC-uitdraai)'!D:D,0))*Table1[[#This Row],[Hvd]]*(1+INDEX('3. Kengetallen (DC-uitdraai)'!K:K,MATCH(Table1[[#This Row],[Milieuprofiel]],'3. Kengetallen (DC-uitdraai)'!D:D,0))),0)</f>
        <v>88.929477440729244</v>
      </c>
      <c r="U161" s="43">
        <v>0.08</v>
      </c>
      <c r="V161" s="43">
        <f>Table1[[#This Row],[Volume]]*Table1[[#This Row],[omrekenfactor]]</f>
        <v>22.400000000000002</v>
      </c>
      <c r="W161" s="126"/>
      <c r="X161" s="114">
        <f>IFERROR(INDEX('Eigen database'!P:P,MATCH(Table1[[#This Row],[Potentieel alternatief]],'Eigen database'!D:D,0))*Table1[[#This Row],[Hoeveelheid]]*(1+INDEX('Eigen database'!K:K,MATCH(Table1[[#This Row],[Potentieel alternatief]],'Eigen database'!D:D,0))),0)</f>
        <v>940.80000000000007</v>
      </c>
      <c r="Y161" s="128">
        <f>IF(Table1[[#This Row],[MKI A-D nieuw]]=0,Table1[[#This Row],[MKI A-D]],Table1[[#This Row],[MKI A-D nieuw]])</f>
        <v>940.80000000000007</v>
      </c>
      <c r="Z161" s="126"/>
      <c r="AA161" s="127">
        <f>IFERROR(INDEX('3. Kengetallen (DC-uitdraai)'!AM:AM,MATCH(Table1[[#This Row],[Milieuprofiel]],'3. Kengetallen (DC-uitdraai)'!C:C,0)),0)*Table1[[#This Row],[Hvd]]</f>
        <v>0</v>
      </c>
      <c r="AB161" s="127">
        <f>IFERROR(INDEX('3. Kengetallen (DC-uitdraai)'!AM:AM,MATCH(Table1[[#This Row],[Potentieel alternatief]],'3. Kengetallen (DC-uitdraai)'!C:C,0)),0)*Table1[[#This Row],[Hvd]]</f>
        <v>0</v>
      </c>
      <c r="AC161"/>
      <c r="AD161"/>
      <c r="AE161"/>
      <c r="AF161"/>
      <c r="AG161"/>
      <c r="AH161"/>
      <c r="AI161"/>
      <c r="AJ161"/>
      <c r="AK161"/>
      <c r="AL161"/>
      <c r="AM161"/>
      <c r="AN161"/>
      <c r="AO161"/>
      <c r="AP161"/>
      <c r="AQ161"/>
      <c r="AR161"/>
      <c r="AS161"/>
    </row>
    <row r="162" spans="1:45" s="117" customFormat="1">
      <c r="A162" s="137" t="s">
        <v>465</v>
      </c>
      <c r="B162" s="89"/>
      <c r="C162" s="42"/>
      <c r="D162" s="42"/>
      <c r="E162" s="113" t="s">
        <v>466</v>
      </c>
      <c r="F162" s="141" t="s">
        <v>458</v>
      </c>
      <c r="G162"/>
      <c r="H162" t="str">
        <f>IFERROR(INDEX('3. Kengetallen (DC-uitdraai)'!F:F,MATCH(Table1[[#This Row],[Milieuprofiel]],'3. Kengetallen (DC-uitdraai)'!D:D,0)),"")</f>
        <v>Cat.2</v>
      </c>
      <c r="I162" s="138">
        <v>1000</v>
      </c>
      <c r="J162" t="s">
        <v>118</v>
      </c>
      <c r="K162" t="str">
        <f>IF(ISTEXT(Table1[[#This Row],[Milieuprofiel]]),"Ja","Nee")</f>
        <v>Ja</v>
      </c>
      <c r="L162" s="139">
        <v>4.4999999999999998E-2</v>
      </c>
      <c r="M162" s="26">
        <f>Table1[[#This Row],[Volume]]*Table1[[#This Row],[Factor]]</f>
        <v>45</v>
      </c>
      <c r="N162" t="str">
        <f>IFERROR(INDEX('3. Kengetallen (DC-uitdraai)'!H:H,MATCH(Table1[[#This Row],[Milieuprofiel]],'3. Kengetallen (DC-uitdraai)'!D:D,0)),"")</f>
        <v>m3</v>
      </c>
      <c r="O162">
        <f>IFERROR(INDEX('3. Kengetallen (DC-uitdraai)'!I:I,MATCH(Table1[[#This Row],[Milieuprofiel]],'3. Kengetallen (DC-uitdraai)'!D:D,0)),0)</f>
        <v>25</v>
      </c>
      <c r="P162" s="125">
        <f>IFERROR(INDEX('3. Kengetallen (DC-uitdraai)'!P:P,MATCH(Table1[[#This Row],[Milieuprofiel]],'3. Kengetallen (DC-uitdraai)'!D:D,0))*Table1[[#This Row],[Hvd]]*(1+INDEX('3. Kengetallen (DC-uitdraai)'!K:K,MATCH(Table1[[#This Row],[Milieuprofiel]],'3. Kengetallen (DC-uitdraai)'!D:D,0))),0)</f>
        <v>1675.4895000000004</v>
      </c>
      <c r="Q162" s="126">
        <f>IFERROR(INDEX('3. Kengetallen (DC-uitdraai)'!U:U,MATCH(Table1[[#This Row],[Milieuprofiel]],'3. Kengetallen (DC-uitdraai)'!D:D,0))*Table1[[#This Row],[Hvd]]*(1+INDEX('3. Kengetallen (DC-uitdraai)'!K:K,MATCH(Table1[[#This Row],[Milieuprofiel]],'3. Kengetallen (DC-uitdraai)'!D:D,0))),0)</f>
        <v>0</v>
      </c>
      <c r="R162" s="126">
        <f>IFERROR(INDEX('3. Kengetallen (DC-uitdraai)'!V:V,MATCH(Table1[[#This Row],[Milieuprofiel]],'3. Kengetallen (DC-uitdraai)'!D:D,0))*Table1[[#This Row],[Hvd]]*(1+INDEX('3. Kengetallen (DC-uitdraai)'!K:K,MATCH(Table1[[#This Row],[Milieuprofiel]],'3. Kengetallen (DC-uitdraai)'!D:D,0))),0)</f>
        <v>0</v>
      </c>
      <c r="S162" s="126">
        <f>IFERROR(INDEX('3. Kengetallen (DC-uitdraai)'!W:W,MATCH(Table1[[#This Row],[Milieuprofiel]],'3. Kengetallen (DC-uitdraai)'!D:D,0))*Table1[[#This Row],[Hvd]]*(1+INDEX('3. Kengetallen (DC-uitdraai)'!K:K,MATCH(Table1[[#This Row],[Milieuprofiel]],'3. Kengetallen (DC-uitdraai)'!D:D,0))),0)</f>
        <v>0</v>
      </c>
      <c r="T162" s="126">
        <f>IFERROR(INDEX('3. Kengetallen (DC-uitdraai)'!X:X,MATCH(Table1[[#This Row],[Milieuprofiel]],'3. Kengetallen (DC-uitdraai)'!D:D,0))*Table1[[#This Row],[Hvd]]*(1+INDEX('3. Kengetallen (DC-uitdraai)'!K:K,MATCH(Table1[[#This Row],[Milieuprofiel]],'3. Kengetallen (DC-uitdraai)'!D:D,0))),0)</f>
        <v>0</v>
      </c>
      <c r="U162" s="43">
        <v>4.4999999999999998E-2</v>
      </c>
      <c r="V162" s="43">
        <f>Table1[[#This Row],[Volume]]*Table1[[#This Row],[omrekenfactor]]</f>
        <v>45</v>
      </c>
      <c r="W162" s="43" t="str">
        <f>IFERROR(INDEX('Eigen database'!H:H,MATCH(Table1[[#This Row],[Potentieel alternatief]],'Eigen database'!D:D,0)),"")</f>
        <v/>
      </c>
      <c r="X162" s="114">
        <f>IFERROR(INDEX('Eigen database'!P:P,MATCH(Table1[[#This Row],[Potentieel alternatief]],'Eigen database'!D:D,0))*Table1[[#This Row],[Hoeveelheid]]*(1+INDEX('Eigen database'!K:K,MATCH(Table1[[#This Row],[Potentieel alternatief]],'Eigen database'!D:D,0))),0)</f>
        <v>0</v>
      </c>
      <c r="Y162" s="128">
        <f>IF(Table1[[#This Row],[MKI A-D nieuw]]=0,Table1[[#This Row],[MKI A-D]],Table1[[#This Row],[MKI A-D nieuw]])</f>
        <v>1675.4895000000004</v>
      </c>
      <c r="Z162" s="126"/>
      <c r="AA162" s="127">
        <f>IFERROR(INDEX('3. Kengetallen (DC-uitdraai)'!AM:AM,MATCH(Table1[[#This Row],[Milieuprofiel]],'3. Kengetallen (DC-uitdraai)'!C:C,0)),0)*Table1[[#This Row],[Hvd]]</f>
        <v>0</v>
      </c>
      <c r="AB162" s="127">
        <f>IFERROR(INDEX('3. Kengetallen (DC-uitdraai)'!AM:AM,MATCH(Table1[[#This Row],[Potentieel alternatief]],'3. Kengetallen (DC-uitdraai)'!C:C,0)),0)*Table1[[#This Row],[Hvd]]</f>
        <v>0</v>
      </c>
      <c r="AC162"/>
      <c r="AD162"/>
      <c r="AE162"/>
      <c r="AF162"/>
      <c r="AG162"/>
      <c r="AH162"/>
      <c r="AI162"/>
      <c r="AJ162"/>
      <c r="AK162"/>
      <c r="AL162"/>
      <c r="AM162"/>
      <c r="AN162"/>
      <c r="AO162"/>
      <c r="AP162"/>
      <c r="AQ162"/>
      <c r="AR162"/>
      <c r="AS162"/>
    </row>
    <row r="163" spans="1:45" s="117" customFormat="1">
      <c r="A163" s="137" t="s">
        <v>467</v>
      </c>
      <c r="B163" s="89"/>
      <c r="C163" s="42"/>
      <c r="D163" s="42"/>
      <c r="E163" s="113" t="s">
        <v>466</v>
      </c>
      <c r="F163" s="141" t="s">
        <v>458</v>
      </c>
      <c r="G163"/>
      <c r="H163" t="str">
        <f>IFERROR(INDEX('3. Kengetallen (DC-uitdraai)'!F:F,MATCH(Table1[[#This Row],[Milieuprofiel]],'3. Kengetallen (DC-uitdraai)'!D:D,0)),"")</f>
        <v>Cat.2</v>
      </c>
      <c r="I163" s="138">
        <v>660</v>
      </c>
      <c r="J163" t="s">
        <v>118</v>
      </c>
      <c r="K163" t="str">
        <f>IF(ISTEXT(Table1[[#This Row],[Milieuprofiel]]),"Ja","Nee")</f>
        <v>Ja</v>
      </c>
      <c r="L163" s="139">
        <v>4.4999999999999998E-2</v>
      </c>
      <c r="M163" s="26">
        <f>Table1[[#This Row],[Volume]]*Table1[[#This Row],[Factor]]</f>
        <v>29.7</v>
      </c>
      <c r="N163" t="str">
        <f>IFERROR(INDEX('3. Kengetallen (DC-uitdraai)'!H:H,MATCH(Table1[[#This Row],[Milieuprofiel]],'3. Kengetallen (DC-uitdraai)'!D:D,0)),"")</f>
        <v>m3</v>
      </c>
      <c r="O163">
        <f>IFERROR(INDEX('3. Kengetallen (DC-uitdraai)'!I:I,MATCH(Table1[[#This Row],[Milieuprofiel]],'3. Kengetallen (DC-uitdraai)'!D:D,0)),0)</f>
        <v>25</v>
      </c>
      <c r="P163" s="125">
        <f>IFERROR(INDEX('3. Kengetallen (DC-uitdraai)'!P:P,MATCH(Table1[[#This Row],[Milieuprofiel]],'3. Kengetallen (DC-uitdraai)'!D:D,0))*Table1[[#This Row],[Hvd]]*(1+INDEX('3. Kengetallen (DC-uitdraai)'!K:K,MATCH(Table1[[#This Row],[Milieuprofiel]],'3. Kengetallen (DC-uitdraai)'!D:D,0))),0)</f>
        <v>1105.8230700000001</v>
      </c>
      <c r="Q163" s="126">
        <f>IFERROR(INDEX('3. Kengetallen (DC-uitdraai)'!U:U,MATCH(Table1[[#This Row],[Milieuprofiel]],'3. Kengetallen (DC-uitdraai)'!D:D,0))*Table1[[#This Row],[Hvd]]*(1+INDEX('3. Kengetallen (DC-uitdraai)'!K:K,MATCH(Table1[[#This Row],[Milieuprofiel]],'3. Kengetallen (DC-uitdraai)'!D:D,0))),0)</f>
        <v>0</v>
      </c>
      <c r="R163" s="126">
        <f>IFERROR(INDEX('3. Kengetallen (DC-uitdraai)'!V:V,MATCH(Table1[[#This Row],[Milieuprofiel]],'3. Kengetallen (DC-uitdraai)'!D:D,0))*Table1[[#This Row],[Hvd]]*(1+INDEX('3. Kengetallen (DC-uitdraai)'!K:K,MATCH(Table1[[#This Row],[Milieuprofiel]],'3. Kengetallen (DC-uitdraai)'!D:D,0))),0)</f>
        <v>0</v>
      </c>
      <c r="S163" s="126">
        <f>IFERROR(INDEX('3. Kengetallen (DC-uitdraai)'!W:W,MATCH(Table1[[#This Row],[Milieuprofiel]],'3. Kengetallen (DC-uitdraai)'!D:D,0))*Table1[[#This Row],[Hvd]]*(1+INDEX('3. Kengetallen (DC-uitdraai)'!K:K,MATCH(Table1[[#This Row],[Milieuprofiel]],'3. Kengetallen (DC-uitdraai)'!D:D,0))),0)</f>
        <v>0</v>
      </c>
      <c r="T163" s="126">
        <f>IFERROR(INDEX('3. Kengetallen (DC-uitdraai)'!X:X,MATCH(Table1[[#This Row],[Milieuprofiel]],'3. Kengetallen (DC-uitdraai)'!D:D,0))*Table1[[#This Row],[Hvd]]*(1+INDEX('3. Kengetallen (DC-uitdraai)'!K:K,MATCH(Table1[[#This Row],[Milieuprofiel]],'3. Kengetallen (DC-uitdraai)'!D:D,0))),0)</f>
        <v>0</v>
      </c>
      <c r="U163" s="43">
        <v>4.4999999999999998E-2</v>
      </c>
      <c r="V163" s="43">
        <f>Table1[[#This Row],[Volume]]*Table1[[#This Row],[omrekenfactor]]</f>
        <v>29.7</v>
      </c>
      <c r="W163" s="43" t="str">
        <f>IFERROR(INDEX('Eigen database'!H:H,MATCH(Table1[[#This Row],[Potentieel alternatief]],'Eigen database'!D:D,0)),"")</f>
        <v/>
      </c>
      <c r="X163" s="114">
        <f>IFERROR(INDEX('Eigen database'!P:P,MATCH(Table1[[#This Row],[Potentieel alternatief]],'Eigen database'!D:D,0))*Table1[[#This Row],[Hoeveelheid]]*(1+INDEX('Eigen database'!K:K,MATCH(Table1[[#This Row],[Potentieel alternatief]],'Eigen database'!D:D,0))),0)</f>
        <v>0</v>
      </c>
      <c r="Y163" s="128">
        <f>IF(Table1[[#This Row],[MKI A-D nieuw]]=0,Table1[[#This Row],[MKI A-D]],Table1[[#This Row],[MKI A-D nieuw]])</f>
        <v>1105.8230700000001</v>
      </c>
      <c r="Z163" s="126"/>
      <c r="AA163" s="127">
        <f>IFERROR(INDEX('3. Kengetallen (DC-uitdraai)'!AM:AM,MATCH(Table1[[#This Row],[Milieuprofiel]],'3. Kengetallen (DC-uitdraai)'!C:C,0)),0)*Table1[[#This Row],[Hvd]]</f>
        <v>0</v>
      </c>
      <c r="AB163" s="127">
        <f>IFERROR(INDEX('3. Kengetallen (DC-uitdraai)'!AM:AM,MATCH(Table1[[#This Row],[Potentieel alternatief]],'3. Kengetallen (DC-uitdraai)'!C:C,0)),0)*Table1[[#This Row],[Hvd]]</f>
        <v>0</v>
      </c>
      <c r="AC163"/>
      <c r="AD163"/>
      <c r="AE163"/>
      <c r="AF163"/>
      <c r="AG163"/>
      <c r="AH163"/>
      <c r="AI163"/>
      <c r="AJ163"/>
      <c r="AK163"/>
      <c r="AL163"/>
      <c r="AM163"/>
      <c r="AN163"/>
      <c r="AO163"/>
      <c r="AP163"/>
      <c r="AQ163"/>
      <c r="AR163"/>
      <c r="AS163"/>
    </row>
    <row r="164" spans="1:45" s="117" customFormat="1">
      <c r="A164" s="137" t="s">
        <v>468</v>
      </c>
      <c r="B164" s="89"/>
      <c r="C164" s="42"/>
      <c r="D164" s="42"/>
      <c r="E164" s="113" t="s">
        <v>466</v>
      </c>
      <c r="F164" s="141" t="s">
        <v>458</v>
      </c>
      <c r="G164"/>
      <c r="H164" t="str">
        <f>IFERROR(INDEX('3. Kengetallen (DC-uitdraai)'!F:F,MATCH(Table1[[#This Row],[Milieuprofiel]],'3. Kengetallen (DC-uitdraai)'!D:D,0)),"")</f>
        <v>Cat.2</v>
      </c>
      <c r="I164" s="138">
        <v>490</v>
      </c>
      <c r="J164" t="s">
        <v>118</v>
      </c>
      <c r="K164" t="str">
        <f>IF(ISTEXT(Table1[[#This Row],[Milieuprofiel]]),"Ja","Nee")</f>
        <v>Ja</v>
      </c>
      <c r="L164" s="142">
        <f>80/1000</f>
        <v>0.08</v>
      </c>
      <c r="M164" s="26">
        <f>Table1[[#This Row],[Volume]]*Table1[[#This Row],[Factor]]</f>
        <v>39.200000000000003</v>
      </c>
      <c r="N164" t="str">
        <f>IFERROR(INDEX('3. Kengetallen (DC-uitdraai)'!H:H,MATCH(Table1[[#This Row],[Milieuprofiel]],'3. Kengetallen (DC-uitdraai)'!D:D,0)),"")</f>
        <v>m3</v>
      </c>
      <c r="O164">
        <f>IFERROR(INDEX('3. Kengetallen (DC-uitdraai)'!I:I,MATCH(Table1[[#This Row],[Milieuprofiel]],'3. Kengetallen (DC-uitdraai)'!D:D,0)),0)</f>
        <v>25</v>
      </c>
      <c r="P164" s="125">
        <f>IFERROR(INDEX('3. Kengetallen (DC-uitdraai)'!P:P,MATCH(Table1[[#This Row],[Milieuprofiel]],'3. Kengetallen (DC-uitdraai)'!D:D,0))*Table1[[#This Row],[Hvd]]*(1+INDEX('3. Kengetallen (DC-uitdraai)'!K:K,MATCH(Table1[[#This Row],[Milieuprofiel]],'3. Kengetallen (DC-uitdraai)'!D:D,0))),0)</f>
        <v>1459.5375200000003</v>
      </c>
      <c r="Q164" s="126">
        <f>IFERROR(INDEX('3. Kengetallen (DC-uitdraai)'!U:U,MATCH(Table1[[#This Row],[Milieuprofiel]],'3. Kengetallen (DC-uitdraai)'!D:D,0))*Table1[[#This Row],[Hvd]]*(1+INDEX('3. Kengetallen (DC-uitdraai)'!K:K,MATCH(Table1[[#This Row],[Milieuprofiel]],'3. Kengetallen (DC-uitdraai)'!D:D,0))),0)</f>
        <v>0</v>
      </c>
      <c r="R164" s="126">
        <f>IFERROR(INDEX('3. Kengetallen (DC-uitdraai)'!V:V,MATCH(Table1[[#This Row],[Milieuprofiel]],'3. Kengetallen (DC-uitdraai)'!D:D,0))*Table1[[#This Row],[Hvd]]*(1+INDEX('3. Kengetallen (DC-uitdraai)'!K:K,MATCH(Table1[[#This Row],[Milieuprofiel]],'3. Kengetallen (DC-uitdraai)'!D:D,0))),0)</f>
        <v>0</v>
      </c>
      <c r="S164" s="126">
        <f>IFERROR(INDEX('3. Kengetallen (DC-uitdraai)'!W:W,MATCH(Table1[[#This Row],[Milieuprofiel]],'3. Kengetallen (DC-uitdraai)'!D:D,0))*Table1[[#This Row],[Hvd]]*(1+INDEX('3. Kengetallen (DC-uitdraai)'!K:K,MATCH(Table1[[#This Row],[Milieuprofiel]],'3. Kengetallen (DC-uitdraai)'!D:D,0))),0)</f>
        <v>0</v>
      </c>
      <c r="T164" s="126">
        <f>IFERROR(INDEX('3. Kengetallen (DC-uitdraai)'!X:X,MATCH(Table1[[#This Row],[Milieuprofiel]],'3. Kengetallen (DC-uitdraai)'!D:D,0))*Table1[[#This Row],[Hvd]]*(1+INDEX('3. Kengetallen (DC-uitdraai)'!K:K,MATCH(Table1[[#This Row],[Milieuprofiel]],'3. Kengetallen (DC-uitdraai)'!D:D,0))),0)</f>
        <v>0</v>
      </c>
      <c r="U164" s="43">
        <f>0.08</f>
        <v>0.08</v>
      </c>
      <c r="V164" s="43">
        <f>Table1[[#This Row],[Volume]]*Table1[[#This Row],[omrekenfactor]]</f>
        <v>39.200000000000003</v>
      </c>
      <c r="W164" s="43" t="str">
        <f>IFERROR(INDEX('Eigen database'!H:H,MATCH(Table1[[#This Row],[Potentieel alternatief]],'Eigen database'!D:D,0)),"")</f>
        <v/>
      </c>
      <c r="X164" s="114">
        <f>IFERROR(INDEX('Eigen database'!P:P,MATCH(Table1[[#This Row],[Potentieel alternatief]],'Eigen database'!D:D,0))*Table1[[#This Row],[Hoeveelheid]]*(1+INDEX('Eigen database'!K:K,MATCH(Table1[[#This Row],[Potentieel alternatief]],'Eigen database'!D:D,0))),0)</f>
        <v>0</v>
      </c>
      <c r="Y164" s="128">
        <f>IF(Table1[[#This Row],[MKI A-D nieuw]]=0,Table1[[#This Row],[MKI A-D]],Table1[[#This Row],[MKI A-D nieuw]])</f>
        <v>1459.5375200000003</v>
      </c>
      <c r="Z164" s="126"/>
      <c r="AA164" s="127">
        <f>IFERROR(INDEX('3. Kengetallen (DC-uitdraai)'!AM:AM,MATCH(Table1[[#This Row],[Milieuprofiel]],'3. Kengetallen (DC-uitdraai)'!C:C,0)),0)*Table1[[#This Row],[Hvd]]</f>
        <v>0</v>
      </c>
      <c r="AB164" s="127">
        <f>IFERROR(INDEX('3. Kengetallen (DC-uitdraai)'!AM:AM,MATCH(Table1[[#This Row],[Potentieel alternatief]],'3. Kengetallen (DC-uitdraai)'!C:C,0)),0)*Table1[[#This Row],[Hvd]]</f>
        <v>0</v>
      </c>
      <c r="AC164"/>
      <c r="AD164"/>
      <c r="AE164"/>
      <c r="AF164"/>
      <c r="AG164"/>
      <c r="AH164"/>
      <c r="AI164"/>
      <c r="AJ164"/>
      <c r="AK164"/>
      <c r="AL164"/>
      <c r="AM164"/>
      <c r="AN164"/>
      <c r="AO164"/>
      <c r="AP164"/>
      <c r="AQ164"/>
      <c r="AR164"/>
      <c r="AS164"/>
    </row>
    <row r="165" spans="1:45" s="117" customFormat="1">
      <c r="A165" s="137" t="s">
        <v>469</v>
      </c>
      <c r="B165" s="89"/>
      <c r="C165" s="42"/>
      <c r="D165" s="42"/>
      <c r="E165" s="113" t="s">
        <v>466</v>
      </c>
      <c r="F165" s="141" t="s">
        <v>458</v>
      </c>
      <c r="G165"/>
      <c r="H165" t="str">
        <f>IFERROR(INDEX('3. Kengetallen (DC-uitdraai)'!F:F,MATCH(Table1[[#This Row],[Milieuprofiel]],'3. Kengetallen (DC-uitdraai)'!D:D,0)),"")</f>
        <v>Cat.2</v>
      </c>
      <c r="I165" s="138">
        <v>500</v>
      </c>
      <c r="J165" t="s">
        <v>118</v>
      </c>
      <c r="K165" t="str">
        <f>IF(ISTEXT(Table1[[#This Row],[Milieuprofiel]]),"Ja","Nee")</f>
        <v>Ja</v>
      </c>
      <c r="L165" s="142">
        <f>80/1000</f>
        <v>0.08</v>
      </c>
      <c r="M165" s="26">
        <f>Table1[[#This Row],[Volume]]*Table1[[#This Row],[Factor]]</f>
        <v>40</v>
      </c>
      <c r="N165" t="str">
        <f>IFERROR(INDEX('3. Kengetallen (DC-uitdraai)'!H:H,MATCH(Table1[[#This Row],[Milieuprofiel]],'3. Kengetallen (DC-uitdraai)'!D:D,0)),"")</f>
        <v>m3</v>
      </c>
      <c r="O165">
        <f>IFERROR(INDEX('3. Kengetallen (DC-uitdraai)'!I:I,MATCH(Table1[[#This Row],[Milieuprofiel]],'3. Kengetallen (DC-uitdraai)'!D:D,0)),0)</f>
        <v>25</v>
      </c>
      <c r="P165" s="125">
        <f>IFERROR(INDEX('3. Kengetallen (DC-uitdraai)'!P:P,MATCH(Table1[[#This Row],[Milieuprofiel]],'3. Kengetallen (DC-uitdraai)'!D:D,0))*Table1[[#This Row],[Hvd]]*(1+INDEX('3. Kengetallen (DC-uitdraai)'!K:K,MATCH(Table1[[#This Row],[Milieuprofiel]],'3. Kengetallen (DC-uitdraai)'!D:D,0))),0)</f>
        <v>1489.3240000000003</v>
      </c>
      <c r="Q165" s="126">
        <f>IFERROR(INDEX('3. Kengetallen (DC-uitdraai)'!U:U,MATCH(Table1[[#This Row],[Milieuprofiel]],'3. Kengetallen (DC-uitdraai)'!D:D,0))*Table1[[#This Row],[Hvd]]*(1+INDEX('3. Kengetallen (DC-uitdraai)'!K:K,MATCH(Table1[[#This Row],[Milieuprofiel]],'3. Kengetallen (DC-uitdraai)'!D:D,0))),0)</f>
        <v>0</v>
      </c>
      <c r="R165" s="126">
        <f>IFERROR(INDEX('3. Kengetallen (DC-uitdraai)'!V:V,MATCH(Table1[[#This Row],[Milieuprofiel]],'3. Kengetallen (DC-uitdraai)'!D:D,0))*Table1[[#This Row],[Hvd]]*(1+INDEX('3. Kengetallen (DC-uitdraai)'!K:K,MATCH(Table1[[#This Row],[Milieuprofiel]],'3. Kengetallen (DC-uitdraai)'!D:D,0))),0)</f>
        <v>0</v>
      </c>
      <c r="S165" s="126">
        <f>IFERROR(INDEX('3. Kengetallen (DC-uitdraai)'!W:W,MATCH(Table1[[#This Row],[Milieuprofiel]],'3. Kengetallen (DC-uitdraai)'!D:D,0))*Table1[[#This Row],[Hvd]]*(1+INDEX('3. Kengetallen (DC-uitdraai)'!K:K,MATCH(Table1[[#This Row],[Milieuprofiel]],'3. Kengetallen (DC-uitdraai)'!D:D,0))),0)</f>
        <v>0</v>
      </c>
      <c r="T165" s="126">
        <f>IFERROR(INDEX('3. Kengetallen (DC-uitdraai)'!X:X,MATCH(Table1[[#This Row],[Milieuprofiel]],'3. Kengetallen (DC-uitdraai)'!D:D,0))*Table1[[#This Row],[Hvd]]*(1+INDEX('3. Kengetallen (DC-uitdraai)'!K:K,MATCH(Table1[[#This Row],[Milieuprofiel]],'3. Kengetallen (DC-uitdraai)'!D:D,0))),0)</f>
        <v>0</v>
      </c>
      <c r="U165" s="43">
        <f>0.08</f>
        <v>0.08</v>
      </c>
      <c r="V165" s="43">
        <f>Table1[[#This Row],[Volume]]*Table1[[#This Row],[omrekenfactor]]</f>
        <v>40</v>
      </c>
      <c r="W165" s="43" t="str">
        <f>IFERROR(INDEX('Eigen database'!H:H,MATCH(Table1[[#This Row],[Potentieel alternatief]],'Eigen database'!D:D,0)),"")</f>
        <v/>
      </c>
      <c r="X165" s="114">
        <f>IFERROR(INDEX('Eigen database'!P:P,MATCH(Table1[[#This Row],[Potentieel alternatief]],'Eigen database'!D:D,0))*Table1[[#This Row],[Hoeveelheid]]*(1+INDEX('Eigen database'!K:K,MATCH(Table1[[#This Row],[Potentieel alternatief]],'Eigen database'!D:D,0))),0)</f>
        <v>0</v>
      </c>
      <c r="Y165" s="128">
        <f>IF(Table1[[#This Row],[MKI A-D nieuw]]=0,Table1[[#This Row],[MKI A-D]],Table1[[#This Row],[MKI A-D nieuw]])</f>
        <v>1489.3240000000003</v>
      </c>
      <c r="Z165" s="126"/>
      <c r="AA165" s="127">
        <f>IFERROR(INDEX('3. Kengetallen (DC-uitdraai)'!AM:AM,MATCH(Table1[[#This Row],[Milieuprofiel]],'3. Kengetallen (DC-uitdraai)'!C:C,0)),0)*Table1[[#This Row],[Hvd]]</f>
        <v>0</v>
      </c>
      <c r="AB165" s="127">
        <f>IFERROR(INDEX('3. Kengetallen (DC-uitdraai)'!AM:AM,MATCH(Table1[[#This Row],[Potentieel alternatief]],'3. Kengetallen (DC-uitdraai)'!C:C,0)),0)*Table1[[#This Row],[Hvd]]</f>
        <v>0</v>
      </c>
      <c r="AC165"/>
      <c r="AD165"/>
      <c r="AE165"/>
      <c r="AF165"/>
      <c r="AG165"/>
      <c r="AH165"/>
      <c r="AI165"/>
      <c r="AJ165"/>
      <c r="AK165"/>
      <c r="AL165"/>
      <c r="AM165"/>
      <c r="AN165"/>
      <c r="AO165"/>
      <c r="AP165"/>
      <c r="AQ165"/>
      <c r="AR165"/>
      <c r="AS165"/>
    </row>
    <row r="166" spans="1:45" s="117" customFormat="1">
      <c r="A166" s="89" t="s">
        <v>470</v>
      </c>
      <c r="B166" s="89"/>
      <c r="C166" s="42"/>
      <c r="D166" s="42"/>
      <c r="E166" t="s">
        <v>471</v>
      </c>
      <c r="F166" t="s">
        <v>472</v>
      </c>
      <c r="G166" t="s">
        <v>473</v>
      </c>
      <c r="H166" t="str">
        <f>IFERROR(INDEX('3. Kengetallen (DC-uitdraai)'!F:F,MATCH(Table1[[#This Row],[Milieuprofiel]],'3. Kengetallen (DC-uitdraai)'!D:D,0)),"")</f>
        <v>Cat.3 (30%)</v>
      </c>
      <c r="I166" s="26">
        <v>12</v>
      </c>
      <c r="J166" t="s">
        <v>132</v>
      </c>
      <c r="K166" t="str">
        <f>IF(ISTEXT(Table1[[#This Row],[Milieuprofiel]]),"Ja","Nee")</f>
        <v>Ja</v>
      </c>
      <c r="L166" s="27">
        <f>0.3*0.3</f>
        <v>0.09</v>
      </c>
      <c r="M166" s="26">
        <f>Table1[[#This Row],[Volume]]*Table1[[#This Row],[Factor]]</f>
        <v>1.08</v>
      </c>
      <c r="N166" t="str">
        <f>IFERROR(INDEX('3. Kengetallen (DC-uitdraai)'!H:H,MATCH(Table1[[#This Row],[Milieuprofiel]],'3. Kengetallen (DC-uitdraai)'!D:D,0)),"")</f>
        <v>m2</v>
      </c>
      <c r="O166">
        <f>IFERROR(INDEX('3. Kengetallen (DC-uitdraai)'!I:I,MATCH(Table1[[#This Row],[Milieuprofiel]],'3. Kengetallen (DC-uitdraai)'!D:D,0)),0)</f>
        <v>25</v>
      </c>
      <c r="P166" s="125">
        <f>IFERROR(INDEX('3. Kengetallen (DC-uitdraai)'!P:P,MATCH(Table1[[#This Row],[Milieuprofiel]],'3. Kengetallen (DC-uitdraai)'!D:D,0))*Table1[[#This Row],[Hvd]]*(1+INDEX('3. Kengetallen (DC-uitdraai)'!K:K,MATCH(Table1[[#This Row],[Milieuprofiel]],'3. Kengetallen (DC-uitdraai)'!D:D,0))),0)</f>
        <v>10.385500273963221</v>
      </c>
      <c r="Q166" s="126">
        <f>IFERROR(INDEX('3. Kengetallen (DC-uitdraai)'!U:U,MATCH(Table1[[#This Row],[Milieuprofiel]],'3. Kengetallen (DC-uitdraai)'!D:D,0))*Table1[[#This Row],[Hvd]]*(1+INDEX('3. Kengetallen (DC-uitdraai)'!K:K,MATCH(Table1[[#This Row],[Milieuprofiel]],'3. Kengetallen (DC-uitdraai)'!D:D,0))),0)</f>
        <v>2.6782610679467758</v>
      </c>
      <c r="R166" s="126">
        <f>IFERROR(INDEX('3. Kengetallen (DC-uitdraai)'!V:V,MATCH(Table1[[#This Row],[Milieuprofiel]],'3. Kengetallen (DC-uitdraai)'!D:D,0))*Table1[[#This Row],[Hvd]]*(1+INDEX('3. Kengetallen (DC-uitdraai)'!K:K,MATCH(Table1[[#This Row],[Milieuprofiel]],'3. Kengetallen (DC-uitdraai)'!D:D,0))),0)</f>
        <v>0.98290667777447283</v>
      </c>
      <c r="S166" s="126">
        <f>IFERROR(INDEX('3. Kengetallen (DC-uitdraai)'!W:W,MATCH(Table1[[#This Row],[Milieuprofiel]],'3. Kengetallen (DC-uitdraai)'!D:D,0))*Table1[[#This Row],[Hvd]]*(1+INDEX('3. Kengetallen (DC-uitdraai)'!K:K,MATCH(Table1[[#This Row],[Milieuprofiel]],'3. Kengetallen (DC-uitdraai)'!D:D,0))),0)</f>
        <v>3.9583259620131348</v>
      </c>
      <c r="T166" s="126">
        <f>IFERROR(INDEX('3. Kengetallen (DC-uitdraai)'!X:X,MATCH(Table1[[#This Row],[Milieuprofiel]],'3. Kengetallen (DC-uitdraai)'!D:D,0))*Table1[[#This Row],[Hvd]]*(1+INDEX('3. Kengetallen (DC-uitdraai)'!K:K,MATCH(Table1[[#This Row],[Milieuprofiel]],'3. Kengetallen (DC-uitdraai)'!D:D,0))),0)</f>
        <v>0.29715821629188582</v>
      </c>
      <c r="U166" s="43">
        <f>0.3*0.3*0.06</f>
        <v>5.3999999999999994E-3</v>
      </c>
      <c r="V166" s="43">
        <f>Table1[[#This Row],[Volume]]*Table1[[#This Row],[omrekenfactor]]</f>
        <v>6.4799999999999996E-2</v>
      </c>
      <c r="W166" s="43" t="str">
        <f>IFERROR(INDEX('Eigen database'!H:H,MATCH(Table1[[#This Row],[Potentieel alternatief]],'Eigen database'!D:D,0)),"")</f>
        <v>m3</v>
      </c>
      <c r="X166" s="114">
        <f>IFERROR(INDEX('Eigen database'!P:P,MATCH(Table1[[#This Row],[Potentieel alternatief]],'Eigen database'!D:D,0))*Table1[[#This Row],[Hoeveelheid]]*(1+INDEX('Eigen database'!K:K,MATCH(Table1[[#This Row],[Potentieel alternatief]],'Eigen database'!D:D,0))),0)</f>
        <v>2.6568000000000001</v>
      </c>
      <c r="Y166" s="128">
        <f>IF(Table1[[#This Row],[MKI A-D nieuw]]=0,Table1[[#This Row],[MKI A-D]],Table1[[#This Row],[MKI A-D nieuw]])</f>
        <v>2.6568000000000001</v>
      </c>
      <c r="Z166" s="126"/>
      <c r="AA166" s="127">
        <f>IFERROR(INDEX('3. Kengetallen (DC-uitdraai)'!AM:AM,MATCH(Table1[[#This Row],[Milieuprofiel]],'3. Kengetallen (DC-uitdraai)'!C:C,0)),0)*Table1[[#This Row],[Hvd]]</f>
        <v>0</v>
      </c>
      <c r="AB166" s="127">
        <f>IFERROR(INDEX('3. Kengetallen (DC-uitdraai)'!AM:AM,MATCH(Table1[[#This Row],[Potentieel alternatief]],'3. Kengetallen (DC-uitdraai)'!C:C,0)),0)*Table1[[#This Row],[Hvd]]</f>
        <v>0</v>
      </c>
      <c r="AC166"/>
      <c r="AD166"/>
      <c r="AE166"/>
      <c r="AF166"/>
      <c r="AG166"/>
      <c r="AH166"/>
      <c r="AI166"/>
      <c r="AJ166"/>
      <c r="AK166"/>
      <c r="AL166"/>
      <c r="AM166"/>
      <c r="AN166"/>
      <c r="AO166"/>
      <c r="AP166"/>
      <c r="AQ166"/>
      <c r="AR166"/>
      <c r="AS166"/>
    </row>
    <row r="167" spans="1:45">
      <c r="A167" s="137" t="s">
        <v>474</v>
      </c>
      <c r="B167" s="89" t="s">
        <v>475</v>
      </c>
      <c r="C167" s="42" t="s">
        <v>353</v>
      </c>
      <c r="D167" s="42" t="s">
        <v>452</v>
      </c>
      <c r="E167" s="113" t="s">
        <v>476</v>
      </c>
      <c r="F167" s="141" t="s">
        <v>458</v>
      </c>
      <c r="H167" t="str">
        <f>IFERROR(INDEX('3. Kengetallen (DC-uitdraai)'!F:F,MATCH(Table1[[#This Row],[Milieuprofiel]],'3. Kengetallen (DC-uitdraai)'!D:D,0)),"")</f>
        <v>Cat.2</v>
      </c>
      <c r="I167" s="138">
        <v>80</v>
      </c>
      <c r="J167" t="s">
        <v>397</v>
      </c>
      <c r="K167" t="str">
        <f>IF(ISTEXT(Table1[[#This Row],[Milieuprofiel]]),"Ja","Nee")</f>
        <v>Ja</v>
      </c>
      <c r="L167" s="139">
        <f>0.3*0.3*0.045</f>
        <v>4.0499999999999998E-3</v>
      </c>
      <c r="M167" s="26">
        <f>Table1[[#This Row],[Volume]]*Table1[[#This Row],[Factor]]</f>
        <v>0.32399999999999995</v>
      </c>
      <c r="N167" t="str">
        <f>IFERROR(INDEX('3. Kengetallen (DC-uitdraai)'!H:H,MATCH(Table1[[#This Row],[Milieuprofiel]],'3. Kengetallen (DC-uitdraai)'!D:D,0)),"")</f>
        <v>m3</v>
      </c>
      <c r="O167">
        <f>IFERROR(INDEX('3. Kengetallen (DC-uitdraai)'!I:I,MATCH(Table1[[#This Row],[Milieuprofiel]],'3. Kengetallen (DC-uitdraai)'!D:D,0)),0)</f>
        <v>25</v>
      </c>
      <c r="P167" s="125">
        <f>IFERROR(INDEX('3. Kengetallen (DC-uitdraai)'!P:P,MATCH(Table1[[#This Row],[Milieuprofiel]],'3. Kengetallen (DC-uitdraai)'!D:D,0))*Table1[[#This Row],[Hvd]]*(1+INDEX('3. Kengetallen (DC-uitdraai)'!K:K,MATCH(Table1[[#This Row],[Milieuprofiel]],'3. Kengetallen (DC-uitdraai)'!D:D,0))),0)</f>
        <v>12.0635244</v>
      </c>
      <c r="Q167" s="126">
        <f>IFERROR(INDEX('3. Kengetallen (DC-uitdraai)'!U:U,MATCH(Table1[[#This Row],[Milieuprofiel]],'3. Kengetallen (DC-uitdraai)'!D:D,0))*Table1[[#This Row],[Hvd]]*(1+INDEX('3. Kengetallen (DC-uitdraai)'!K:K,MATCH(Table1[[#This Row],[Milieuprofiel]],'3. Kengetallen (DC-uitdraai)'!D:D,0))),0)</f>
        <v>0</v>
      </c>
      <c r="R167" s="126">
        <f>IFERROR(INDEX('3. Kengetallen (DC-uitdraai)'!V:V,MATCH(Table1[[#This Row],[Milieuprofiel]],'3. Kengetallen (DC-uitdraai)'!D:D,0))*Table1[[#This Row],[Hvd]]*(1+INDEX('3. Kengetallen (DC-uitdraai)'!K:K,MATCH(Table1[[#This Row],[Milieuprofiel]],'3. Kengetallen (DC-uitdraai)'!D:D,0))),0)</f>
        <v>0</v>
      </c>
      <c r="S167" s="126">
        <f>IFERROR(INDEX('3. Kengetallen (DC-uitdraai)'!W:W,MATCH(Table1[[#This Row],[Milieuprofiel]],'3. Kengetallen (DC-uitdraai)'!D:D,0))*Table1[[#This Row],[Hvd]]*(1+INDEX('3. Kengetallen (DC-uitdraai)'!K:K,MATCH(Table1[[#This Row],[Milieuprofiel]],'3. Kengetallen (DC-uitdraai)'!D:D,0))),0)</f>
        <v>0</v>
      </c>
      <c r="T167" s="126">
        <f>IFERROR(INDEX('3. Kengetallen (DC-uitdraai)'!X:X,MATCH(Table1[[#This Row],[Milieuprofiel]],'3. Kengetallen (DC-uitdraai)'!D:D,0))*Table1[[#This Row],[Hvd]]*(1+INDEX('3. Kengetallen (DC-uitdraai)'!K:K,MATCH(Table1[[#This Row],[Milieuprofiel]],'3. Kengetallen (DC-uitdraai)'!D:D,0))),0)</f>
        <v>0</v>
      </c>
      <c r="U167" s="126"/>
      <c r="V167" s="126"/>
      <c r="W167" s="43" t="str">
        <f>IFERROR(INDEX('Eigen database'!H:H,MATCH(Table1[[#This Row],[Potentieel alternatief]],'Eigen database'!D:D,0)),"")</f>
        <v/>
      </c>
      <c r="X167" s="114">
        <f>IFERROR(INDEX('Eigen database'!P:P,MATCH(Table1[[#This Row],[Potentieel alternatief]],'Eigen database'!D:D,0))*Table1[[#This Row],[Hoeveelheid]]*(1+INDEX('Eigen database'!K:K,MATCH(Table1[[#This Row],[Potentieel alternatief]],'Eigen database'!D:D,0))),0)</f>
        <v>0</v>
      </c>
      <c r="Y167" s="128">
        <f>IF(Table1[[#This Row],[MKI A-D nieuw]]=0,Table1[[#This Row],[MKI A-D]],Table1[[#This Row],[MKI A-D nieuw]])</f>
        <v>12.0635244</v>
      </c>
      <c r="Z167" s="126"/>
      <c r="AA167" s="127">
        <f>IFERROR(INDEX('3. Kengetallen (DC-uitdraai)'!AM:AM,MATCH(Table1[[#This Row],[Milieuprofiel]],'3. Kengetallen (DC-uitdraai)'!C:C,0)),0)*Table1[[#This Row],[Hvd]]</f>
        <v>0</v>
      </c>
      <c r="AB167" s="127">
        <f>IFERROR(INDEX('3. Kengetallen (DC-uitdraai)'!AM:AM,MATCH(Table1[[#This Row],[Potentieel alternatief]],'3. Kengetallen (DC-uitdraai)'!C:C,0)),0)*Table1[[#This Row],[Hvd]]</f>
        <v>0</v>
      </c>
    </row>
    <row r="168" spans="1:45">
      <c r="A168" s="137" t="s">
        <v>477</v>
      </c>
      <c r="B168" s="89" t="s">
        <v>475</v>
      </c>
      <c r="C168" s="42" t="s">
        <v>353</v>
      </c>
      <c r="D168" s="42" t="s">
        <v>452</v>
      </c>
      <c r="E168" s="113" t="s">
        <v>476</v>
      </c>
      <c r="F168" s="141" t="s">
        <v>458</v>
      </c>
      <c r="H168" t="str">
        <f>IFERROR(INDEX('3. Kengetallen (DC-uitdraai)'!F:F,MATCH(Table1[[#This Row],[Milieuprofiel]],'3. Kengetallen (DC-uitdraai)'!D:D,0)),"")</f>
        <v>Cat.2</v>
      </c>
      <c r="I168" s="138">
        <v>55</v>
      </c>
      <c r="J168" t="s">
        <v>397</v>
      </c>
      <c r="K168" t="str">
        <f>IF(ISTEXT(Table1[[#This Row],[Milieuprofiel]]),"Ja","Nee")</f>
        <v>Ja</v>
      </c>
      <c r="L168" s="139">
        <f>0.3*0.3*0.08</f>
        <v>7.1999999999999998E-3</v>
      </c>
      <c r="M168" s="26">
        <f>Table1[[#This Row],[Volume]]*Table1[[#This Row],[Factor]]</f>
        <v>0.39599999999999996</v>
      </c>
      <c r="N168" t="str">
        <f>IFERROR(INDEX('3. Kengetallen (DC-uitdraai)'!H:H,MATCH(Table1[[#This Row],[Milieuprofiel]],'3. Kengetallen (DC-uitdraai)'!D:D,0)),"")</f>
        <v>m3</v>
      </c>
      <c r="O168">
        <f>IFERROR(INDEX('3. Kengetallen (DC-uitdraai)'!I:I,MATCH(Table1[[#This Row],[Milieuprofiel]],'3. Kengetallen (DC-uitdraai)'!D:D,0)),0)</f>
        <v>25</v>
      </c>
      <c r="P168" s="125">
        <f>IFERROR(INDEX('3. Kengetallen (DC-uitdraai)'!P:P,MATCH(Table1[[#This Row],[Milieuprofiel]],'3. Kengetallen (DC-uitdraai)'!D:D,0))*Table1[[#This Row],[Hvd]]*(1+INDEX('3. Kengetallen (DC-uitdraai)'!K:K,MATCH(Table1[[#This Row],[Milieuprofiel]],'3. Kengetallen (DC-uitdraai)'!D:D,0))),0)</f>
        <v>14.744307600000001</v>
      </c>
      <c r="Q168" s="126">
        <f>IFERROR(INDEX('3. Kengetallen (DC-uitdraai)'!U:U,MATCH(Table1[[#This Row],[Milieuprofiel]],'3. Kengetallen (DC-uitdraai)'!D:D,0))*Table1[[#This Row],[Hvd]]*(1+INDEX('3. Kengetallen (DC-uitdraai)'!K:K,MATCH(Table1[[#This Row],[Milieuprofiel]],'3. Kengetallen (DC-uitdraai)'!D:D,0))),0)</f>
        <v>0</v>
      </c>
      <c r="R168" s="126">
        <f>IFERROR(INDEX('3. Kengetallen (DC-uitdraai)'!V:V,MATCH(Table1[[#This Row],[Milieuprofiel]],'3. Kengetallen (DC-uitdraai)'!D:D,0))*Table1[[#This Row],[Hvd]]*(1+INDEX('3. Kengetallen (DC-uitdraai)'!K:K,MATCH(Table1[[#This Row],[Milieuprofiel]],'3. Kengetallen (DC-uitdraai)'!D:D,0))),0)</f>
        <v>0</v>
      </c>
      <c r="S168" s="126">
        <f>IFERROR(INDEX('3. Kengetallen (DC-uitdraai)'!W:W,MATCH(Table1[[#This Row],[Milieuprofiel]],'3. Kengetallen (DC-uitdraai)'!D:D,0))*Table1[[#This Row],[Hvd]]*(1+INDEX('3. Kengetallen (DC-uitdraai)'!K:K,MATCH(Table1[[#This Row],[Milieuprofiel]],'3. Kengetallen (DC-uitdraai)'!D:D,0))),0)</f>
        <v>0</v>
      </c>
      <c r="T168" s="126">
        <f>IFERROR(INDEX('3. Kengetallen (DC-uitdraai)'!X:X,MATCH(Table1[[#This Row],[Milieuprofiel]],'3. Kengetallen (DC-uitdraai)'!D:D,0))*Table1[[#This Row],[Hvd]]*(1+INDEX('3. Kengetallen (DC-uitdraai)'!K:K,MATCH(Table1[[#This Row],[Milieuprofiel]],'3. Kengetallen (DC-uitdraai)'!D:D,0))),0)</f>
        <v>0</v>
      </c>
      <c r="U168" s="126"/>
      <c r="V168" s="126"/>
      <c r="W168" s="43" t="str">
        <f>IFERROR(INDEX('Eigen database'!H:H,MATCH(Table1[[#This Row],[Potentieel alternatief]],'Eigen database'!D:D,0)),"")</f>
        <v/>
      </c>
      <c r="X168" s="114">
        <f>IFERROR(INDEX('Eigen database'!P:P,MATCH(Table1[[#This Row],[Potentieel alternatief]],'Eigen database'!D:D,0))*Table1[[#This Row],[Hoeveelheid]]*(1+INDEX('Eigen database'!K:K,MATCH(Table1[[#This Row],[Potentieel alternatief]],'Eigen database'!D:D,0))),0)</f>
        <v>0</v>
      </c>
      <c r="Y168" s="128">
        <f>IF(Table1[[#This Row],[MKI A-D nieuw]]=0,Table1[[#This Row],[MKI A-D]],Table1[[#This Row],[MKI A-D nieuw]])</f>
        <v>14.744307600000001</v>
      </c>
      <c r="Z168" s="126"/>
      <c r="AA168" s="127">
        <f>IFERROR(INDEX('3. Kengetallen (DC-uitdraai)'!AM:AM,MATCH(Table1[[#This Row],[Milieuprofiel]],'3. Kengetallen (DC-uitdraai)'!C:C,0)),0)*Table1[[#This Row],[Hvd]]</f>
        <v>0</v>
      </c>
      <c r="AB168" s="127">
        <f>IFERROR(INDEX('3. Kengetallen (DC-uitdraai)'!AM:AM,MATCH(Table1[[#This Row],[Potentieel alternatief]],'3. Kengetallen (DC-uitdraai)'!C:C,0)),0)*Table1[[#This Row],[Hvd]]</f>
        <v>0</v>
      </c>
    </row>
    <row r="169" spans="1:45" s="117" customFormat="1">
      <c r="A169" s="137" t="s">
        <v>478</v>
      </c>
      <c r="B169" s="89"/>
      <c r="C169" s="42"/>
      <c r="D169" s="42"/>
      <c r="E169" s="113" t="s">
        <v>479</v>
      </c>
      <c r="F169" s="141" t="s">
        <v>458</v>
      </c>
      <c r="G169"/>
      <c r="H169" t="str">
        <f>IFERROR(INDEX('3. Kengetallen (DC-uitdraai)'!F:F,MATCH(Table1[[#This Row],[Milieuprofiel]],'3. Kengetallen (DC-uitdraai)'!D:D,0)),"")</f>
        <v>Cat.2</v>
      </c>
      <c r="I169" s="138">
        <v>1000</v>
      </c>
      <c r="J169" t="s">
        <v>397</v>
      </c>
      <c r="K169" t="str">
        <f>IF(ISTEXT(Table1[[#This Row],[Milieuprofiel]]),"Ja","Nee")</f>
        <v>Ja</v>
      </c>
      <c r="L169" s="139">
        <f>80/60</f>
        <v>1.3333333333333333</v>
      </c>
      <c r="M169" s="26">
        <f>Table1[[#This Row],[Volume]]*Table1[[#This Row],[Factor]]</f>
        <v>1333.3333333333333</v>
      </c>
      <c r="N169" t="str">
        <f>IFERROR(INDEX('3. Kengetallen (DC-uitdraai)'!H:H,MATCH(Table1[[#This Row],[Milieuprofiel]],'3. Kengetallen (DC-uitdraai)'!D:D,0)),"")</f>
        <v>m3</v>
      </c>
      <c r="O169">
        <f>IFERROR(INDEX('3. Kengetallen (DC-uitdraai)'!I:I,MATCH(Table1[[#This Row],[Milieuprofiel]],'3. Kengetallen (DC-uitdraai)'!D:D,0)),0)</f>
        <v>25</v>
      </c>
      <c r="P169" s="125">
        <f>IFERROR(INDEX('3. Kengetallen (DC-uitdraai)'!P:P,MATCH(Table1[[#This Row],[Milieuprofiel]],'3. Kengetallen (DC-uitdraai)'!D:D,0))*Table1[[#This Row],[Hvd]]*(1+INDEX('3. Kengetallen (DC-uitdraai)'!K:K,MATCH(Table1[[#This Row],[Milieuprofiel]],'3. Kengetallen (DC-uitdraai)'!D:D,0))),0)</f>
        <v>49644.133333333339</v>
      </c>
      <c r="Q169" s="126">
        <f>IFERROR(INDEX('3. Kengetallen (DC-uitdraai)'!U:U,MATCH(Table1[[#This Row],[Milieuprofiel]],'3. Kengetallen (DC-uitdraai)'!D:D,0))*Table1[[#This Row],[Hvd]]*(1+INDEX('3. Kengetallen (DC-uitdraai)'!K:K,MATCH(Table1[[#This Row],[Milieuprofiel]],'3. Kengetallen (DC-uitdraai)'!D:D,0))),0)</f>
        <v>0</v>
      </c>
      <c r="R169" s="126">
        <f>IFERROR(INDEX('3. Kengetallen (DC-uitdraai)'!V:V,MATCH(Table1[[#This Row],[Milieuprofiel]],'3. Kengetallen (DC-uitdraai)'!D:D,0))*Table1[[#This Row],[Hvd]]*(1+INDEX('3. Kengetallen (DC-uitdraai)'!K:K,MATCH(Table1[[#This Row],[Milieuprofiel]],'3. Kengetallen (DC-uitdraai)'!D:D,0))),0)</f>
        <v>0</v>
      </c>
      <c r="S169" s="126">
        <f>IFERROR(INDEX('3. Kengetallen (DC-uitdraai)'!W:W,MATCH(Table1[[#This Row],[Milieuprofiel]],'3. Kengetallen (DC-uitdraai)'!D:D,0))*Table1[[#This Row],[Hvd]]*(1+INDEX('3. Kengetallen (DC-uitdraai)'!K:K,MATCH(Table1[[#This Row],[Milieuprofiel]],'3. Kengetallen (DC-uitdraai)'!D:D,0))),0)</f>
        <v>0</v>
      </c>
      <c r="T169" s="126">
        <f>IFERROR(INDEX('3. Kengetallen (DC-uitdraai)'!X:X,MATCH(Table1[[#This Row],[Milieuprofiel]],'3. Kengetallen (DC-uitdraai)'!D:D,0))*Table1[[#This Row],[Hvd]]*(1+INDEX('3. Kengetallen (DC-uitdraai)'!K:K,MATCH(Table1[[#This Row],[Milieuprofiel]],'3. Kengetallen (DC-uitdraai)'!D:D,0))),0)</f>
        <v>0</v>
      </c>
      <c r="U169" s="43">
        <f>0.08</f>
        <v>0.08</v>
      </c>
      <c r="V169" s="43">
        <f>Table1[[#This Row],[Volume]]*Table1[[#This Row],[omrekenfactor]]</f>
        <v>80</v>
      </c>
      <c r="W169" s="43" t="str">
        <f>IFERROR(INDEX('Eigen database'!H:H,MATCH(Table1[[#This Row],[Potentieel alternatief]],'Eigen database'!D:D,0)),"")</f>
        <v/>
      </c>
      <c r="X169" s="114">
        <f>IFERROR(INDEX('Eigen database'!P:P,MATCH(Table1[[#This Row],[Potentieel alternatief]],'Eigen database'!D:D,0))*Table1[[#This Row],[Hoeveelheid]]*(1+INDEX('Eigen database'!K:K,MATCH(Table1[[#This Row],[Potentieel alternatief]],'Eigen database'!D:D,0))),0)</f>
        <v>0</v>
      </c>
      <c r="Y169" s="128">
        <f>IF(Table1[[#This Row],[MKI A-D nieuw]]=0,Table1[[#This Row],[MKI A-D]],Table1[[#This Row],[MKI A-D nieuw]])</f>
        <v>49644.133333333339</v>
      </c>
      <c r="Z169" s="126"/>
      <c r="AA169" s="127">
        <f>IFERROR(INDEX('3. Kengetallen (DC-uitdraai)'!AM:AM,MATCH(Table1[[#This Row],[Milieuprofiel]],'3. Kengetallen (DC-uitdraai)'!C:C,0)),0)*Table1[[#This Row],[Hvd]]</f>
        <v>0</v>
      </c>
      <c r="AB169" s="127">
        <f>IFERROR(INDEX('3. Kengetallen (DC-uitdraai)'!AM:AM,MATCH(Table1[[#This Row],[Potentieel alternatief]],'3. Kengetallen (DC-uitdraai)'!C:C,0)),0)*Table1[[#This Row],[Hvd]]</f>
        <v>0</v>
      </c>
      <c r="AC169"/>
      <c r="AD169"/>
      <c r="AE169"/>
      <c r="AF169"/>
      <c r="AG169"/>
      <c r="AH169"/>
      <c r="AI169"/>
      <c r="AJ169"/>
      <c r="AK169"/>
      <c r="AL169"/>
      <c r="AM169"/>
      <c r="AN169"/>
      <c r="AO169"/>
      <c r="AP169"/>
      <c r="AQ169"/>
      <c r="AR169"/>
      <c r="AS169"/>
    </row>
    <row r="170" spans="1:45" s="117" customFormat="1">
      <c r="A170" s="137" t="s">
        <v>480</v>
      </c>
      <c r="B170" s="89"/>
      <c r="C170" s="42"/>
      <c r="D170" s="42"/>
      <c r="E170" s="113" t="s">
        <v>466</v>
      </c>
      <c r="F170" s="141" t="s">
        <v>458</v>
      </c>
      <c r="G170"/>
      <c r="H170" t="str">
        <f>IFERROR(INDEX('3. Kengetallen (DC-uitdraai)'!F:F,MATCH(Table1[[#This Row],[Milieuprofiel]],'3. Kengetallen (DC-uitdraai)'!D:D,0)),"")</f>
        <v>Cat.2</v>
      </c>
      <c r="I170" s="138">
        <v>18</v>
      </c>
      <c r="J170" t="s">
        <v>118</v>
      </c>
      <c r="K170" t="str">
        <f>IF(ISTEXT(Table1[[#This Row],[Milieuprofiel]]),"Ja","Nee")</f>
        <v>Ja</v>
      </c>
      <c r="L170" s="139">
        <v>4.4999999999999998E-2</v>
      </c>
      <c r="M170" s="26">
        <f>Table1[[#This Row],[Volume]]*Table1[[#This Row],[Factor]]</f>
        <v>0.80999999999999994</v>
      </c>
      <c r="N170" t="str">
        <f>IFERROR(INDEX('3. Kengetallen (DC-uitdraai)'!H:H,MATCH(Table1[[#This Row],[Milieuprofiel]],'3. Kengetallen (DC-uitdraai)'!D:D,0)),"")</f>
        <v>m3</v>
      </c>
      <c r="O170">
        <f>IFERROR(INDEX('3. Kengetallen (DC-uitdraai)'!I:I,MATCH(Table1[[#This Row],[Milieuprofiel]],'3. Kengetallen (DC-uitdraai)'!D:D,0)),0)</f>
        <v>25</v>
      </c>
      <c r="P170" s="125">
        <f>IFERROR(INDEX('3. Kengetallen (DC-uitdraai)'!P:P,MATCH(Table1[[#This Row],[Milieuprofiel]],'3. Kengetallen (DC-uitdraai)'!D:D,0))*Table1[[#This Row],[Hvd]]*(1+INDEX('3. Kengetallen (DC-uitdraai)'!K:K,MATCH(Table1[[#This Row],[Milieuprofiel]],'3. Kengetallen (DC-uitdraai)'!D:D,0))),0)</f>
        <v>30.158811000000004</v>
      </c>
      <c r="Q170" s="126">
        <f>IFERROR(INDEX('3. Kengetallen (DC-uitdraai)'!U:U,MATCH(Table1[[#This Row],[Milieuprofiel]],'3. Kengetallen (DC-uitdraai)'!D:D,0))*Table1[[#This Row],[Hvd]]*(1+INDEX('3. Kengetallen (DC-uitdraai)'!K:K,MATCH(Table1[[#This Row],[Milieuprofiel]],'3. Kengetallen (DC-uitdraai)'!D:D,0))),0)</f>
        <v>0</v>
      </c>
      <c r="R170" s="126">
        <f>IFERROR(INDEX('3. Kengetallen (DC-uitdraai)'!V:V,MATCH(Table1[[#This Row],[Milieuprofiel]],'3. Kengetallen (DC-uitdraai)'!D:D,0))*Table1[[#This Row],[Hvd]]*(1+INDEX('3. Kengetallen (DC-uitdraai)'!K:K,MATCH(Table1[[#This Row],[Milieuprofiel]],'3. Kengetallen (DC-uitdraai)'!D:D,0))),0)</f>
        <v>0</v>
      </c>
      <c r="S170" s="126">
        <f>IFERROR(INDEX('3. Kengetallen (DC-uitdraai)'!W:W,MATCH(Table1[[#This Row],[Milieuprofiel]],'3. Kengetallen (DC-uitdraai)'!D:D,0))*Table1[[#This Row],[Hvd]]*(1+INDEX('3. Kengetallen (DC-uitdraai)'!K:K,MATCH(Table1[[#This Row],[Milieuprofiel]],'3. Kengetallen (DC-uitdraai)'!D:D,0))),0)</f>
        <v>0</v>
      </c>
      <c r="T170" s="126">
        <f>IFERROR(INDEX('3. Kengetallen (DC-uitdraai)'!X:X,MATCH(Table1[[#This Row],[Milieuprofiel]],'3. Kengetallen (DC-uitdraai)'!D:D,0))*Table1[[#This Row],[Hvd]]*(1+INDEX('3. Kengetallen (DC-uitdraai)'!K:K,MATCH(Table1[[#This Row],[Milieuprofiel]],'3. Kengetallen (DC-uitdraai)'!D:D,0))),0)</f>
        <v>0</v>
      </c>
      <c r="U170" s="43">
        <v>4.4999999999999998E-2</v>
      </c>
      <c r="V170" s="43">
        <f>Table1[[#This Row],[Volume]]*Table1[[#This Row],[omrekenfactor]]</f>
        <v>0.80999999999999994</v>
      </c>
      <c r="W170" s="43" t="str">
        <f>IFERROR(INDEX('Eigen database'!H:H,MATCH(Table1[[#This Row],[Potentieel alternatief]],'Eigen database'!D:D,0)),"")</f>
        <v/>
      </c>
      <c r="X170" s="114">
        <f>IFERROR(INDEX('Eigen database'!P:P,MATCH(Table1[[#This Row],[Potentieel alternatief]],'Eigen database'!D:D,0))*Table1[[#This Row],[Hoeveelheid]]*(1+INDEX('Eigen database'!K:K,MATCH(Table1[[#This Row],[Potentieel alternatief]],'Eigen database'!D:D,0))),0)</f>
        <v>0</v>
      </c>
      <c r="Y170" s="128">
        <f>IF(Table1[[#This Row],[MKI A-D nieuw]]=0,Table1[[#This Row],[MKI A-D]],Table1[[#This Row],[MKI A-D nieuw]])</f>
        <v>30.158811000000004</v>
      </c>
      <c r="Z170" s="126"/>
      <c r="AA170" s="127">
        <f>IFERROR(INDEX('3. Kengetallen (DC-uitdraai)'!AM:AM,MATCH(Table1[[#This Row],[Milieuprofiel]],'3. Kengetallen (DC-uitdraai)'!C:C,0)),0)*Table1[[#This Row],[Hvd]]</f>
        <v>0</v>
      </c>
      <c r="AB170" s="127">
        <f>IFERROR(INDEX('3. Kengetallen (DC-uitdraai)'!AM:AM,MATCH(Table1[[#This Row],[Potentieel alternatief]],'3. Kengetallen (DC-uitdraai)'!C:C,0)),0)*Table1[[#This Row],[Hvd]]</f>
        <v>0</v>
      </c>
      <c r="AC170"/>
      <c r="AD170"/>
      <c r="AE170"/>
      <c r="AF170"/>
      <c r="AG170"/>
      <c r="AH170"/>
      <c r="AI170"/>
      <c r="AJ170"/>
      <c r="AK170"/>
      <c r="AL170"/>
      <c r="AM170"/>
      <c r="AN170"/>
      <c r="AO170"/>
      <c r="AP170"/>
      <c r="AQ170"/>
      <c r="AR170"/>
      <c r="AS170"/>
    </row>
    <row r="171" spans="1:45">
      <c r="A171" s="137" t="s">
        <v>481</v>
      </c>
      <c r="B171" s="89" t="s">
        <v>482</v>
      </c>
      <c r="C171" s="42" t="s">
        <v>353</v>
      </c>
      <c r="D171" s="42" t="s">
        <v>452</v>
      </c>
      <c r="E171" s="113" t="s">
        <v>483</v>
      </c>
      <c r="F171" s="141" t="s">
        <v>458</v>
      </c>
      <c r="H171" t="str">
        <f>IFERROR(INDEX('3. Kengetallen (DC-uitdraai)'!F:F,MATCH(Table1[[#This Row],[Milieuprofiel]],'3. Kengetallen (DC-uitdraai)'!D:D,0)),"")</f>
        <v>Cat.2</v>
      </c>
      <c r="I171" s="26">
        <v>670</v>
      </c>
      <c r="J171" t="s">
        <v>118</v>
      </c>
      <c r="K171" t="str">
        <f>IF(ISTEXT(Table1[[#This Row],[Milieuprofiel]]),"Ja","Nee")</f>
        <v>Ja</v>
      </c>
      <c r="L171" s="27">
        <v>0.08</v>
      </c>
      <c r="M171" s="26">
        <f>Table1[[#This Row],[Volume]]*Table1[[#This Row],[Factor]]</f>
        <v>53.6</v>
      </c>
      <c r="N171" t="str">
        <f>IFERROR(INDEX('3. Kengetallen (DC-uitdraai)'!H:H,MATCH(Table1[[#This Row],[Milieuprofiel]],'3. Kengetallen (DC-uitdraai)'!D:D,0)),"")</f>
        <v>m3</v>
      </c>
      <c r="O171">
        <f>IFERROR(INDEX('3. Kengetallen (DC-uitdraai)'!I:I,MATCH(Table1[[#This Row],[Milieuprofiel]],'3. Kengetallen (DC-uitdraai)'!D:D,0)),0)</f>
        <v>25</v>
      </c>
      <c r="P171" s="125">
        <f>IFERROR(INDEX('3. Kengetallen (DC-uitdraai)'!P:P,MATCH(Table1[[#This Row],[Milieuprofiel]],'3. Kengetallen (DC-uitdraai)'!D:D,0))*Table1[[#This Row],[Hvd]]*(1+INDEX('3. Kengetallen (DC-uitdraai)'!K:K,MATCH(Table1[[#This Row],[Milieuprofiel]],'3. Kengetallen (DC-uitdraai)'!D:D,0))),0)</f>
        <v>1995.6941600000005</v>
      </c>
      <c r="Q171" s="126">
        <f>IFERROR(INDEX('3. Kengetallen (DC-uitdraai)'!U:U,MATCH(Table1[[#This Row],[Milieuprofiel]],'3. Kengetallen (DC-uitdraai)'!D:D,0))*Table1[[#This Row],[Hvd]]*(1+INDEX('3. Kengetallen (DC-uitdraai)'!K:K,MATCH(Table1[[#This Row],[Milieuprofiel]],'3. Kengetallen (DC-uitdraai)'!D:D,0))),0)</f>
        <v>0</v>
      </c>
      <c r="R171" s="126">
        <f>IFERROR(INDEX('3. Kengetallen (DC-uitdraai)'!V:V,MATCH(Table1[[#This Row],[Milieuprofiel]],'3. Kengetallen (DC-uitdraai)'!D:D,0))*Table1[[#This Row],[Hvd]]*(1+INDEX('3. Kengetallen (DC-uitdraai)'!K:K,MATCH(Table1[[#This Row],[Milieuprofiel]],'3. Kengetallen (DC-uitdraai)'!D:D,0))),0)</f>
        <v>0</v>
      </c>
      <c r="S171" s="126">
        <f>IFERROR(INDEX('3. Kengetallen (DC-uitdraai)'!W:W,MATCH(Table1[[#This Row],[Milieuprofiel]],'3. Kengetallen (DC-uitdraai)'!D:D,0))*Table1[[#This Row],[Hvd]]*(1+INDEX('3. Kengetallen (DC-uitdraai)'!K:K,MATCH(Table1[[#This Row],[Milieuprofiel]],'3. Kengetallen (DC-uitdraai)'!D:D,0))),0)</f>
        <v>0</v>
      </c>
      <c r="T171" s="126">
        <f>IFERROR(INDEX('3. Kengetallen (DC-uitdraai)'!X:X,MATCH(Table1[[#This Row],[Milieuprofiel]],'3. Kengetallen (DC-uitdraai)'!D:D,0))*Table1[[#This Row],[Hvd]]*(1+INDEX('3. Kengetallen (DC-uitdraai)'!K:K,MATCH(Table1[[#This Row],[Milieuprofiel]],'3. Kengetallen (DC-uitdraai)'!D:D,0))),0)</f>
        <v>0</v>
      </c>
      <c r="U171" s="43">
        <f>0.08</f>
        <v>0.08</v>
      </c>
      <c r="V171" s="43">
        <f>Table1[[#This Row],[Volume]]*Table1[[#This Row],[omrekenfactor]]</f>
        <v>53.6</v>
      </c>
      <c r="W171" s="43" t="str">
        <f>IFERROR(INDEX('Eigen database'!H:H,MATCH(Table1[[#This Row],[Potentieel alternatief]],'Eigen database'!D:D,0)),"")</f>
        <v/>
      </c>
      <c r="X171" s="114">
        <f>IFERROR(INDEX('Eigen database'!P:P,MATCH(Table1[[#This Row],[Potentieel alternatief]],'Eigen database'!D:D,0))*Table1[[#This Row],[Hoeveelheid]]*(1+INDEX('Eigen database'!K:K,MATCH(Table1[[#This Row],[Potentieel alternatief]],'Eigen database'!D:D,0))),0)</f>
        <v>0</v>
      </c>
      <c r="Y171" s="128">
        <f>IF(Table1[[#This Row],[MKI A-D nieuw]]=0,Table1[[#This Row],[MKI A-D]],Table1[[#This Row],[MKI A-D nieuw]])</f>
        <v>1995.6941600000005</v>
      </c>
      <c r="Z171" s="126"/>
      <c r="AA171" s="127">
        <f>IFERROR(INDEX('3. Kengetallen (DC-uitdraai)'!AM:AM,MATCH(Table1[[#This Row],[Milieuprofiel]],'3. Kengetallen (DC-uitdraai)'!C:C,0)),0)*Table1[[#This Row],[Hvd]]</f>
        <v>0</v>
      </c>
      <c r="AB171" s="127">
        <f>IFERROR(INDEX('3. Kengetallen (DC-uitdraai)'!AM:AM,MATCH(Table1[[#This Row],[Potentieel alternatief]],'3. Kengetallen (DC-uitdraai)'!C:C,0)),0)*Table1[[#This Row],[Hvd]]</f>
        <v>0</v>
      </c>
    </row>
    <row r="172" spans="1:45">
      <c r="A172" s="137" t="s">
        <v>484</v>
      </c>
      <c r="B172" s="89" t="s">
        <v>482</v>
      </c>
      <c r="C172" s="42" t="s">
        <v>353</v>
      </c>
      <c r="D172" s="42" t="s">
        <v>452</v>
      </c>
      <c r="E172" s="113" t="s">
        <v>483</v>
      </c>
      <c r="F172" s="141" t="s">
        <v>458</v>
      </c>
      <c r="H172" t="str">
        <f>IFERROR(INDEX('3. Kengetallen (DC-uitdraai)'!F:F,MATCH(Table1[[#This Row],[Milieuprofiel]],'3. Kengetallen (DC-uitdraai)'!D:D,0)),"")</f>
        <v>Cat.2</v>
      </c>
      <c r="I172" s="138">
        <v>870</v>
      </c>
      <c r="J172" t="s">
        <v>118</v>
      </c>
      <c r="K172" t="str">
        <f>IF(ISTEXT(Table1[[#This Row],[Milieuprofiel]]),"Ja","Nee")</f>
        <v>Ja</v>
      </c>
      <c r="L172" s="139">
        <v>4.4999999999999998E-2</v>
      </c>
      <c r="M172" s="26">
        <f>Table1[[#This Row],[Volume]]*Table1[[#This Row],[Factor]]</f>
        <v>39.15</v>
      </c>
      <c r="N172" t="str">
        <f>IFERROR(INDEX('3. Kengetallen (DC-uitdraai)'!H:H,MATCH(Table1[[#This Row],[Milieuprofiel]],'3. Kengetallen (DC-uitdraai)'!D:D,0)),"")</f>
        <v>m3</v>
      </c>
      <c r="O172">
        <f>IFERROR(INDEX('3. Kengetallen (DC-uitdraai)'!I:I,MATCH(Table1[[#This Row],[Milieuprofiel]],'3. Kengetallen (DC-uitdraai)'!D:D,0)),0)</f>
        <v>25</v>
      </c>
      <c r="P172" s="125">
        <f>IFERROR(INDEX('3. Kengetallen (DC-uitdraai)'!P:P,MATCH(Table1[[#This Row],[Milieuprofiel]],'3. Kengetallen (DC-uitdraai)'!D:D,0))*Table1[[#This Row],[Hvd]]*(1+INDEX('3. Kengetallen (DC-uitdraai)'!K:K,MATCH(Table1[[#This Row],[Milieuprofiel]],'3. Kengetallen (DC-uitdraai)'!D:D,0))),0)</f>
        <v>1457.6758650000002</v>
      </c>
      <c r="Q172" s="126">
        <f>IFERROR(INDEX('3. Kengetallen (DC-uitdraai)'!U:U,MATCH(Table1[[#This Row],[Milieuprofiel]],'3. Kengetallen (DC-uitdraai)'!D:D,0))*Table1[[#This Row],[Hvd]]*(1+INDEX('3. Kengetallen (DC-uitdraai)'!K:K,MATCH(Table1[[#This Row],[Milieuprofiel]],'3. Kengetallen (DC-uitdraai)'!D:D,0))),0)</f>
        <v>0</v>
      </c>
      <c r="R172" s="126">
        <f>IFERROR(INDEX('3. Kengetallen (DC-uitdraai)'!V:V,MATCH(Table1[[#This Row],[Milieuprofiel]],'3. Kengetallen (DC-uitdraai)'!D:D,0))*Table1[[#This Row],[Hvd]]*(1+INDEX('3. Kengetallen (DC-uitdraai)'!K:K,MATCH(Table1[[#This Row],[Milieuprofiel]],'3. Kengetallen (DC-uitdraai)'!D:D,0))),0)</f>
        <v>0</v>
      </c>
      <c r="S172" s="126">
        <f>IFERROR(INDEX('3. Kengetallen (DC-uitdraai)'!W:W,MATCH(Table1[[#This Row],[Milieuprofiel]],'3. Kengetallen (DC-uitdraai)'!D:D,0))*Table1[[#This Row],[Hvd]]*(1+INDEX('3. Kengetallen (DC-uitdraai)'!K:K,MATCH(Table1[[#This Row],[Milieuprofiel]],'3. Kengetallen (DC-uitdraai)'!D:D,0))),0)</f>
        <v>0</v>
      </c>
      <c r="T172" s="126">
        <f>IFERROR(INDEX('3. Kengetallen (DC-uitdraai)'!X:X,MATCH(Table1[[#This Row],[Milieuprofiel]],'3. Kengetallen (DC-uitdraai)'!D:D,0))*Table1[[#This Row],[Hvd]]*(1+INDEX('3. Kengetallen (DC-uitdraai)'!K:K,MATCH(Table1[[#This Row],[Milieuprofiel]],'3. Kengetallen (DC-uitdraai)'!D:D,0))),0)</f>
        <v>0</v>
      </c>
      <c r="U172" s="43">
        <f>0.08</f>
        <v>0.08</v>
      </c>
      <c r="V172" s="43">
        <f>Table1[[#This Row],[Volume]]*Table1[[#This Row],[omrekenfactor]]</f>
        <v>69.600000000000009</v>
      </c>
      <c r="W172" s="43" t="str">
        <f>IFERROR(INDEX('Eigen database'!H:H,MATCH(Table1[[#This Row],[Potentieel alternatief]],'Eigen database'!D:D,0)),"")</f>
        <v/>
      </c>
      <c r="X172" s="114">
        <f>IFERROR(INDEX('Eigen database'!P:P,MATCH(Table1[[#This Row],[Potentieel alternatief]],'Eigen database'!D:D,0))*Table1[[#This Row],[Hoeveelheid]]*(1+INDEX('Eigen database'!K:K,MATCH(Table1[[#This Row],[Potentieel alternatief]],'Eigen database'!D:D,0))),0)</f>
        <v>0</v>
      </c>
      <c r="Y172" s="128">
        <f>IF(Table1[[#This Row],[MKI A-D nieuw]]=0,Table1[[#This Row],[MKI A-D]],Table1[[#This Row],[MKI A-D nieuw]])</f>
        <v>1457.6758650000002</v>
      </c>
      <c r="Z172" s="126"/>
      <c r="AA172" s="127">
        <f>IFERROR(INDEX('3. Kengetallen (DC-uitdraai)'!AM:AM,MATCH(Table1[[#This Row],[Milieuprofiel]],'3. Kengetallen (DC-uitdraai)'!C:C,0)),0)*Table1[[#This Row],[Hvd]]</f>
        <v>0</v>
      </c>
      <c r="AB172" s="127">
        <f>IFERROR(INDEX('3. Kengetallen (DC-uitdraai)'!AM:AM,MATCH(Table1[[#This Row],[Potentieel alternatief]],'3. Kengetallen (DC-uitdraai)'!C:C,0)),0)*Table1[[#This Row],[Hvd]]</f>
        <v>0</v>
      </c>
    </row>
    <row r="173" spans="1:45">
      <c r="A173" s="137" t="s">
        <v>485</v>
      </c>
      <c r="B173" s="89" t="s">
        <v>475</v>
      </c>
      <c r="C173" s="42" t="s">
        <v>353</v>
      </c>
      <c r="D173" s="42" t="s">
        <v>452</v>
      </c>
      <c r="E173" s="113" t="s">
        <v>486</v>
      </c>
      <c r="F173" s="141" t="s">
        <v>458</v>
      </c>
      <c r="H173" t="str">
        <f>IFERROR(INDEX('3. Kengetallen (DC-uitdraai)'!F:F,MATCH(Table1[[#This Row],[Milieuprofiel]],'3. Kengetallen (DC-uitdraai)'!D:D,0)),"")</f>
        <v>Cat.2</v>
      </c>
      <c r="I173" s="138">
        <v>120</v>
      </c>
      <c r="J173" t="s">
        <v>93</v>
      </c>
      <c r="K173" t="str">
        <f>IF(ISTEXT(Table1[[#This Row],[Milieuprofiel]]),"Ja","Nee")</f>
        <v>Ja</v>
      </c>
      <c r="L173" s="139">
        <f>0.2*0.2*0.08</f>
        <v>3.2000000000000006E-3</v>
      </c>
      <c r="M173" s="26">
        <f>Table1[[#This Row],[Volume]]*Table1[[#This Row],[Factor]]</f>
        <v>0.38400000000000006</v>
      </c>
      <c r="N173" t="str">
        <f>IFERROR(INDEX('3. Kengetallen (DC-uitdraai)'!H:H,MATCH(Table1[[#This Row],[Milieuprofiel]],'3. Kengetallen (DC-uitdraai)'!D:D,0)),"")</f>
        <v>m3</v>
      </c>
      <c r="O173">
        <f>IFERROR(INDEX('3. Kengetallen (DC-uitdraai)'!I:I,MATCH(Table1[[#This Row],[Milieuprofiel]],'3. Kengetallen (DC-uitdraai)'!D:D,0)),0)</f>
        <v>25</v>
      </c>
      <c r="P173" s="125">
        <f>IFERROR(INDEX('3. Kengetallen (DC-uitdraai)'!P:P,MATCH(Table1[[#This Row],[Milieuprofiel]],'3. Kengetallen (DC-uitdraai)'!D:D,0))*Table1[[#This Row],[Hvd]]*(1+INDEX('3. Kengetallen (DC-uitdraai)'!K:K,MATCH(Table1[[#This Row],[Milieuprofiel]],'3. Kengetallen (DC-uitdraai)'!D:D,0))),0)</f>
        <v>14.297510400000006</v>
      </c>
      <c r="Q173" s="126">
        <f>IFERROR(INDEX('3. Kengetallen (DC-uitdraai)'!U:U,MATCH(Table1[[#This Row],[Milieuprofiel]],'3. Kengetallen (DC-uitdraai)'!D:D,0))*Table1[[#This Row],[Hvd]]*(1+INDEX('3. Kengetallen (DC-uitdraai)'!K:K,MATCH(Table1[[#This Row],[Milieuprofiel]],'3. Kengetallen (DC-uitdraai)'!D:D,0))),0)</f>
        <v>0</v>
      </c>
      <c r="R173" s="126">
        <f>IFERROR(INDEX('3. Kengetallen (DC-uitdraai)'!V:V,MATCH(Table1[[#This Row],[Milieuprofiel]],'3. Kengetallen (DC-uitdraai)'!D:D,0))*Table1[[#This Row],[Hvd]]*(1+INDEX('3. Kengetallen (DC-uitdraai)'!K:K,MATCH(Table1[[#This Row],[Milieuprofiel]],'3. Kengetallen (DC-uitdraai)'!D:D,0))),0)</f>
        <v>0</v>
      </c>
      <c r="S173" s="126">
        <f>IFERROR(INDEX('3. Kengetallen (DC-uitdraai)'!W:W,MATCH(Table1[[#This Row],[Milieuprofiel]],'3. Kengetallen (DC-uitdraai)'!D:D,0))*Table1[[#This Row],[Hvd]]*(1+INDEX('3. Kengetallen (DC-uitdraai)'!K:K,MATCH(Table1[[#This Row],[Milieuprofiel]],'3. Kengetallen (DC-uitdraai)'!D:D,0))),0)</f>
        <v>0</v>
      </c>
      <c r="T173" s="126">
        <f>IFERROR(INDEX('3. Kengetallen (DC-uitdraai)'!X:X,MATCH(Table1[[#This Row],[Milieuprofiel]],'3. Kengetallen (DC-uitdraai)'!D:D,0))*Table1[[#This Row],[Hvd]]*(1+INDEX('3. Kengetallen (DC-uitdraai)'!K:K,MATCH(Table1[[#This Row],[Milieuprofiel]],'3. Kengetallen (DC-uitdraai)'!D:D,0))),0)</f>
        <v>0</v>
      </c>
      <c r="U173" s="126"/>
      <c r="V173" s="126"/>
      <c r="W173" s="43" t="str">
        <f>IFERROR(INDEX('Eigen database'!H:H,MATCH(Table1[[#This Row],[Potentieel alternatief]],'Eigen database'!D:D,0)),"")</f>
        <v/>
      </c>
      <c r="X173" s="114">
        <f>IFERROR(INDEX('Eigen database'!P:P,MATCH(Table1[[#This Row],[Potentieel alternatief]],'Eigen database'!D:D,0))*Table1[[#This Row],[Hoeveelheid]]*(1+INDEX('Eigen database'!K:K,MATCH(Table1[[#This Row],[Potentieel alternatief]],'Eigen database'!D:D,0))),0)</f>
        <v>0</v>
      </c>
      <c r="Y173" s="128">
        <f>IF(Table1[[#This Row],[MKI A-D nieuw]]=0,Table1[[#This Row],[MKI A-D]],Table1[[#This Row],[MKI A-D nieuw]])</f>
        <v>14.297510400000006</v>
      </c>
      <c r="Z173" s="126"/>
      <c r="AA173" s="127">
        <f>IFERROR(INDEX('3. Kengetallen (DC-uitdraai)'!AM:AM,MATCH(Table1[[#This Row],[Milieuprofiel]],'3. Kengetallen (DC-uitdraai)'!C:C,0)),0)*Table1[[#This Row],[Hvd]]</f>
        <v>0</v>
      </c>
      <c r="AB173" s="127">
        <f>IFERROR(INDEX('3. Kengetallen (DC-uitdraai)'!AM:AM,MATCH(Table1[[#This Row],[Potentieel alternatief]],'3. Kengetallen (DC-uitdraai)'!C:C,0)),0)*Table1[[#This Row],[Hvd]]</f>
        <v>0</v>
      </c>
    </row>
    <row r="174" spans="1:45">
      <c r="A174" s="137" t="s">
        <v>487</v>
      </c>
      <c r="B174" s="89" t="s">
        <v>482</v>
      </c>
      <c r="C174" s="42" t="s">
        <v>353</v>
      </c>
      <c r="D174" s="42" t="s">
        <v>452</v>
      </c>
      <c r="E174" s="113" t="s">
        <v>488</v>
      </c>
      <c r="F174" s="141" t="s">
        <v>489</v>
      </c>
      <c r="H174" t="str">
        <f>IFERROR(INDEX('3. Kengetallen (DC-uitdraai)'!F:F,MATCH(Table1[[#This Row],[Milieuprofiel]],'3. Kengetallen (DC-uitdraai)'!D:D,0)),"")</f>
        <v>Cat.2</v>
      </c>
      <c r="I174" s="138">
        <v>150</v>
      </c>
      <c r="J174" t="s">
        <v>118</v>
      </c>
      <c r="K174" t="str">
        <f>IF(ISTEXT(Table1[[#This Row],[Milieuprofiel]]),"Ja","Nee")</f>
        <v>Ja</v>
      </c>
      <c r="L174" s="139">
        <v>0.1</v>
      </c>
      <c r="M174" s="26">
        <f>Table1[[#This Row],[Volume]]*Table1[[#This Row],[Factor]]</f>
        <v>15</v>
      </c>
      <c r="N174" t="str">
        <f>IFERROR(INDEX('3. Kengetallen (DC-uitdraai)'!H:H,MATCH(Table1[[#This Row],[Milieuprofiel]],'3. Kengetallen (DC-uitdraai)'!D:D,0)),"")</f>
        <v>m3</v>
      </c>
      <c r="O174">
        <f>IFERROR(INDEX('3. Kengetallen (DC-uitdraai)'!I:I,MATCH(Table1[[#This Row],[Milieuprofiel]],'3. Kengetallen (DC-uitdraai)'!D:D,0)),0)</f>
        <v>25</v>
      </c>
      <c r="P174" s="125">
        <f>IFERROR(INDEX('3. Kengetallen (DC-uitdraai)'!P:P,MATCH(Table1[[#This Row],[Milieuprofiel]],'3. Kengetallen (DC-uitdraai)'!D:D,0))*Table1[[#This Row],[Hvd]]*(1+INDEX('3. Kengetallen (DC-uitdraai)'!K:K,MATCH(Table1[[#This Row],[Milieuprofiel]],'3. Kengetallen (DC-uitdraai)'!D:D,0))),0)</f>
        <v>403.31849999999997</v>
      </c>
      <c r="Q174" s="126">
        <f>IFERROR(INDEX('3. Kengetallen (DC-uitdraai)'!U:U,MATCH(Table1[[#This Row],[Milieuprofiel]],'3. Kengetallen (DC-uitdraai)'!D:D,0))*Table1[[#This Row],[Hvd]]*(1+INDEX('3. Kengetallen (DC-uitdraai)'!K:K,MATCH(Table1[[#This Row],[Milieuprofiel]],'3. Kengetallen (DC-uitdraai)'!D:D,0))),0)</f>
        <v>0</v>
      </c>
      <c r="R174" s="126">
        <f>IFERROR(INDEX('3. Kengetallen (DC-uitdraai)'!V:V,MATCH(Table1[[#This Row],[Milieuprofiel]],'3. Kengetallen (DC-uitdraai)'!D:D,0))*Table1[[#This Row],[Hvd]]*(1+INDEX('3. Kengetallen (DC-uitdraai)'!K:K,MATCH(Table1[[#This Row],[Milieuprofiel]],'3. Kengetallen (DC-uitdraai)'!D:D,0))),0)</f>
        <v>0</v>
      </c>
      <c r="S174" s="126">
        <f>IFERROR(INDEX('3. Kengetallen (DC-uitdraai)'!W:W,MATCH(Table1[[#This Row],[Milieuprofiel]],'3. Kengetallen (DC-uitdraai)'!D:D,0))*Table1[[#This Row],[Hvd]]*(1+INDEX('3. Kengetallen (DC-uitdraai)'!K:K,MATCH(Table1[[#This Row],[Milieuprofiel]],'3. Kengetallen (DC-uitdraai)'!D:D,0))),0)</f>
        <v>0</v>
      </c>
      <c r="T174" s="126">
        <f>IFERROR(INDEX('3. Kengetallen (DC-uitdraai)'!X:X,MATCH(Table1[[#This Row],[Milieuprofiel]],'3. Kengetallen (DC-uitdraai)'!D:D,0))*Table1[[#This Row],[Hvd]]*(1+INDEX('3. Kengetallen (DC-uitdraai)'!K:K,MATCH(Table1[[#This Row],[Milieuprofiel]],'3. Kengetallen (DC-uitdraai)'!D:D,0))),0)</f>
        <v>0</v>
      </c>
      <c r="U174" s="43">
        <f>0.1</f>
        <v>0.1</v>
      </c>
      <c r="V174" s="43">
        <f>Table1[[#This Row],[Volume]]*Table1[[#This Row],[omrekenfactor]]</f>
        <v>15</v>
      </c>
      <c r="W174" s="43" t="str">
        <f>IFERROR(INDEX('Eigen database'!H:H,MATCH(Table1[[#This Row],[Potentieel alternatief]],'Eigen database'!D:D,0)),"")</f>
        <v/>
      </c>
      <c r="X174" s="114">
        <f>IFERROR(INDEX('Eigen database'!P:P,MATCH(Table1[[#This Row],[Potentieel alternatief]],'Eigen database'!D:D,0))*Table1[[#This Row],[Hoeveelheid]]*(1+INDEX('Eigen database'!K:K,MATCH(Table1[[#This Row],[Potentieel alternatief]],'Eigen database'!D:D,0))),0)</f>
        <v>0</v>
      </c>
      <c r="Y174" s="128">
        <f>IF(Table1[[#This Row],[MKI A-D nieuw]]=0,Table1[[#This Row],[MKI A-D]],Table1[[#This Row],[MKI A-D nieuw]])</f>
        <v>403.31849999999997</v>
      </c>
      <c r="Z174" s="126"/>
      <c r="AA174" s="127">
        <f>IFERROR(INDEX('3. Kengetallen (DC-uitdraai)'!AM:AM,MATCH(Table1[[#This Row],[Milieuprofiel]],'3. Kengetallen (DC-uitdraai)'!C:C,0)),0)*Table1[[#This Row],[Hvd]]</f>
        <v>0</v>
      </c>
      <c r="AB174" s="127">
        <f>IFERROR(INDEX('3. Kengetallen (DC-uitdraai)'!AM:AM,MATCH(Table1[[#This Row],[Potentieel alternatief]],'3. Kengetallen (DC-uitdraai)'!C:C,0)),0)*Table1[[#This Row],[Hvd]]</f>
        <v>0</v>
      </c>
    </row>
    <row r="175" spans="1:45">
      <c r="A175" s="89" t="s">
        <v>490</v>
      </c>
      <c r="B175" s="89" t="s">
        <v>363</v>
      </c>
      <c r="C175" s="42" t="s">
        <v>353</v>
      </c>
      <c r="D175" s="42" t="s">
        <v>491</v>
      </c>
      <c r="E175" t="s">
        <v>492</v>
      </c>
      <c r="F175" t="s">
        <v>366</v>
      </c>
      <c r="H175" t="str">
        <f>IFERROR(INDEX('3. Kengetallen (DC-uitdraai)'!F:F,MATCH(Table1[[#This Row],[Milieuprofiel]],'3. Kengetallen (DC-uitdraai)'!D:D,0)),"")</f>
        <v>Cat.3 (30%)</v>
      </c>
      <c r="I175" s="26">
        <v>200</v>
      </c>
      <c r="J175" t="s">
        <v>118</v>
      </c>
      <c r="K175" t="str">
        <f>IF(ISTEXT(Table1[[#This Row],[Milieuprofiel]]),"Ja","Nee")</f>
        <v>Ja</v>
      </c>
      <c r="L175" s="27">
        <v>1</v>
      </c>
      <c r="M175" s="26">
        <f>Table1[[#This Row],[Volume]]*Table1[[#This Row],[Factor]]</f>
        <v>200</v>
      </c>
      <c r="N175" t="str">
        <f>IFERROR(INDEX('3. Kengetallen (DC-uitdraai)'!H:H,MATCH(Table1[[#This Row],[Milieuprofiel]],'3. Kengetallen (DC-uitdraai)'!D:D,0)),"")</f>
        <v>m2</v>
      </c>
      <c r="O175">
        <f>IFERROR(INDEX('3. Kengetallen (DC-uitdraai)'!I:I,MATCH(Table1[[#This Row],[Milieuprofiel]],'3. Kengetallen (DC-uitdraai)'!D:D,0)),0)</f>
        <v>100</v>
      </c>
      <c r="P175" s="106">
        <f>IFERROR(INDEX('3. Kengetallen (DC-uitdraai)'!P:P,MATCH(Table1[[#This Row],[Milieuprofiel]],'3. Kengetallen (DC-uitdraai)'!D:D,0))*Table1[[#This Row],[Hvd]]*(1+INDEX('3. Kengetallen (DC-uitdraai)'!K:K,MATCH(Table1[[#This Row],[Milieuprofiel]],'3. Kengetallen (DC-uitdraai)'!D:D,0))),0)</f>
        <v>170.97053226718751</v>
      </c>
      <c r="Q175" s="16">
        <f>IFERROR(INDEX('3. Kengetallen (DC-uitdraai)'!U:U,MATCH(Table1[[#This Row],[Milieuprofiel]],'3. Kengetallen (DC-uitdraai)'!D:D,0))*Table1[[#This Row],[Hvd]]*(1+INDEX('3. Kengetallen (DC-uitdraai)'!K:K,MATCH(Table1[[#This Row],[Milieuprofiel]],'3. Kengetallen (DC-uitdraai)'!D:D,0))),0)</f>
        <v>0</v>
      </c>
      <c r="R175" s="16">
        <f>IFERROR(INDEX('3. Kengetallen (DC-uitdraai)'!V:V,MATCH(Table1[[#This Row],[Milieuprofiel]],'3. Kengetallen (DC-uitdraai)'!D:D,0))*Table1[[#This Row],[Hvd]]*(1+INDEX('3. Kengetallen (DC-uitdraai)'!K:K,MATCH(Table1[[#This Row],[Milieuprofiel]],'3. Kengetallen (DC-uitdraai)'!D:D,0))),0)</f>
        <v>77.043168476198986</v>
      </c>
      <c r="S175" s="16">
        <f>IFERROR(INDEX('3. Kengetallen (DC-uitdraai)'!W:W,MATCH(Table1[[#This Row],[Milieuprofiel]],'3. Kengetallen (DC-uitdraai)'!D:D,0))*Table1[[#This Row],[Hvd]]*(1+INDEX('3. Kengetallen (DC-uitdraai)'!K:K,MATCH(Table1[[#This Row],[Milieuprofiel]],'3. Kengetallen (DC-uitdraai)'!D:D,0))),0)</f>
        <v>5.498987638</v>
      </c>
      <c r="T175" s="16">
        <f>IFERROR(INDEX('3. Kengetallen (DC-uitdraai)'!X:X,MATCH(Table1[[#This Row],[Milieuprofiel]],'3. Kengetallen (DC-uitdraai)'!D:D,0))*Table1[[#This Row],[Hvd]]*(1+INDEX('3. Kengetallen (DC-uitdraai)'!K:K,MATCH(Table1[[#This Row],[Milieuprofiel]],'3. Kengetallen (DC-uitdraai)'!D:D,0))),0)</f>
        <v>48.973636731491084</v>
      </c>
      <c r="U175" s="16"/>
      <c r="V175" s="16"/>
      <c r="W175" s="43" t="str">
        <f>IFERROR(INDEX('Eigen database'!H:H,MATCH(Table1[[#This Row],[Potentieel alternatief]],'Eigen database'!D:D,0)),"")</f>
        <v/>
      </c>
      <c r="X175" s="108">
        <f>IFERROR(INDEX('Eigen database'!P:P,MATCH(Table1[[#This Row],[Potentieel alternatief]],'Eigen database'!D:D,0))*Table1[[#This Row],[Hoeveelheid]]*(1+INDEX('Eigen database'!K:K,MATCH(Table1[[#This Row],[Potentieel alternatief]],'Eigen database'!D:D,0))),0)</f>
        <v>0</v>
      </c>
      <c r="Y175" s="16">
        <f>IF(Table1[[#This Row],[MKI A-D nieuw]]=0,Table1[[#This Row],[MKI A-D]],Table1[[#This Row],[MKI A-D nieuw]])</f>
        <v>170.97053226718751</v>
      </c>
      <c r="Z175" s="126"/>
      <c r="AA175" s="127">
        <f>IFERROR(INDEX('3. Kengetallen (DC-uitdraai)'!AM:AM,MATCH(Table1[[#This Row],[Milieuprofiel]],'3. Kengetallen (DC-uitdraai)'!C:C,0)),0)*Table1[[#This Row],[Hvd]]</f>
        <v>0</v>
      </c>
      <c r="AB175" s="127">
        <f>IFERROR(INDEX('3. Kengetallen (DC-uitdraai)'!AM:AM,MATCH(Table1[[#This Row],[Potentieel alternatief]],'3. Kengetallen (DC-uitdraai)'!C:C,0)),0)*Table1[[#This Row],[Hvd]]</f>
        <v>0</v>
      </c>
    </row>
    <row r="176" spans="1:45">
      <c r="A176" s="89" t="s">
        <v>493</v>
      </c>
      <c r="B176" s="89" t="s">
        <v>363</v>
      </c>
      <c r="C176" s="42" t="s">
        <v>353</v>
      </c>
      <c r="D176" s="42" t="s">
        <v>491</v>
      </c>
      <c r="E176" t="s">
        <v>494</v>
      </c>
      <c r="F176" t="s">
        <v>495</v>
      </c>
      <c r="H176" t="str">
        <f>IFERROR(INDEX('3. Kengetallen (DC-uitdraai)'!F:F,MATCH(Table1[[#This Row],[Milieuprofiel]],'3. Kengetallen (DC-uitdraai)'!D:D,0)),"")</f>
        <v>Cat.3 (30%)</v>
      </c>
      <c r="I176" s="26">
        <v>180</v>
      </c>
      <c r="J176" t="s">
        <v>118</v>
      </c>
      <c r="K176" t="str">
        <f>IF(ISTEXT(Table1[[#This Row],[Milieuprofiel]]),"Ja","Nee")</f>
        <v>Ja</v>
      </c>
      <c r="L176" s="27">
        <f>30/10</f>
        <v>3</v>
      </c>
      <c r="M176" s="26">
        <f>Table1[[#This Row],[Volume]]*Table1[[#This Row],[Factor]]</f>
        <v>540</v>
      </c>
      <c r="N176" t="str">
        <f>IFERROR(INDEX('3. Kengetallen (DC-uitdraai)'!H:H,MATCH(Table1[[#This Row],[Milieuprofiel]],'3. Kengetallen (DC-uitdraai)'!D:D,0)),"")</f>
        <v>m2</v>
      </c>
      <c r="O176">
        <f>IFERROR(INDEX('3. Kengetallen (DC-uitdraai)'!I:I,MATCH(Table1[[#This Row],[Milieuprofiel]],'3. Kengetallen (DC-uitdraai)'!D:D,0)),0)</f>
        <v>30</v>
      </c>
      <c r="P176" s="106">
        <f>IFERROR(INDEX('3. Kengetallen (DC-uitdraai)'!P:P,MATCH(Table1[[#This Row],[Milieuprofiel]],'3. Kengetallen (DC-uitdraai)'!D:D,0))*Table1[[#This Row],[Hvd]]*(1+INDEX('3. Kengetallen (DC-uitdraai)'!K:K,MATCH(Table1[[#This Row],[Milieuprofiel]],'3. Kengetallen (DC-uitdraai)'!D:D,0))),0)</f>
        <v>1522.4019249880373</v>
      </c>
      <c r="Q176" s="16">
        <f>IFERROR(INDEX('3. Kengetallen (DC-uitdraai)'!U:U,MATCH(Table1[[#This Row],[Milieuprofiel]],'3. Kengetallen (DC-uitdraai)'!D:D,0))*Table1[[#This Row],[Hvd]]*(1+INDEX('3. Kengetallen (DC-uitdraai)'!K:K,MATCH(Table1[[#This Row],[Milieuprofiel]],'3. Kengetallen (DC-uitdraai)'!D:D,0))),0)</f>
        <v>97.255693727766044</v>
      </c>
      <c r="R176" s="16">
        <f>IFERROR(INDEX('3. Kengetallen (DC-uitdraai)'!V:V,MATCH(Table1[[#This Row],[Milieuprofiel]],'3. Kengetallen (DC-uitdraai)'!D:D,0))*Table1[[#This Row],[Hvd]]*(1+INDEX('3. Kengetallen (DC-uitdraai)'!K:K,MATCH(Table1[[#This Row],[Milieuprofiel]],'3. Kengetallen (DC-uitdraai)'!D:D,0))),0)</f>
        <v>561.16018265960236</v>
      </c>
      <c r="S176" s="16">
        <f>IFERROR(INDEX('3. Kengetallen (DC-uitdraai)'!W:W,MATCH(Table1[[#This Row],[Milieuprofiel]],'3. Kengetallen (DC-uitdraai)'!D:D,0))*Table1[[#This Row],[Hvd]]*(1+INDEX('3. Kengetallen (DC-uitdraai)'!K:K,MATCH(Table1[[#This Row],[Milieuprofiel]],'3. Kengetallen (DC-uitdraai)'!D:D,0))),0)</f>
        <v>460.61522123383247</v>
      </c>
      <c r="T176" s="16">
        <f>IFERROR(INDEX('3. Kengetallen (DC-uitdraai)'!X:X,MATCH(Table1[[#This Row],[Milieuprofiel]],'3. Kengetallen (DC-uitdraai)'!D:D,0))*Table1[[#This Row],[Hvd]]*(1+INDEX('3. Kengetallen (DC-uitdraai)'!K:K,MATCH(Table1[[#This Row],[Milieuprofiel]],'3. Kengetallen (DC-uitdraai)'!D:D,0))),0)</f>
        <v>32.506955463380315</v>
      </c>
      <c r="U176" s="16"/>
      <c r="V176" s="16"/>
      <c r="W176" s="43" t="str">
        <f>IFERROR(INDEX('Eigen database'!H:H,MATCH(Table1[[#This Row],[Potentieel alternatief]],'Eigen database'!D:D,0)),"")</f>
        <v/>
      </c>
      <c r="X176" s="108">
        <f>IFERROR(INDEX('Eigen database'!P:P,MATCH(Table1[[#This Row],[Potentieel alternatief]],'Eigen database'!D:D,0))*Table1[[#This Row],[Hoeveelheid]]*(1+INDEX('Eigen database'!K:K,MATCH(Table1[[#This Row],[Potentieel alternatief]],'Eigen database'!D:D,0))),0)</f>
        <v>0</v>
      </c>
      <c r="Y176" s="16">
        <f>IF(Table1[[#This Row],[MKI A-D nieuw]]=0,Table1[[#This Row],[MKI A-D]],Table1[[#This Row],[MKI A-D nieuw]])</f>
        <v>1522.4019249880373</v>
      </c>
      <c r="Z176" s="126"/>
      <c r="AA176" s="127">
        <f>IFERROR(INDEX('3. Kengetallen (DC-uitdraai)'!AM:AM,MATCH(Table1[[#This Row],[Milieuprofiel]],'3. Kengetallen (DC-uitdraai)'!C:C,0)),0)*Table1[[#This Row],[Hvd]]</f>
        <v>0</v>
      </c>
      <c r="AB176" s="127">
        <f>IFERROR(INDEX('3. Kengetallen (DC-uitdraai)'!AM:AM,MATCH(Table1[[#This Row],[Potentieel alternatief]],'3. Kengetallen (DC-uitdraai)'!C:C,0)),0)*Table1[[#This Row],[Hvd]]</f>
        <v>0</v>
      </c>
    </row>
    <row r="177" spans="1:30">
      <c r="A177" s="89" t="s">
        <v>496</v>
      </c>
      <c r="B177" s="89" t="s">
        <v>377</v>
      </c>
      <c r="C177" s="42" t="s">
        <v>353</v>
      </c>
      <c r="D177" s="42" t="s">
        <v>491</v>
      </c>
      <c r="E177" t="s">
        <v>497</v>
      </c>
      <c r="F177" t="s">
        <v>498</v>
      </c>
      <c r="H177" t="str">
        <f>IFERROR(INDEX('3. Kengetallen (DC-uitdraai)'!F:F,MATCH(Table1[[#This Row],[Milieuprofiel]],'3. Kengetallen (DC-uitdraai)'!D:D,0)),"")</f>
        <v>Cat.1</v>
      </c>
      <c r="I177" s="26">
        <v>180</v>
      </c>
      <c r="J177" t="s">
        <v>118</v>
      </c>
      <c r="K177" t="str">
        <f>IF(ISTEXT(Table1[[#This Row],[Milieuprofiel]]),"Ja","Nee")</f>
        <v>Ja</v>
      </c>
      <c r="L177" s="27">
        <v>1</v>
      </c>
      <c r="M177" s="26">
        <f>Table1[[#This Row],[Volume]]*Table1[[#This Row],[Factor]]</f>
        <v>180</v>
      </c>
      <c r="N177" t="str">
        <f>IFERROR(INDEX('3. Kengetallen (DC-uitdraai)'!H:H,MATCH(Table1[[#This Row],[Milieuprofiel]],'3. Kengetallen (DC-uitdraai)'!D:D,0)),"")</f>
        <v>m2</v>
      </c>
      <c r="O177">
        <f>IFERROR(INDEX('3. Kengetallen (DC-uitdraai)'!I:I,MATCH(Table1[[#This Row],[Milieuprofiel]],'3. Kengetallen (DC-uitdraai)'!D:D,0)),0)</f>
        <v>25</v>
      </c>
      <c r="P177" s="106">
        <f>IFERROR(INDEX('3. Kengetallen (DC-uitdraai)'!P:P,MATCH(Table1[[#This Row],[Milieuprofiel]],'3. Kengetallen (DC-uitdraai)'!D:D,0))*Table1[[#This Row],[Hvd]]*(1+INDEX('3. Kengetallen (DC-uitdraai)'!K:K,MATCH(Table1[[#This Row],[Milieuprofiel]],'3. Kengetallen (DC-uitdraai)'!D:D,0))),0)</f>
        <v>84.640182597920216</v>
      </c>
      <c r="Q177" s="16">
        <f>IFERROR(INDEX('3. Kengetallen (DC-uitdraai)'!U:U,MATCH(Table1[[#This Row],[Milieuprofiel]],'3. Kengetallen (DC-uitdraai)'!D:D,0))*Table1[[#This Row],[Hvd]]*(1+INDEX('3. Kengetallen (DC-uitdraai)'!K:K,MATCH(Table1[[#This Row],[Milieuprofiel]],'3. Kengetallen (DC-uitdraai)'!D:D,0))),0)</f>
        <v>66.453302382007422</v>
      </c>
      <c r="R177" s="16">
        <f>IFERROR(INDEX('3. Kengetallen (DC-uitdraai)'!V:V,MATCH(Table1[[#This Row],[Milieuprofiel]],'3. Kengetallen (DC-uitdraai)'!D:D,0))*Table1[[#This Row],[Hvd]]*(1+INDEX('3. Kengetallen (DC-uitdraai)'!K:K,MATCH(Table1[[#This Row],[Milieuprofiel]],'3. Kengetallen (DC-uitdraai)'!D:D,0))),0)</f>
        <v>29.595756267913742</v>
      </c>
      <c r="S177" s="16">
        <f>IFERROR(INDEX('3. Kengetallen (DC-uitdraai)'!W:W,MATCH(Table1[[#This Row],[Milieuprofiel]],'3. Kengetallen (DC-uitdraai)'!D:D,0))*Table1[[#This Row],[Hvd]]*(1+INDEX('3. Kengetallen (DC-uitdraai)'!K:K,MATCH(Table1[[#This Row],[Milieuprofiel]],'3. Kengetallen (DC-uitdraai)'!D:D,0))),0)</f>
        <v>0</v>
      </c>
      <c r="T177" s="16">
        <f>IFERROR(INDEX('3. Kengetallen (DC-uitdraai)'!X:X,MATCH(Table1[[#This Row],[Milieuprofiel]],'3. Kengetallen (DC-uitdraai)'!D:D,0))*Table1[[#This Row],[Hvd]]*(1+INDEX('3. Kengetallen (DC-uitdraai)'!K:K,MATCH(Table1[[#This Row],[Milieuprofiel]],'3. Kengetallen (DC-uitdraai)'!D:D,0))),0)</f>
        <v>-11.408876052000965</v>
      </c>
      <c r="U177" s="16"/>
      <c r="V177" s="16"/>
      <c r="W177" s="43" t="str">
        <f>IFERROR(INDEX('Eigen database'!H:H,MATCH(Table1[[#This Row],[Potentieel alternatief]],'Eigen database'!D:D,0)),"")</f>
        <v/>
      </c>
      <c r="X177" s="108">
        <f>IFERROR(INDEX('Eigen database'!P:P,MATCH(Table1[[#This Row],[Potentieel alternatief]],'Eigen database'!D:D,0))*Table1[[#This Row],[Hoeveelheid]]*(1+INDEX('Eigen database'!K:K,MATCH(Table1[[#This Row],[Potentieel alternatief]],'Eigen database'!D:D,0))),0)</f>
        <v>0</v>
      </c>
      <c r="Y177" s="16">
        <f>IF(Table1[[#This Row],[MKI A-D nieuw]]=0,Table1[[#This Row],[MKI A-D]],Table1[[#This Row],[MKI A-D nieuw]])</f>
        <v>84.640182597920216</v>
      </c>
      <c r="Z177" s="126"/>
      <c r="AA177" s="127">
        <f>IFERROR(INDEX('3. Kengetallen (DC-uitdraai)'!AM:AM,MATCH(Table1[[#This Row],[Milieuprofiel]],'3. Kengetallen (DC-uitdraai)'!C:C,0)),0)*Table1[[#This Row],[Hvd]]</f>
        <v>0</v>
      </c>
      <c r="AB177" s="127">
        <f>IFERROR(INDEX('3. Kengetallen (DC-uitdraai)'!AM:AM,MATCH(Table1[[#This Row],[Potentieel alternatief]],'3. Kengetallen (DC-uitdraai)'!C:C,0)),0)*Table1[[#This Row],[Hvd]]</f>
        <v>0</v>
      </c>
    </row>
    <row r="178" spans="1:30">
      <c r="A178" s="88" t="s">
        <v>499</v>
      </c>
      <c r="B178" s="88" t="s">
        <v>500</v>
      </c>
      <c r="C178" s="42" t="s">
        <v>501</v>
      </c>
      <c r="D178" s="42" t="s">
        <v>502</v>
      </c>
      <c r="E178" t="s">
        <v>503</v>
      </c>
      <c r="F178" t="s">
        <v>504</v>
      </c>
      <c r="H178" t="str">
        <f>IFERROR(INDEX('3. Kengetallen (DC-uitdraai)'!F:F,MATCH(Table1[[#This Row],[Milieuprofiel]],'3. Kengetallen (DC-uitdraai)'!D:D,0)),"")</f>
        <v>Cat.3 (30%)</v>
      </c>
      <c r="I178" s="26">
        <v>5</v>
      </c>
      <c r="J178" t="s">
        <v>132</v>
      </c>
      <c r="K178" t="str">
        <f>IF(ISTEXT(Table1[[#This Row],[Milieuprofiel]]),"Ja","Nee")</f>
        <v>Ja</v>
      </c>
      <c r="L178" s="27">
        <f>3*1.8/1.2</f>
        <v>4.5000000000000009</v>
      </c>
      <c r="M178" s="26">
        <f>Table1[[#This Row],[Volume]]*Table1[[#This Row],[Factor]]</f>
        <v>22.500000000000004</v>
      </c>
      <c r="N178" t="str">
        <f>IFERROR(INDEX('3. Kengetallen (DC-uitdraai)'!H:H,MATCH(Table1[[#This Row],[Milieuprofiel]],'3. Kengetallen (DC-uitdraai)'!D:D,0)),"")</f>
        <v>m1</v>
      </c>
      <c r="O178">
        <f>IFERROR(INDEX('3. Kengetallen (DC-uitdraai)'!I:I,MATCH(Table1[[#This Row],[Milieuprofiel]],'3. Kengetallen (DC-uitdraai)'!D:D,0)),0)</f>
        <v>50</v>
      </c>
      <c r="P178" s="106">
        <f>IFERROR(INDEX('3. Kengetallen (DC-uitdraai)'!P:P,MATCH(Table1[[#This Row],[Milieuprofiel]],'3. Kengetallen (DC-uitdraai)'!D:D,0))*Table1[[#This Row],[Hvd]]*(1+INDEX('3. Kengetallen (DC-uitdraai)'!K:K,MATCH(Table1[[#This Row],[Milieuprofiel]],'3. Kengetallen (DC-uitdraai)'!D:D,0))),0)</f>
        <v>90.570694474605872</v>
      </c>
      <c r="Q178" s="16">
        <f>IFERROR(INDEX('3. Kengetallen (DC-uitdraai)'!U:U,MATCH(Table1[[#This Row],[Milieuprofiel]],'3. Kengetallen (DC-uitdraai)'!D:D,0))*Table1[[#This Row],[Hvd]]*(1+INDEX('3. Kengetallen (DC-uitdraai)'!K:K,MATCH(Table1[[#This Row],[Milieuprofiel]],'3. Kengetallen (DC-uitdraai)'!D:D,0))),0)</f>
        <v>110.8829473708671</v>
      </c>
      <c r="R178" s="16">
        <f>IFERROR(INDEX('3. Kengetallen (DC-uitdraai)'!V:V,MATCH(Table1[[#This Row],[Milieuprofiel]],'3. Kengetallen (DC-uitdraai)'!D:D,0))*Table1[[#This Row],[Hvd]]*(1+INDEX('3. Kengetallen (DC-uitdraai)'!K:K,MATCH(Table1[[#This Row],[Milieuprofiel]],'3. Kengetallen (DC-uitdraai)'!D:D,0))),0)</f>
        <v>4.205294410412586</v>
      </c>
      <c r="S178" s="16">
        <f>IFERROR(INDEX('3. Kengetallen (DC-uitdraai)'!W:W,MATCH(Table1[[#This Row],[Milieuprofiel]],'3. Kengetallen (DC-uitdraai)'!D:D,0))*Table1[[#This Row],[Hvd]]*(1+INDEX('3. Kengetallen (DC-uitdraai)'!K:K,MATCH(Table1[[#This Row],[Milieuprofiel]],'3. Kengetallen (DC-uitdraai)'!D:D,0))),0)</f>
        <v>0</v>
      </c>
      <c r="T178" s="16">
        <f>IFERROR(INDEX('3. Kengetallen (DC-uitdraai)'!X:X,MATCH(Table1[[#This Row],[Milieuprofiel]],'3. Kengetallen (DC-uitdraai)'!D:D,0))*Table1[[#This Row],[Hvd]]*(1+INDEX('3. Kengetallen (DC-uitdraai)'!K:K,MATCH(Table1[[#This Row],[Milieuprofiel]],'3. Kengetallen (DC-uitdraai)'!D:D,0))),0)</f>
        <v>-59.367014069282753</v>
      </c>
      <c r="U178" s="16"/>
      <c r="V178" s="16"/>
      <c r="W178" s="43" t="str">
        <f>IFERROR(INDEX('Eigen database'!H:H,MATCH(Table1[[#This Row],[Potentieel alternatief]],'Eigen database'!D:D,0)),"")</f>
        <v/>
      </c>
      <c r="X178" s="108">
        <f>IFERROR(INDEX('Eigen database'!P:P,MATCH(Table1[[#This Row],[Potentieel alternatief]],'Eigen database'!D:D,0))*Table1[[#This Row],[Hoeveelheid]]*(1+INDEX('Eigen database'!K:K,MATCH(Table1[[#This Row],[Potentieel alternatief]],'Eigen database'!D:D,0))),0)</f>
        <v>0</v>
      </c>
      <c r="Y178" s="16">
        <f>IF(Table1[[#This Row],[MKI A-D nieuw]]=0,Table1[[#This Row],[MKI A-D]],Table1[[#This Row],[MKI A-D nieuw]])</f>
        <v>90.570694474605872</v>
      </c>
      <c r="Z178" s="126"/>
      <c r="AA178" s="127">
        <f>IFERROR(INDEX('3. Kengetallen (DC-uitdraai)'!AM:AM,MATCH(Table1[[#This Row],[Milieuprofiel]],'3. Kengetallen (DC-uitdraai)'!C:C,0)),0)*Table1[[#This Row],[Hvd]]</f>
        <v>0</v>
      </c>
      <c r="AB178" s="127">
        <f>IFERROR(INDEX('3. Kengetallen (DC-uitdraai)'!AM:AM,MATCH(Table1[[#This Row],[Potentieel alternatief]],'3. Kengetallen (DC-uitdraai)'!C:C,0)),0)*Table1[[#This Row],[Hvd]]</f>
        <v>0</v>
      </c>
    </row>
    <row r="179" spans="1:30">
      <c r="A179" s="89" t="s">
        <v>505</v>
      </c>
      <c r="B179" s="89" t="s">
        <v>506</v>
      </c>
      <c r="C179" s="42" t="s">
        <v>501</v>
      </c>
      <c r="D179" s="42" t="s">
        <v>507</v>
      </c>
      <c r="E179" t="s">
        <v>508</v>
      </c>
      <c r="F179" t="s">
        <v>350</v>
      </c>
      <c r="G179" t="s">
        <v>277</v>
      </c>
      <c r="H179" t="str">
        <f>IFERROR(INDEX('3. Kengetallen (DC-uitdraai)'!F:F,MATCH(Table1[[#This Row],[Milieuprofiel]],'3. Kengetallen (DC-uitdraai)'!D:D,0)),"")</f>
        <v>Cat.3 (30%)</v>
      </c>
      <c r="I179" s="26">
        <v>22</v>
      </c>
      <c r="J179" t="s">
        <v>132</v>
      </c>
      <c r="K179" t="str">
        <f>IF(ISTEXT(Table1[[#This Row],[Milieuprofiel]]),"Ja","Nee")</f>
        <v>Ja</v>
      </c>
      <c r="L179" s="27">
        <v>1</v>
      </c>
      <c r="M179" s="26">
        <f>Table1[[#This Row],[Volume]]*Table1[[#This Row],[Factor]]</f>
        <v>22</v>
      </c>
      <c r="N179" t="str">
        <f>IFERROR(INDEX('3. Kengetallen (DC-uitdraai)'!H:H,MATCH(Table1[[#This Row],[Milieuprofiel]],'3. Kengetallen (DC-uitdraai)'!D:D,0)),"")</f>
        <v>p</v>
      </c>
      <c r="O179">
        <f>IFERROR(INDEX('3. Kengetallen (DC-uitdraai)'!I:I,MATCH(Table1[[#This Row],[Milieuprofiel]],'3. Kengetallen (DC-uitdraai)'!D:D,0)),0)</f>
        <v>12</v>
      </c>
      <c r="P179" s="106">
        <f>IFERROR(INDEX('3. Kengetallen (DC-uitdraai)'!P:P,MATCH(Table1[[#This Row],[Milieuprofiel]],'3. Kengetallen (DC-uitdraai)'!D:D,0))*Table1[[#This Row],[Hvd]]*(1+INDEX('3. Kengetallen (DC-uitdraai)'!K:K,MATCH(Table1[[#This Row],[Milieuprofiel]],'3. Kengetallen (DC-uitdraai)'!D:D,0))),0)</f>
        <v>4153.8577629381507</v>
      </c>
      <c r="Q179" s="16">
        <f>IFERROR(INDEX('3. Kengetallen (DC-uitdraai)'!U:U,MATCH(Table1[[#This Row],[Milieuprofiel]],'3. Kengetallen (DC-uitdraai)'!D:D,0))*Table1[[#This Row],[Hvd]]*(1+INDEX('3. Kengetallen (DC-uitdraai)'!K:K,MATCH(Table1[[#This Row],[Milieuprofiel]],'3. Kengetallen (DC-uitdraai)'!D:D,0))),0)</f>
        <v>948.03486543490726</v>
      </c>
      <c r="R179" s="16">
        <f>IFERROR(INDEX('3. Kengetallen (DC-uitdraai)'!V:V,MATCH(Table1[[#This Row],[Milieuprofiel]],'3. Kengetallen (DC-uitdraai)'!D:D,0))*Table1[[#This Row],[Hvd]]*(1+INDEX('3. Kengetallen (DC-uitdraai)'!K:K,MATCH(Table1[[#This Row],[Milieuprofiel]],'3. Kengetallen (DC-uitdraai)'!D:D,0))),0)</f>
        <v>34.320824276799804</v>
      </c>
      <c r="S179" s="16">
        <f>IFERROR(INDEX('3. Kengetallen (DC-uitdraai)'!W:W,MATCH(Table1[[#This Row],[Milieuprofiel]],'3. Kengetallen (DC-uitdraai)'!D:D,0))*Table1[[#This Row],[Hvd]]*(1+INDEX('3. Kengetallen (DC-uitdraai)'!K:K,MATCH(Table1[[#This Row],[Milieuprofiel]],'3. Kengetallen (DC-uitdraai)'!D:D,0))),0)</f>
        <v>2222.3873561630858</v>
      </c>
      <c r="T179" s="16">
        <f>IFERROR(INDEX('3. Kengetallen (DC-uitdraai)'!X:X,MATCH(Table1[[#This Row],[Milieuprofiel]],'3. Kengetallen (DC-uitdraai)'!D:D,0))*Table1[[#This Row],[Hvd]]*(1+INDEX('3. Kengetallen (DC-uitdraai)'!K:K,MATCH(Table1[[#This Row],[Milieuprofiel]],'3. Kengetallen (DC-uitdraai)'!D:D,0))),0)</f>
        <v>-300.62694237073276</v>
      </c>
      <c r="U179" s="16"/>
      <c r="V179" s="16"/>
      <c r="W179" s="43" t="str">
        <f>IFERROR(INDEX('Eigen database'!H:H,MATCH(Table1[[#This Row],[Potentieel alternatief]],'Eigen database'!D:D,0)),"")</f>
        <v/>
      </c>
      <c r="X179" s="108">
        <f>IFERROR(INDEX('Eigen database'!P:P,MATCH(Table1[[#This Row],[Potentieel alternatief]],'Eigen database'!D:D,0))*Table1[[#This Row],[Hoeveelheid]]*(1+INDEX('Eigen database'!K:K,MATCH(Table1[[#This Row],[Potentieel alternatief]],'Eigen database'!D:D,0))),0)</f>
        <v>0</v>
      </c>
      <c r="Y179" s="16">
        <f>IF(Table1[[#This Row],[MKI A-D nieuw]]=0,Table1[[#This Row],[MKI A-D]],Table1[[#This Row],[MKI A-D nieuw]])</f>
        <v>4153.8577629381507</v>
      </c>
      <c r="Z179" s="16"/>
      <c r="AA179" s="28">
        <f>IFERROR(INDEX('3. Kengetallen (DC-uitdraai)'!AM:AM,MATCH(Table1[[#This Row],[Milieuprofiel]],'3. Kengetallen (DC-uitdraai)'!C:C,0)),0)*Table1[[#This Row],[Hvd]]</f>
        <v>0</v>
      </c>
      <c r="AB179" s="28" t="e">
        <f>IFERROR(INDEX('3. Kengetallen (DC-uitdraai)'!AM:AM,MATCH(Table1[[#This Row],[Potentieel alternatief]],'3. Kengetallen (DC-uitdraai)'!C:C,0)),0)*Table1[[#This Row],[Hvd]]</f>
        <v>#VALUE!</v>
      </c>
    </row>
    <row r="180" spans="1:30">
      <c r="A180" s="88" t="s">
        <v>509</v>
      </c>
      <c r="B180" s="88" t="s">
        <v>510</v>
      </c>
      <c r="C180" s="42" t="s">
        <v>501</v>
      </c>
      <c r="D180" s="42" t="s">
        <v>507</v>
      </c>
      <c r="E180" t="s">
        <v>508</v>
      </c>
      <c r="F180" t="s">
        <v>511</v>
      </c>
      <c r="G180" t="s">
        <v>512</v>
      </c>
      <c r="H180" t="str">
        <f>IFERROR(INDEX('3. Kengetallen (DC-uitdraai)'!F:F,MATCH(Table1[[#This Row],[Milieuprofiel]],'3. Kengetallen (DC-uitdraai)'!D:D,0)),"")</f>
        <v>Cat.3 (30%)</v>
      </c>
      <c r="I180" s="26">
        <v>40</v>
      </c>
      <c r="J180" t="s">
        <v>132</v>
      </c>
      <c r="K180" t="str">
        <f>IF(ISTEXT(Table1[[#This Row],[Milieuprofiel]]),"Ja","Nee")</f>
        <v>Ja</v>
      </c>
      <c r="L180" s="27">
        <v>1</v>
      </c>
      <c r="M180" s="26">
        <f>Table1[[#This Row],[Volume]]*Table1[[#This Row],[Factor]]</f>
        <v>40</v>
      </c>
      <c r="N180" t="str">
        <f>IFERROR(INDEX('3. Kengetallen (DC-uitdraai)'!H:H,MATCH(Table1[[#This Row],[Milieuprofiel]],'3. Kengetallen (DC-uitdraai)'!D:D,0)),"")</f>
        <v>p</v>
      </c>
      <c r="O180">
        <f>IFERROR(INDEX('3. Kengetallen (DC-uitdraai)'!I:I,MATCH(Table1[[#This Row],[Milieuprofiel]],'3. Kengetallen (DC-uitdraai)'!D:D,0)),0)</f>
        <v>12</v>
      </c>
      <c r="P180" s="106">
        <f>IFERROR(INDEX('3. Kengetallen (DC-uitdraai)'!P:P,MATCH(Table1[[#This Row],[Milieuprofiel]],'3. Kengetallen (DC-uitdraai)'!D:D,0))*Table1[[#This Row],[Hvd]]*(1+INDEX('3. Kengetallen (DC-uitdraai)'!K:K,MATCH(Table1[[#This Row],[Milieuprofiel]],'3. Kengetallen (DC-uitdraai)'!D:D,0))),0)</f>
        <v>4887.3698872993555</v>
      </c>
      <c r="Q180" s="16">
        <f>IFERROR(INDEX('3. Kengetallen (DC-uitdraai)'!U:U,MATCH(Table1[[#This Row],[Milieuprofiel]],'3. Kengetallen (DC-uitdraai)'!D:D,0))*Table1[[#This Row],[Hvd]]*(1+INDEX('3. Kengetallen (DC-uitdraai)'!K:K,MATCH(Table1[[#This Row],[Milieuprofiel]],'3. Kengetallen (DC-uitdraai)'!D:D,0))),0)</f>
        <v>1378.8224619074895</v>
      </c>
      <c r="R180" s="16">
        <f>IFERROR(INDEX('3. Kengetallen (DC-uitdraai)'!V:V,MATCH(Table1[[#This Row],[Milieuprofiel]],'3. Kengetallen (DC-uitdraai)'!D:D,0))*Table1[[#This Row],[Hvd]]*(1+INDEX('3. Kengetallen (DC-uitdraai)'!K:K,MATCH(Table1[[#This Row],[Milieuprofiel]],'3. Kengetallen (DC-uitdraai)'!D:D,0))),0)</f>
        <v>44.729404037096089</v>
      </c>
      <c r="S180" s="16">
        <f>IFERROR(INDEX('3. Kengetallen (DC-uitdraai)'!W:W,MATCH(Table1[[#This Row],[Milieuprofiel]],'3. Kengetallen (DC-uitdraai)'!D:D,0))*Table1[[#This Row],[Hvd]]*(1+INDEX('3. Kengetallen (DC-uitdraai)'!K:K,MATCH(Table1[[#This Row],[Milieuprofiel]],'3. Kengetallen (DC-uitdraai)'!D:D,0))),0)</f>
        <v>2344.271804393506</v>
      </c>
      <c r="T180" s="16">
        <f>IFERROR(INDEX('3. Kengetallen (DC-uitdraai)'!X:X,MATCH(Table1[[#This Row],[Milieuprofiel]],'3. Kengetallen (DC-uitdraai)'!D:D,0))*Table1[[#This Row],[Hvd]]*(1+INDEX('3. Kengetallen (DC-uitdraai)'!K:K,MATCH(Table1[[#This Row],[Milieuprofiel]],'3. Kengetallen (DC-uitdraai)'!D:D,0))),0)</f>
        <v>-683.25550666242577</v>
      </c>
      <c r="U180" s="103">
        <v>1</v>
      </c>
      <c r="V180" s="43">
        <f>Table1[[#This Row],[Volume]]*Table1[[#This Row],[omrekenfactor]]</f>
        <v>40</v>
      </c>
      <c r="W180" s="43" t="str">
        <f>IFERROR(INDEX('Eigen database'!H:H,MATCH(Table1[[#This Row],[Potentieel alternatief]],'Eigen database'!D:D,0)),"")</f>
        <v>p</v>
      </c>
      <c r="X180" s="108">
        <f>IFERROR(INDEX('Eigen database'!P:P,MATCH(Table1[[#This Row],[Potentieel alternatief]],'Eigen database'!D:D,0))*Table1[[#This Row],[Hoeveelheid]]*(1+INDEX('Eigen database'!K:K,MATCH(Table1[[#This Row],[Potentieel alternatief]],'Eigen database'!D:D,0))),0)</f>
        <v>3558.8442188262502</v>
      </c>
      <c r="Y180" s="16">
        <f>IF(Table1[[#This Row],[MKI A-D nieuw]]=0,Table1[[#This Row],[MKI A-D]],Table1[[#This Row],[MKI A-D nieuw]])</f>
        <v>3558.8442188262502</v>
      </c>
      <c r="Z180" s="16"/>
      <c r="AA180" s="28">
        <f>IFERROR(INDEX('3. Kengetallen (DC-uitdraai)'!AM:AM,MATCH(Table1[[#This Row],[Milieuprofiel]],'3. Kengetallen (DC-uitdraai)'!C:C,0)),0)*Table1[[#This Row],[Hvd]]</f>
        <v>0</v>
      </c>
      <c r="AB180" s="28">
        <f>IFERROR(INDEX('3. Kengetallen (DC-uitdraai)'!AM:AM,MATCH(Table1[[#This Row],[Potentieel alternatief]],'3. Kengetallen (DC-uitdraai)'!C:C,0)),0)*Table1[[#This Row],[Hvd]]</f>
        <v>0</v>
      </c>
    </row>
    <row r="181" spans="1:30">
      <c r="A181" s="88" t="s">
        <v>513</v>
      </c>
      <c r="B181" s="88" t="s">
        <v>514</v>
      </c>
      <c r="C181" s="42" t="s">
        <v>501</v>
      </c>
      <c r="D181" s="42" t="s">
        <v>515</v>
      </c>
      <c r="E181" t="s">
        <v>516</v>
      </c>
      <c r="F181" t="s">
        <v>517</v>
      </c>
      <c r="H181" t="str">
        <f>IFERROR(INDEX('3. Kengetallen (DC-uitdraai)'!F:F,MATCH(Table1[[#This Row],[Milieuprofiel]],'3. Kengetallen (DC-uitdraai)'!D:D,0)),"")</f>
        <v>Cat.3 (30%)</v>
      </c>
      <c r="I181" s="104">
        <v>0.95</v>
      </c>
      <c r="J181" t="s">
        <v>518</v>
      </c>
      <c r="K181" t="str">
        <f>IF(ISTEXT(Table1[[#This Row],[Milieuprofiel]]),"Ja","Nee")</f>
        <v>Ja</v>
      </c>
      <c r="L181" s="27">
        <f>1000*10/20</f>
        <v>500</v>
      </c>
      <c r="M181" s="26">
        <f>Table1[[#This Row],[Volume]]*Table1[[#This Row],[Factor]]</f>
        <v>475</v>
      </c>
      <c r="N181" t="str">
        <f>IFERROR(INDEX('3. Kengetallen (DC-uitdraai)'!H:H,MATCH(Table1[[#This Row],[Milieuprofiel]],'3. Kengetallen (DC-uitdraai)'!D:D,0)),"")</f>
        <v>m1</v>
      </c>
      <c r="O181">
        <f>IFERROR(INDEX('3. Kengetallen (DC-uitdraai)'!I:I,MATCH(Table1[[#This Row],[Milieuprofiel]],'3. Kengetallen (DC-uitdraai)'!D:D,0)),0)</f>
        <v>6</v>
      </c>
      <c r="P181" s="106">
        <f>IFERROR(INDEX('3. Kengetallen (DC-uitdraai)'!P:P,MATCH(Table1[[#This Row],[Milieuprofiel]],'3. Kengetallen (DC-uitdraai)'!D:D,0))*Table1[[#This Row],[Hvd]]*(1+INDEX('3. Kengetallen (DC-uitdraai)'!K:K,MATCH(Table1[[#This Row],[Milieuprofiel]],'3. Kengetallen (DC-uitdraai)'!D:D,0))),0)</f>
        <v>26079.550007199789</v>
      </c>
      <c r="Q181" s="16">
        <f>IFERROR(INDEX('3. Kengetallen (DC-uitdraai)'!U:U,MATCH(Table1[[#This Row],[Milieuprofiel]],'3. Kengetallen (DC-uitdraai)'!D:D,0))*Table1[[#This Row],[Hvd]]*(1+INDEX('3. Kengetallen (DC-uitdraai)'!K:K,MATCH(Table1[[#This Row],[Milieuprofiel]],'3. Kengetallen (DC-uitdraai)'!D:D,0))),0)</f>
        <v>1737.110887511679</v>
      </c>
      <c r="R181" s="16">
        <f>IFERROR(INDEX('3. Kengetallen (DC-uitdraai)'!V:V,MATCH(Table1[[#This Row],[Milieuprofiel]],'3. Kengetallen (DC-uitdraai)'!D:D,0))*Table1[[#This Row],[Hvd]]*(1+INDEX('3. Kengetallen (DC-uitdraai)'!K:K,MATCH(Table1[[#This Row],[Milieuprofiel]],'3. Kengetallen (DC-uitdraai)'!D:D,0))),0)</f>
        <v>25.914289403265922</v>
      </c>
      <c r="S181" s="16">
        <f>IFERROR(INDEX('3. Kengetallen (DC-uitdraai)'!W:W,MATCH(Table1[[#This Row],[Milieuprofiel]],'3. Kengetallen (DC-uitdraai)'!D:D,0))*Table1[[#This Row],[Hvd]]*(1+INDEX('3. Kengetallen (DC-uitdraai)'!K:K,MATCH(Table1[[#This Row],[Milieuprofiel]],'3. Kengetallen (DC-uitdraai)'!D:D,0))),0)</f>
        <v>17673.774745811967</v>
      </c>
      <c r="T181" s="16">
        <f>IFERROR(INDEX('3. Kengetallen (DC-uitdraai)'!X:X,MATCH(Table1[[#This Row],[Milieuprofiel]],'3. Kengetallen (DC-uitdraai)'!D:D,0))*Table1[[#This Row],[Hvd]]*(1+INDEX('3. Kengetallen (DC-uitdraai)'!K:K,MATCH(Table1[[#This Row],[Milieuprofiel]],'3. Kengetallen (DC-uitdraai)'!D:D,0))),0)</f>
        <v>624.39220654366238</v>
      </c>
      <c r="U181" s="16"/>
      <c r="V181" s="16"/>
      <c r="W181" s="16"/>
      <c r="X181" s="108">
        <f>IFERROR(INDEX('Eigen database'!P:P,MATCH(Table1[[#This Row],[Potentieel alternatief]],'Eigen database'!D:D,0))*Table1[[#This Row],[Hoeveelheid]]*(1+INDEX('Eigen database'!K:K,MATCH(Table1[[#This Row],[Potentieel alternatief]],'Eigen database'!D:D,0))),0)</f>
        <v>0</v>
      </c>
      <c r="Y181" s="16">
        <f>IF(Table1[[#This Row],[MKI A-D nieuw]]=0,Table1[[#This Row],[MKI A-D]],Table1[[#This Row],[MKI A-D nieuw]])</f>
        <v>26079.550007199789</v>
      </c>
      <c r="Z181" s="16"/>
      <c r="AA181" s="28">
        <f>IFERROR(INDEX('3. Kengetallen (DC-uitdraai)'!AM:AM,MATCH(Table1[[#This Row],[Milieuprofiel]],'3. Kengetallen (DC-uitdraai)'!C:C,0)),0)*Table1[[#This Row],[Hvd]]</f>
        <v>0</v>
      </c>
      <c r="AB181" s="28">
        <f>IFERROR(INDEX('3. Kengetallen (DC-uitdraai)'!AM:AM,MATCH(Table1[[#This Row],[Potentieel alternatief]],'3. Kengetallen (DC-uitdraai)'!C:C,0)),0)*Table1[[#This Row],[Hvd]]</f>
        <v>0</v>
      </c>
    </row>
    <row r="182" spans="1:30">
      <c r="A182" s="89" t="s">
        <v>519</v>
      </c>
      <c r="B182" s="89" t="s">
        <v>514</v>
      </c>
      <c r="C182" s="42" t="s">
        <v>501</v>
      </c>
      <c r="D182" s="42" t="s">
        <v>515</v>
      </c>
      <c r="E182" t="s">
        <v>516</v>
      </c>
      <c r="F182" t="s">
        <v>517</v>
      </c>
      <c r="H182" t="str">
        <f>IFERROR(INDEX('3. Kengetallen (DC-uitdraai)'!F:F,MATCH(Table1[[#This Row],[Milieuprofiel]],'3. Kengetallen (DC-uitdraai)'!D:D,0)),"")</f>
        <v>Cat.3 (30%)</v>
      </c>
      <c r="I182" s="104">
        <v>0.48</v>
      </c>
      <c r="J182" t="s">
        <v>518</v>
      </c>
      <c r="K182" t="str">
        <f>IF(ISTEXT(Table1[[#This Row],[Milieuprofiel]]),"Ja","Nee")</f>
        <v>Ja</v>
      </c>
      <c r="L182" s="27">
        <f>0.5*1000*10/15</f>
        <v>333.33333333333331</v>
      </c>
      <c r="M182" s="26">
        <f>Table1[[#This Row],[Volume]]*Table1[[#This Row],[Factor]]</f>
        <v>159.99999999999997</v>
      </c>
      <c r="N182" t="str">
        <f>IFERROR(INDEX('3. Kengetallen (DC-uitdraai)'!H:H,MATCH(Table1[[#This Row],[Milieuprofiel]],'3. Kengetallen (DC-uitdraai)'!D:D,0)),"")</f>
        <v>m1</v>
      </c>
      <c r="O182">
        <f>IFERROR(INDEX('3. Kengetallen (DC-uitdraai)'!I:I,MATCH(Table1[[#This Row],[Milieuprofiel]],'3. Kengetallen (DC-uitdraai)'!D:D,0)),0)</f>
        <v>6</v>
      </c>
      <c r="P182" s="106">
        <f>IFERROR(INDEX('3. Kengetallen (DC-uitdraai)'!P:P,MATCH(Table1[[#This Row],[Milieuprofiel]],'3. Kengetallen (DC-uitdraai)'!D:D,0))*Table1[[#This Row],[Hvd]]*(1+INDEX('3. Kengetallen (DC-uitdraai)'!K:K,MATCH(Table1[[#This Row],[Milieuprofiel]],'3. Kengetallen (DC-uitdraai)'!D:D,0))),0)</f>
        <v>8784.6905287409791</v>
      </c>
      <c r="Q182" s="16">
        <f>IFERROR(INDEX('3. Kengetallen (DC-uitdraai)'!U:U,MATCH(Table1[[#This Row],[Milieuprofiel]],'3. Kengetallen (DC-uitdraai)'!D:D,0))*Table1[[#This Row],[Hvd]]*(1+INDEX('3. Kengetallen (DC-uitdraai)'!K:K,MATCH(Table1[[#This Row],[Milieuprofiel]],'3. Kengetallen (DC-uitdraai)'!D:D,0))),0)</f>
        <v>585.13208842498648</v>
      </c>
      <c r="R182" s="16">
        <f>IFERROR(INDEX('3. Kengetallen (DC-uitdraai)'!V:V,MATCH(Table1[[#This Row],[Milieuprofiel]],'3. Kengetallen (DC-uitdraai)'!D:D,0))*Table1[[#This Row],[Hvd]]*(1+INDEX('3. Kengetallen (DC-uitdraai)'!K:K,MATCH(Table1[[#This Row],[Milieuprofiel]],'3. Kengetallen (DC-uitdraai)'!D:D,0))),0)</f>
        <v>8.7290237989948345</v>
      </c>
      <c r="S182" s="16">
        <f>IFERROR(INDEX('3. Kengetallen (DC-uitdraai)'!W:W,MATCH(Table1[[#This Row],[Milieuprofiel]],'3. Kengetallen (DC-uitdraai)'!D:D,0))*Table1[[#This Row],[Hvd]]*(1+INDEX('3. Kengetallen (DC-uitdraai)'!K:K,MATCH(Table1[[#This Row],[Milieuprofiel]],'3. Kengetallen (DC-uitdraai)'!D:D,0))),0)</f>
        <v>5953.271493326135</v>
      </c>
      <c r="T182" s="16">
        <f>IFERROR(INDEX('3. Kengetallen (DC-uitdraai)'!X:X,MATCH(Table1[[#This Row],[Milieuprofiel]],'3. Kengetallen (DC-uitdraai)'!D:D,0))*Table1[[#This Row],[Hvd]]*(1+INDEX('3. Kengetallen (DC-uitdraai)'!K:K,MATCH(Table1[[#This Row],[Milieuprofiel]],'3. Kengetallen (DC-uitdraai)'!D:D,0))),0)</f>
        <v>210.32158536207572</v>
      </c>
      <c r="U182" s="16"/>
      <c r="V182" s="16"/>
      <c r="W182" s="16"/>
      <c r="X182" s="108">
        <f>IFERROR(INDEX('Eigen database'!P:P,MATCH(Table1[[#This Row],[Potentieel alternatief]],'Eigen database'!D:D,0))*Table1[[#This Row],[Hoeveelheid]]*(1+INDEX('Eigen database'!K:K,MATCH(Table1[[#This Row],[Potentieel alternatief]],'Eigen database'!D:D,0))),0)</f>
        <v>0</v>
      </c>
      <c r="Y182" s="16">
        <f>IF(Table1[[#This Row],[MKI A-D nieuw]]=0,Table1[[#This Row],[MKI A-D]],Table1[[#This Row],[MKI A-D nieuw]])</f>
        <v>8784.6905287409791</v>
      </c>
      <c r="Z182" s="16"/>
      <c r="AA182" s="28">
        <f>IFERROR(INDEX('3. Kengetallen (DC-uitdraai)'!AM:AM,MATCH(Table1[[#This Row],[Milieuprofiel]],'3. Kengetallen (DC-uitdraai)'!C:C,0)),0)*Table1[[#This Row],[Hvd]]</f>
        <v>0</v>
      </c>
      <c r="AB182" s="28">
        <f>IFERROR(INDEX('3. Kengetallen (DC-uitdraai)'!AM:AM,MATCH(Table1[[#This Row],[Potentieel alternatief]],'3. Kengetallen (DC-uitdraai)'!C:C,0)),0)*Table1[[#This Row],[Hvd]]</f>
        <v>0</v>
      </c>
    </row>
    <row r="183" spans="1:30">
      <c r="A183" s="89" t="s">
        <v>520</v>
      </c>
      <c r="B183" s="89" t="s">
        <v>514</v>
      </c>
      <c r="C183" s="42" t="s">
        <v>501</v>
      </c>
      <c r="D183" s="42" t="s">
        <v>515</v>
      </c>
      <c r="E183" t="s">
        <v>516</v>
      </c>
      <c r="F183" t="s">
        <v>517</v>
      </c>
      <c r="H183" t="str">
        <f>IFERROR(INDEX('3. Kengetallen (DC-uitdraai)'!F:F,MATCH(Table1[[#This Row],[Milieuprofiel]],'3. Kengetallen (DC-uitdraai)'!D:D,0)),"")</f>
        <v>Cat.3 (30%)</v>
      </c>
      <c r="I183" s="104">
        <v>0.09</v>
      </c>
      <c r="J183" t="s">
        <v>518</v>
      </c>
      <c r="K183" t="str">
        <f>IF(ISTEXT(Table1[[#This Row],[Milieuprofiel]]),"Ja","Nee")</f>
        <v>Ja</v>
      </c>
      <c r="L183" s="27">
        <f>0.5*1000*10/15</f>
        <v>333.33333333333331</v>
      </c>
      <c r="M183" s="26">
        <f>Table1[[#This Row],[Volume]]*Table1[[#This Row],[Factor]]</f>
        <v>29.999999999999996</v>
      </c>
      <c r="N183" t="str">
        <f>IFERROR(INDEX('3. Kengetallen (DC-uitdraai)'!H:H,MATCH(Table1[[#This Row],[Milieuprofiel]],'3. Kengetallen (DC-uitdraai)'!D:D,0)),"")</f>
        <v>m1</v>
      </c>
      <c r="O183">
        <f>IFERROR(INDEX('3. Kengetallen (DC-uitdraai)'!I:I,MATCH(Table1[[#This Row],[Milieuprofiel]],'3. Kengetallen (DC-uitdraai)'!D:D,0)),0)</f>
        <v>6</v>
      </c>
      <c r="P183" s="125">
        <f>IFERROR(INDEX('3. Kengetallen (DC-uitdraai)'!P:P,MATCH(Table1[[#This Row],[Milieuprofiel]],'3. Kengetallen (DC-uitdraai)'!D:D,0))*Table1[[#This Row],[Hvd]]*(1+INDEX('3. Kengetallen (DC-uitdraai)'!K:K,MATCH(Table1[[#This Row],[Milieuprofiel]],'3. Kengetallen (DC-uitdraai)'!D:D,0))),0)</f>
        <v>1647.129474138934</v>
      </c>
      <c r="Q183" s="126">
        <f>IFERROR(INDEX('3. Kengetallen (DC-uitdraai)'!U:U,MATCH(Table1[[#This Row],[Milieuprofiel]],'3. Kengetallen (DC-uitdraai)'!D:D,0))*Table1[[#This Row],[Hvd]]*(1+INDEX('3. Kengetallen (DC-uitdraai)'!K:K,MATCH(Table1[[#This Row],[Milieuprofiel]],'3. Kengetallen (DC-uitdraai)'!D:D,0))),0)</f>
        <v>109.71226657968498</v>
      </c>
      <c r="R183" s="126">
        <f>IFERROR(INDEX('3. Kengetallen (DC-uitdraai)'!V:V,MATCH(Table1[[#This Row],[Milieuprofiel]],'3. Kengetallen (DC-uitdraai)'!D:D,0))*Table1[[#This Row],[Hvd]]*(1+INDEX('3. Kengetallen (DC-uitdraai)'!K:K,MATCH(Table1[[#This Row],[Milieuprofiel]],'3. Kengetallen (DC-uitdraai)'!D:D,0))),0)</f>
        <v>1.6366919623115317</v>
      </c>
      <c r="S183" s="126">
        <f>IFERROR(INDEX('3. Kengetallen (DC-uitdraai)'!W:W,MATCH(Table1[[#This Row],[Milieuprofiel]],'3. Kengetallen (DC-uitdraai)'!D:D,0))*Table1[[#This Row],[Hvd]]*(1+INDEX('3. Kengetallen (DC-uitdraai)'!K:K,MATCH(Table1[[#This Row],[Milieuprofiel]],'3. Kengetallen (DC-uitdraai)'!D:D,0))),0)</f>
        <v>1116.2384049986504</v>
      </c>
      <c r="T183" s="126">
        <f>IFERROR(INDEX('3. Kengetallen (DC-uitdraai)'!X:X,MATCH(Table1[[#This Row],[Milieuprofiel]],'3. Kengetallen (DC-uitdraai)'!D:D,0))*Table1[[#This Row],[Hvd]]*(1+INDEX('3. Kengetallen (DC-uitdraai)'!K:K,MATCH(Table1[[#This Row],[Milieuprofiel]],'3. Kengetallen (DC-uitdraai)'!D:D,0))),0)</f>
        <v>39.435297255389202</v>
      </c>
      <c r="U183" s="126"/>
      <c r="V183" s="126"/>
      <c r="W183" s="126"/>
      <c r="X183" s="114">
        <f>IFERROR(INDEX('Eigen database'!P:P,MATCH(Table1[[#This Row],[Potentieel alternatief]],'Eigen database'!D:D,0))*Table1[[#This Row],[Hoeveelheid]]*(1+INDEX('Eigen database'!K:K,MATCH(Table1[[#This Row],[Potentieel alternatief]],'Eigen database'!D:D,0))),0)</f>
        <v>0</v>
      </c>
      <c r="Y183" s="126">
        <f>IF(Table1[[#This Row],[MKI A-D nieuw]]=0,Table1[[#This Row],[MKI A-D]],Table1[[#This Row],[MKI A-D nieuw]])</f>
        <v>1647.129474138934</v>
      </c>
      <c r="Z183" s="126"/>
      <c r="AA183" s="127">
        <f>IFERROR(INDEX('3. Kengetallen (DC-uitdraai)'!AM:AM,MATCH(Table1[[#This Row],[Milieuprofiel]],'3. Kengetallen (DC-uitdraai)'!C:C,0)),0)*Table1[[#This Row],[Hvd]]</f>
        <v>0</v>
      </c>
      <c r="AB183" s="127">
        <f>IFERROR(INDEX('3. Kengetallen (DC-uitdraai)'!AM:AM,MATCH(Table1[[#This Row],[Potentieel alternatief]],'3. Kengetallen (DC-uitdraai)'!C:C,0)),0)*Table1[[#This Row],[Hvd]]</f>
        <v>0</v>
      </c>
    </row>
    <row r="184" spans="1:30">
      <c r="A184" s="89" t="s">
        <v>521</v>
      </c>
      <c r="B184" s="89" t="s">
        <v>514</v>
      </c>
      <c r="C184" s="42" t="s">
        <v>501</v>
      </c>
      <c r="D184" s="42" t="s">
        <v>515</v>
      </c>
      <c r="E184" t="s">
        <v>516</v>
      </c>
      <c r="F184" t="s">
        <v>517</v>
      </c>
      <c r="H184" t="str">
        <f>IFERROR(INDEX('3. Kengetallen (DC-uitdraai)'!F:F,MATCH(Table1[[#This Row],[Milieuprofiel]],'3. Kengetallen (DC-uitdraai)'!D:D,0)),"")</f>
        <v>Cat.3 (30%)</v>
      </c>
      <c r="I184" s="104">
        <v>7.0000000000000007E-2</v>
      </c>
      <c r="J184" t="s">
        <v>518</v>
      </c>
      <c r="K184" t="str">
        <f>IF(ISTEXT(Table1[[#This Row],[Milieuprofiel]]),"Ja","Nee")</f>
        <v>Ja</v>
      </c>
      <c r="L184" s="27">
        <f>0.25*1000*10/15</f>
        <v>166.66666666666666</v>
      </c>
      <c r="M184" s="26">
        <f>Table1[[#This Row],[Volume]]*Table1[[#This Row],[Factor]]</f>
        <v>11.666666666666668</v>
      </c>
      <c r="N184" t="str">
        <f>IFERROR(INDEX('3. Kengetallen (DC-uitdraai)'!H:H,MATCH(Table1[[#This Row],[Milieuprofiel]],'3. Kengetallen (DC-uitdraai)'!D:D,0)),"")</f>
        <v>m1</v>
      </c>
      <c r="O184">
        <f>IFERROR(INDEX('3. Kengetallen (DC-uitdraai)'!I:I,MATCH(Table1[[#This Row],[Milieuprofiel]],'3. Kengetallen (DC-uitdraai)'!D:D,0)),0)</f>
        <v>6</v>
      </c>
      <c r="P184" s="125">
        <f>IFERROR(INDEX('3. Kengetallen (DC-uitdraai)'!P:P,MATCH(Table1[[#This Row],[Milieuprofiel]],'3. Kengetallen (DC-uitdraai)'!D:D,0))*Table1[[#This Row],[Hvd]]*(1+INDEX('3. Kengetallen (DC-uitdraai)'!K:K,MATCH(Table1[[#This Row],[Milieuprofiel]],'3. Kengetallen (DC-uitdraai)'!D:D,0))),0)</f>
        <v>640.5503510540301</v>
      </c>
      <c r="Q184" s="126">
        <f>IFERROR(INDEX('3. Kengetallen (DC-uitdraai)'!U:U,MATCH(Table1[[#This Row],[Milieuprofiel]],'3. Kengetallen (DC-uitdraai)'!D:D,0))*Table1[[#This Row],[Hvd]]*(1+INDEX('3. Kengetallen (DC-uitdraai)'!K:K,MATCH(Table1[[#This Row],[Milieuprofiel]],'3. Kengetallen (DC-uitdraai)'!D:D,0))),0)</f>
        <v>42.665881447655281</v>
      </c>
      <c r="R184" s="126">
        <f>IFERROR(INDEX('3. Kengetallen (DC-uitdraai)'!V:V,MATCH(Table1[[#This Row],[Milieuprofiel]],'3. Kengetallen (DC-uitdraai)'!D:D,0))*Table1[[#This Row],[Hvd]]*(1+INDEX('3. Kengetallen (DC-uitdraai)'!K:K,MATCH(Table1[[#This Row],[Milieuprofiel]],'3. Kengetallen (DC-uitdraai)'!D:D,0))),0)</f>
        <v>0.63649131867670694</v>
      </c>
      <c r="S184" s="126">
        <f>IFERROR(INDEX('3. Kengetallen (DC-uitdraai)'!W:W,MATCH(Table1[[#This Row],[Milieuprofiel]],'3. Kengetallen (DC-uitdraai)'!D:D,0))*Table1[[#This Row],[Hvd]]*(1+INDEX('3. Kengetallen (DC-uitdraai)'!K:K,MATCH(Table1[[#This Row],[Milieuprofiel]],'3. Kengetallen (DC-uitdraai)'!D:D,0))),0)</f>
        <v>434.0927130550308</v>
      </c>
      <c r="T184" s="126">
        <f>IFERROR(INDEX('3. Kengetallen (DC-uitdraai)'!X:X,MATCH(Table1[[#This Row],[Milieuprofiel]],'3. Kengetallen (DC-uitdraai)'!D:D,0))*Table1[[#This Row],[Hvd]]*(1+INDEX('3. Kengetallen (DC-uitdraai)'!K:K,MATCH(Table1[[#This Row],[Milieuprofiel]],'3. Kengetallen (DC-uitdraai)'!D:D,0))),0)</f>
        <v>15.335948932651359</v>
      </c>
      <c r="U184" s="126"/>
      <c r="V184" s="126"/>
      <c r="W184" s="126"/>
      <c r="X184" s="114">
        <f>IFERROR(INDEX('Eigen database'!P:P,MATCH(Table1[[#This Row],[Potentieel alternatief]],'Eigen database'!D:D,0))*Table1[[#This Row],[Hoeveelheid]]*(1+INDEX('Eigen database'!K:K,MATCH(Table1[[#This Row],[Potentieel alternatief]],'Eigen database'!D:D,0))),0)</f>
        <v>0</v>
      </c>
      <c r="Y184" s="126">
        <f>IF(Table1[[#This Row],[MKI A-D nieuw]]=0,Table1[[#This Row],[MKI A-D]],Table1[[#This Row],[MKI A-D nieuw]])</f>
        <v>640.5503510540301</v>
      </c>
      <c r="Z184" s="126"/>
      <c r="AA184" s="127">
        <f>IFERROR(INDEX('3. Kengetallen (DC-uitdraai)'!AM:AM,MATCH(Table1[[#This Row],[Milieuprofiel]],'3. Kengetallen (DC-uitdraai)'!C:C,0)),0)*Table1[[#This Row],[Hvd]]</f>
        <v>0</v>
      </c>
      <c r="AB184" s="127">
        <f>IFERROR(INDEX('3. Kengetallen (DC-uitdraai)'!AM:AM,MATCH(Table1[[#This Row],[Potentieel alternatief]],'3. Kengetallen (DC-uitdraai)'!C:C,0)),0)*Table1[[#This Row],[Hvd]]</f>
        <v>0</v>
      </c>
    </row>
    <row r="185" spans="1:30">
      <c r="A185" s="89" t="s">
        <v>522</v>
      </c>
      <c r="B185" s="89"/>
      <c r="C185" s="42"/>
      <c r="D185" s="42"/>
      <c r="E185" t="s">
        <v>523</v>
      </c>
      <c r="F185" t="s">
        <v>517</v>
      </c>
      <c r="H185" t="str">
        <f>IFERROR(INDEX('3. Kengetallen (DC-uitdraai)'!F:F,MATCH(Table1[[#This Row],[Milieuprofiel]],'3. Kengetallen (DC-uitdraai)'!D:D,0)),"")</f>
        <v>Cat.3 (30%)</v>
      </c>
      <c r="I185" s="104">
        <v>10.01</v>
      </c>
      <c r="J185" t="s">
        <v>118</v>
      </c>
      <c r="K185" t="str">
        <f>IF(ISTEXT(Table1[[#This Row],[Milieuprofiel]]),"Ja","Nee")</f>
        <v>Ja</v>
      </c>
      <c r="L185" s="27">
        <f>1/0.2</f>
        <v>5</v>
      </c>
      <c r="M185" s="26">
        <f>Table1[[#This Row],[Volume]]*Table1[[#This Row],[Factor]]</f>
        <v>50.05</v>
      </c>
      <c r="N185" t="str">
        <f>IFERROR(INDEX('3. Kengetallen (DC-uitdraai)'!H:H,MATCH(Table1[[#This Row],[Milieuprofiel]],'3. Kengetallen (DC-uitdraai)'!D:D,0)),"")</f>
        <v>m1</v>
      </c>
      <c r="O185">
        <f>IFERROR(INDEX('3. Kengetallen (DC-uitdraai)'!I:I,MATCH(Table1[[#This Row],[Milieuprofiel]],'3. Kengetallen (DC-uitdraai)'!D:D,0)),0)</f>
        <v>6</v>
      </c>
      <c r="P185" s="125">
        <f>IFERROR(INDEX('3. Kengetallen (DC-uitdraai)'!P:P,MATCH(Table1[[#This Row],[Milieuprofiel]],'3. Kengetallen (DC-uitdraai)'!D:D,0))*Table1[[#This Row],[Hvd]]*(1+INDEX('3. Kengetallen (DC-uitdraai)'!K:K,MATCH(Table1[[#This Row],[Milieuprofiel]],'3. Kengetallen (DC-uitdraai)'!D:D,0))),0)</f>
        <v>2747.9610060217883</v>
      </c>
      <c r="Q185" s="126">
        <f>IFERROR(INDEX('3. Kengetallen (DC-uitdraai)'!U:U,MATCH(Table1[[#This Row],[Milieuprofiel]],'3. Kengetallen (DC-uitdraai)'!D:D,0))*Table1[[#This Row],[Hvd]]*(1+INDEX('3. Kengetallen (DC-uitdraai)'!K:K,MATCH(Table1[[#This Row],[Milieuprofiel]],'3. Kengetallen (DC-uitdraai)'!D:D,0))),0)</f>
        <v>183.03663141044112</v>
      </c>
      <c r="R185" s="126">
        <f>IFERROR(INDEX('3. Kengetallen (DC-uitdraai)'!V:V,MATCH(Table1[[#This Row],[Milieuprofiel]],'3. Kengetallen (DC-uitdraai)'!D:D,0))*Table1[[#This Row],[Hvd]]*(1+INDEX('3. Kengetallen (DC-uitdraai)'!K:K,MATCH(Table1[[#This Row],[Milieuprofiel]],'3. Kengetallen (DC-uitdraai)'!D:D,0))),0)</f>
        <v>2.7305477571230719</v>
      </c>
      <c r="S185" s="126">
        <f>IFERROR(INDEX('3. Kengetallen (DC-uitdraai)'!W:W,MATCH(Table1[[#This Row],[Milieuprofiel]],'3. Kengetallen (DC-uitdraai)'!D:D,0))*Table1[[#This Row],[Hvd]]*(1+INDEX('3. Kengetallen (DC-uitdraai)'!K:K,MATCH(Table1[[#This Row],[Milieuprofiel]],'3. Kengetallen (DC-uitdraai)'!D:D,0))),0)</f>
        <v>1862.2577390060819</v>
      </c>
      <c r="T185" s="126">
        <f>IFERROR(INDEX('3. Kengetallen (DC-uitdraai)'!X:X,MATCH(Table1[[#This Row],[Milieuprofiel]],'3. Kengetallen (DC-uitdraai)'!D:D,0))*Table1[[#This Row],[Hvd]]*(1+INDEX('3. Kengetallen (DC-uitdraai)'!K:K,MATCH(Table1[[#This Row],[Milieuprofiel]],'3. Kengetallen (DC-uitdraai)'!D:D,0))),0)</f>
        <v>65.791220921074327</v>
      </c>
      <c r="U185" s="126"/>
      <c r="V185" s="126"/>
      <c r="W185" s="126"/>
      <c r="X185" s="114">
        <f>IFERROR(INDEX('Eigen database'!P:P,MATCH(Table1[[#This Row],[Potentieel alternatief]],'Eigen database'!D:D,0))*Table1[[#This Row],[Hoeveelheid]]*(1+INDEX('Eigen database'!K:K,MATCH(Table1[[#This Row],[Potentieel alternatief]],'Eigen database'!D:D,0))),0)</f>
        <v>0</v>
      </c>
      <c r="Y185" s="126">
        <f>IF(Table1[[#This Row],[MKI A-D nieuw]]=0,Table1[[#This Row],[MKI A-D]],Table1[[#This Row],[MKI A-D nieuw]])</f>
        <v>2747.9610060217883</v>
      </c>
      <c r="Z185" s="126"/>
      <c r="AA185" s="127">
        <f>IFERROR(INDEX('3. Kengetallen (DC-uitdraai)'!AM:AM,MATCH(Table1[[#This Row],[Milieuprofiel]],'3. Kengetallen (DC-uitdraai)'!C:C,0)),0)*Table1[[#This Row],[Hvd]]</f>
        <v>0</v>
      </c>
      <c r="AB185" s="127">
        <f>IFERROR(INDEX('3. Kengetallen (DC-uitdraai)'!AM:AM,MATCH(Table1[[#This Row],[Potentieel alternatief]],'3. Kengetallen (DC-uitdraai)'!C:C,0)),0)*Table1[[#This Row],[Hvd]]</f>
        <v>0</v>
      </c>
    </row>
    <row r="186" spans="1:30" hidden="1">
      <c r="A186" s="89" t="s">
        <v>524</v>
      </c>
      <c r="B186" s="89"/>
      <c r="C186" s="42"/>
      <c r="D186" s="42"/>
      <c r="E186" t="s">
        <v>525</v>
      </c>
      <c r="H186" t="str">
        <f>IFERROR(INDEX('3. Kengetallen (DC-uitdraai)'!F:F,MATCH(Table1[[#This Row],[Milieuprofiel]],'3. Kengetallen (DC-uitdraai)'!D:D,0)),"")</f>
        <v/>
      </c>
      <c r="I186" s="26">
        <v>8</v>
      </c>
      <c r="J186" t="s">
        <v>132</v>
      </c>
      <c r="K186" t="str">
        <f>IF(ISTEXT(Table1[[#This Row],[Milieuprofiel]]),"Ja","Nee")</f>
        <v>Nee</v>
      </c>
      <c r="L186" s="27"/>
      <c r="M186" s="26">
        <f>Table1[[#This Row],[Volume]]*Table1[[#This Row],[Factor]]</f>
        <v>0</v>
      </c>
      <c r="N186" t="str">
        <f>IFERROR(INDEX('3. Kengetallen (DC-uitdraai)'!H:H,MATCH(Table1[[#This Row],[Milieuprofiel]],'3. Kengetallen (DC-uitdraai)'!D:D,0)),"")</f>
        <v/>
      </c>
      <c r="O186">
        <f>IFERROR(INDEX('3. Kengetallen (DC-uitdraai)'!I:I,MATCH(Table1[[#This Row],[Milieuprofiel]],'3. Kengetallen (DC-uitdraai)'!D:D,0)),0)</f>
        <v>0</v>
      </c>
      <c r="P186" s="125">
        <f>IFERROR(INDEX('3. Kengetallen (DC-uitdraai)'!P:P,MATCH(Table1[[#This Row],[Milieuprofiel]],'3. Kengetallen (DC-uitdraai)'!D:D,0))*Table1[[#This Row],[Hvd]]*(1+INDEX('3. Kengetallen (DC-uitdraai)'!K:K,MATCH(Table1[[#This Row],[Milieuprofiel]],'3. Kengetallen (DC-uitdraai)'!D:D,0))),0)</f>
        <v>0</v>
      </c>
      <c r="Q186" s="126">
        <f>IFERROR(INDEX('3. Kengetallen (DC-uitdraai)'!U:U,MATCH(Table1[[#This Row],[Milieuprofiel]],'3. Kengetallen (DC-uitdraai)'!D:D,0))*Table1[[#This Row],[Hvd]]*(1+INDEX('3. Kengetallen (DC-uitdraai)'!K:K,MATCH(Table1[[#This Row],[Milieuprofiel]],'3. Kengetallen (DC-uitdraai)'!D:D,0))),0)</f>
        <v>0</v>
      </c>
      <c r="R186" s="126">
        <f>IFERROR(INDEX('3. Kengetallen (DC-uitdraai)'!V:V,MATCH(Table1[[#This Row],[Milieuprofiel]],'3. Kengetallen (DC-uitdraai)'!D:D,0))*Table1[[#This Row],[Hvd]]*(1+INDEX('3. Kengetallen (DC-uitdraai)'!K:K,MATCH(Table1[[#This Row],[Milieuprofiel]],'3. Kengetallen (DC-uitdraai)'!D:D,0))),0)</f>
        <v>0</v>
      </c>
      <c r="S186" s="126">
        <f>IFERROR(INDEX('3. Kengetallen (DC-uitdraai)'!W:W,MATCH(Table1[[#This Row],[Milieuprofiel]],'3. Kengetallen (DC-uitdraai)'!D:D,0))*Table1[[#This Row],[Hvd]]*(1+INDEX('3. Kengetallen (DC-uitdraai)'!K:K,MATCH(Table1[[#This Row],[Milieuprofiel]],'3. Kengetallen (DC-uitdraai)'!D:D,0))),0)</f>
        <v>0</v>
      </c>
      <c r="T186" s="126">
        <f>IFERROR(INDEX('3. Kengetallen (DC-uitdraai)'!X:X,MATCH(Table1[[#This Row],[Milieuprofiel]],'3. Kengetallen (DC-uitdraai)'!D:D,0))*Table1[[#This Row],[Hvd]]*(1+INDEX('3. Kengetallen (DC-uitdraai)'!K:K,MATCH(Table1[[#This Row],[Milieuprofiel]],'3. Kengetallen (DC-uitdraai)'!D:D,0))),0)</f>
        <v>0</v>
      </c>
      <c r="U186" s="126"/>
      <c r="V186" s="126"/>
      <c r="W186" s="126"/>
      <c r="X186" s="114">
        <f>IFERROR(INDEX('Eigen database'!P:P,MATCH(Table1[[#This Row],[Potentieel alternatief]],'Eigen database'!D:D,0))*Table1[[#This Row],[Hoeveelheid]]*(1+INDEX('Eigen database'!K:K,MATCH(Table1[[#This Row],[Potentieel alternatief]],'Eigen database'!D:D,0))),0)</f>
        <v>0</v>
      </c>
      <c r="Y186" s="126">
        <f>IF(Table1[[#This Row],[MKI A-D nieuw]]=0,Table1[[#This Row],[MKI A-D]],Table1[[#This Row],[MKI A-D nieuw]])</f>
        <v>0</v>
      </c>
      <c r="Z186" s="126"/>
      <c r="AA186" s="127">
        <f>IFERROR(INDEX('3. Kengetallen (DC-uitdraai)'!AM:AM,MATCH(Table1[[#This Row],[Milieuprofiel]],'3. Kengetallen (DC-uitdraai)'!C:C,0)),0)*Table1[[#This Row],[Hvd]]</f>
        <v>0</v>
      </c>
      <c r="AB186" s="127">
        <f>IFERROR(INDEX('3. Kengetallen (DC-uitdraai)'!AM:AM,MATCH(Table1[[#This Row],[Potentieel alternatief]],'3. Kengetallen (DC-uitdraai)'!C:C,0)),0)*Table1[[#This Row],[Hvd]]</f>
        <v>0</v>
      </c>
    </row>
    <row r="187" spans="1:30">
      <c r="A187" s="89" t="s">
        <v>526</v>
      </c>
      <c r="B187" s="89"/>
      <c r="C187" s="42"/>
      <c r="D187" s="42"/>
      <c r="E187" t="s">
        <v>527</v>
      </c>
      <c r="F187" t="s">
        <v>350</v>
      </c>
      <c r="H187" t="str">
        <f>IFERROR(INDEX('3. Kengetallen (DC-uitdraai)'!F:F,MATCH(Table1[[#This Row],[Milieuprofiel]],'3. Kengetallen (DC-uitdraai)'!D:D,0)),"")</f>
        <v>Cat.3 (30%)</v>
      </c>
      <c r="I187" s="26">
        <v>4</v>
      </c>
      <c r="J187" t="s">
        <v>132</v>
      </c>
      <c r="K187" t="str">
        <f>IF(ISTEXT(Table1[[#This Row],[Milieuprofiel]]),"Ja","Nee")</f>
        <v>Ja</v>
      </c>
      <c r="L187" s="27">
        <v>1</v>
      </c>
      <c r="M187" s="26">
        <f>Table1[[#This Row],[Volume]]*Table1[[#This Row],[Factor]]</f>
        <v>4</v>
      </c>
      <c r="N187" t="str">
        <f>IFERROR(INDEX('3. Kengetallen (DC-uitdraai)'!H:H,MATCH(Table1[[#This Row],[Milieuprofiel]],'3. Kengetallen (DC-uitdraai)'!D:D,0)),"")</f>
        <v>p</v>
      </c>
      <c r="O187">
        <f>IFERROR(INDEX('3. Kengetallen (DC-uitdraai)'!I:I,MATCH(Table1[[#This Row],[Milieuprofiel]],'3. Kengetallen (DC-uitdraai)'!D:D,0)),0)</f>
        <v>12</v>
      </c>
      <c r="P187" s="125">
        <f>IFERROR(INDEX('3. Kengetallen (DC-uitdraai)'!P:P,MATCH(Table1[[#This Row],[Milieuprofiel]],'3. Kengetallen (DC-uitdraai)'!D:D,0))*Table1[[#This Row],[Hvd]]*(1+INDEX('3. Kengetallen (DC-uitdraai)'!K:K,MATCH(Table1[[#This Row],[Milieuprofiel]],'3. Kengetallen (DC-uitdraai)'!D:D,0))),0)</f>
        <v>755.24686598875462</v>
      </c>
      <c r="Q187" s="126">
        <f>IFERROR(INDEX('3. Kengetallen (DC-uitdraai)'!U:U,MATCH(Table1[[#This Row],[Milieuprofiel]],'3. Kengetallen (DC-uitdraai)'!D:D,0))*Table1[[#This Row],[Hvd]]*(1+INDEX('3. Kengetallen (DC-uitdraai)'!K:K,MATCH(Table1[[#This Row],[Milieuprofiel]],'3. Kengetallen (DC-uitdraai)'!D:D,0))),0)</f>
        <v>172.36997553361951</v>
      </c>
      <c r="R187" s="126">
        <f>IFERROR(INDEX('3. Kengetallen (DC-uitdraai)'!V:V,MATCH(Table1[[#This Row],[Milieuprofiel]],'3. Kengetallen (DC-uitdraai)'!D:D,0))*Table1[[#This Row],[Hvd]]*(1+INDEX('3. Kengetallen (DC-uitdraai)'!K:K,MATCH(Table1[[#This Row],[Milieuprofiel]],'3. Kengetallen (DC-uitdraai)'!D:D,0))),0)</f>
        <v>6.2401498685090555</v>
      </c>
      <c r="S187" s="126">
        <f>IFERROR(INDEX('3. Kengetallen (DC-uitdraai)'!W:W,MATCH(Table1[[#This Row],[Milieuprofiel]],'3. Kengetallen (DC-uitdraai)'!D:D,0))*Table1[[#This Row],[Hvd]]*(1+INDEX('3. Kengetallen (DC-uitdraai)'!K:K,MATCH(Table1[[#This Row],[Milieuprofiel]],'3. Kengetallen (DC-uitdraai)'!D:D,0))),0)</f>
        <v>404.07042839328835</v>
      </c>
      <c r="T187" s="126">
        <f>IFERROR(INDEX('3. Kengetallen (DC-uitdraai)'!X:X,MATCH(Table1[[#This Row],[Milieuprofiel]],'3. Kengetallen (DC-uitdraai)'!D:D,0))*Table1[[#This Row],[Hvd]]*(1+INDEX('3. Kengetallen (DC-uitdraai)'!K:K,MATCH(Table1[[#This Row],[Milieuprofiel]],'3. Kengetallen (DC-uitdraai)'!D:D,0))),0)</f>
        <v>-54.65944406740595</v>
      </c>
      <c r="U187" s="126"/>
      <c r="V187" s="126"/>
      <c r="W187" s="126"/>
      <c r="X187" s="114">
        <f>IFERROR(INDEX('Eigen database'!P:P,MATCH(Table1[[#This Row],[Potentieel alternatief]],'Eigen database'!D:D,0))*Table1[[#This Row],[Hoeveelheid]]*(1+INDEX('Eigen database'!K:K,MATCH(Table1[[#This Row],[Potentieel alternatief]],'Eigen database'!D:D,0))),0)</f>
        <v>0</v>
      </c>
      <c r="Y187" s="126">
        <f>IF(Table1[[#This Row],[MKI A-D nieuw]]=0,Table1[[#This Row],[MKI A-D]],Table1[[#This Row],[MKI A-D nieuw]])</f>
        <v>755.24686598875462</v>
      </c>
      <c r="Z187" s="126"/>
      <c r="AA187" s="127">
        <f>IFERROR(INDEX('3. Kengetallen (DC-uitdraai)'!AM:AM,MATCH(Table1[[#This Row],[Milieuprofiel]],'3. Kengetallen (DC-uitdraai)'!C:C,0)),0)*Table1[[#This Row],[Hvd]]</f>
        <v>0</v>
      </c>
      <c r="AB187" s="127">
        <f>IFERROR(INDEX('3. Kengetallen (DC-uitdraai)'!AM:AM,MATCH(Table1[[#This Row],[Potentieel alternatief]],'3. Kengetallen (DC-uitdraai)'!C:C,0)),0)*Table1[[#This Row],[Hvd]]</f>
        <v>0</v>
      </c>
    </row>
    <row r="188" spans="1:30">
      <c r="A188" s="89" t="s">
        <v>528</v>
      </c>
      <c r="B188" s="89" t="s">
        <v>315</v>
      </c>
      <c r="C188" s="42" t="s">
        <v>501</v>
      </c>
      <c r="D188" s="42" t="s">
        <v>529</v>
      </c>
      <c r="E188" t="s">
        <v>530</v>
      </c>
      <c r="F188" t="s">
        <v>308</v>
      </c>
      <c r="H188" t="str">
        <f>IFERROR(INDEX('3. Kengetallen (DC-uitdraai)'!F:F,MATCH(Table1[[#This Row],[Milieuprofiel]],'3. Kengetallen (DC-uitdraai)'!D:D,0)),"")</f>
        <v>Cat.3 (30%)</v>
      </c>
      <c r="I188" s="26">
        <v>2550</v>
      </c>
      <c r="J188" t="s">
        <v>93</v>
      </c>
      <c r="K188" t="str">
        <f>IF(ISTEXT(Table1[[#This Row],[Milieuprofiel]]),"Ja","Nee")</f>
        <v>Ja</v>
      </c>
      <c r="L188" s="27">
        <v>1</v>
      </c>
      <c r="M188" s="26">
        <f>Table1[[#This Row],[Volume]]*Table1[[#This Row],[Factor]]</f>
        <v>2550</v>
      </c>
      <c r="N188" t="str">
        <f>IFERROR(INDEX('3. Kengetallen (DC-uitdraai)'!H:H,MATCH(Table1[[#This Row],[Milieuprofiel]],'3. Kengetallen (DC-uitdraai)'!D:D,0)),"")</f>
        <v>m1</v>
      </c>
      <c r="O188">
        <f>IFERROR(INDEX('3. Kengetallen (DC-uitdraai)'!I:I,MATCH(Table1[[#This Row],[Milieuprofiel]],'3. Kengetallen (DC-uitdraai)'!D:D,0)),0)</f>
        <v>999</v>
      </c>
      <c r="P188" s="125">
        <f>IFERROR(INDEX('3. Kengetallen (DC-uitdraai)'!P:P,MATCH(Table1[[#This Row],[Milieuprofiel]],'3. Kengetallen (DC-uitdraai)'!D:D,0))*Table1[[#This Row],[Hvd]]*(1+INDEX('3. Kengetallen (DC-uitdraai)'!K:K,MATCH(Table1[[#This Row],[Milieuprofiel]],'3. Kengetallen (DC-uitdraai)'!D:D,0))),0)</f>
        <v>17202.229547161849</v>
      </c>
      <c r="Q188" s="126">
        <f>IFERROR(INDEX('3. Kengetallen (DC-uitdraai)'!U:U,MATCH(Table1[[#This Row],[Milieuprofiel]],'3. Kengetallen (DC-uitdraai)'!D:D,0))*Table1[[#This Row],[Hvd]]*(1+INDEX('3. Kengetallen (DC-uitdraai)'!K:K,MATCH(Table1[[#This Row],[Milieuprofiel]],'3. Kengetallen (DC-uitdraai)'!D:D,0))),0)</f>
        <v>0</v>
      </c>
      <c r="R188" s="126">
        <f>IFERROR(INDEX('3. Kengetallen (DC-uitdraai)'!V:V,MATCH(Table1[[#This Row],[Milieuprofiel]],'3. Kengetallen (DC-uitdraai)'!D:D,0))*Table1[[#This Row],[Hvd]]*(1+INDEX('3. Kengetallen (DC-uitdraai)'!K:K,MATCH(Table1[[#This Row],[Milieuprofiel]],'3. Kengetallen (DC-uitdraai)'!D:D,0))),0)</f>
        <v>13232.484145706421</v>
      </c>
      <c r="S188" s="126">
        <f>IFERROR(INDEX('3. Kengetallen (DC-uitdraai)'!W:W,MATCH(Table1[[#This Row],[Milieuprofiel]],'3. Kengetallen (DC-uitdraai)'!D:D,0))*Table1[[#This Row],[Hvd]]*(1+INDEX('3. Kengetallen (DC-uitdraai)'!K:K,MATCH(Table1[[#This Row],[Milieuprofiel]],'3. Kengetallen (DC-uitdraai)'!D:D,0))),0)</f>
        <v>0</v>
      </c>
      <c r="T188" s="126">
        <f>IFERROR(INDEX('3. Kengetallen (DC-uitdraai)'!X:X,MATCH(Table1[[#This Row],[Milieuprofiel]],'3. Kengetallen (DC-uitdraai)'!D:D,0))*Table1[[#This Row],[Hvd]]*(1+INDEX('3. Kengetallen (DC-uitdraai)'!K:K,MATCH(Table1[[#This Row],[Milieuprofiel]],'3. Kengetallen (DC-uitdraai)'!D:D,0))),0)</f>
        <v>0</v>
      </c>
      <c r="U188" s="126"/>
      <c r="V188" s="126"/>
      <c r="W188" s="126"/>
      <c r="X188" s="114">
        <f>IFERROR(INDEX('Eigen database'!P:P,MATCH(Table1[[#This Row],[Potentieel alternatief]],'Eigen database'!D:D,0))*Table1[[#This Row],[Hoeveelheid]]*(1+INDEX('Eigen database'!K:K,MATCH(Table1[[#This Row],[Potentieel alternatief]],'Eigen database'!D:D,0))),0)</f>
        <v>0</v>
      </c>
      <c r="Y188" s="126">
        <f>IF(Table1[[#This Row],[MKI A-D nieuw]]=0,Table1[[#This Row],[MKI A-D]],Table1[[#This Row],[MKI A-D nieuw]])</f>
        <v>17202.229547161849</v>
      </c>
      <c r="Z188" s="126"/>
      <c r="AA188" s="127">
        <f>IFERROR(INDEX('3. Kengetallen (DC-uitdraai)'!AM:AM,MATCH(Table1[[#This Row],[Milieuprofiel]],'3. Kengetallen (DC-uitdraai)'!C:C,0)),0)*Table1[[#This Row],[Hvd]]</f>
        <v>0</v>
      </c>
      <c r="AB188" s="127">
        <f>IFERROR(INDEX('3. Kengetallen (DC-uitdraai)'!AM:AM,MATCH(Table1[[#This Row],[Potentieel alternatief]],'3. Kengetallen (DC-uitdraai)'!C:C,0)),0)*Table1[[#This Row],[Hvd]]</f>
        <v>0</v>
      </c>
    </row>
    <row r="189" spans="1:30">
      <c r="A189" s="89" t="s">
        <v>531</v>
      </c>
      <c r="B189" s="89" t="s">
        <v>532</v>
      </c>
      <c r="C189" s="42" t="s">
        <v>501</v>
      </c>
      <c r="D189" s="42" t="s">
        <v>529</v>
      </c>
      <c r="E189" t="s">
        <v>533</v>
      </c>
      <c r="F189" t="s">
        <v>534</v>
      </c>
      <c r="H189" t="str">
        <f>IFERROR(INDEX('3. Kengetallen (DC-uitdraai)'!F:F,MATCH(Table1[[#This Row],[Milieuprofiel]],'3. Kengetallen (DC-uitdraai)'!D:D,0)),"")</f>
        <v>Cat.3 (30%)</v>
      </c>
      <c r="I189" s="26">
        <v>4240</v>
      </c>
      <c r="J189" t="s">
        <v>93</v>
      </c>
      <c r="K189" t="str">
        <f>IF(ISTEXT(Table1[[#This Row],[Milieuprofiel]]),"Ja","Nee")</f>
        <v>Ja</v>
      </c>
      <c r="L189" s="27">
        <v>1</v>
      </c>
      <c r="M189" s="26">
        <f>Table1[[#This Row],[Volume]]*Table1[[#This Row],[Factor]]</f>
        <v>4240</v>
      </c>
      <c r="N189" t="str">
        <f>IFERROR(INDEX('3. Kengetallen (DC-uitdraai)'!H:H,MATCH(Table1[[#This Row],[Milieuprofiel]],'3. Kengetallen (DC-uitdraai)'!D:D,0)),"")</f>
        <v>m1</v>
      </c>
      <c r="O189">
        <f>IFERROR(INDEX('3. Kengetallen (DC-uitdraai)'!I:I,MATCH(Table1[[#This Row],[Milieuprofiel]],'3. Kengetallen (DC-uitdraai)'!D:D,0)),0)</f>
        <v>30</v>
      </c>
      <c r="P189" s="125">
        <f>IFERROR(INDEX('3. Kengetallen (DC-uitdraai)'!P:P,MATCH(Table1[[#This Row],[Milieuprofiel]],'3. Kengetallen (DC-uitdraai)'!D:D,0))*Table1[[#This Row],[Hvd]]*(1+INDEX('3. Kengetallen (DC-uitdraai)'!K:K,MATCH(Table1[[#This Row],[Milieuprofiel]],'3. Kengetallen (DC-uitdraai)'!D:D,0))),0)</f>
        <v>19953.964952004957</v>
      </c>
      <c r="Q189" s="126">
        <f>IFERROR(INDEX('3. Kengetallen (DC-uitdraai)'!U:U,MATCH(Table1[[#This Row],[Milieuprofiel]],'3. Kengetallen (DC-uitdraai)'!D:D,0))*Table1[[#This Row],[Hvd]]*(1+INDEX('3. Kengetallen (DC-uitdraai)'!K:K,MATCH(Table1[[#This Row],[Milieuprofiel]],'3. Kengetallen (DC-uitdraai)'!D:D,0))),0)</f>
        <v>14889.791077519136</v>
      </c>
      <c r="R189" s="126">
        <f>IFERROR(INDEX('3. Kengetallen (DC-uitdraai)'!V:V,MATCH(Table1[[#This Row],[Milieuprofiel]],'3. Kengetallen (DC-uitdraai)'!D:D,0))*Table1[[#This Row],[Hvd]]*(1+INDEX('3. Kengetallen (DC-uitdraai)'!K:K,MATCH(Table1[[#This Row],[Milieuprofiel]],'3. Kengetallen (DC-uitdraai)'!D:D,0))),0)</f>
        <v>492.98968350187005</v>
      </c>
      <c r="S189" s="126">
        <f>IFERROR(INDEX('3. Kengetallen (DC-uitdraai)'!W:W,MATCH(Table1[[#This Row],[Milieuprofiel]],'3. Kengetallen (DC-uitdraai)'!D:D,0))*Table1[[#This Row],[Hvd]]*(1+INDEX('3. Kengetallen (DC-uitdraai)'!K:K,MATCH(Table1[[#This Row],[Milieuprofiel]],'3. Kengetallen (DC-uitdraai)'!D:D,0))),0)</f>
        <v>4737.2693355917136</v>
      </c>
      <c r="T189" s="126">
        <f>IFERROR(INDEX('3. Kengetallen (DC-uitdraai)'!X:X,MATCH(Table1[[#This Row],[Milieuprofiel]],'3. Kengetallen (DC-uitdraai)'!D:D,0))*Table1[[#This Row],[Hvd]]*(1+INDEX('3. Kengetallen (DC-uitdraai)'!K:K,MATCH(Table1[[#This Row],[Milieuprofiel]],'3. Kengetallen (DC-uitdraai)'!D:D,0))),0)</f>
        <v>-8276.8767576334394</v>
      </c>
      <c r="U189" s="126"/>
      <c r="V189" s="126"/>
      <c r="W189" s="126"/>
      <c r="X189" s="114">
        <f>IFERROR(INDEX('Eigen database'!P:P,MATCH(Table1[[#This Row],[Potentieel alternatief]],'Eigen database'!D:D,0))*Table1[[#This Row],[Hoeveelheid]]*(1+INDEX('Eigen database'!K:K,MATCH(Table1[[#This Row],[Potentieel alternatief]],'Eigen database'!D:D,0))),0)</f>
        <v>0</v>
      </c>
      <c r="Y189" s="126">
        <f>IF(Table1[[#This Row],[MKI A-D nieuw]]=0,Table1[[#This Row],[MKI A-D]],Table1[[#This Row],[MKI A-D nieuw]])</f>
        <v>19953.964952004957</v>
      </c>
      <c r="Z189" s="126"/>
      <c r="AA189" s="127">
        <f>IFERROR(INDEX('3. Kengetallen (DC-uitdraai)'!AM:AM,MATCH(Table1[[#This Row],[Milieuprofiel]],'3. Kengetallen (DC-uitdraai)'!C:C,0)),0)*Table1[[#This Row],[Hvd]]</f>
        <v>0</v>
      </c>
      <c r="AB189" s="127">
        <f>IFERROR(INDEX('3. Kengetallen (DC-uitdraai)'!AM:AM,MATCH(Table1[[#This Row],[Potentieel alternatief]],'3. Kengetallen (DC-uitdraai)'!C:C,0)),0)*Table1[[#This Row],[Hvd]]</f>
        <v>0</v>
      </c>
    </row>
    <row r="190" spans="1:30" hidden="1">
      <c r="A190" s="42" t="s">
        <v>535</v>
      </c>
      <c r="B190" s="42"/>
      <c r="C190" s="42"/>
      <c r="D190" s="42"/>
      <c r="E190" t="s">
        <v>536</v>
      </c>
      <c r="H190" t="str">
        <f>IFERROR(INDEX('3. Kengetallen (DC-uitdraai)'!F:F,MATCH(Table1[[#This Row],[Milieuprofiel]],'3. Kengetallen (DC-uitdraai)'!D:D,0)),"")</f>
        <v/>
      </c>
      <c r="I190" s="26">
        <v>1</v>
      </c>
      <c r="J190" t="s">
        <v>132</v>
      </c>
      <c r="K190" t="str">
        <f>IF(ISTEXT(Table1[[#This Row],[Milieuprofiel]]),"Ja","Nee")</f>
        <v>Nee</v>
      </c>
      <c r="L190" s="27"/>
      <c r="M190" s="26">
        <f>Table1[[#This Row],[Volume]]*Table1[[#This Row],[Factor]]</f>
        <v>0</v>
      </c>
      <c r="N190" t="str">
        <f>IFERROR(INDEX('3. Kengetallen (DC-uitdraai)'!H:H,MATCH(Table1[[#This Row],[Milieuprofiel]],'3. Kengetallen (DC-uitdraai)'!D:D,0)),"")</f>
        <v/>
      </c>
      <c r="O190">
        <f>IFERROR(INDEX('3. Kengetallen (DC-uitdraai)'!I:I,MATCH(Table1[[#This Row],[Milieuprofiel]],'3. Kengetallen (DC-uitdraai)'!D:D,0)),0)</f>
        <v>0</v>
      </c>
      <c r="P190" s="125">
        <f>IFERROR(INDEX('3. Kengetallen (DC-uitdraai)'!P:P,MATCH(Table1[[#This Row],[Milieuprofiel]],'3. Kengetallen (DC-uitdraai)'!D:D,0))*Table1[[#This Row],[Hvd]]*(1+INDEX('3. Kengetallen (DC-uitdraai)'!K:K,MATCH(Table1[[#This Row],[Milieuprofiel]],'3. Kengetallen (DC-uitdraai)'!D:D,0))),0)</f>
        <v>0</v>
      </c>
      <c r="Q190" s="126">
        <f>IFERROR(INDEX('3. Kengetallen (DC-uitdraai)'!U:U,MATCH(Table1[[#This Row],[Milieuprofiel]],'3. Kengetallen (DC-uitdraai)'!D:D,0))*Table1[[#This Row],[Hvd]]*(1+INDEX('3. Kengetallen (DC-uitdraai)'!K:K,MATCH(Table1[[#This Row],[Milieuprofiel]],'3. Kengetallen (DC-uitdraai)'!D:D,0))),0)</f>
        <v>0</v>
      </c>
      <c r="R190" s="126">
        <f>IFERROR(INDEX('3. Kengetallen (DC-uitdraai)'!V:V,MATCH(Table1[[#This Row],[Milieuprofiel]],'3. Kengetallen (DC-uitdraai)'!D:D,0))*Table1[[#This Row],[Hvd]]*(1+INDEX('3. Kengetallen (DC-uitdraai)'!K:K,MATCH(Table1[[#This Row],[Milieuprofiel]],'3. Kengetallen (DC-uitdraai)'!D:D,0))),0)</f>
        <v>0</v>
      </c>
      <c r="S190" s="126">
        <f>IFERROR(INDEX('3. Kengetallen (DC-uitdraai)'!W:W,MATCH(Table1[[#This Row],[Milieuprofiel]],'3. Kengetallen (DC-uitdraai)'!D:D,0))*Table1[[#This Row],[Hvd]]*(1+INDEX('3. Kengetallen (DC-uitdraai)'!K:K,MATCH(Table1[[#This Row],[Milieuprofiel]],'3. Kengetallen (DC-uitdraai)'!D:D,0))),0)</f>
        <v>0</v>
      </c>
      <c r="T190" s="126">
        <f>IFERROR(INDEX('3. Kengetallen (DC-uitdraai)'!X:X,MATCH(Table1[[#This Row],[Milieuprofiel]],'3. Kengetallen (DC-uitdraai)'!D:D,0))*Table1[[#This Row],[Hvd]]*(1+INDEX('3. Kengetallen (DC-uitdraai)'!K:K,MATCH(Table1[[#This Row],[Milieuprofiel]],'3. Kengetallen (DC-uitdraai)'!D:D,0))),0)</f>
        <v>0</v>
      </c>
      <c r="U190" s="126"/>
      <c r="V190" s="126"/>
      <c r="W190" s="126"/>
      <c r="X190" s="114">
        <f>IFERROR(INDEX('Eigen database'!P:P,MATCH(Table1[[#This Row],[Potentieel alternatief]],'Eigen database'!D:D,0))*Table1[[#This Row],[Hoeveelheid]]*(1+INDEX('Eigen database'!K:K,MATCH(Table1[[#This Row],[Potentieel alternatief]],'Eigen database'!D:D,0))),0)</f>
        <v>0</v>
      </c>
      <c r="Y190" s="126">
        <f>IF(Table1[[#This Row],[MKI A-D nieuw]]=0,Table1[[#This Row],[MKI A-D]],Table1[[#This Row],[MKI A-D nieuw]])</f>
        <v>0</v>
      </c>
      <c r="Z190" s="126"/>
      <c r="AA190" s="127">
        <f>IFERROR(INDEX('3. Kengetallen (DC-uitdraai)'!AM:AM,MATCH(Table1[[#This Row],[Milieuprofiel]],'3. Kengetallen (DC-uitdraai)'!C:C,0)),0)*Table1[[#This Row],[Hvd]]</f>
        <v>0</v>
      </c>
      <c r="AB190" s="127">
        <f>IFERROR(INDEX('3. Kengetallen (DC-uitdraai)'!AM:AM,MATCH(Table1[[#This Row],[Potentieel alternatief]],'3. Kengetallen (DC-uitdraai)'!C:C,0)),0)*Table1[[#This Row],[Hvd]]</f>
        <v>0</v>
      </c>
    </row>
    <row r="191" spans="1:30">
      <c r="A191" s="42" t="s">
        <v>537</v>
      </c>
      <c r="B191" s="42"/>
      <c r="C191" s="42"/>
      <c r="D191" s="42"/>
      <c r="E191" t="s">
        <v>538</v>
      </c>
      <c r="F191" t="s">
        <v>539</v>
      </c>
      <c r="H191" t="str">
        <f>IFERROR(INDEX('3. Kengetallen (DC-uitdraai)'!F:F,MATCH(Table1[[#This Row],[Milieuprofiel]],'3. Kengetallen (DC-uitdraai)'!D:D,0)),"")</f>
        <v>Cat.3 (30%)</v>
      </c>
      <c r="I191" s="26">
        <v>62</v>
      </c>
      <c r="J191" t="s">
        <v>132</v>
      </c>
      <c r="K191" t="str">
        <f>IF(ISTEXT(Table1[[#This Row],[Milieuprofiel]]),"Ja","Nee")</f>
        <v>Ja</v>
      </c>
      <c r="L191" s="27">
        <f>0.5*0.3*30/8</f>
        <v>0.5625</v>
      </c>
      <c r="M191" s="26">
        <f>Table1[[#This Row],[Volume]]*Table1[[#This Row],[Factor]]</f>
        <v>34.875</v>
      </c>
      <c r="N191" t="str">
        <f>IFERROR(INDEX('3. Kengetallen (DC-uitdraai)'!H:H,MATCH(Table1[[#This Row],[Milieuprofiel]],'3. Kengetallen (DC-uitdraai)'!D:D,0)),"")</f>
        <v>m2</v>
      </c>
      <c r="O191">
        <f>IFERROR(INDEX('3. Kengetallen (DC-uitdraai)'!I:I,MATCH(Table1[[#This Row],[Milieuprofiel]],'3. Kengetallen (DC-uitdraai)'!D:D,0)),0)</f>
        <v>25</v>
      </c>
      <c r="P191" s="125">
        <f>IFERROR(INDEX('3. Kengetallen (DC-uitdraai)'!P:P,MATCH(Table1[[#This Row],[Milieuprofiel]],'3. Kengetallen (DC-uitdraai)'!D:D,0))*Table1[[#This Row],[Hvd]]*(1+INDEX('3. Kengetallen (DC-uitdraai)'!K:K,MATCH(Table1[[#This Row],[Milieuprofiel]],'3. Kengetallen (DC-uitdraai)'!D:D,0))),0)</f>
        <v>556.97216515657033</v>
      </c>
      <c r="Q191" s="126">
        <f>IFERROR(INDEX('3. Kengetallen (DC-uitdraai)'!U:U,MATCH(Table1[[#This Row],[Milieuprofiel]],'3. Kengetallen (DC-uitdraai)'!D:D,0))*Table1[[#This Row],[Hvd]]*(1+INDEX('3. Kengetallen (DC-uitdraai)'!K:K,MATCH(Table1[[#This Row],[Milieuprofiel]],'3. Kengetallen (DC-uitdraai)'!D:D,0))),0)</f>
        <v>137.01980691475651</v>
      </c>
      <c r="R191" s="126">
        <f>IFERROR(INDEX('3. Kengetallen (DC-uitdraai)'!V:V,MATCH(Table1[[#This Row],[Milieuprofiel]],'3. Kengetallen (DC-uitdraai)'!D:D,0))*Table1[[#This Row],[Hvd]]*(1+INDEX('3. Kengetallen (DC-uitdraai)'!K:K,MATCH(Table1[[#This Row],[Milieuprofiel]],'3. Kengetallen (DC-uitdraai)'!D:D,0))),0)</f>
        <v>69.625704200174752</v>
      </c>
      <c r="S191" s="126">
        <f>IFERROR(INDEX('3. Kengetallen (DC-uitdraai)'!W:W,MATCH(Table1[[#This Row],[Milieuprofiel]],'3. Kengetallen (DC-uitdraai)'!D:D,0))*Table1[[#This Row],[Hvd]]*(1+INDEX('3. Kengetallen (DC-uitdraai)'!K:K,MATCH(Table1[[#This Row],[Milieuprofiel]],'3. Kengetallen (DC-uitdraai)'!D:D,0))),0)</f>
        <v>210.04591160634629</v>
      </c>
      <c r="T191" s="126">
        <f>IFERROR(INDEX('3. Kengetallen (DC-uitdraai)'!X:X,MATCH(Table1[[#This Row],[Milieuprofiel]],'3. Kengetallen (DC-uitdraai)'!D:D,0))*Table1[[#This Row],[Hvd]]*(1+INDEX('3. Kengetallen (DC-uitdraai)'!K:K,MATCH(Table1[[#This Row],[Milieuprofiel]],'3. Kengetallen (DC-uitdraai)'!D:D,0))),0)</f>
        <v>3.4004004914150254</v>
      </c>
      <c r="U191" s="126"/>
      <c r="V191" s="126"/>
      <c r="W191" s="126"/>
      <c r="X191" s="114">
        <f>IFERROR(INDEX('Eigen database'!P:P,MATCH(Table1[[#This Row],[Potentieel alternatief]],'Eigen database'!D:D,0))*Table1[[#This Row],[Hoeveelheid]]*(1+INDEX('Eigen database'!K:K,MATCH(Table1[[#This Row],[Potentieel alternatief]],'Eigen database'!D:D,0))),0)</f>
        <v>0</v>
      </c>
      <c r="Y191" s="126">
        <f>IF(Table1[[#This Row],[MKI A-D nieuw]]=0,Table1[[#This Row],[MKI A-D]],Table1[[#This Row],[MKI A-D nieuw]])</f>
        <v>556.97216515657033</v>
      </c>
      <c r="Z191" s="126"/>
      <c r="AA191" s="127">
        <f>IFERROR(INDEX('3. Kengetallen (DC-uitdraai)'!AM:AM,MATCH(Table1[[#This Row],[Milieuprofiel]],'3. Kengetallen (DC-uitdraai)'!C:C,0)),0)*Table1[[#This Row],[Hvd]]</f>
        <v>0</v>
      </c>
      <c r="AB191" s="127">
        <f>IFERROR(INDEX('3. Kengetallen (DC-uitdraai)'!AM:AM,MATCH(Table1[[#This Row],[Potentieel alternatief]],'3. Kengetallen (DC-uitdraai)'!C:C,0)),0)*Table1[[#This Row],[Hvd]]</f>
        <v>0</v>
      </c>
    </row>
    <row r="192" spans="1:30">
      <c r="C192" t="s">
        <v>540</v>
      </c>
      <c r="P192" s="44">
        <f>SUBTOTAL(109,Table1[MKI A-D])</f>
        <v>396878.51411485305</v>
      </c>
      <c r="Q192" s="44"/>
      <c r="R192" s="44">
        <f>SUBTOTAL(109,Table1[[ Bouw]])</f>
        <v>48602.422706425692</v>
      </c>
      <c r="S192" s="44"/>
      <c r="T192" s="44"/>
      <c r="X192" s="109"/>
      <c r="Y192" s="44">
        <f>SUBTOTAL(109,Table1[Totaal nieuw])</f>
        <v>260974.30213071813</v>
      </c>
      <c r="Z192" s="44"/>
      <c r="AD192">
        <f>SUBTOTAL(103,Table1[Bron])</f>
        <v>0</v>
      </c>
    </row>
    <row r="193" spans="7:27">
      <c r="V193" s="44"/>
    </row>
    <row r="194" spans="7:27">
      <c r="G194" s="13"/>
      <c r="H194" s="13"/>
      <c r="I194" s="13"/>
      <c r="J194" s="13"/>
      <c r="K194" s="13"/>
      <c r="L194" s="13"/>
      <c r="M194" s="13"/>
      <c r="N194" s="13"/>
      <c r="O194" s="13"/>
      <c r="P194" s="13"/>
      <c r="Q194" s="13"/>
      <c r="R194" s="13"/>
      <c r="S194" s="13"/>
      <c r="T194" s="13"/>
      <c r="U194" s="13"/>
      <c r="V194" s="13"/>
      <c r="W194" s="13"/>
      <c r="Y194" s="91">
        <f>1-Table1[[#Totals],[Totaal nieuw]]/Table1[[#Totals],[MKI A-D]]</f>
        <v>0.34243277766557423</v>
      </c>
      <c r="Z194" s="13"/>
      <c r="AA194" s="13"/>
    </row>
    <row r="195" spans="7:27">
      <c r="G195" s="13"/>
      <c r="H195" s="13"/>
      <c r="I195" s="101" t="e">
        <f>SUM(#REF!,#REF!,#REF!,#REF!,#REF!,#REF!)</f>
        <v>#REF!</v>
      </c>
      <c r="J195" s="101" t="e">
        <f>0.2*I195</f>
        <v>#REF!</v>
      </c>
      <c r="K195" s="13"/>
      <c r="L195" s="13"/>
      <c r="M195" s="13"/>
      <c r="N195" s="13"/>
      <c r="O195" s="13"/>
      <c r="P195" s="101">
        <f>Table1[[#Totals],[MKI A-D]]-Table1[[#Totals],[Totaal nieuw]]</f>
        <v>135904.21198413492</v>
      </c>
      <c r="Q195" s="91"/>
      <c r="R195" s="91"/>
      <c r="S195" s="91"/>
      <c r="T195" s="91"/>
      <c r="U195" s="13"/>
      <c r="V195" s="13"/>
      <c r="W195" s="91"/>
      <c r="Y195" s="13"/>
      <c r="Z195" s="13"/>
      <c r="AA195" s="13"/>
    </row>
    <row r="196" spans="7:27">
      <c r="G196" s="13"/>
      <c r="H196" s="13"/>
      <c r="I196" s="101" t="e">
        <f>Table1[[#Totals],[MKI A-D]]-I195+J195</f>
        <v>#REF!</v>
      </c>
      <c r="J196" s="91" t="e">
        <f>(Table1[[#Totals],[MKI A-D]]-I196)/Table1[[#Totals],[MKI A-D]]</f>
        <v>#REF!</v>
      </c>
      <c r="K196" s="13"/>
      <c r="L196" s="13"/>
      <c r="M196" s="13"/>
      <c r="N196" s="13"/>
      <c r="O196" s="13"/>
      <c r="P196" s="91">
        <f>P195/Table1[[#Totals],[MKI A-D]]</f>
        <v>0.34243277766557417</v>
      </c>
      <c r="Q196" s="13"/>
      <c r="R196" s="13"/>
      <c r="S196" s="13"/>
      <c r="T196" s="13"/>
      <c r="U196" s="13"/>
      <c r="V196" s="13"/>
      <c r="W196" s="102"/>
      <c r="Y196" s="13"/>
      <c r="Z196" s="13"/>
      <c r="AA196" s="13"/>
    </row>
    <row r="197" spans="7:27">
      <c r="G197" s="13"/>
      <c r="H197" s="13"/>
      <c r="I197" s="13"/>
      <c r="J197" s="13"/>
      <c r="K197" s="13"/>
      <c r="L197" s="13"/>
      <c r="M197" s="13"/>
      <c r="N197" s="13"/>
      <c r="O197" s="13"/>
      <c r="P197" s="13"/>
      <c r="Q197" s="13"/>
      <c r="R197" s="13"/>
      <c r="S197" s="13"/>
      <c r="T197" s="13"/>
      <c r="U197" s="13"/>
      <c r="V197" s="13"/>
      <c r="W197" s="13"/>
      <c r="Y197" s="13"/>
      <c r="Z197" s="13"/>
      <c r="AA197" s="13"/>
    </row>
  </sheetData>
  <phoneticPr fontId="7" type="noConversion"/>
  <pageMargins left="0.70866141732283472" right="0.70866141732283472" top="0.74803149606299213" bottom="0.74803149606299213" header="0.31496062992125984" footer="0.31496062992125984"/>
  <pageSetup paperSize="8" scale="4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B7D8018F-D591-44D0-B3CD-4AA40733DEC5}">
          <x14:formula1>
            <xm:f>'3. Kengetallen (DC-uitdraai)'!$D$13:$D$112</xm:f>
          </x14:formula1>
          <xm:sqref>F3:F131 F144 F147 F149:F157 F175:F191 F166 F161</xm:sqref>
        </x14:dataValidation>
        <x14:dataValidation type="list" allowBlank="1" showInputMessage="1" showErrorMessage="1" xr:uid="{FD03B096-F1F3-4689-8BE1-1648A9DFECC8}">
          <x14:formula1>
            <xm:f>'3. Kengetallen (DC-uitdraai)'!$D$13:$D$117</xm:f>
          </x14:formula1>
          <xm:sqref>F132:F143 F145:F146 F148 F158:F160 F162:F165 F167:F174</xm:sqref>
        </x14:dataValidation>
        <x14:dataValidation type="list" allowBlank="1" showInputMessage="1" showErrorMessage="1" xr:uid="{198679AB-9235-4CE8-9071-FF7A21305F71}">
          <x14:formula1>
            <xm:f>'Eigen database'!$D$13:$D$48</xm:f>
          </x14:formula1>
          <xm:sqref>G3:G191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ED39-BB70-46DF-8DAD-26F6969AC84B}">
  <sheetPr codeName="Sheet6"/>
  <dimension ref="A1:B2"/>
  <sheetViews>
    <sheetView workbookViewId="0">
      <selection activeCell="L46" sqref="L46"/>
    </sheetView>
  </sheetViews>
  <sheetFormatPr defaultRowHeight="14.45"/>
  <cols>
    <col min="1" max="1" width="14.28515625" bestFit="1" customWidth="1"/>
    <col min="2" max="2" width="15.42578125" bestFit="1" customWidth="1"/>
    <col min="3" max="3" width="12.140625" bestFit="1" customWidth="1"/>
  </cols>
  <sheetData>
    <row r="1" spans="1:2">
      <c r="A1" s="1" t="s">
        <v>541</v>
      </c>
      <c r="B1" t="s">
        <v>542</v>
      </c>
    </row>
    <row r="2" spans="1:2">
      <c r="A2" s="2" t="s">
        <v>543</v>
      </c>
      <c r="B2" s="100"/>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60C38-86DD-44C2-9FB0-C58EFCF15794}">
  <sheetPr codeName="Sheet7"/>
  <dimension ref="A1:C114"/>
  <sheetViews>
    <sheetView zoomScaleNormal="100" workbookViewId="0">
      <selection activeCell="L46" sqref="L46"/>
    </sheetView>
  </sheetViews>
  <sheetFormatPr defaultRowHeight="14.45"/>
  <cols>
    <col min="1" max="1" width="120.42578125" bestFit="1" customWidth="1"/>
    <col min="2" max="2" width="15.42578125" bestFit="1" customWidth="1"/>
    <col min="3" max="3" width="21.7109375" bestFit="1" customWidth="1"/>
  </cols>
  <sheetData>
    <row r="1" spans="1:3">
      <c r="A1" s="1" t="s">
        <v>541</v>
      </c>
      <c r="B1" t="s">
        <v>542</v>
      </c>
      <c r="C1" t="s">
        <v>544</v>
      </c>
    </row>
    <row r="2" spans="1:3">
      <c r="A2" s="2" t="s">
        <v>494</v>
      </c>
      <c r="B2" s="100">
        <v>1522.4019249880373</v>
      </c>
      <c r="C2" s="100">
        <v>0</v>
      </c>
    </row>
    <row r="3" spans="1:3">
      <c r="A3" s="2" t="s">
        <v>251</v>
      </c>
      <c r="B3" s="100">
        <v>33.352584255106649</v>
      </c>
      <c r="C3" s="100">
        <v>0</v>
      </c>
    </row>
    <row r="4" spans="1:3">
      <c r="A4" s="2" t="s">
        <v>91</v>
      </c>
      <c r="B4" s="100">
        <v>2112.4729990245773</v>
      </c>
      <c r="C4" s="100">
        <v>0</v>
      </c>
    </row>
    <row r="5" spans="1:3">
      <c r="A5" s="2" t="s">
        <v>263</v>
      </c>
      <c r="B5" s="100">
        <v>1.5720622563778588</v>
      </c>
      <c r="C5" s="100">
        <v>0</v>
      </c>
    </row>
    <row r="6" spans="1:3">
      <c r="A6" s="2" t="s">
        <v>245</v>
      </c>
      <c r="B6" s="100">
        <v>47.018880575432853</v>
      </c>
      <c r="C6" s="100">
        <v>0</v>
      </c>
    </row>
    <row r="7" spans="1:3">
      <c r="A7" s="2" t="s">
        <v>296</v>
      </c>
      <c r="B7" s="100">
        <v>483.57709380030605</v>
      </c>
      <c r="C7" s="100">
        <v>0</v>
      </c>
    </row>
    <row r="8" spans="1:3">
      <c r="A8" s="2" t="s">
        <v>236</v>
      </c>
      <c r="B8" s="100">
        <v>2021.3457456465787</v>
      </c>
      <c r="C8" s="100">
        <v>0</v>
      </c>
    </row>
    <row r="9" spans="1:3">
      <c r="A9" s="2" t="s">
        <v>248</v>
      </c>
      <c r="B9" s="100">
        <v>219.6368891704262</v>
      </c>
      <c r="C9" s="100">
        <v>0</v>
      </c>
    </row>
    <row r="10" spans="1:3">
      <c r="A10" s="2" t="s">
        <v>256</v>
      </c>
      <c r="B10" s="100">
        <v>9.9750382400944932</v>
      </c>
      <c r="C10" s="100">
        <v>0</v>
      </c>
    </row>
    <row r="11" spans="1:3">
      <c r="A11" s="2" t="s">
        <v>254</v>
      </c>
      <c r="B11" s="100">
        <v>9.9750382400944932</v>
      </c>
      <c r="C11" s="100">
        <v>0</v>
      </c>
    </row>
    <row r="12" spans="1:3">
      <c r="A12" s="2" t="s">
        <v>304</v>
      </c>
      <c r="B12" s="100">
        <v>128.20590201811356</v>
      </c>
      <c r="C12" s="100">
        <v>0</v>
      </c>
    </row>
    <row r="13" spans="1:3">
      <c r="A13" s="2" t="s">
        <v>266</v>
      </c>
      <c r="B13" s="100">
        <v>54.051265694284574</v>
      </c>
      <c r="C13" s="100">
        <v>0</v>
      </c>
    </row>
    <row r="14" spans="1:3">
      <c r="A14" s="2" t="s">
        <v>289</v>
      </c>
      <c r="B14" s="100">
        <v>143.53432775233793</v>
      </c>
      <c r="C14" s="100">
        <v>20.088000000000005</v>
      </c>
    </row>
    <row r="15" spans="1:3">
      <c r="A15" s="2" t="s">
        <v>273</v>
      </c>
      <c r="B15" s="100">
        <v>42.262867994700002</v>
      </c>
      <c r="C15" s="100">
        <v>0</v>
      </c>
    </row>
    <row r="16" spans="1:3">
      <c r="A16" s="2" t="s">
        <v>285</v>
      </c>
      <c r="B16" s="100">
        <v>825.32238457594303</v>
      </c>
      <c r="C16" s="100">
        <v>115.50600000000003</v>
      </c>
    </row>
    <row r="17" spans="1:3">
      <c r="A17" s="2" t="s">
        <v>243</v>
      </c>
      <c r="B17" s="100">
        <v>27.894228269515395</v>
      </c>
      <c r="C17" s="100">
        <v>3.94460650461507</v>
      </c>
    </row>
    <row r="18" spans="1:3">
      <c r="A18" s="2" t="s">
        <v>293</v>
      </c>
      <c r="B18" s="100">
        <v>536.07425675671118</v>
      </c>
      <c r="C18" s="100">
        <v>181.82867184965446</v>
      </c>
    </row>
    <row r="19" spans="1:3">
      <c r="A19" s="2" t="s">
        <v>239</v>
      </c>
      <c r="B19" s="100">
        <v>12.91240515450388</v>
      </c>
      <c r="C19" s="100">
        <v>4.9829726459209231</v>
      </c>
    </row>
    <row r="20" spans="1:3">
      <c r="A20" s="2" t="s">
        <v>261</v>
      </c>
      <c r="B20" s="100">
        <v>8.9775344160850441</v>
      </c>
      <c r="C20" s="100">
        <v>0</v>
      </c>
    </row>
    <row r="21" spans="1:3">
      <c r="A21" s="2" t="s">
        <v>128</v>
      </c>
      <c r="B21" s="100">
        <v>5.8315799464254958</v>
      </c>
      <c r="C21" s="100">
        <v>0</v>
      </c>
    </row>
    <row r="22" spans="1:3">
      <c r="A22" s="2" t="s">
        <v>123</v>
      </c>
      <c r="B22" s="100">
        <v>945.62214814697199</v>
      </c>
      <c r="C22" s="100">
        <v>0</v>
      </c>
    </row>
    <row r="23" spans="1:3">
      <c r="A23" s="2" t="s">
        <v>103</v>
      </c>
      <c r="B23" s="100">
        <v>48.357193016818321</v>
      </c>
      <c r="C23" s="100">
        <v>11.290918324812377</v>
      </c>
    </row>
    <row r="24" spans="1:3">
      <c r="A24" s="2" t="s">
        <v>107</v>
      </c>
      <c r="B24" s="100">
        <v>462.07984438293067</v>
      </c>
      <c r="C24" s="100">
        <v>107.89099732598496</v>
      </c>
    </row>
    <row r="25" spans="1:3">
      <c r="A25" s="2" t="s">
        <v>149</v>
      </c>
      <c r="B25" s="100">
        <v>916.93334978253176</v>
      </c>
      <c r="C25" s="100">
        <v>18.072624384130165</v>
      </c>
    </row>
    <row r="26" spans="1:3">
      <c r="A26" s="2" t="s">
        <v>154</v>
      </c>
      <c r="B26" s="100">
        <v>1214.7030963461102</v>
      </c>
      <c r="C26" s="100">
        <v>453.05832262866801</v>
      </c>
    </row>
    <row r="27" spans="1:3">
      <c r="A27" s="2" t="s">
        <v>178</v>
      </c>
      <c r="B27" s="100">
        <v>107.85259287738549</v>
      </c>
      <c r="C27" s="100">
        <v>57.030544437703178</v>
      </c>
    </row>
    <row r="28" spans="1:3">
      <c r="A28" s="2" t="s">
        <v>187</v>
      </c>
      <c r="B28" s="100">
        <v>807.06632207933671</v>
      </c>
      <c r="C28" s="100">
        <v>301.01850833445724</v>
      </c>
    </row>
    <row r="29" spans="1:3">
      <c r="A29" s="2" t="s">
        <v>197</v>
      </c>
      <c r="B29" s="100">
        <v>951.46515085636088</v>
      </c>
      <c r="C29" s="100">
        <v>354.87618874381229</v>
      </c>
    </row>
    <row r="30" spans="1:3">
      <c r="A30" s="2" t="s">
        <v>209</v>
      </c>
      <c r="B30" s="100">
        <v>16972.549788800388</v>
      </c>
      <c r="C30" s="100">
        <v>0</v>
      </c>
    </row>
    <row r="31" spans="1:3">
      <c r="A31" s="2" t="s">
        <v>212</v>
      </c>
      <c r="B31" s="100">
        <v>5287.0600491274363</v>
      </c>
      <c r="C31" s="100">
        <v>0</v>
      </c>
    </row>
    <row r="32" spans="1:3">
      <c r="A32" s="2" t="s">
        <v>218</v>
      </c>
      <c r="B32" s="100">
        <v>459.69899950479748</v>
      </c>
      <c r="C32" s="100">
        <v>0</v>
      </c>
    </row>
    <row r="33" spans="1:3">
      <c r="A33" s="2" t="s">
        <v>228</v>
      </c>
      <c r="B33" s="100">
        <v>157.02533101427096</v>
      </c>
      <c r="C33" s="100">
        <v>58.450195793098501</v>
      </c>
    </row>
    <row r="34" spans="1:3">
      <c r="A34" s="2" t="s">
        <v>231</v>
      </c>
      <c r="B34" s="100">
        <v>488.14899471651944</v>
      </c>
      <c r="C34" s="100">
        <v>69.030613830763727</v>
      </c>
    </row>
    <row r="35" spans="1:3">
      <c r="A35" s="2" t="s">
        <v>258</v>
      </c>
      <c r="B35" s="100">
        <v>19.950076480188986</v>
      </c>
      <c r="C35" s="100">
        <v>0</v>
      </c>
    </row>
    <row r="36" spans="1:3">
      <c r="A36" s="2" t="s">
        <v>300</v>
      </c>
      <c r="B36" s="100">
        <v>23.986779974286829</v>
      </c>
      <c r="C36" s="100">
        <v>0</v>
      </c>
    </row>
    <row r="37" spans="1:3">
      <c r="A37" s="2" t="s">
        <v>503</v>
      </c>
      <c r="B37" s="100">
        <v>90.570694474605872</v>
      </c>
      <c r="C37" s="100">
        <v>0</v>
      </c>
    </row>
    <row r="38" spans="1:3">
      <c r="A38" s="2" t="s">
        <v>508</v>
      </c>
      <c r="B38" s="100">
        <v>9041.2276502375062</v>
      </c>
      <c r="C38" s="100">
        <v>3558.8442188262502</v>
      </c>
    </row>
    <row r="39" spans="1:3">
      <c r="A39" s="2" t="s">
        <v>530</v>
      </c>
      <c r="B39" s="100">
        <v>17202.229547161849</v>
      </c>
      <c r="C39" s="100">
        <v>0</v>
      </c>
    </row>
    <row r="40" spans="1:3">
      <c r="A40" s="2" t="s">
        <v>533</v>
      </c>
      <c r="B40" s="100">
        <v>19953.964952004957</v>
      </c>
      <c r="C40" s="100">
        <v>0</v>
      </c>
    </row>
    <row r="41" spans="1:3">
      <c r="A41" s="2" t="s">
        <v>201</v>
      </c>
      <c r="B41" s="100">
        <v>7.1523662229526659</v>
      </c>
      <c r="C41" s="100">
        <v>0.14097210908057853</v>
      </c>
    </row>
    <row r="42" spans="1:3">
      <c r="A42" s="2" t="s">
        <v>516</v>
      </c>
      <c r="B42" s="100">
        <v>37151.920361133736</v>
      </c>
      <c r="C42" s="100">
        <v>0</v>
      </c>
    </row>
    <row r="43" spans="1:3">
      <c r="A43" s="2" t="s">
        <v>205</v>
      </c>
      <c r="B43" s="100">
        <v>149.54793429930567</v>
      </c>
      <c r="C43" s="100">
        <v>55.778186842556849</v>
      </c>
    </row>
    <row r="44" spans="1:3">
      <c r="A44" s="2" t="s">
        <v>280</v>
      </c>
      <c r="B44" s="100">
        <v>1004.6399491611193</v>
      </c>
      <c r="C44" s="100">
        <v>450.56000000000012</v>
      </c>
    </row>
    <row r="45" spans="1:3">
      <c r="A45" s="2" t="s">
        <v>312</v>
      </c>
      <c r="B45" s="100">
        <v>216.03155310700652</v>
      </c>
      <c r="C45" s="100">
        <v>0</v>
      </c>
    </row>
    <row r="46" spans="1:3">
      <c r="A46" s="2" t="s">
        <v>316</v>
      </c>
      <c r="B46" s="100">
        <v>9849.1196622965872</v>
      </c>
      <c r="C46" s="100">
        <v>0</v>
      </c>
    </row>
    <row r="47" spans="1:3">
      <c r="A47" s="2" t="s">
        <v>346</v>
      </c>
      <c r="B47" s="100">
        <v>210.67783778909362</v>
      </c>
      <c r="C47" s="100">
        <v>0</v>
      </c>
    </row>
    <row r="48" spans="1:3">
      <c r="A48" s="2" t="s">
        <v>355</v>
      </c>
      <c r="B48" s="100">
        <v>9701.7860159371485</v>
      </c>
      <c r="C48" s="100">
        <v>0</v>
      </c>
    </row>
    <row r="49" spans="1:3">
      <c r="A49" s="2" t="s">
        <v>358</v>
      </c>
      <c r="B49" s="100">
        <v>1620.4823983907891</v>
      </c>
      <c r="C49" s="100">
        <v>0</v>
      </c>
    </row>
    <row r="50" spans="1:3">
      <c r="A50" s="2" t="s">
        <v>388</v>
      </c>
      <c r="B50" s="100">
        <v>9952.4560815550431</v>
      </c>
      <c r="C50" s="100">
        <v>1085.0000000000002</v>
      </c>
    </row>
    <row r="51" spans="1:3">
      <c r="A51" s="2" t="s">
        <v>365</v>
      </c>
      <c r="B51" s="100">
        <v>17.097053226718749</v>
      </c>
      <c r="C51" s="100">
        <v>0</v>
      </c>
    </row>
    <row r="52" spans="1:3">
      <c r="A52" s="2" t="s">
        <v>368</v>
      </c>
      <c r="B52" s="100">
        <v>2265.4123514620073</v>
      </c>
      <c r="C52" s="100">
        <v>0</v>
      </c>
    </row>
    <row r="53" spans="1:3">
      <c r="A53" s="2" t="s">
        <v>371</v>
      </c>
      <c r="B53" s="100">
        <v>384.68369760117184</v>
      </c>
      <c r="C53" s="100">
        <v>0</v>
      </c>
    </row>
    <row r="54" spans="1:3">
      <c r="A54" s="2" t="s">
        <v>373</v>
      </c>
      <c r="B54" s="100">
        <v>7853.9588260239243</v>
      </c>
      <c r="C54" s="100">
        <v>0</v>
      </c>
    </row>
    <row r="55" spans="1:3">
      <c r="A55" s="2" t="s">
        <v>414</v>
      </c>
      <c r="B55" s="100">
        <v>12.291134421911664</v>
      </c>
      <c r="C55" s="100">
        <v>8.25</v>
      </c>
    </row>
    <row r="56" spans="1:3">
      <c r="A56" s="2" t="s">
        <v>427</v>
      </c>
      <c r="B56" s="100">
        <v>5044.2945667615732</v>
      </c>
      <c r="C56" s="100">
        <v>3627.6111111111113</v>
      </c>
    </row>
    <row r="57" spans="1:3">
      <c r="A57" s="2" t="s">
        <v>430</v>
      </c>
      <c r="B57" s="100">
        <v>3594.4374457762106</v>
      </c>
      <c r="C57" s="100">
        <v>2584.9444444444448</v>
      </c>
    </row>
    <row r="58" spans="1:3">
      <c r="A58" s="2" t="s">
        <v>433</v>
      </c>
      <c r="B58" s="100">
        <v>142045.31642719414</v>
      </c>
      <c r="C58" s="100">
        <v>27522.321428571431</v>
      </c>
    </row>
    <row r="59" spans="1:3">
      <c r="A59" s="2" t="s">
        <v>438</v>
      </c>
      <c r="B59" s="100">
        <v>1340.6382146349997</v>
      </c>
      <c r="C59" s="100">
        <v>0</v>
      </c>
    </row>
    <row r="60" spans="1:3">
      <c r="A60" s="2" t="s">
        <v>441</v>
      </c>
      <c r="B60" s="100">
        <v>454.91000729158014</v>
      </c>
      <c r="C60" s="100">
        <v>0</v>
      </c>
    </row>
    <row r="61" spans="1:3">
      <c r="A61" s="2" t="s">
        <v>492</v>
      </c>
      <c r="B61" s="100">
        <v>170.97053226718751</v>
      </c>
      <c r="C61" s="100">
        <v>0</v>
      </c>
    </row>
    <row r="62" spans="1:3">
      <c r="A62" s="2" t="s">
        <v>497</v>
      </c>
      <c r="B62" s="100">
        <v>84.640182597920216</v>
      </c>
      <c r="C62" s="100">
        <v>0</v>
      </c>
    </row>
    <row r="63" spans="1:3">
      <c r="A63" s="2" t="s">
        <v>95</v>
      </c>
      <c r="B63" s="100">
        <v>52.896925230173423</v>
      </c>
      <c r="C63" s="100">
        <v>0</v>
      </c>
    </row>
    <row r="64" spans="1:3">
      <c r="A64" s="2" t="s">
        <v>99</v>
      </c>
      <c r="B64" s="100">
        <v>25.845458329526643</v>
      </c>
      <c r="C64" s="100">
        <v>0</v>
      </c>
    </row>
    <row r="65" spans="1:3">
      <c r="A65" s="2" t="s">
        <v>110</v>
      </c>
      <c r="B65" s="100">
        <v>16.034889835237582</v>
      </c>
      <c r="C65" s="100">
        <v>2.4959903609247145</v>
      </c>
    </row>
    <row r="66" spans="1:3">
      <c r="A66" s="2" t="s">
        <v>117</v>
      </c>
      <c r="B66" s="100">
        <v>2.980152592896943</v>
      </c>
      <c r="C66" s="100">
        <v>0.69583566420355347</v>
      </c>
    </row>
    <row r="67" spans="1:3">
      <c r="A67" s="2" t="s">
        <v>120</v>
      </c>
      <c r="B67" s="100">
        <v>71.523662229526636</v>
      </c>
      <c r="C67" s="100">
        <v>16.700055940885285</v>
      </c>
    </row>
    <row r="68" spans="1:3">
      <c r="A68" s="2" t="s">
        <v>131</v>
      </c>
      <c r="B68" s="100">
        <v>0</v>
      </c>
      <c r="C68" s="100">
        <v>0</v>
      </c>
    </row>
    <row r="69" spans="1:3">
      <c r="A69" s="2" t="s">
        <v>134</v>
      </c>
      <c r="B69" s="100">
        <v>0</v>
      </c>
      <c r="C69" s="100">
        <v>0</v>
      </c>
    </row>
    <row r="70" spans="1:3">
      <c r="A70" s="2" t="s">
        <v>136</v>
      </c>
      <c r="B70" s="100">
        <v>0</v>
      </c>
      <c r="C70" s="100">
        <v>0</v>
      </c>
    </row>
    <row r="71" spans="1:3">
      <c r="A71" s="2" t="s">
        <v>138</v>
      </c>
      <c r="B71" s="100">
        <v>3.0993586966128222</v>
      </c>
      <c r="C71" s="100">
        <v>0</v>
      </c>
    </row>
    <row r="72" spans="1:3">
      <c r="A72" s="2" t="s">
        <v>141</v>
      </c>
      <c r="B72" s="100">
        <v>524.50685634986212</v>
      </c>
      <c r="C72" s="100">
        <v>0</v>
      </c>
    </row>
    <row r="73" spans="1:3">
      <c r="A73" s="2" t="s">
        <v>143</v>
      </c>
      <c r="B73" s="100">
        <v>0</v>
      </c>
      <c r="C73" s="100">
        <v>0</v>
      </c>
    </row>
    <row r="74" spans="1:3">
      <c r="A74" s="2" t="s">
        <v>145</v>
      </c>
      <c r="B74" s="100">
        <v>0</v>
      </c>
      <c r="C74" s="100">
        <v>0</v>
      </c>
    </row>
    <row r="75" spans="1:3">
      <c r="A75" s="2" t="s">
        <v>221</v>
      </c>
      <c r="B75" s="100">
        <v>19.342877206727334</v>
      </c>
      <c r="C75" s="100">
        <v>0</v>
      </c>
    </row>
    <row r="76" spans="1:3">
      <c r="A76" s="2" t="s">
        <v>223</v>
      </c>
      <c r="B76" s="100">
        <v>304.24082722071557</v>
      </c>
      <c r="C76" s="100">
        <v>0</v>
      </c>
    </row>
    <row r="77" spans="1:3">
      <c r="A77" s="2" t="s">
        <v>269</v>
      </c>
      <c r="B77" s="100">
        <v>8.4525735989400008</v>
      </c>
      <c r="C77" s="100">
        <v>0</v>
      </c>
    </row>
    <row r="78" spans="1:3">
      <c r="A78" s="2" t="s">
        <v>275</v>
      </c>
      <c r="B78" s="100">
        <v>26.713495753560007</v>
      </c>
      <c r="C78" s="100">
        <v>0</v>
      </c>
    </row>
    <row r="79" spans="1:3">
      <c r="A79" s="2" t="s">
        <v>307</v>
      </c>
      <c r="B79" s="100">
        <v>109.62205103583533</v>
      </c>
      <c r="C79" s="100">
        <v>0</v>
      </c>
    </row>
    <row r="80" spans="1:3">
      <c r="A80" s="2" t="s">
        <v>339</v>
      </c>
      <c r="B80" s="100">
        <v>74.20569608579622</v>
      </c>
      <c r="C80" s="100">
        <v>0</v>
      </c>
    </row>
    <row r="81" spans="1:3">
      <c r="A81" s="2" t="s">
        <v>341</v>
      </c>
      <c r="B81" s="100">
        <v>1256.4300548464148</v>
      </c>
      <c r="C81" s="100">
        <v>0</v>
      </c>
    </row>
    <row r="82" spans="1:3">
      <c r="A82" s="2" t="s">
        <v>349</v>
      </c>
      <c r="B82" s="100">
        <v>755.24686598875462</v>
      </c>
      <c r="C82" s="100">
        <v>0</v>
      </c>
    </row>
    <row r="83" spans="1:3">
      <c r="A83" s="2" t="s">
        <v>361</v>
      </c>
      <c r="B83" s="100">
        <v>122.44850973694963</v>
      </c>
      <c r="C83" s="100">
        <v>0</v>
      </c>
    </row>
    <row r="84" spans="1:3">
      <c r="A84" s="2" t="s">
        <v>392</v>
      </c>
      <c r="B84" s="100">
        <v>17.631430326640377</v>
      </c>
      <c r="C84" s="100">
        <v>9</v>
      </c>
    </row>
    <row r="85" spans="1:3">
      <c r="A85" s="2" t="s">
        <v>421</v>
      </c>
      <c r="B85" s="100">
        <v>352.62860653280757</v>
      </c>
      <c r="C85" s="100">
        <v>179.99999999999997</v>
      </c>
    </row>
    <row r="86" spans="1:3">
      <c r="A86" s="2" t="s">
        <v>443</v>
      </c>
      <c r="B86" s="100">
        <v>121.0180364923591</v>
      </c>
      <c r="C86" s="100">
        <v>0</v>
      </c>
    </row>
    <row r="87" spans="1:3">
      <c r="A87" s="2" t="s">
        <v>445</v>
      </c>
      <c r="B87" s="100">
        <v>41.76432684224914</v>
      </c>
      <c r="C87" s="100">
        <v>0</v>
      </c>
    </row>
    <row r="88" spans="1:3">
      <c r="A88" s="2" t="s">
        <v>448</v>
      </c>
      <c r="B88" s="100">
        <v>19.840311844492593</v>
      </c>
      <c r="C88" s="100">
        <v>0</v>
      </c>
    </row>
    <row r="89" spans="1:3">
      <c r="A89" s="2" t="s">
        <v>450</v>
      </c>
      <c r="B89" s="100">
        <v>60.410713374390099</v>
      </c>
      <c r="C89" s="100">
        <v>43.44444444444445</v>
      </c>
    </row>
    <row r="90" spans="1:3">
      <c r="A90" s="2" t="s">
        <v>471</v>
      </c>
      <c r="B90" s="100">
        <v>10.385500273963221</v>
      </c>
      <c r="C90" s="100">
        <v>2.6568000000000001</v>
      </c>
    </row>
    <row r="91" spans="1:3">
      <c r="A91" s="2" t="s">
        <v>523</v>
      </c>
      <c r="B91" s="100">
        <v>2747.9610060217883</v>
      </c>
      <c r="C91" s="100">
        <v>0</v>
      </c>
    </row>
    <row r="92" spans="1:3">
      <c r="A92" s="2" t="s">
        <v>525</v>
      </c>
      <c r="B92" s="100">
        <v>0</v>
      </c>
      <c r="C92" s="100">
        <v>0</v>
      </c>
    </row>
    <row r="93" spans="1:3">
      <c r="A93" s="2" t="s">
        <v>527</v>
      </c>
      <c r="B93" s="100">
        <v>755.24686598875462</v>
      </c>
      <c r="C93" s="100">
        <v>0</v>
      </c>
    </row>
    <row r="94" spans="1:3">
      <c r="A94" s="2" t="s">
        <v>536</v>
      </c>
      <c r="B94" s="100">
        <v>0</v>
      </c>
      <c r="C94" s="100">
        <v>0</v>
      </c>
    </row>
    <row r="95" spans="1:3">
      <c r="A95" s="2" t="s">
        <v>538</v>
      </c>
      <c r="B95" s="100">
        <v>556.97216515657033</v>
      </c>
      <c r="C95" s="100">
        <v>0</v>
      </c>
    </row>
    <row r="96" spans="1:3">
      <c r="A96" s="2" t="s">
        <v>378</v>
      </c>
      <c r="B96" s="100">
        <v>344.95862293300706</v>
      </c>
      <c r="C96" s="100">
        <v>48.781633773739699</v>
      </c>
    </row>
    <row r="97" spans="1:3">
      <c r="A97" s="2" t="s">
        <v>381</v>
      </c>
      <c r="B97" s="100">
        <v>20.35437657864011</v>
      </c>
      <c r="C97" s="100">
        <v>10.76303449922232</v>
      </c>
    </row>
    <row r="98" spans="1:3">
      <c r="A98" s="2" t="s">
        <v>382</v>
      </c>
      <c r="B98" s="100">
        <v>137.09806404665656</v>
      </c>
      <c r="C98" s="100">
        <v>0</v>
      </c>
    </row>
    <row r="99" spans="1:3">
      <c r="A99" s="2" t="s">
        <v>462</v>
      </c>
      <c r="B99" s="100">
        <v>3516.2860805768205</v>
      </c>
      <c r="C99" s="100">
        <v>940.80000000000007</v>
      </c>
    </row>
    <row r="100" spans="1:3">
      <c r="A100" s="2" t="s">
        <v>395</v>
      </c>
      <c r="B100" s="100">
        <v>3983.8075728000003</v>
      </c>
      <c r="C100" s="100">
        <v>0</v>
      </c>
    </row>
    <row r="101" spans="1:3">
      <c r="A101" s="2" t="s">
        <v>401</v>
      </c>
      <c r="B101" s="100">
        <v>48.034043480000008</v>
      </c>
      <c r="C101" s="100">
        <v>0</v>
      </c>
    </row>
    <row r="102" spans="1:3">
      <c r="A102" s="2" t="s">
        <v>406</v>
      </c>
      <c r="B102" s="100">
        <v>1787.186402</v>
      </c>
      <c r="C102" s="100">
        <v>0</v>
      </c>
    </row>
    <row r="103" spans="1:3">
      <c r="A103" s="2" t="s">
        <v>411</v>
      </c>
      <c r="B103" s="100">
        <v>3.6361880000000006</v>
      </c>
      <c r="C103" s="100">
        <v>0</v>
      </c>
    </row>
    <row r="104" spans="1:3">
      <c r="A104" s="2" t="s">
        <v>417</v>
      </c>
      <c r="B104" s="100">
        <v>15.9992272</v>
      </c>
      <c r="C104" s="100">
        <v>0</v>
      </c>
    </row>
    <row r="105" spans="1:3">
      <c r="A105" s="2" t="s">
        <v>423</v>
      </c>
      <c r="B105" s="100">
        <v>65.45138399999999</v>
      </c>
      <c r="C105" s="100">
        <v>0</v>
      </c>
    </row>
    <row r="106" spans="1:3">
      <c r="A106" s="2" t="s">
        <v>453</v>
      </c>
      <c r="B106" s="100">
        <v>2770.6375199999998</v>
      </c>
      <c r="C106" s="100">
        <v>0</v>
      </c>
    </row>
    <row r="107" spans="1:3">
      <c r="A107" s="2" t="s">
        <v>457</v>
      </c>
      <c r="B107" s="100">
        <v>296.00314500000007</v>
      </c>
      <c r="C107" s="100">
        <v>0</v>
      </c>
    </row>
    <row r="108" spans="1:3">
      <c r="A108" s="2" t="s">
        <v>466</v>
      </c>
      <c r="B108" s="100">
        <v>5760.3329010000016</v>
      </c>
      <c r="C108" s="100">
        <v>0</v>
      </c>
    </row>
    <row r="109" spans="1:3">
      <c r="A109" s="2" t="s">
        <v>476</v>
      </c>
      <c r="B109" s="100">
        <v>26.807832000000001</v>
      </c>
      <c r="C109" s="100">
        <v>0</v>
      </c>
    </row>
    <row r="110" spans="1:3">
      <c r="A110" s="2" t="s">
        <v>479</v>
      </c>
      <c r="B110" s="100">
        <v>49644.133333333339</v>
      </c>
      <c r="C110" s="100">
        <v>0</v>
      </c>
    </row>
    <row r="111" spans="1:3">
      <c r="A111" s="2" t="s">
        <v>483</v>
      </c>
      <c r="B111" s="100">
        <v>3453.3700250000006</v>
      </c>
      <c r="C111" s="100">
        <v>0</v>
      </c>
    </row>
    <row r="112" spans="1:3">
      <c r="A112" s="2" t="s">
        <v>486</v>
      </c>
      <c r="B112" s="100">
        <v>14.297510400000006</v>
      </c>
      <c r="C112" s="100">
        <v>0</v>
      </c>
    </row>
    <row r="113" spans="1:3">
      <c r="A113" s="2" t="s">
        <v>488</v>
      </c>
      <c r="B113" s="100">
        <v>403.31849999999997</v>
      </c>
      <c r="C113" s="100">
        <v>0</v>
      </c>
    </row>
    <row r="114" spans="1:3">
      <c r="A114" s="2" t="s">
        <v>543</v>
      </c>
      <c r="B114" s="100">
        <v>396878.51411485323</v>
      </c>
      <c r="C114" s="100">
        <v>41905.857321391915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8F324-75F4-4753-8A00-67D2B01831AA}">
  <sheetPr codeName="Sheet9"/>
  <dimension ref="A1:C31"/>
  <sheetViews>
    <sheetView workbookViewId="0">
      <selection activeCell="L46" sqref="L46"/>
    </sheetView>
  </sheetViews>
  <sheetFormatPr defaultRowHeight="14.45"/>
  <cols>
    <col min="1" max="1" width="31.42578125" bestFit="1" customWidth="1"/>
    <col min="2" max="2" width="15.42578125" bestFit="1" customWidth="1"/>
    <col min="3" max="3" width="21.7109375" bestFit="1" customWidth="1"/>
  </cols>
  <sheetData>
    <row r="1" spans="1:3">
      <c r="A1" s="1" t="s">
        <v>541</v>
      </c>
      <c r="B1" t="s">
        <v>542</v>
      </c>
      <c r="C1" t="s">
        <v>544</v>
      </c>
    </row>
    <row r="2" spans="1:3">
      <c r="A2" s="2" t="s">
        <v>545</v>
      </c>
      <c r="B2" s="100">
        <v>66790.286331958734</v>
      </c>
      <c r="C2" s="100">
        <v>995.9012444444445</v>
      </c>
    </row>
    <row r="3" spans="1:3">
      <c r="A3" s="2" t="s">
        <v>227</v>
      </c>
      <c r="B3" s="100">
        <v>3135.8228541037661</v>
      </c>
      <c r="C3" s="100">
        <v>136.40838877439822</v>
      </c>
    </row>
    <row r="4" spans="1:3">
      <c r="A4" s="2" t="s">
        <v>268</v>
      </c>
      <c r="B4" s="100">
        <v>2050.9255988366003</v>
      </c>
      <c r="C4" s="100">
        <v>586.15400000000011</v>
      </c>
    </row>
    <row r="5" spans="1:3">
      <c r="A5" s="2" t="s">
        <v>292</v>
      </c>
      <c r="B5" s="100">
        <v>1147.8572525751308</v>
      </c>
      <c r="C5" s="100">
        <v>181.82867184965446</v>
      </c>
    </row>
    <row r="6" spans="1:3">
      <c r="A6" s="2" t="s">
        <v>90</v>
      </c>
      <c r="B6" s="100">
        <v>2112.4729990245773</v>
      </c>
      <c r="C6" s="100">
        <v>0</v>
      </c>
    </row>
    <row r="7" spans="1:3">
      <c r="A7" s="2" t="s">
        <v>102</v>
      </c>
      <c r="B7" s="100">
        <v>1552.4294701508074</v>
      </c>
      <c r="C7" s="100">
        <v>139.07379761681088</v>
      </c>
    </row>
    <row r="8" spans="1:3">
      <c r="A8" s="2" t="s">
        <v>148</v>
      </c>
      <c r="B8" s="100">
        <v>916.93334978253176</v>
      </c>
      <c r="C8" s="100">
        <v>18.072624384130165</v>
      </c>
    </row>
    <row r="9" spans="1:3">
      <c r="A9" s="2" t="s">
        <v>153</v>
      </c>
      <c r="B9" s="100">
        <v>1214.7030963461102</v>
      </c>
      <c r="C9" s="100">
        <v>453.05832262866801</v>
      </c>
    </row>
    <row r="10" spans="1:3">
      <c r="A10" s="2" t="s">
        <v>177</v>
      </c>
      <c r="B10" s="100">
        <v>107.85259287738549</v>
      </c>
      <c r="C10" s="100">
        <v>57.030544437703178</v>
      </c>
    </row>
    <row r="11" spans="1:3">
      <c r="A11" s="2" t="s">
        <v>186</v>
      </c>
      <c r="B11" s="100">
        <v>1758.5314729356976</v>
      </c>
      <c r="C11" s="100">
        <v>655.89469707826947</v>
      </c>
    </row>
    <row r="12" spans="1:3">
      <c r="A12" s="2" t="s">
        <v>200</v>
      </c>
      <c r="B12" s="100">
        <v>156.70030052225835</v>
      </c>
      <c r="C12" s="100">
        <v>55.919158951637428</v>
      </c>
    </row>
    <row r="13" spans="1:3">
      <c r="A13" s="2" t="s">
        <v>208</v>
      </c>
      <c r="B13" s="100">
        <v>22259.609837927826</v>
      </c>
      <c r="C13" s="100">
        <v>0</v>
      </c>
    </row>
    <row r="14" spans="1:3">
      <c r="A14" s="2" t="s">
        <v>217</v>
      </c>
      <c r="B14" s="100">
        <v>459.69899950479748</v>
      </c>
      <c r="C14" s="100">
        <v>0</v>
      </c>
    </row>
    <row r="15" spans="1:3">
      <c r="A15" s="2" t="s">
        <v>502</v>
      </c>
      <c r="B15" s="100">
        <v>90.570694474605872</v>
      </c>
      <c r="C15" s="100">
        <v>0</v>
      </c>
    </row>
    <row r="16" spans="1:3">
      <c r="A16" s="2" t="s">
        <v>507</v>
      </c>
      <c r="B16" s="100">
        <v>9041.2276502375062</v>
      </c>
      <c r="C16" s="100">
        <v>3558.8442188262502</v>
      </c>
    </row>
    <row r="17" spans="1:3">
      <c r="A17" s="2" t="s">
        <v>515</v>
      </c>
      <c r="B17" s="100">
        <v>37151.920361133736</v>
      </c>
      <c r="C17" s="100">
        <v>0</v>
      </c>
    </row>
    <row r="18" spans="1:3">
      <c r="A18" s="2" t="s">
        <v>529</v>
      </c>
      <c r="B18" s="100">
        <v>37156.194499166806</v>
      </c>
      <c r="C18" s="100">
        <v>0</v>
      </c>
    </row>
    <row r="19" spans="1:3">
      <c r="A19" s="2" t="s">
        <v>311</v>
      </c>
      <c r="B19" s="100">
        <v>3581.3090643829764</v>
      </c>
      <c r="C19" s="100">
        <v>0</v>
      </c>
    </row>
    <row r="20" spans="1:3">
      <c r="A20" s="2" t="s">
        <v>321</v>
      </c>
      <c r="B20" s="100">
        <v>803.00972617631578</v>
      </c>
      <c r="C20" s="100">
        <v>0</v>
      </c>
    </row>
    <row r="21" spans="1:3">
      <c r="A21" s="2" t="s">
        <v>324</v>
      </c>
      <c r="B21" s="100">
        <v>2068.0348617438899</v>
      </c>
      <c r="C21" s="100">
        <v>0</v>
      </c>
    </row>
    <row r="22" spans="1:3">
      <c r="A22" s="2" t="s">
        <v>333</v>
      </c>
      <c r="B22" s="100">
        <v>827.69684966639295</v>
      </c>
      <c r="C22" s="100">
        <v>0</v>
      </c>
    </row>
    <row r="23" spans="1:3">
      <c r="A23" s="2" t="s">
        <v>336</v>
      </c>
      <c r="B23" s="100">
        <v>2785.1007134340207</v>
      </c>
      <c r="C23" s="100">
        <v>0</v>
      </c>
    </row>
    <row r="24" spans="1:3">
      <c r="A24" s="2" t="s">
        <v>345</v>
      </c>
      <c r="B24" s="100">
        <v>210.67783778909362</v>
      </c>
      <c r="C24" s="100">
        <v>0</v>
      </c>
    </row>
    <row r="25" spans="1:3">
      <c r="A25" s="2" t="s">
        <v>354</v>
      </c>
      <c r="B25" s="100">
        <v>11322.268414327937</v>
      </c>
      <c r="C25" s="100">
        <v>0</v>
      </c>
    </row>
    <row r="26" spans="1:3">
      <c r="A26" s="2" t="s">
        <v>364</v>
      </c>
      <c r="B26" s="100">
        <v>11023.562991872126</v>
      </c>
      <c r="C26" s="100">
        <v>59.544668272962021</v>
      </c>
    </row>
    <row r="27" spans="1:3">
      <c r="A27" s="2" t="s">
        <v>387</v>
      </c>
      <c r="B27" s="100">
        <v>16221.490639989755</v>
      </c>
      <c r="C27" s="100">
        <v>1273.2500000000002</v>
      </c>
    </row>
    <row r="28" spans="1:3">
      <c r="A28" s="2" t="s">
        <v>426</v>
      </c>
      <c r="B28" s="100">
        <v>152479.59666165849</v>
      </c>
      <c r="C28" s="100">
        <v>33734.87698412699</v>
      </c>
    </row>
    <row r="29" spans="1:3">
      <c r="A29" s="2" t="s">
        <v>452</v>
      </c>
      <c r="B29" s="100">
        <v>6674.0163524</v>
      </c>
      <c r="C29" s="100">
        <v>0</v>
      </c>
    </row>
    <row r="30" spans="1:3">
      <c r="A30" s="2" t="s">
        <v>491</v>
      </c>
      <c r="B30" s="100">
        <v>1778.0126398531452</v>
      </c>
      <c r="C30" s="100">
        <v>0</v>
      </c>
    </row>
    <row r="31" spans="1:3">
      <c r="A31" s="2" t="s">
        <v>543</v>
      </c>
      <c r="B31" s="100">
        <v>396878.51411485305</v>
      </c>
      <c r="C31" s="100">
        <v>41905.857321391915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755FD-5855-4D42-BEA4-03F94D4671FA}">
  <sheetPr codeName="Sheet3"/>
  <dimension ref="A1:B2"/>
  <sheetViews>
    <sheetView workbookViewId="0">
      <selection activeCell="L46" sqref="L46"/>
    </sheetView>
  </sheetViews>
  <sheetFormatPr defaultRowHeight="14.45"/>
  <cols>
    <col min="1" max="1" width="15.42578125" bestFit="1" customWidth="1"/>
    <col min="2" max="2" width="19.7109375" bestFit="1" customWidth="1"/>
    <col min="3" max="3" width="12.28515625" bestFit="1" customWidth="1"/>
    <col min="4" max="4" width="13.85546875" bestFit="1" customWidth="1"/>
    <col min="5" max="7" width="12.28515625" bestFit="1" customWidth="1"/>
    <col min="8" max="8" width="13.85546875" bestFit="1" customWidth="1"/>
    <col min="9" max="11" width="2.85546875" bestFit="1" customWidth="1"/>
    <col min="12" max="12" width="10.7109375" bestFit="1" customWidth="1"/>
  </cols>
  <sheetData>
    <row r="1" spans="1:2">
      <c r="A1" t="s">
        <v>542</v>
      </c>
      <c r="B1" t="s">
        <v>546</v>
      </c>
    </row>
    <row r="2" spans="1:2">
      <c r="A2" s="100">
        <v>396878.51411485305</v>
      </c>
      <c r="B2" s="100">
        <v>260974.30213071813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1:BL118"/>
  <sheetViews>
    <sheetView showGridLines="0" topLeftCell="G96" zoomScaleNormal="100" zoomScaleSheetLayoutView="25" workbookViewId="0">
      <selection activeCell="P116" sqref="P116"/>
    </sheetView>
  </sheetViews>
  <sheetFormatPr defaultColWidth="16" defaultRowHeight="14.45" outlineLevelCol="1"/>
  <cols>
    <col min="1" max="1" width="3.7109375" style="20" customWidth="1"/>
    <col min="2" max="2" width="40" style="20" customWidth="1"/>
    <col min="3" max="4" width="40" customWidth="1"/>
    <col min="5" max="5" width="4" style="29" customWidth="1"/>
    <col min="6" max="6" width="16" style="20" customWidth="1"/>
    <col min="7" max="8" width="16" customWidth="1"/>
    <col min="9" max="10" width="24" customWidth="1"/>
    <col min="11" max="12" width="16" customWidth="1"/>
    <col min="13" max="13" width="30" customWidth="1"/>
    <col min="14" max="16" width="24" customWidth="1"/>
    <col min="17" max="19" width="30" customWidth="1"/>
    <col min="20" max="20" width="4" customWidth="1"/>
    <col min="21" max="24" width="20" customWidth="1" outlineLevel="1"/>
    <col min="25" max="25" width="4" customWidth="1" outlineLevel="1"/>
    <col min="26" max="28" width="12" customWidth="1" outlineLevel="1"/>
    <col min="29" max="29" width="4" customWidth="1" outlineLevel="1"/>
    <col min="30" max="34" width="12" customWidth="1" outlineLevel="1"/>
    <col min="35" max="35" width="4" customWidth="1" outlineLevel="1"/>
    <col min="36" max="40" width="12" customWidth="1" outlineLevel="1"/>
    <col min="41" max="41" width="4" customWidth="1" outlineLevel="1"/>
    <col min="42" max="45" width="20" customWidth="1" outlineLevel="1"/>
    <col min="46" max="46" width="4" customWidth="1" outlineLevel="1"/>
    <col min="47" max="49" width="12" customWidth="1" outlineLevel="1"/>
    <col min="50" max="50" width="4" customWidth="1" outlineLevel="1"/>
    <col min="51" max="55" width="12" customWidth="1" outlineLevel="1"/>
    <col min="56" max="56" width="4" customWidth="1" outlineLevel="1"/>
    <col min="57" max="61" width="12" customWidth="1" outlineLevel="1"/>
    <col min="62" max="62" width="4" customWidth="1"/>
    <col min="63" max="63" width="40" customWidth="1"/>
    <col min="64" max="64" width="4" customWidth="1"/>
    <col min="65" max="16384" width="16" style="20"/>
  </cols>
  <sheetData>
    <row r="1" spans="2:64" ht="15" customHeight="1"/>
    <row r="2" spans="2:64" ht="16.149999999999999" customHeight="1">
      <c r="B2" s="30" t="s">
        <v>547</v>
      </c>
      <c r="C2" s="31" t="s">
        <v>548</v>
      </c>
    </row>
    <row r="3" spans="2:64" ht="16.149999999999999" customHeight="1">
      <c r="B3" s="30" t="s">
        <v>549</v>
      </c>
      <c r="C3" s="31" t="s">
        <v>550</v>
      </c>
    </row>
    <row r="4" spans="2:64" ht="16.149999999999999" customHeight="1">
      <c r="B4" s="30" t="s">
        <v>551</v>
      </c>
      <c r="C4" s="31" t="s">
        <v>552</v>
      </c>
    </row>
    <row r="5" spans="2:64" ht="16.149999999999999" customHeight="1">
      <c r="B5" s="30" t="s">
        <v>553</v>
      </c>
      <c r="C5" s="31" t="s">
        <v>554</v>
      </c>
    </row>
    <row r="6" spans="2:64" ht="16.149999999999999" customHeight="1">
      <c r="B6" s="30" t="s">
        <v>555</v>
      </c>
      <c r="C6" s="31" t="s">
        <v>554</v>
      </c>
    </row>
    <row r="7" spans="2:64" ht="16.149999999999999" customHeight="1">
      <c r="B7" s="30" t="s">
        <v>556</v>
      </c>
      <c r="C7" s="31">
        <v>50</v>
      </c>
    </row>
    <row r="8" spans="2:64" ht="16.149999999999999" customHeight="1">
      <c r="B8" s="30" t="s">
        <v>557</v>
      </c>
      <c r="C8" s="31" t="s">
        <v>558</v>
      </c>
    </row>
    <row r="9" spans="2:64" ht="16.149999999999999" customHeight="1">
      <c r="B9" s="30" t="s">
        <v>61</v>
      </c>
      <c r="C9" s="31" t="s">
        <v>559</v>
      </c>
    </row>
    <row r="10" spans="2:64" ht="15" customHeight="1"/>
    <row r="11" spans="2:64" ht="24" customHeight="1">
      <c r="B11" s="144" t="s">
        <v>560</v>
      </c>
      <c r="C11" s="144" t="s">
        <v>277</v>
      </c>
      <c r="D11" s="144" t="s">
        <v>277</v>
      </c>
      <c r="E11" s="33" t="s">
        <v>277</v>
      </c>
      <c r="F11" s="144" t="s">
        <v>561</v>
      </c>
      <c r="G11" s="144" t="s">
        <v>277</v>
      </c>
      <c r="H11" s="144" t="s">
        <v>277</v>
      </c>
      <c r="I11" s="144" t="s">
        <v>277</v>
      </c>
      <c r="J11" s="144" t="s">
        <v>277</v>
      </c>
      <c r="K11" s="144" t="s">
        <v>277</v>
      </c>
      <c r="L11" s="144" t="s">
        <v>277</v>
      </c>
      <c r="M11" s="144" t="s">
        <v>277</v>
      </c>
      <c r="N11" s="144" t="s">
        <v>277</v>
      </c>
      <c r="O11" s="144" t="s">
        <v>277</v>
      </c>
      <c r="P11" s="144" t="s">
        <v>277</v>
      </c>
      <c r="Q11" s="144" t="s">
        <v>277</v>
      </c>
      <c r="R11" s="144" t="s">
        <v>277</v>
      </c>
      <c r="S11" s="144" t="s">
        <v>277</v>
      </c>
      <c r="T11" s="33" t="s">
        <v>277</v>
      </c>
      <c r="U11" s="144" t="s">
        <v>562</v>
      </c>
      <c r="V11" s="144" t="s">
        <v>277</v>
      </c>
      <c r="W11" s="144" t="s">
        <v>277</v>
      </c>
      <c r="X11" s="144" t="s">
        <v>277</v>
      </c>
      <c r="Y11" s="33" t="s">
        <v>277</v>
      </c>
      <c r="Z11" s="144" t="s">
        <v>563</v>
      </c>
      <c r="AA11" s="144" t="s">
        <v>277</v>
      </c>
      <c r="AB11" s="144" t="s">
        <v>277</v>
      </c>
      <c r="AC11" s="33" t="s">
        <v>277</v>
      </c>
      <c r="AD11" s="144" t="s">
        <v>564</v>
      </c>
      <c r="AE11" s="144" t="s">
        <v>277</v>
      </c>
      <c r="AF11" s="144" t="s">
        <v>277</v>
      </c>
      <c r="AG11" s="144" t="s">
        <v>277</v>
      </c>
      <c r="AH11" s="144" t="s">
        <v>277</v>
      </c>
      <c r="AI11" s="33" t="s">
        <v>277</v>
      </c>
      <c r="AJ11" s="144" t="s">
        <v>565</v>
      </c>
      <c r="AK11" s="144" t="s">
        <v>277</v>
      </c>
      <c r="AL11" s="144" t="s">
        <v>277</v>
      </c>
      <c r="AM11" s="144" t="s">
        <v>277</v>
      </c>
      <c r="AN11" s="144" t="s">
        <v>277</v>
      </c>
      <c r="AO11" s="33" t="s">
        <v>277</v>
      </c>
      <c r="AP11" s="144" t="s">
        <v>566</v>
      </c>
      <c r="AQ11" s="144" t="s">
        <v>277</v>
      </c>
      <c r="AR11" s="144" t="s">
        <v>277</v>
      </c>
      <c r="AS11" s="144" t="s">
        <v>277</v>
      </c>
      <c r="AT11" s="33" t="s">
        <v>277</v>
      </c>
      <c r="AU11" s="144" t="s">
        <v>567</v>
      </c>
      <c r="AV11" s="144" t="s">
        <v>277</v>
      </c>
      <c r="AW11" s="144" t="s">
        <v>277</v>
      </c>
      <c r="AX11" s="33" t="s">
        <v>277</v>
      </c>
      <c r="AY11" s="144" t="s">
        <v>568</v>
      </c>
      <c r="AZ11" s="144" t="s">
        <v>277</v>
      </c>
      <c r="BA11" s="144" t="s">
        <v>277</v>
      </c>
      <c r="BB11" s="144" t="s">
        <v>277</v>
      </c>
      <c r="BC11" s="144" t="s">
        <v>277</v>
      </c>
      <c r="BD11" s="33" t="s">
        <v>277</v>
      </c>
      <c r="BE11" s="144" t="s">
        <v>569</v>
      </c>
      <c r="BF11" s="144" t="s">
        <v>277</v>
      </c>
      <c r="BG11" s="144" t="s">
        <v>277</v>
      </c>
      <c r="BH11" s="144" t="s">
        <v>277</v>
      </c>
      <c r="BI11" s="144" t="s">
        <v>277</v>
      </c>
      <c r="BJ11" s="33" t="s">
        <v>277</v>
      </c>
      <c r="BK11" s="32" t="s">
        <v>570</v>
      </c>
      <c r="BL11" s="33" t="s">
        <v>277</v>
      </c>
    </row>
    <row r="12" spans="2:64" ht="24" customHeight="1">
      <c r="B12" s="34" t="s">
        <v>571</v>
      </c>
      <c r="C12" s="34" t="s">
        <v>572</v>
      </c>
      <c r="D12" s="34" t="s">
        <v>573</v>
      </c>
      <c r="E12" s="33" t="s">
        <v>277</v>
      </c>
      <c r="F12" s="34" t="s">
        <v>574</v>
      </c>
      <c r="G12" s="34" t="s">
        <v>575</v>
      </c>
      <c r="H12" s="34" t="s">
        <v>79</v>
      </c>
      <c r="I12" s="34" t="s">
        <v>576</v>
      </c>
      <c r="J12" s="34" t="s">
        <v>577</v>
      </c>
      <c r="K12" s="34" t="s">
        <v>578</v>
      </c>
      <c r="L12" s="34" t="s">
        <v>579</v>
      </c>
      <c r="M12" s="34" t="s">
        <v>580</v>
      </c>
      <c r="N12" s="34" t="s">
        <v>581</v>
      </c>
      <c r="O12" s="34" t="s">
        <v>582</v>
      </c>
      <c r="P12" s="34" t="s">
        <v>583</v>
      </c>
      <c r="Q12" s="34" t="s">
        <v>584</v>
      </c>
      <c r="R12" s="34" t="s">
        <v>585</v>
      </c>
      <c r="S12" s="34" t="s">
        <v>586</v>
      </c>
      <c r="T12" s="33" t="s">
        <v>277</v>
      </c>
      <c r="U12" s="34" t="s">
        <v>73</v>
      </c>
      <c r="V12" s="34" t="s">
        <v>587</v>
      </c>
      <c r="W12" s="34" t="s">
        <v>75</v>
      </c>
      <c r="X12" s="34" t="s">
        <v>588</v>
      </c>
      <c r="Y12" s="33" t="s">
        <v>277</v>
      </c>
      <c r="Z12" s="34" t="s">
        <v>589</v>
      </c>
      <c r="AA12" s="34" t="s">
        <v>590</v>
      </c>
      <c r="AB12" s="34" t="s">
        <v>591</v>
      </c>
      <c r="AC12" s="33" t="s">
        <v>277</v>
      </c>
      <c r="AD12" s="34" t="s">
        <v>592</v>
      </c>
      <c r="AE12" s="34" t="s">
        <v>593</v>
      </c>
      <c r="AF12" s="34" t="s">
        <v>594</v>
      </c>
      <c r="AG12" s="34" t="s">
        <v>595</v>
      </c>
      <c r="AH12" s="34" t="s">
        <v>596</v>
      </c>
      <c r="AI12" s="33" t="s">
        <v>277</v>
      </c>
      <c r="AJ12" s="34" t="s">
        <v>597</v>
      </c>
      <c r="AK12" s="34" t="s">
        <v>598</v>
      </c>
      <c r="AL12" s="34" t="s">
        <v>599</v>
      </c>
      <c r="AM12" s="34" t="s">
        <v>600</v>
      </c>
      <c r="AN12" s="34" t="s">
        <v>601</v>
      </c>
      <c r="AO12" s="33" t="s">
        <v>277</v>
      </c>
      <c r="AP12" s="34" t="s">
        <v>73</v>
      </c>
      <c r="AQ12" s="34" t="s">
        <v>587</v>
      </c>
      <c r="AR12" s="34" t="s">
        <v>75</v>
      </c>
      <c r="AS12" s="34" t="s">
        <v>588</v>
      </c>
      <c r="AT12" s="33" t="s">
        <v>277</v>
      </c>
      <c r="AU12" s="34" t="s">
        <v>589</v>
      </c>
      <c r="AV12" s="34" t="s">
        <v>590</v>
      </c>
      <c r="AW12" s="34" t="s">
        <v>591</v>
      </c>
      <c r="AX12" s="33" t="s">
        <v>277</v>
      </c>
      <c r="AY12" s="34" t="s">
        <v>592</v>
      </c>
      <c r="AZ12" s="34" t="s">
        <v>593</v>
      </c>
      <c r="BA12" s="34" t="s">
        <v>594</v>
      </c>
      <c r="BB12" s="34" t="s">
        <v>595</v>
      </c>
      <c r="BC12" s="34" t="s">
        <v>596</v>
      </c>
      <c r="BD12" s="33" t="s">
        <v>277</v>
      </c>
      <c r="BE12" s="34" t="s">
        <v>597</v>
      </c>
      <c r="BF12" s="34" t="s">
        <v>598</v>
      </c>
      <c r="BG12" s="34" t="s">
        <v>599</v>
      </c>
      <c r="BH12" s="34" t="s">
        <v>600</v>
      </c>
      <c r="BI12" s="34" t="s">
        <v>601</v>
      </c>
      <c r="BJ12" s="33" t="s">
        <v>277</v>
      </c>
      <c r="BK12" s="34" t="s">
        <v>602</v>
      </c>
      <c r="BL12" s="33" t="s">
        <v>277</v>
      </c>
    </row>
    <row r="13" spans="2:64" ht="19.899999999999999" customHeight="1">
      <c r="B13" s="30" t="s">
        <v>603</v>
      </c>
      <c r="C13" s="30" t="s">
        <v>216</v>
      </c>
      <c r="D13" s="30" t="s">
        <v>219</v>
      </c>
      <c r="E13" s="33" t="s">
        <v>277</v>
      </c>
      <c r="F13" s="30" t="s">
        <v>604</v>
      </c>
      <c r="G13" s="35">
        <v>1</v>
      </c>
      <c r="H13" s="30" t="s">
        <v>605</v>
      </c>
      <c r="I13" s="36">
        <v>50</v>
      </c>
      <c r="J13" s="36">
        <v>50</v>
      </c>
      <c r="K13" s="35">
        <v>0</v>
      </c>
      <c r="L13" s="30" t="s">
        <v>606</v>
      </c>
      <c r="M13" s="35">
        <v>21.890428547847499</v>
      </c>
      <c r="N13" s="35">
        <v>16.65269238258599</v>
      </c>
      <c r="O13" s="35">
        <v>5.2377361652615111</v>
      </c>
      <c r="P13" s="35">
        <v>21.890428547847499</v>
      </c>
      <c r="Q13" s="35">
        <v>158.06438631252001</v>
      </c>
      <c r="R13" s="35">
        <v>49.299804577403663</v>
      </c>
      <c r="S13" s="35">
        <v>207.36419088992363</v>
      </c>
      <c r="T13" s="33" t="s">
        <v>277</v>
      </c>
      <c r="U13" s="35">
        <v>10.752818243258101</v>
      </c>
      <c r="V13" s="35">
        <v>4.2534116871226377</v>
      </c>
      <c r="W13" s="35">
        <v>0</v>
      </c>
      <c r="X13" s="35">
        <v>1.6464624522052498</v>
      </c>
      <c r="Y13" s="33" t="s">
        <v>277</v>
      </c>
      <c r="Z13" s="35">
        <v>10.752818243258101</v>
      </c>
      <c r="AA13" s="35">
        <v>1.9478182802269504</v>
      </c>
      <c r="AB13" s="35">
        <v>2.3055934068956874</v>
      </c>
      <c r="AC13" s="33" t="s">
        <v>277</v>
      </c>
      <c r="AD13" s="35">
        <v>0</v>
      </c>
      <c r="AE13" s="35">
        <v>0</v>
      </c>
      <c r="AF13" s="35">
        <v>0</v>
      </c>
      <c r="AG13" s="35">
        <v>0</v>
      </c>
      <c r="AH13" s="35">
        <v>0</v>
      </c>
      <c r="AI13" s="33" t="s">
        <v>277</v>
      </c>
      <c r="AJ13" s="35">
        <v>1.5395559850732026</v>
      </c>
      <c r="AK13" s="35">
        <v>0.65576548767640641</v>
      </c>
      <c r="AL13" s="35">
        <v>0.24662424133786431</v>
      </c>
      <c r="AM13" s="35">
        <v>1.0944212640399001E-2</v>
      </c>
      <c r="AN13" s="35">
        <v>-0.8064274745226222</v>
      </c>
      <c r="AO13" s="33" t="s">
        <v>277</v>
      </c>
      <c r="AP13" s="35">
        <v>98.449981499999993</v>
      </c>
      <c r="AQ13" s="35">
        <v>42.049786791944996</v>
      </c>
      <c r="AR13" s="35">
        <v>0</v>
      </c>
      <c r="AS13" s="35">
        <v>17.564618020574997</v>
      </c>
      <c r="AT13" s="33" t="s">
        <v>277</v>
      </c>
      <c r="AU13" s="35">
        <v>98.449981499999993</v>
      </c>
      <c r="AV13" s="35">
        <v>20.299674150000001</v>
      </c>
      <c r="AW13" s="35">
        <v>21.750112641944998</v>
      </c>
      <c r="AX13" s="33" t="s">
        <v>277</v>
      </c>
      <c r="AY13" s="35">
        <v>0</v>
      </c>
      <c r="AZ13" s="35">
        <v>0</v>
      </c>
      <c r="BA13" s="35">
        <v>0</v>
      </c>
      <c r="BB13" s="35">
        <v>0</v>
      </c>
      <c r="BC13" s="35">
        <v>0</v>
      </c>
      <c r="BD13" s="33" t="s">
        <v>277</v>
      </c>
      <c r="BE13" s="35">
        <v>14.532836829239999</v>
      </c>
      <c r="BF13" s="35">
        <v>6.8342236305000004</v>
      </c>
      <c r="BG13" s="35">
        <v>2.3883234209999999</v>
      </c>
      <c r="BH13" s="35">
        <v>7.7523222000000003E-2</v>
      </c>
      <c r="BI13" s="35">
        <v>-6.2682890821650012</v>
      </c>
      <c r="BJ13" s="33" t="s">
        <v>277</v>
      </c>
      <c r="BK13" s="30" t="s">
        <v>277</v>
      </c>
      <c r="BL13" s="33" t="s">
        <v>277</v>
      </c>
    </row>
    <row r="14" spans="2:64" ht="19.899999999999999" customHeight="1">
      <c r="B14" s="37" t="s">
        <v>603</v>
      </c>
      <c r="C14" s="37" t="s">
        <v>579</v>
      </c>
      <c r="D14" s="37" t="s">
        <v>607</v>
      </c>
      <c r="E14" s="33" t="s">
        <v>277</v>
      </c>
      <c r="F14" s="37" t="s">
        <v>604</v>
      </c>
      <c r="G14" s="38">
        <v>1</v>
      </c>
      <c r="H14" s="37" t="s">
        <v>608</v>
      </c>
      <c r="I14" s="39">
        <v>12</v>
      </c>
      <c r="J14" s="39">
        <v>12</v>
      </c>
      <c r="K14" s="38">
        <v>0</v>
      </c>
      <c r="L14" s="37" t="s">
        <v>609</v>
      </c>
      <c r="M14" s="38">
        <v>-3.2795666440443569</v>
      </c>
      <c r="N14" s="38">
        <v>-3.2795666440443569</v>
      </c>
      <c r="O14" s="38">
        <v>0</v>
      </c>
      <c r="P14" s="38">
        <v>-3.2795666440443569</v>
      </c>
      <c r="Q14" s="38">
        <v>-25.766641675755942</v>
      </c>
      <c r="R14" s="38">
        <v>0</v>
      </c>
      <c r="S14" s="38">
        <v>-25.766641675755942</v>
      </c>
      <c r="T14" s="33" t="s">
        <v>277</v>
      </c>
      <c r="U14" s="38">
        <v>0</v>
      </c>
      <c r="V14" s="38">
        <v>0</v>
      </c>
      <c r="W14" s="38">
        <v>0</v>
      </c>
      <c r="X14" s="38">
        <v>-3.2795666440443569</v>
      </c>
      <c r="Y14" s="33" t="s">
        <v>277</v>
      </c>
      <c r="Z14" s="38">
        <v>0</v>
      </c>
      <c r="AA14" s="38">
        <v>0</v>
      </c>
      <c r="AB14" s="38">
        <v>0</v>
      </c>
      <c r="AC14" s="33" t="s">
        <v>277</v>
      </c>
      <c r="AD14" s="38">
        <v>0</v>
      </c>
      <c r="AE14" s="38">
        <v>0</v>
      </c>
      <c r="AF14" s="38">
        <v>0</v>
      </c>
      <c r="AG14" s="38">
        <v>0</v>
      </c>
      <c r="AH14" s="38">
        <v>0</v>
      </c>
      <c r="AI14" s="33" t="s">
        <v>277</v>
      </c>
      <c r="AJ14" s="38">
        <v>0</v>
      </c>
      <c r="AK14" s="38">
        <v>2.159937864462284E-2</v>
      </c>
      <c r="AL14" s="38">
        <v>5.9079371550707561E-5</v>
      </c>
      <c r="AM14" s="38">
        <v>2.106784973092332E-3</v>
      </c>
      <c r="AN14" s="38">
        <v>-3.303331887033623</v>
      </c>
      <c r="AO14" s="33" t="s">
        <v>277</v>
      </c>
      <c r="AP14" s="38">
        <v>0</v>
      </c>
      <c r="AQ14" s="38">
        <v>0</v>
      </c>
      <c r="AR14" s="38">
        <v>0</v>
      </c>
      <c r="AS14" s="38">
        <v>-25.766641675755942</v>
      </c>
      <c r="AT14" s="33" t="s">
        <v>277</v>
      </c>
      <c r="AU14" s="38">
        <v>0</v>
      </c>
      <c r="AV14" s="38">
        <v>0</v>
      </c>
      <c r="AW14" s="38">
        <v>0</v>
      </c>
      <c r="AX14" s="33" t="s">
        <v>277</v>
      </c>
      <c r="AY14" s="38">
        <v>0</v>
      </c>
      <c r="AZ14" s="38">
        <v>0</v>
      </c>
      <c r="BA14" s="38">
        <v>0</v>
      </c>
      <c r="BB14" s="38">
        <v>0</v>
      </c>
      <c r="BC14" s="38">
        <v>0</v>
      </c>
      <c r="BD14" s="33" t="s">
        <v>277</v>
      </c>
      <c r="BE14" s="38">
        <v>0</v>
      </c>
      <c r="BF14" s="38">
        <v>0.179209178175255</v>
      </c>
      <c r="BG14" s="38">
        <v>2.9241684329999997E-4</v>
      </c>
      <c r="BH14" s="38">
        <v>1.1247722283681002E-2</v>
      </c>
      <c r="BI14" s="38">
        <v>-25.957390993058176</v>
      </c>
      <c r="BJ14" s="33" t="s">
        <v>277</v>
      </c>
      <c r="BK14" s="37" t="s">
        <v>277</v>
      </c>
      <c r="BL14" s="33" t="s">
        <v>277</v>
      </c>
    </row>
    <row r="15" spans="2:64" ht="19.899999999999999" customHeight="1">
      <c r="B15" s="30" t="s">
        <v>603</v>
      </c>
      <c r="C15" s="30" t="s">
        <v>89</v>
      </c>
      <c r="D15" s="30" t="s">
        <v>610</v>
      </c>
      <c r="E15" s="33" t="s">
        <v>277</v>
      </c>
      <c r="F15" s="30" t="s">
        <v>604</v>
      </c>
      <c r="G15" s="35">
        <v>1</v>
      </c>
      <c r="H15" s="30" t="s">
        <v>118</v>
      </c>
      <c r="I15" s="36">
        <v>999</v>
      </c>
      <c r="J15" s="36">
        <v>50</v>
      </c>
      <c r="K15" s="35">
        <v>0</v>
      </c>
      <c r="L15" s="30" t="s">
        <v>606</v>
      </c>
      <c r="M15" s="35">
        <v>0.41737276423631303</v>
      </c>
      <c r="N15" s="35">
        <v>0.32013825320309064</v>
      </c>
      <c r="O15" s="35">
        <v>9.7234511033222407E-2</v>
      </c>
      <c r="P15" s="35">
        <v>0.41737276423631303</v>
      </c>
      <c r="Q15" s="35">
        <v>3.025876721655</v>
      </c>
      <c r="R15" s="35">
        <v>0.91733101198795808</v>
      </c>
      <c r="S15" s="35">
        <v>3.9432077336429581</v>
      </c>
      <c r="T15" s="33" t="s">
        <v>277</v>
      </c>
      <c r="U15" s="35">
        <v>7.8360466525147485E-2</v>
      </c>
      <c r="V15" s="35">
        <v>0.19744922605291723</v>
      </c>
      <c r="W15" s="35">
        <v>0</v>
      </c>
      <c r="X15" s="35">
        <v>4.4328560625025958E-2</v>
      </c>
      <c r="Y15" s="33" t="s">
        <v>277</v>
      </c>
      <c r="Z15" s="35">
        <v>7.8360466525147485E-2</v>
      </c>
      <c r="AA15" s="35">
        <v>0.15477277776451195</v>
      </c>
      <c r="AB15" s="35">
        <v>4.2676448288405278E-2</v>
      </c>
      <c r="AC15" s="33" t="s">
        <v>277</v>
      </c>
      <c r="AD15" s="35">
        <v>0</v>
      </c>
      <c r="AE15" s="35">
        <v>0</v>
      </c>
      <c r="AF15" s="35">
        <v>0</v>
      </c>
      <c r="AG15" s="35">
        <v>0</v>
      </c>
      <c r="AH15" s="35">
        <v>0</v>
      </c>
      <c r="AI15" s="33" t="s">
        <v>277</v>
      </c>
      <c r="AJ15" s="35">
        <v>4.2676448288405278E-2</v>
      </c>
      <c r="AK15" s="35">
        <v>5.6234109254439356E-3</v>
      </c>
      <c r="AL15" s="35">
        <v>0</v>
      </c>
      <c r="AM15" s="35">
        <v>5.4721063201994997E-6</v>
      </c>
      <c r="AN15" s="35">
        <v>-3.9767706951434629E-3</v>
      </c>
      <c r="AO15" s="33" t="s">
        <v>277</v>
      </c>
      <c r="AP15" s="35">
        <v>0.55416294749999995</v>
      </c>
      <c r="AQ15" s="35">
        <v>2.0294463600000001</v>
      </c>
      <c r="AR15" s="35">
        <v>0</v>
      </c>
      <c r="AS15" s="35">
        <v>0.44226741415499998</v>
      </c>
      <c r="AT15" s="33" t="s">
        <v>277</v>
      </c>
      <c r="AU15" s="35">
        <v>0.55416294749999995</v>
      </c>
      <c r="AV15" s="35">
        <v>1.613965248</v>
      </c>
      <c r="AW15" s="35">
        <v>0.41548111199999999</v>
      </c>
      <c r="AX15" s="33" t="s">
        <v>277</v>
      </c>
      <c r="AY15" s="35">
        <v>0</v>
      </c>
      <c r="AZ15" s="35">
        <v>0</v>
      </c>
      <c r="BA15" s="35">
        <v>0</v>
      </c>
      <c r="BB15" s="35">
        <v>0</v>
      </c>
      <c r="BC15" s="35">
        <v>0</v>
      </c>
      <c r="BD15" s="33" t="s">
        <v>277</v>
      </c>
      <c r="BE15" s="35">
        <v>0.41548111199999999</v>
      </c>
      <c r="BF15" s="35">
        <v>5.8640737343999993E-2</v>
      </c>
      <c r="BG15" s="35">
        <v>0</v>
      </c>
      <c r="BH15" s="35">
        <v>3.8761611000000002E-5</v>
      </c>
      <c r="BI15" s="35">
        <v>-3.1893196800000023E-2</v>
      </c>
      <c r="BJ15" s="33" t="s">
        <v>277</v>
      </c>
      <c r="BK15" s="30" t="s">
        <v>277</v>
      </c>
      <c r="BL15" s="33" t="s">
        <v>277</v>
      </c>
    </row>
    <row r="16" spans="2:64" ht="19.899999999999999" customHeight="1">
      <c r="B16" s="37" t="s">
        <v>603</v>
      </c>
      <c r="C16" s="37" t="s">
        <v>89</v>
      </c>
      <c r="D16" s="37" t="s">
        <v>611</v>
      </c>
      <c r="E16" s="33" t="s">
        <v>277</v>
      </c>
      <c r="F16" s="37" t="s">
        <v>604</v>
      </c>
      <c r="G16" s="38">
        <v>1</v>
      </c>
      <c r="H16" s="37" t="s">
        <v>118</v>
      </c>
      <c r="I16" s="39">
        <v>999</v>
      </c>
      <c r="J16" s="39">
        <v>50</v>
      </c>
      <c r="K16" s="38">
        <v>0</v>
      </c>
      <c r="L16" s="37" t="s">
        <v>606</v>
      </c>
      <c r="M16" s="38">
        <v>0.39204091643742228</v>
      </c>
      <c r="N16" s="38">
        <v>0.30149957470280342</v>
      </c>
      <c r="O16" s="38">
        <v>9.0541341734618863E-2</v>
      </c>
      <c r="P16" s="38">
        <v>0.39204091643742228</v>
      </c>
      <c r="Q16" s="38">
        <v>3.0363044526105103</v>
      </c>
      <c r="R16" s="38">
        <v>0.91162491553427139</v>
      </c>
      <c r="S16" s="38">
        <v>3.9479293681447816</v>
      </c>
      <c r="T16" s="33" t="s">
        <v>277</v>
      </c>
      <c r="U16" s="38">
        <v>6.0076357669279759E-3</v>
      </c>
      <c r="V16" s="38">
        <v>0.19984002338656126</v>
      </c>
      <c r="W16" s="38">
        <v>0</v>
      </c>
      <c r="X16" s="38">
        <v>9.5651915549314168E-2</v>
      </c>
      <c r="Y16" s="33" t="s">
        <v>277</v>
      </c>
      <c r="Z16" s="38">
        <v>6.0076357669279759E-3</v>
      </c>
      <c r="AA16" s="38">
        <v>0.15582546241815598</v>
      </c>
      <c r="AB16" s="38">
        <v>4.4014560968405281E-2</v>
      </c>
      <c r="AC16" s="33" t="s">
        <v>277</v>
      </c>
      <c r="AD16" s="38">
        <v>0</v>
      </c>
      <c r="AE16" s="38">
        <v>0</v>
      </c>
      <c r="AF16" s="38">
        <v>0</v>
      </c>
      <c r="AG16" s="38">
        <v>0</v>
      </c>
      <c r="AH16" s="38">
        <v>0</v>
      </c>
      <c r="AI16" s="33" t="s">
        <v>277</v>
      </c>
      <c r="AJ16" s="38">
        <v>4.4014560968405281E-2</v>
      </c>
      <c r="AK16" s="38">
        <v>5.194182080605201E-2</v>
      </c>
      <c r="AL16" s="38">
        <v>0</v>
      </c>
      <c r="AM16" s="38">
        <v>4.1952815121529498E-7</v>
      </c>
      <c r="AN16" s="38">
        <v>-3.0488575329433215E-4</v>
      </c>
      <c r="AO16" s="33" t="s">
        <v>277</v>
      </c>
      <c r="AP16" s="38">
        <v>4.2485825975000002E-2</v>
      </c>
      <c r="AQ16" s="38">
        <v>2.0394550440000003</v>
      </c>
      <c r="AR16" s="38">
        <v>0</v>
      </c>
      <c r="AS16" s="38">
        <v>0.95436358263551013</v>
      </c>
      <c r="AT16" s="33" t="s">
        <v>277</v>
      </c>
      <c r="AU16" s="38">
        <v>4.2485825975000002E-2</v>
      </c>
      <c r="AV16" s="38">
        <v>1.6239739320000002</v>
      </c>
      <c r="AW16" s="38">
        <v>0.41548111199999999</v>
      </c>
      <c r="AX16" s="33" t="s">
        <v>277</v>
      </c>
      <c r="AY16" s="38">
        <v>0</v>
      </c>
      <c r="AZ16" s="38">
        <v>0</v>
      </c>
      <c r="BA16" s="38">
        <v>0</v>
      </c>
      <c r="BB16" s="38">
        <v>0</v>
      </c>
      <c r="BC16" s="38">
        <v>0</v>
      </c>
      <c r="BD16" s="33" t="s">
        <v>277</v>
      </c>
      <c r="BE16" s="38">
        <v>0.41548111199999999</v>
      </c>
      <c r="BF16" s="38">
        <v>0.54132464400000002</v>
      </c>
      <c r="BG16" s="38">
        <v>0</v>
      </c>
      <c r="BH16" s="38">
        <v>2.9717235100000002E-6</v>
      </c>
      <c r="BI16" s="38">
        <v>-2.4451450880000024E-3</v>
      </c>
      <c r="BJ16" s="33" t="s">
        <v>277</v>
      </c>
      <c r="BK16" s="37" t="s">
        <v>277</v>
      </c>
      <c r="BL16" s="33" t="s">
        <v>277</v>
      </c>
    </row>
    <row r="17" spans="2:64" ht="19.899999999999999" customHeight="1">
      <c r="B17" s="30" t="s">
        <v>603</v>
      </c>
      <c r="C17" s="30" t="s">
        <v>612</v>
      </c>
      <c r="D17" s="30" t="s">
        <v>150</v>
      </c>
      <c r="E17" s="33" t="s">
        <v>277</v>
      </c>
      <c r="F17" s="30" t="s">
        <v>604</v>
      </c>
      <c r="G17" s="35">
        <v>1</v>
      </c>
      <c r="H17" s="30" t="s">
        <v>613</v>
      </c>
      <c r="I17" s="36">
        <v>999</v>
      </c>
      <c r="J17" s="36">
        <v>50</v>
      </c>
      <c r="K17" s="35">
        <v>0</v>
      </c>
      <c r="L17" s="30" t="s">
        <v>606</v>
      </c>
      <c r="M17" s="35">
        <v>4.7682441486351106</v>
      </c>
      <c r="N17" s="35">
        <v>3.6678800807004404</v>
      </c>
      <c r="O17" s="35">
        <v>1.10036406793467</v>
      </c>
      <c r="P17" s="35">
        <v>4.7682441486351106</v>
      </c>
      <c r="Q17" s="35">
        <v>34.623426000000002</v>
      </c>
      <c r="R17" s="35">
        <v>10.387028212743404</v>
      </c>
      <c r="S17" s="35">
        <v>45.010454212743404</v>
      </c>
      <c r="T17" s="33" t="s">
        <v>277</v>
      </c>
      <c r="U17" s="35">
        <v>0</v>
      </c>
      <c r="V17" s="35">
        <v>3.6678800807004404</v>
      </c>
      <c r="W17" s="35">
        <v>0</v>
      </c>
      <c r="X17" s="35">
        <v>0</v>
      </c>
      <c r="Y17" s="33" t="s">
        <v>277</v>
      </c>
      <c r="Z17" s="35">
        <v>0</v>
      </c>
      <c r="AA17" s="35">
        <v>0</v>
      </c>
      <c r="AB17" s="35">
        <v>3.6678800807004404</v>
      </c>
      <c r="AC17" s="33" t="s">
        <v>277</v>
      </c>
      <c r="AD17" s="35">
        <v>0</v>
      </c>
      <c r="AE17" s="35">
        <v>0</v>
      </c>
      <c r="AF17" s="35">
        <v>0</v>
      </c>
      <c r="AG17" s="35">
        <v>0</v>
      </c>
      <c r="AH17" s="35">
        <v>0</v>
      </c>
      <c r="AI17" s="33" t="s">
        <v>277</v>
      </c>
      <c r="AJ17" s="35">
        <v>0</v>
      </c>
      <c r="AK17" s="35">
        <v>0</v>
      </c>
      <c r="AL17" s="35">
        <v>0</v>
      </c>
      <c r="AM17" s="35">
        <v>0</v>
      </c>
      <c r="AN17" s="35">
        <v>0</v>
      </c>
      <c r="AO17" s="33" t="s">
        <v>277</v>
      </c>
      <c r="AP17" s="35">
        <v>0</v>
      </c>
      <c r="AQ17" s="35">
        <v>34.623426000000002</v>
      </c>
      <c r="AR17" s="35">
        <v>0</v>
      </c>
      <c r="AS17" s="35">
        <v>0</v>
      </c>
      <c r="AT17" s="33" t="s">
        <v>277</v>
      </c>
      <c r="AU17" s="35">
        <v>0</v>
      </c>
      <c r="AV17" s="35">
        <v>0</v>
      </c>
      <c r="AW17" s="35">
        <v>34.623426000000002</v>
      </c>
      <c r="AX17" s="33" t="s">
        <v>277</v>
      </c>
      <c r="AY17" s="35">
        <v>0</v>
      </c>
      <c r="AZ17" s="35">
        <v>0</v>
      </c>
      <c r="BA17" s="35">
        <v>0</v>
      </c>
      <c r="BB17" s="35">
        <v>0</v>
      </c>
      <c r="BC17" s="35">
        <v>0</v>
      </c>
      <c r="BD17" s="33" t="s">
        <v>277</v>
      </c>
      <c r="BE17" s="35">
        <v>0</v>
      </c>
      <c r="BF17" s="35">
        <v>0</v>
      </c>
      <c r="BG17" s="35">
        <v>0</v>
      </c>
      <c r="BH17" s="35">
        <v>0</v>
      </c>
      <c r="BI17" s="35">
        <v>0</v>
      </c>
      <c r="BJ17" s="33" t="s">
        <v>277</v>
      </c>
      <c r="BK17" s="30" t="s">
        <v>277</v>
      </c>
      <c r="BL17" s="33" t="s">
        <v>277</v>
      </c>
    </row>
    <row r="18" spans="2:64" ht="19.899999999999999" customHeight="1">
      <c r="B18" s="37" t="s">
        <v>603</v>
      </c>
      <c r="C18" s="37" t="s">
        <v>614</v>
      </c>
      <c r="D18" s="37" t="s">
        <v>504</v>
      </c>
      <c r="E18" s="33" t="s">
        <v>277</v>
      </c>
      <c r="F18" s="37" t="s">
        <v>604</v>
      </c>
      <c r="G18" s="38">
        <v>1</v>
      </c>
      <c r="H18" s="37" t="s">
        <v>605</v>
      </c>
      <c r="I18" s="39">
        <v>50</v>
      </c>
      <c r="J18" s="39">
        <v>50</v>
      </c>
      <c r="K18" s="38">
        <v>0</v>
      </c>
      <c r="L18" s="37" t="s">
        <v>606</v>
      </c>
      <c r="M18" s="38">
        <v>4.0253641988713715</v>
      </c>
      <c r="N18" s="38">
        <v>2.4764990094220853</v>
      </c>
      <c r="O18" s="38">
        <v>1.5488651894492864</v>
      </c>
      <c r="P18" s="38">
        <v>4.0253641988713715</v>
      </c>
      <c r="Q18" s="38">
        <v>19.897951459642659</v>
      </c>
      <c r="R18" s="38">
        <v>12.278894643432215</v>
      </c>
      <c r="S18" s="38">
        <v>32.176846103074887</v>
      </c>
      <c r="T18" s="33" t="s">
        <v>277</v>
      </c>
      <c r="U18" s="38">
        <v>4.9281309942607594</v>
      </c>
      <c r="V18" s="38">
        <v>0.18690197379611492</v>
      </c>
      <c r="W18" s="38">
        <v>0</v>
      </c>
      <c r="X18" s="38">
        <v>-2.6385339586347887</v>
      </c>
      <c r="Y18" s="33" t="s">
        <v>277</v>
      </c>
      <c r="Z18" s="38">
        <v>4.9281309942607594</v>
      </c>
      <c r="AA18" s="38">
        <v>3.6526718659909502E-2</v>
      </c>
      <c r="AB18" s="38">
        <v>0.15037525513620542</v>
      </c>
      <c r="AC18" s="33" t="s">
        <v>277</v>
      </c>
      <c r="AD18" s="38">
        <v>0</v>
      </c>
      <c r="AE18" s="38">
        <v>0</v>
      </c>
      <c r="AF18" s="38">
        <v>0</v>
      </c>
      <c r="AG18" s="38">
        <v>0</v>
      </c>
      <c r="AH18" s="38">
        <v>0</v>
      </c>
      <c r="AI18" s="33" t="s">
        <v>277</v>
      </c>
      <c r="AJ18" s="38">
        <v>0</v>
      </c>
      <c r="AK18" s="38">
        <v>1.2450571419719069E-2</v>
      </c>
      <c r="AL18" s="38">
        <v>3.4618940892314196E-2</v>
      </c>
      <c r="AM18" s="38">
        <v>7.8127930747789998E-4</v>
      </c>
      <c r="AN18" s="38">
        <v>-2.6863847502542999</v>
      </c>
      <c r="AO18" s="33" t="s">
        <v>277</v>
      </c>
      <c r="AP18" s="38">
        <v>38.862044997600002</v>
      </c>
      <c r="AQ18" s="38">
        <v>1.4987223424567899</v>
      </c>
      <c r="AR18" s="38">
        <v>0</v>
      </c>
      <c r="AS18" s="38">
        <v>-20.46281588041413</v>
      </c>
      <c r="AT18" s="33" t="s">
        <v>277</v>
      </c>
      <c r="AU18" s="38">
        <v>38.862044997600002</v>
      </c>
      <c r="AV18" s="38">
        <v>0.30659669629050001</v>
      </c>
      <c r="AW18" s="38">
        <v>1.1921256461662899</v>
      </c>
      <c r="AX18" s="33" t="s">
        <v>277</v>
      </c>
      <c r="AY18" s="38">
        <v>0</v>
      </c>
      <c r="AZ18" s="38">
        <v>0</v>
      </c>
      <c r="BA18" s="38">
        <v>0</v>
      </c>
      <c r="BB18" s="38">
        <v>0</v>
      </c>
      <c r="BC18" s="38">
        <v>0</v>
      </c>
      <c r="BD18" s="33" t="s">
        <v>277</v>
      </c>
      <c r="BE18" s="38">
        <v>0</v>
      </c>
      <c r="BF18" s="38">
        <v>0.10450717185293</v>
      </c>
      <c r="BG18" s="38">
        <v>0.45262381629168003</v>
      </c>
      <c r="BH18" s="38">
        <v>1.1748856841259999E-2</v>
      </c>
      <c r="BI18" s="38">
        <v>-21.031695725399999</v>
      </c>
      <c r="BJ18" s="33" t="s">
        <v>277</v>
      </c>
      <c r="BK18" s="37" t="s">
        <v>277</v>
      </c>
      <c r="BL18" s="33" t="s">
        <v>277</v>
      </c>
    </row>
    <row r="19" spans="2:64" ht="19.899999999999999" customHeight="1">
      <c r="B19" s="30" t="s">
        <v>603</v>
      </c>
      <c r="C19" s="30" t="s">
        <v>353</v>
      </c>
      <c r="D19" s="30" t="s">
        <v>472</v>
      </c>
      <c r="E19" s="33" t="s">
        <v>277</v>
      </c>
      <c r="F19" s="30" t="s">
        <v>604</v>
      </c>
      <c r="G19" s="35">
        <v>1</v>
      </c>
      <c r="H19" s="30" t="s">
        <v>118</v>
      </c>
      <c r="I19" s="36">
        <v>25</v>
      </c>
      <c r="J19" s="36">
        <v>25</v>
      </c>
      <c r="K19" s="35">
        <v>1</v>
      </c>
      <c r="L19" s="30" t="s">
        <v>606</v>
      </c>
      <c r="M19" s="35">
        <v>2.4040509893433377</v>
      </c>
      <c r="N19" s="35">
        <v>3.665116631493643</v>
      </c>
      <c r="O19" s="35">
        <v>1.1429853471930325</v>
      </c>
      <c r="P19" s="35">
        <v>4.8081019786866754</v>
      </c>
      <c r="Q19" s="35">
        <v>35.080810888410447</v>
      </c>
      <c r="R19" s="35">
        <v>10.86197911388644</v>
      </c>
      <c r="S19" s="35">
        <v>45.942790002296888</v>
      </c>
      <c r="T19" s="33" t="s">
        <v>277</v>
      </c>
      <c r="U19" s="35">
        <v>1.2399356796049887</v>
      </c>
      <c r="V19" s="35">
        <v>0.4550493878585522</v>
      </c>
      <c r="W19" s="35">
        <v>1.8325583157468215</v>
      </c>
      <c r="X19" s="35">
        <v>0.13757324828328046</v>
      </c>
      <c r="Y19" s="33" t="s">
        <v>277</v>
      </c>
      <c r="Z19" s="35">
        <v>1.2399356796049887</v>
      </c>
      <c r="AA19" s="35">
        <v>0.32589147131327179</v>
      </c>
      <c r="AB19" s="35">
        <v>0.12915791654528044</v>
      </c>
      <c r="AC19" s="33" t="s">
        <v>277</v>
      </c>
      <c r="AD19" s="35">
        <v>0</v>
      </c>
      <c r="AE19" s="35">
        <v>0</v>
      </c>
      <c r="AF19" s="35">
        <v>0</v>
      </c>
      <c r="AG19" s="35">
        <v>1.8325583157468215</v>
      </c>
      <c r="AH19" s="35">
        <v>0</v>
      </c>
      <c r="AI19" s="33" t="s">
        <v>277</v>
      </c>
      <c r="AJ19" s="35">
        <v>7.8230297889582467E-2</v>
      </c>
      <c r="AK19" s="35">
        <v>0.10863049043775727</v>
      </c>
      <c r="AL19" s="35">
        <v>2.214685687214021E-2</v>
      </c>
      <c r="AM19" s="35">
        <v>9.827902951078302E-4</v>
      </c>
      <c r="AN19" s="35">
        <v>-7.2417187211307327E-2</v>
      </c>
      <c r="AO19" s="33" t="s">
        <v>277</v>
      </c>
      <c r="AP19" s="35">
        <v>12.615409319999999</v>
      </c>
      <c r="AQ19" s="35">
        <v>3.7811613536922417</v>
      </c>
      <c r="AR19" s="35">
        <v>17.540405444205224</v>
      </c>
      <c r="AS19" s="35">
        <v>1.1438347705129825</v>
      </c>
      <c r="AT19" s="33" t="s">
        <v>277</v>
      </c>
      <c r="AU19" s="35">
        <v>12.615409319999999</v>
      </c>
      <c r="AV19" s="35">
        <v>2.70390846465</v>
      </c>
      <c r="AW19" s="35">
        <v>1.0772528890422419</v>
      </c>
      <c r="AX19" s="33" t="s">
        <v>277</v>
      </c>
      <c r="AY19" s="35">
        <v>0</v>
      </c>
      <c r="AZ19" s="35">
        <v>0</v>
      </c>
      <c r="BA19" s="35">
        <v>0</v>
      </c>
      <c r="BB19" s="35">
        <v>17.540405444205224</v>
      </c>
      <c r="BC19" s="35">
        <v>0</v>
      </c>
      <c r="BD19" s="33" t="s">
        <v>277</v>
      </c>
      <c r="BE19" s="35">
        <v>0.58399128</v>
      </c>
      <c r="BF19" s="35">
        <v>0.90130282154999974</v>
      </c>
      <c r="BG19" s="35">
        <v>0.21447144320579997</v>
      </c>
      <c r="BH19" s="35">
        <v>6.9615853356000002E-3</v>
      </c>
      <c r="BI19" s="35">
        <v>-0.56289235957841699</v>
      </c>
      <c r="BJ19" s="33" t="s">
        <v>277</v>
      </c>
      <c r="BK19" s="30" t="s">
        <v>277</v>
      </c>
      <c r="BL19" s="33" t="s">
        <v>277</v>
      </c>
    </row>
    <row r="20" spans="2:64" ht="19.899999999999999" customHeight="1">
      <c r="B20" s="37" t="s">
        <v>603</v>
      </c>
      <c r="C20" s="37" t="s">
        <v>216</v>
      </c>
      <c r="D20" s="37" t="s">
        <v>237</v>
      </c>
      <c r="E20" s="33" t="s">
        <v>277</v>
      </c>
      <c r="F20" s="37" t="s">
        <v>604</v>
      </c>
      <c r="G20" s="38">
        <v>1</v>
      </c>
      <c r="H20" s="37" t="s">
        <v>605</v>
      </c>
      <c r="I20" s="39">
        <v>50</v>
      </c>
      <c r="J20" s="39">
        <v>50</v>
      </c>
      <c r="K20" s="38">
        <v>0</v>
      </c>
      <c r="L20" s="37" t="s">
        <v>606</v>
      </c>
      <c r="M20" s="38">
        <v>3.4318263932879094</v>
      </c>
      <c r="N20" s="38">
        <v>2.633884310207836</v>
      </c>
      <c r="O20" s="38">
        <v>0.79794208308007342</v>
      </c>
      <c r="P20" s="38">
        <v>3.4318263932879094</v>
      </c>
      <c r="Q20" s="38">
        <v>23.941045315516991</v>
      </c>
      <c r="R20" s="38">
        <v>7.2698860572456043</v>
      </c>
      <c r="S20" s="38">
        <v>31.210931372762595</v>
      </c>
      <c r="T20" s="33" t="s">
        <v>277</v>
      </c>
      <c r="U20" s="38">
        <v>1.7351051159922206</v>
      </c>
      <c r="V20" s="38">
        <v>0.86820516588871977</v>
      </c>
      <c r="W20" s="38">
        <v>0</v>
      </c>
      <c r="X20" s="38">
        <v>3.0574028326895587E-2</v>
      </c>
      <c r="Y20" s="33" t="s">
        <v>277</v>
      </c>
      <c r="Z20" s="38">
        <v>1.7351051159922206</v>
      </c>
      <c r="AA20" s="38">
        <v>6.9731894432124809E-3</v>
      </c>
      <c r="AB20" s="38">
        <v>0.86123197644550731</v>
      </c>
      <c r="AC20" s="33" t="s">
        <v>277</v>
      </c>
      <c r="AD20" s="38">
        <v>0</v>
      </c>
      <c r="AE20" s="38">
        <v>0</v>
      </c>
      <c r="AF20" s="38">
        <v>0</v>
      </c>
      <c r="AG20" s="38">
        <v>0</v>
      </c>
      <c r="AH20" s="38">
        <v>0</v>
      </c>
      <c r="AI20" s="33" t="s">
        <v>277</v>
      </c>
      <c r="AJ20" s="38">
        <v>2.5308372556833034E-2</v>
      </c>
      <c r="AK20" s="38">
        <v>2.0776728322420803E-4</v>
      </c>
      <c r="AL20" s="38">
        <v>3.0980416188019399E-2</v>
      </c>
      <c r="AM20" s="38">
        <v>0</v>
      </c>
      <c r="AN20" s="38">
        <v>-2.5922527701181055E-2</v>
      </c>
      <c r="AO20" s="33" t="s">
        <v>277</v>
      </c>
      <c r="AP20" s="38">
        <v>15.45617028</v>
      </c>
      <c r="AQ20" s="38">
        <v>8.1769080523449897</v>
      </c>
      <c r="AR20" s="38">
        <v>0</v>
      </c>
      <c r="AS20" s="38">
        <v>0.30796698317199994</v>
      </c>
      <c r="AT20" s="33" t="s">
        <v>277</v>
      </c>
      <c r="AU20" s="38">
        <v>15.45617028</v>
      </c>
      <c r="AV20" s="38">
        <v>7.2672833457E-2</v>
      </c>
      <c r="AW20" s="38">
        <v>8.1042352188879896</v>
      </c>
      <c r="AX20" s="33" t="s">
        <v>277</v>
      </c>
      <c r="AY20" s="38">
        <v>0</v>
      </c>
      <c r="AZ20" s="38">
        <v>0</v>
      </c>
      <c r="BA20" s="38">
        <v>0</v>
      </c>
      <c r="BB20" s="38">
        <v>0</v>
      </c>
      <c r="BC20" s="38">
        <v>0</v>
      </c>
      <c r="BD20" s="33" t="s">
        <v>277</v>
      </c>
      <c r="BE20" s="38">
        <v>0.23890163939999998</v>
      </c>
      <c r="BF20" s="38">
        <v>2.1652985760000003E-3</v>
      </c>
      <c r="BG20" s="38">
        <v>0.35880729090000002</v>
      </c>
      <c r="BH20" s="38">
        <v>0</v>
      </c>
      <c r="BI20" s="38">
        <v>-0.29190724570400001</v>
      </c>
      <c r="BJ20" s="33" t="s">
        <v>277</v>
      </c>
      <c r="BK20" s="37" t="s">
        <v>277</v>
      </c>
      <c r="BL20" s="33" t="s">
        <v>277</v>
      </c>
    </row>
    <row r="21" spans="2:64" ht="19.899999999999999" customHeight="1">
      <c r="B21" s="30" t="s">
        <v>603</v>
      </c>
      <c r="C21" s="30" t="s">
        <v>353</v>
      </c>
      <c r="D21" s="30" t="s">
        <v>415</v>
      </c>
      <c r="E21" s="33" t="s">
        <v>277</v>
      </c>
      <c r="F21" s="30" t="s">
        <v>604</v>
      </c>
      <c r="G21" s="35">
        <v>1</v>
      </c>
      <c r="H21" s="30" t="s">
        <v>605</v>
      </c>
      <c r="I21" s="36">
        <v>75</v>
      </c>
      <c r="J21" s="36">
        <v>50</v>
      </c>
      <c r="K21" s="35">
        <v>0</v>
      </c>
      <c r="L21" s="30" t="s">
        <v>606</v>
      </c>
      <c r="M21" s="35">
        <v>1.8622930942290399</v>
      </c>
      <c r="N21" s="35">
        <v>1.3386384826712994</v>
      </c>
      <c r="O21" s="35">
        <v>0.52365461155774051</v>
      </c>
      <c r="P21" s="35">
        <v>1.8622930942290399</v>
      </c>
      <c r="Q21" s="35">
        <v>13.019770018389252</v>
      </c>
      <c r="R21" s="35">
        <v>5.1263856270956518</v>
      </c>
      <c r="S21" s="35">
        <v>18.146155645484907</v>
      </c>
      <c r="T21" s="33" t="s">
        <v>277</v>
      </c>
      <c r="U21" s="35">
        <v>0.74448026524089539</v>
      </c>
      <c r="V21" s="35">
        <v>0.65425561550058131</v>
      </c>
      <c r="W21" s="35">
        <v>0</v>
      </c>
      <c r="X21" s="35">
        <v>-6.0097398070177332E-2</v>
      </c>
      <c r="Y21" s="33" t="s">
        <v>277</v>
      </c>
      <c r="Z21" s="35">
        <v>0.74448026524089539</v>
      </c>
      <c r="AA21" s="35">
        <v>3.8177238292448228E-2</v>
      </c>
      <c r="AB21" s="35">
        <v>0.61607837720813308</v>
      </c>
      <c r="AC21" s="33" t="s">
        <v>277</v>
      </c>
      <c r="AD21" s="35">
        <v>0</v>
      </c>
      <c r="AE21" s="35">
        <v>0</v>
      </c>
      <c r="AF21" s="35">
        <v>0</v>
      </c>
      <c r="AG21" s="35">
        <v>0</v>
      </c>
      <c r="AH21" s="35">
        <v>0</v>
      </c>
      <c r="AI21" s="33" t="s">
        <v>277</v>
      </c>
      <c r="AJ21" s="35">
        <v>0.30039937860936605</v>
      </c>
      <c r="AK21" s="35">
        <v>3.8559010675372707E-2</v>
      </c>
      <c r="AL21" s="35">
        <v>7.1775127691177231E-3</v>
      </c>
      <c r="AM21" s="35">
        <v>6.435197032554613E-4</v>
      </c>
      <c r="AN21" s="35">
        <v>-0.40687681982728924</v>
      </c>
      <c r="AO21" s="33" t="s">
        <v>277</v>
      </c>
      <c r="AP21" s="35">
        <v>7.5451557006000005</v>
      </c>
      <c r="AQ21" s="35">
        <v>6.231218957482854</v>
      </c>
      <c r="AR21" s="35">
        <v>0</v>
      </c>
      <c r="AS21" s="35">
        <v>-0.75660463969360237</v>
      </c>
      <c r="AT21" s="33" t="s">
        <v>277</v>
      </c>
      <c r="AU21" s="35">
        <v>7.5451557006000005</v>
      </c>
      <c r="AV21" s="35">
        <v>0.39787361334000004</v>
      </c>
      <c r="AW21" s="35">
        <v>5.8333453441428542</v>
      </c>
      <c r="AX21" s="33" t="s">
        <v>277</v>
      </c>
      <c r="AY21" s="35">
        <v>0</v>
      </c>
      <c r="AZ21" s="35">
        <v>0</v>
      </c>
      <c r="BA21" s="35">
        <v>0</v>
      </c>
      <c r="BB21" s="35">
        <v>0</v>
      </c>
      <c r="BC21" s="35">
        <v>0</v>
      </c>
      <c r="BD21" s="33" t="s">
        <v>277</v>
      </c>
      <c r="BE21" s="35">
        <v>2.8356585893999999</v>
      </c>
      <c r="BF21" s="35">
        <v>0.40185234947340004</v>
      </c>
      <c r="BG21" s="35">
        <v>6.9507448894799997E-2</v>
      </c>
      <c r="BH21" s="35">
        <v>4.5583654536000004E-3</v>
      </c>
      <c r="BI21" s="35">
        <v>-4.0681813929154025</v>
      </c>
      <c r="BJ21" s="33" t="s">
        <v>277</v>
      </c>
      <c r="BK21" s="30" t="s">
        <v>277</v>
      </c>
      <c r="BL21" s="33" t="s">
        <v>277</v>
      </c>
    </row>
    <row r="22" spans="2:64" ht="19.899999999999999" customHeight="1">
      <c r="B22" s="37" t="s">
        <v>603</v>
      </c>
      <c r="C22" s="37" t="s">
        <v>614</v>
      </c>
      <c r="D22" s="37" t="s">
        <v>350</v>
      </c>
      <c r="E22" s="33" t="s">
        <v>277</v>
      </c>
      <c r="F22" s="37" t="s">
        <v>604</v>
      </c>
      <c r="G22" s="38">
        <v>1</v>
      </c>
      <c r="H22" s="37" t="s">
        <v>608</v>
      </c>
      <c r="I22" s="39">
        <v>12</v>
      </c>
      <c r="J22" s="39">
        <v>12</v>
      </c>
      <c r="K22" s="38">
        <v>3.166666666666667</v>
      </c>
      <c r="L22" s="37" t="s">
        <v>606</v>
      </c>
      <c r="M22" s="38">
        <v>10.875554870238066</v>
      </c>
      <c r="N22" s="38">
        <v>31.681266583680653</v>
      </c>
      <c r="O22" s="38">
        <v>13.633545375644625</v>
      </c>
      <c r="P22" s="38">
        <v>45.314811959325276</v>
      </c>
      <c r="Q22" s="38">
        <v>163.74142465895525</v>
      </c>
      <c r="R22" s="38">
        <v>81.569169380276762</v>
      </c>
      <c r="S22" s="38">
        <v>245.31059403923197</v>
      </c>
      <c r="T22" s="33" t="s">
        <v>277</v>
      </c>
      <c r="U22" s="38">
        <v>10.34219853201717</v>
      </c>
      <c r="V22" s="38">
        <v>0.37440899211054329</v>
      </c>
      <c r="W22" s="38">
        <v>24.244225703597298</v>
      </c>
      <c r="X22" s="38">
        <v>-3.2795666440443569</v>
      </c>
      <c r="Y22" s="33" t="s">
        <v>277</v>
      </c>
      <c r="Z22" s="38">
        <v>10.34219853201717</v>
      </c>
      <c r="AA22" s="38">
        <v>6.1582600835291469E-2</v>
      </c>
      <c r="AB22" s="38">
        <v>0.3128263912752518</v>
      </c>
      <c r="AC22" s="33" t="s">
        <v>277</v>
      </c>
      <c r="AD22" s="38">
        <v>0.16646309999999997</v>
      </c>
      <c r="AE22" s="38">
        <v>0</v>
      </c>
      <c r="AF22" s="38">
        <v>0</v>
      </c>
      <c r="AG22" s="38">
        <v>24.077762603597296</v>
      </c>
      <c r="AH22" s="38">
        <v>0</v>
      </c>
      <c r="AI22" s="33" t="s">
        <v>277</v>
      </c>
      <c r="AJ22" s="38">
        <v>0</v>
      </c>
      <c r="AK22" s="38">
        <v>2.159937864462284E-2</v>
      </c>
      <c r="AL22" s="38">
        <v>5.9079371550707561E-5</v>
      </c>
      <c r="AM22" s="38">
        <v>2.106784973092332E-3</v>
      </c>
      <c r="AN22" s="38">
        <v>-3.303331887033623</v>
      </c>
      <c r="AO22" s="33" t="s">
        <v>277</v>
      </c>
      <c r="AP22" s="38">
        <v>62.652994460699993</v>
      </c>
      <c r="AQ22" s="38">
        <v>2.4115891332052</v>
      </c>
      <c r="AR22" s="38">
        <v>124.44348274080599</v>
      </c>
      <c r="AS22" s="38">
        <v>-25.766641675755942</v>
      </c>
      <c r="AT22" s="33" t="s">
        <v>277</v>
      </c>
      <c r="AU22" s="38">
        <v>62.652994460699993</v>
      </c>
      <c r="AV22" s="38">
        <v>0.51094836880110006</v>
      </c>
      <c r="AW22" s="38">
        <v>1.9006407644041001</v>
      </c>
      <c r="AX22" s="33" t="s">
        <v>277</v>
      </c>
      <c r="AY22" s="38">
        <v>0</v>
      </c>
      <c r="AZ22" s="38">
        <v>0</v>
      </c>
      <c r="BA22" s="38">
        <v>0</v>
      </c>
      <c r="BB22" s="38">
        <v>124.44348274080599</v>
      </c>
      <c r="BC22" s="38">
        <v>0</v>
      </c>
      <c r="BD22" s="33" t="s">
        <v>277</v>
      </c>
      <c r="BE22" s="38">
        <v>0</v>
      </c>
      <c r="BF22" s="38">
        <v>0.179209178175255</v>
      </c>
      <c r="BG22" s="38">
        <v>2.9241684329999997E-4</v>
      </c>
      <c r="BH22" s="38">
        <v>1.1247722283681002E-2</v>
      </c>
      <c r="BI22" s="38">
        <v>-25.957390993058176</v>
      </c>
      <c r="BJ22" s="33" t="s">
        <v>277</v>
      </c>
      <c r="BK22" s="37" t="s">
        <v>277</v>
      </c>
      <c r="BL22" s="33" t="s">
        <v>277</v>
      </c>
    </row>
    <row r="23" spans="2:64" ht="19.899999999999999" customHeight="1">
      <c r="B23" s="30" t="s">
        <v>603</v>
      </c>
      <c r="C23" s="30" t="s">
        <v>579</v>
      </c>
      <c r="D23" s="30" t="s">
        <v>615</v>
      </c>
      <c r="E23" s="33" t="s">
        <v>277</v>
      </c>
      <c r="F23" s="30" t="s">
        <v>604</v>
      </c>
      <c r="G23" s="35">
        <v>1</v>
      </c>
      <c r="H23" s="30" t="s">
        <v>608</v>
      </c>
      <c r="I23" s="36">
        <v>12</v>
      </c>
      <c r="J23" s="36">
        <v>12</v>
      </c>
      <c r="K23" s="35">
        <v>0</v>
      </c>
      <c r="L23" s="30" t="s">
        <v>609</v>
      </c>
      <c r="M23" s="35">
        <v>-4.0995330399745544</v>
      </c>
      <c r="N23" s="35">
        <v>-4.0995330399745544</v>
      </c>
      <c r="O23" s="35">
        <v>0</v>
      </c>
      <c r="P23" s="35">
        <v>-4.0995330399745544</v>
      </c>
      <c r="Q23" s="35">
        <v>-22.7296413927453</v>
      </c>
      <c r="R23" s="35">
        <v>0</v>
      </c>
      <c r="S23" s="35">
        <v>-22.7296413927453</v>
      </c>
      <c r="T23" s="33" t="s">
        <v>277</v>
      </c>
      <c r="U23" s="35">
        <v>0</v>
      </c>
      <c r="V23" s="35">
        <v>0</v>
      </c>
      <c r="W23" s="35">
        <v>0</v>
      </c>
      <c r="X23" s="35">
        <v>-4.0995330399745544</v>
      </c>
      <c r="Y23" s="33" t="s">
        <v>277</v>
      </c>
      <c r="Z23" s="35">
        <v>0</v>
      </c>
      <c r="AA23" s="35">
        <v>0</v>
      </c>
      <c r="AB23" s="35">
        <v>0</v>
      </c>
      <c r="AC23" s="33" t="s">
        <v>277</v>
      </c>
      <c r="AD23" s="35">
        <v>0</v>
      </c>
      <c r="AE23" s="35">
        <v>0</v>
      </c>
      <c r="AF23" s="35">
        <v>0</v>
      </c>
      <c r="AG23" s="35">
        <v>0</v>
      </c>
      <c r="AH23" s="35">
        <v>0</v>
      </c>
      <c r="AI23" s="33" t="s">
        <v>277</v>
      </c>
      <c r="AJ23" s="35">
        <v>0</v>
      </c>
      <c r="AK23" s="35">
        <v>6.8218657655010314E-3</v>
      </c>
      <c r="AL23" s="35">
        <v>0.10531486810356964</v>
      </c>
      <c r="AM23" s="35">
        <v>0</v>
      </c>
      <c r="AN23" s="35">
        <v>-4.2116697738436253</v>
      </c>
      <c r="AO23" s="33" t="s">
        <v>277</v>
      </c>
      <c r="AP23" s="35">
        <v>0</v>
      </c>
      <c r="AQ23" s="35">
        <v>0</v>
      </c>
      <c r="AR23" s="35">
        <v>0</v>
      </c>
      <c r="AS23" s="35">
        <v>-22.7296413927453</v>
      </c>
      <c r="AT23" s="33" t="s">
        <v>277</v>
      </c>
      <c r="AU23" s="35">
        <v>0</v>
      </c>
      <c r="AV23" s="35">
        <v>0</v>
      </c>
      <c r="AW23" s="35">
        <v>0</v>
      </c>
      <c r="AX23" s="33" t="s">
        <v>277</v>
      </c>
      <c r="AY23" s="35">
        <v>0</v>
      </c>
      <c r="AZ23" s="35">
        <v>0</v>
      </c>
      <c r="BA23" s="35">
        <v>0</v>
      </c>
      <c r="BB23" s="35">
        <v>0</v>
      </c>
      <c r="BC23" s="35">
        <v>0</v>
      </c>
      <c r="BD23" s="33" t="s">
        <v>277</v>
      </c>
      <c r="BE23" s="35">
        <v>0</v>
      </c>
      <c r="BF23" s="35">
        <v>5.66007466035E-2</v>
      </c>
      <c r="BG23" s="35">
        <v>1.7832713706512</v>
      </c>
      <c r="BH23" s="35">
        <v>0</v>
      </c>
      <c r="BI23" s="35">
        <v>-24.56951351</v>
      </c>
      <c r="BJ23" s="33" t="s">
        <v>277</v>
      </c>
      <c r="BK23" s="30" t="s">
        <v>277</v>
      </c>
      <c r="BL23" s="33" t="s">
        <v>277</v>
      </c>
    </row>
    <row r="24" spans="2:64" ht="19.899999999999999" customHeight="1">
      <c r="B24" s="37" t="s">
        <v>603</v>
      </c>
      <c r="C24" s="37" t="s">
        <v>89</v>
      </c>
      <c r="D24" s="37" t="s">
        <v>92</v>
      </c>
      <c r="E24" s="33" t="s">
        <v>277</v>
      </c>
      <c r="F24" s="37" t="s">
        <v>604</v>
      </c>
      <c r="G24" s="38">
        <v>1</v>
      </c>
      <c r="H24" s="37" t="s">
        <v>118</v>
      </c>
      <c r="I24" s="39">
        <v>999</v>
      </c>
      <c r="J24" s="39">
        <v>50</v>
      </c>
      <c r="K24" s="38">
        <v>0</v>
      </c>
      <c r="L24" s="37" t="s">
        <v>606</v>
      </c>
      <c r="M24" s="38">
        <v>1.2574244041812961</v>
      </c>
      <c r="N24" s="38">
        <v>0.86858751815791968</v>
      </c>
      <c r="O24" s="38">
        <v>0.3888368860233764</v>
      </c>
      <c r="P24" s="38">
        <v>1.2574244041812961</v>
      </c>
      <c r="Q24" s="38">
        <v>6.3160647899898672</v>
      </c>
      <c r="R24" s="38">
        <v>2.9176643508904498</v>
      </c>
      <c r="S24" s="38">
        <v>9.2337291408803175</v>
      </c>
      <c r="T24" s="33" t="s">
        <v>277</v>
      </c>
      <c r="U24" s="38">
        <v>0.74798581096707262</v>
      </c>
      <c r="V24" s="38">
        <v>0.3503462475177736</v>
      </c>
      <c r="W24" s="38">
        <v>0</v>
      </c>
      <c r="X24" s="38">
        <v>-0.22974454032692654</v>
      </c>
      <c r="Y24" s="33" t="s">
        <v>277</v>
      </c>
      <c r="Z24" s="38">
        <v>0.74798581096707262</v>
      </c>
      <c r="AA24" s="38">
        <v>7.4759068029547886E-3</v>
      </c>
      <c r="AB24" s="38">
        <v>0.34287034071481881</v>
      </c>
      <c r="AC24" s="33" t="s">
        <v>277</v>
      </c>
      <c r="AD24" s="38">
        <v>0</v>
      </c>
      <c r="AE24" s="38">
        <v>0</v>
      </c>
      <c r="AF24" s="38">
        <v>0</v>
      </c>
      <c r="AG24" s="38">
        <v>0</v>
      </c>
      <c r="AH24" s="38">
        <v>0</v>
      </c>
      <c r="AI24" s="33" t="s">
        <v>277</v>
      </c>
      <c r="AJ24" s="38">
        <v>0.19540092785747007</v>
      </c>
      <c r="AK24" s="38">
        <v>2.3673704876023497E-3</v>
      </c>
      <c r="AL24" s="38">
        <v>0</v>
      </c>
      <c r="AM24" s="38">
        <v>2.254507803922194E-5</v>
      </c>
      <c r="AN24" s="38">
        <v>-0.42753538375003819</v>
      </c>
      <c r="AO24" s="33" t="s">
        <v>277</v>
      </c>
      <c r="AP24" s="38">
        <v>5.6240539979999999</v>
      </c>
      <c r="AQ24" s="38">
        <v>2.6230186080348923</v>
      </c>
      <c r="AR24" s="38">
        <v>0</v>
      </c>
      <c r="AS24" s="38">
        <v>-1.9310078160450252</v>
      </c>
      <c r="AT24" s="33" t="s">
        <v>277</v>
      </c>
      <c r="AU24" s="38">
        <v>5.6240539979999999</v>
      </c>
      <c r="AV24" s="38">
        <v>6.2027298854999996E-2</v>
      </c>
      <c r="AW24" s="38">
        <v>2.5609913091798924</v>
      </c>
      <c r="AX24" s="33" t="s">
        <v>277</v>
      </c>
      <c r="AY24" s="38">
        <v>0</v>
      </c>
      <c r="AZ24" s="38">
        <v>0</v>
      </c>
      <c r="BA24" s="38">
        <v>0</v>
      </c>
      <c r="BB24" s="38">
        <v>0</v>
      </c>
      <c r="BC24" s="38">
        <v>0</v>
      </c>
      <c r="BD24" s="33" t="s">
        <v>277</v>
      </c>
      <c r="BE24" s="38">
        <v>1.4586731680000002</v>
      </c>
      <c r="BF24" s="38">
        <v>1.9641977970749999E-2</v>
      </c>
      <c r="BG24" s="38">
        <v>0</v>
      </c>
      <c r="BH24" s="38">
        <v>1.5969783732E-4</v>
      </c>
      <c r="BI24" s="38">
        <v>-3.4094826598530954</v>
      </c>
      <c r="BJ24" s="33" t="s">
        <v>277</v>
      </c>
      <c r="BK24" s="37" t="s">
        <v>277</v>
      </c>
      <c r="BL24" s="33" t="s">
        <v>277</v>
      </c>
    </row>
    <row r="25" spans="2:64" ht="19.899999999999999" customHeight="1">
      <c r="B25" s="30" t="s">
        <v>603</v>
      </c>
      <c r="C25" s="30" t="s">
        <v>89</v>
      </c>
      <c r="D25" s="30" t="s">
        <v>616</v>
      </c>
      <c r="E25" s="33" t="s">
        <v>277</v>
      </c>
      <c r="F25" s="30" t="s">
        <v>604</v>
      </c>
      <c r="G25" s="35">
        <v>1</v>
      </c>
      <c r="H25" s="30" t="s">
        <v>613</v>
      </c>
      <c r="I25" s="36">
        <v>999</v>
      </c>
      <c r="J25" s="36">
        <v>50</v>
      </c>
      <c r="K25" s="35">
        <v>0</v>
      </c>
      <c r="L25" s="30" t="s">
        <v>606</v>
      </c>
      <c r="M25" s="35">
        <v>0.62262625435731456</v>
      </c>
      <c r="N25" s="35">
        <v>0.47894326819066607</v>
      </c>
      <c r="O25" s="35">
        <v>0.14368298616664849</v>
      </c>
      <c r="P25" s="35">
        <v>0.62262625435731456</v>
      </c>
      <c r="Q25" s="35">
        <v>3.5753243920000002</v>
      </c>
      <c r="R25" s="35">
        <v>1.0725973602211882</v>
      </c>
      <c r="S25" s="35">
        <v>4.6479217522211886</v>
      </c>
      <c r="T25" s="33" t="s">
        <v>277</v>
      </c>
      <c r="U25" s="35">
        <v>0</v>
      </c>
      <c r="V25" s="35">
        <v>0.47894326819066607</v>
      </c>
      <c r="W25" s="35">
        <v>0</v>
      </c>
      <c r="X25" s="35">
        <v>0</v>
      </c>
      <c r="Y25" s="33" t="s">
        <v>277</v>
      </c>
      <c r="Z25" s="35">
        <v>0</v>
      </c>
      <c r="AA25" s="35">
        <v>0</v>
      </c>
      <c r="AB25" s="35">
        <v>0.47894326819066607</v>
      </c>
      <c r="AC25" s="33" t="s">
        <v>277</v>
      </c>
      <c r="AD25" s="35">
        <v>0</v>
      </c>
      <c r="AE25" s="35">
        <v>0</v>
      </c>
      <c r="AF25" s="35">
        <v>0</v>
      </c>
      <c r="AG25" s="35">
        <v>0</v>
      </c>
      <c r="AH25" s="35">
        <v>0</v>
      </c>
      <c r="AI25" s="33" t="s">
        <v>277</v>
      </c>
      <c r="AJ25" s="35">
        <v>0</v>
      </c>
      <c r="AK25" s="35">
        <v>0</v>
      </c>
      <c r="AL25" s="35">
        <v>0</v>
      </c>
      <c r="AM25" s="35">
        <v>0</v>
      </c>
      <c r="AN25" s="35">
        <v>0</v>
      </c>
      <c r="AO25" s="33" t="s">
        <v>277</v>
      </c>
      <c r="AP25" s="35">
        <v>0</v>
      </c>
      <c r="AQ25" s="35">
        <v>3.5753243920000002</v>
      </c>
      <c r="AR25" s="35">
        <v>0</v>
      </c>
      <c r="AS25" s="35">
        <v>0</v>
      </c>
      <c r="AT25" s="33" t="s">
        <v>277</v>
      </c>
      <c r="AU25" s="35">
        <v>0</v>
      </c>
      <c r="AV25" s="35">
        <v>0</v>
      </c>
      <c r="AW25" s="35">
        <v>3.5753243920000002</v>
      </c>
      <c r="AX25" s="33" t="s">
        <v>277</v>
      </c>
      <c r="AY25" s="35">
        <v>0</v>
      </c>
      <c r="AZ25" s="35">
        <v>0</v>
      </c>
      <c r="BA25" s="35">
        <v>0</v>
      </c>
      <c r="BB25" s="35">
        <v>0</v>
      </c>
      <c r="BC25" s="35">
        <v>0</v>
      </c>
      <c r="BD25" s="33" t="s">
        <v>277</v>
      </c>
      <c r="BE25" s="35">
        <v>0</v>
      </c>
      <c r="BF25" s="35">
        <v>0</v>
      </c>
      <c r="BG25" s="35">
        <v>0</v>
      </c>
      <c r="BH25" s="35">
        <v>0</v>
      </c>
      <c r="BI25" s="35">
        <v>0</v>
      </c>
      <c r="BJ25" s="33" t="s">
        <v>277</v>
      </c>
      <c r="BK25" s="30" t="s">
        <v>277</v>
      </c>
      <c r="BL25" s="33" t="s">
        <v>277</v>
      </c>
    </row>
    <row r="26" spans="2:64" ht="19.899999999999999" customHeight="1">
      <c r="B26" s="37" t="s">
        <v>603</v>
      </c>
      <c r="C26" s="37" t="s">
        <v>614</v>
      </c>
      <c r="D26" s="37" t="s">
        <v>511</v>
      </c>
      <c r="E26" s="33" t="s">
        <v>277</v>
      </c>
      <c r="F26" s="37" t="s">
        <v>604</v>
      </c>
      <c r="G26" s="38">
        <v>1</v>
      </c>
      <c r="H26" s="37" t="s">
        <v>608</v>
      </c>
      <c r="I26" s="39">
        <v>12</v>
      </c>
      <c r="J26" s="39">
        <v>12</v>
      </c>
      <c r="K26" s="38">
        <v>3.166666666666667</v>
      </c>
      <c r="L26" s="37" t="s">
        <v>606</v>
      </c>
      <c r="M26" s="38">
        <v>7.0378126377110712</v>
      </c>
      <c r="N26" s="38">
        <v>18.507408982053995</v>
      </c>
      <c r="O26" s="38">
        <v>10.816810341742137</v>
      </c>
      <c r="P26" s="38">
        <v>29.324219323796132</v>
      </c>
      <c r="Q26" s="38">
        <v>150.23006555015786</v>
      </c>
      <c r="R26" s="38">
        <v>75.780914563810256</v>
      </c>
      <c r="S26" s="38">
        <v>226.01098011396809</v>
      </c>
      <c r="T26" s="33" t="s">
        <v>277</v>
      </c>
      <c r="U26" s="38">
        <v>8.2729347714449357</v>
      </c>
      <c r="V26" s="38">
        <v>0.26837642422257652</v>
      </c>
      <c r="W26" s="38">
        <v>14.065630826361035</v>
      </c>
      <c r="X26" s="38">
        <v>-4.0995330399745544</v>
      </c>
      <c r="Y26" s="33" t="s">
        <v>277</v>
      </c>
      <c r="Z26" s="38">
        <v>8.2729347714449357</v>
      </c>
      <c r="AA26" s="38">
        <v>1.6334251517627494E-2</v>
      </c>
      <c r="AB26" s="38">
        <v>0.252042172704949</v>
      </c>
      <c r="AC26" s="33" t="s">
        <v>277</v>
      </c>
      <c r="AD26" s="38">
        <v>0</v>
      </c>
      <c r="AE26" s="38">
        <v>0</v>
      </c>
      <c r="AF26" s="38">
        <v>0</v>
      </c>
      <c r="AG26" s="38">
        <v>14.065630826361035</v>
      </c>
      <c r="AH26" s="38">
        <v>0</v>
      </c>
      <c r="AI26" s="33" t="s">
        <v>277</v>
      </c>
      <c r="AJ26" s="38">
        <v>0</v>
      </c>
      <c r="AK26" s="38">
        <v>6.8218657655010314E-3</v>
      </c>
      <c r="AL26" s="38">
        <v>0.10531486810356964</v>
      </c>
      <c r="AM26" s="38">
        <v>0</v>
      </c>
      <c r="AN26" s="38">
        <v>-4.2116697738436253</v>
      </c>
      <c r="AO26" s="33" t="s">
        <v>277</v>
      </c>
      <c r="AP26" s="38">
        <v>56.8835636823</v>
      </c>
      <c r="AQ26" s="38">
        <v>1.9012934424831898</v>
      </c>
      <c r="AR26" s="38">
        <v>114.17484981811998</v>
      </c>
      <c r="AS26" s="38">
        <v>-22.7296413927453</v>
      </c>
      <c r="AT26" s="33" t="s">
        <v>277</v>
      </c>
      <c r="AU26" s="38">
        <v>56.8835636823</v>
      </c>
      <c r="AV26" s="38">
        <v>0.1355246296083</v>
      </c>
      <c r="AW26" s="38">
        <v>1.7657688128748898</v>
      </c>
      <c r="AX26" s="33" t="s">
        <v>277</v>
      </c>
      <c r="AY26" s="38">
        <v>0</v>
      </c>
      <c r="AZ26" s="38">
        <v>0</v>
      </c>
      <c r="BA26" s="38">
        <v>0</v>
      </c>
      <c r="BB26" s="38">
        <v>114.17484981811998</v>
      </c>
      <c r="BC26" s="38">
        <v>0</v>
      </c>
      <c r="BD26" s="33" t="s">
        <v>277</v>
      </c>
      <c r="BE26" s="38">
        <v>0</v>
      </c>
      <c r="BF26" s="38">
        <v>5.66007466035E-2</v>
      </c>
      <c r="BG26" s="38">
        <v>1.7832713706512</v>
      </c>
      <c r="BH26" s="38">
        <v>0</v>
      </c>
      <c r="BI26" s="38">
        <v>-24.56951351</v>
      </c>
      <c r="BJ26" s="33" t="s">
        <v>277</v>
      </c>
      <c r="BK26" s="37" t="s">
        <v>277</v>
      </c>
      <c r="BL26" s="33" t="s">
        <v>277</v>
      </c>
    </row>
    <row r="27" spans="2:64" ht="19.899999999999999" customHeight="1">
      <c r="B27" s="30" t="s">
        <v>603</v>
      </c>
      <c r="C27" s="30" t="s">
        <v>89</v>
      </c>
      <c r="D27" s="30" t="s">
        <v>617</v>
      </c>
      <c r="E27" s="33" t="s">
        <v>277</v>
      </c>
      <c r="F27" s="30" t="s">
        <v>604</v>
      </c>
      <c r="G27" s="35">
        <v>1</v>
      </c>
      <c r="H27" s="30" t="s">
        <v>613</v>
      </c>
      <c r="I27" s="36">
        <v>999</v>
      </c>
      <c r="J27" s="36">
        <v>50</v>
      </c>
      <c r="K27" s="35">
        <v>0</v>
      </c>
      <c r="L27" s="30" t="s">
        <v>606</v>
      </c>
      <c r="M27" s="35">
        <v>0.81359510551228031</v>
      </c>
      <c r="N27" s="35">
        <v>0.62584238311665974</v>
      </c>
      <c r="O27" s="35">
        <v>0.18775272239562052</v>
      </c>
      <c r="P27" s="35">
        <v>0.81359510551228031</v>
      </c>
      <c r="Q27" s="35">
        <v>4.67193024</v>
      </c>
      <c r="R27" s="35">
        <v>1.4015791276937488</v>
      </c>
      <c r="S27" s="35">
        <v>6.0735093676937488</v>
      </c>
      <c r="T27" s="33" t="s">
        <v>277</v>
      </c>
      <c r="U27" s="35">
        <v>0</v>
      </c>
      <c r="V27" s="35">
        <v>0.62584238311665974</v>
      </c>
      <c r="W27" s="35">
        <v>0</v>
      </c>
      <c r="X27" s="35">
        <v>0</v>
      </c>
      <c r="Y27" s="33" t="s">
        <v>277</v>
      </c>
      <c r="Z27" s="35">
        <v>0</v>
      </c>
      <c r="AA27" s="35">
        <v>0</v>
      </c>
      <c r="AB27" s="35">
        <v>0.62584238311665974</v>
      </c>
      <c r="AC27" s="33" t="s">
        <v>277</v>
      </c>
      <c r="AD27" s="35">
        <v>0</v>
      </c>
      <c r="AE27" s="35">
        <v>0</v>
      </c>
      <c r="AF27" s="35">
        <v>0</v>
      </c>
      <c r="AG27" s="35">
        <v>0</v>
      </c>
      <c r="AH27" s="35">
        <v>0</v>
      </c>
      <c r="AI27" s="33" t="s">
        <v>277</v>
      </c>
      <c r="AJ27" s="35">
        <v>0</v>
      </c>
      <c r="AK27" s="35">
        <v>0</v>
      </c>
      <c r="AL27" s="35">
        <v>0</v>
      </c>
      <c r="AM27" s="35">
        <v>0</v>
      </c>
      <c r="AN27" s="35">
        <v>0</v>
      </c>
      <c r="AO27" s="33" t="s">
        <v>277</v>
      </c>
      <c r="AP27" s="35">
        <v>0</v>
      </c>
      <c r="AQ27" s="35">
        <v>4.67193024</v>
      </c>
      <c r="AR27" s="35">
        <v>0</v>
      </c>
      <c r="AS27" s="35">
        <v>0</v>
      </c>
      <c r="AT27" s="33" t="s">
        <v>277</v>
      </c>
      <c r="AU27" s="35">
        <v>0</v>
      </c>
      <c r="AV27" s="35">
        <v>0</v>
      </c>
      <c r="AW27" s="35">
        <v>4.67193024</v>
      </c>
      <c r="AX27" s="33" t="s">
        <v>277</v>
      </c>
      <c r="AY27" s="35">
        <v>0</v>
      </c>
      <c r="AZ27" s="35">
        <v>0</v>
      </c>
      <c r="BA27" s="35">
        <v>0</v>
      </c>
      <c r="BB27" s="35">
        <v>0</v>
      </c>
      <c r="BC27" s="35">
        <v>0</v>
      </c>
      <c r="BD27" s="33" t="s">
        <v>277</v>
      </c>
      <c r="BE27" s="35">
        <v>0</v>
      </c>
      <c r="BF27" s="35">
        <v>0</v>
      </c>
      <c r="BG27" s="35">
        <v>0</v>
      </c>
      <c r="BH27" s="35">
        <v>0</v>
      </c>
      <c r="BI27" s="35">
        <v>0</v>
      </c>
      <c r="BJ27" s="33" t="s">
        <v>277</v>
      </c>
      <c r="BK27" s="30" t="s">
        <v>277</v>
      </c>
      <c r="BL27" s="33" t="s">
        <v>277</v>
      </c>
    </row>
    <row r="28" spans="2:64" ht="19.899999999999999" customHeight="1">
      <c r="B28" s="37" t="s">
        <v>603</v>
      </c>
      <c r="C28" s="37" t="s">
        <v>216</v>
      </c>
      <c r="D28" s="37" t="s">
        <v>246</v>
      </c>
      <c r="E28" s="33" t="s">
        <v>277</v>
      </c>
      <c r="F28" s="37" t="s">
        <v>604</v>
      </c>
      <c r="G28" s="38">
        <v>1</v>
      </c>
      <c r="H28" s="37" t="s">
        <v>605</v>
      </c>
      <c r="I28" s="39">
        <v>50</v>
      </c>
      <c r="J28" s="39">
        <v>50</v>
      </c>
      <c r="K28" s="38">
        <v>0</v>
      </c>
      <c r="L28" s="37" t="s">
        <v>606</v>
      </c>
      <c r="M28" s="38">
        <v>0.46687400035183058</v>
      </c>
      <c r="N28" s="38">
        <v>0.3583617632059099</v>
      </c>
      <c r="O28" s="38">
        <v>0.10851223714592065</v>
      </c>
      <c r="P28" s="38">
        <v>0.46687400035183058</v>
      </c>
      <c r="Q28" s="38">
        <v>3.286958172486127</v>
      </c>
      <c r="R28" s="38">
        <v>0.99738703298340037</v>
      </c>
      <c r="S28" s="38">
        <v>4.2843452054695268</v>
      </c>
      <c r="T28" s="33" t="s">
        <v>277</v>
      </c>
      <c r="U28" s="38">
        <v>0.18094206051315523</v>
      </c>
      <c r="V28" s="38">
        <v>0.17134926248193597</v>
      </c>
      <c r="W28" s="38">
        <v>0</v>
      </c>
      <c r="X28" s="38">
        <v>6.0704402108187235E-3</v>
      </c>
      <c r="Y28" s="33" t="s">
        <v>277</v>
      </c>
      <c r="Z28" s="38">
        <v>0.18094206051315523</v>
      </c>
      <c r="AA28" s="38">
        <v>7.2718549128472816E-4</v>
      </c>
      <c r="AB28" s="38">
        <v>0.17062207699065124</v>
      </c>
      <c r="AC28" s="33" t="s">
        <v>277</v>
      </c>
      <c r="AD28" s="38">
        <v>0</v>
      </c>
      <c r="AE28" s="38">
        <v>0</v>
      </c>
      <c r="AF28" s="38">
        <v>0</v>
      </c>
      <c r="AG28" s="38">
        <v>0</v>
      </c>
      <c r="AH28" s="38">
        <v>0</v>
      </c>
      <c r="AI28" s="33" t="s">
        <v>277</v>
      </c>
      <c r="AJ28" s="38">
        <v>5.5029204850748706E-3</v>
      </c>
      <c r="AK28" s="38">
        <v>2.9087419651389123E-5</v>
      </c>
      <c r="AL28" s="38">
        <v>3.8841118802889992E-3</v>
      </c>
      <c r="AM28" s="38">
        <v>0</v>
      </c>
      <c r="AN28" s="38">
        <v>-3.3456795741965352E-3</v>
      </c>
      <c r="AO28" s="33" t="s">
        <v>277</v>
      </c>
      <c r="AP28" s="38">
        <v>1.6118166400000002</v>
      </c>
      <c r="AQ28" s="38">
        <v>1.6155732086608992</v>
      </c>
      <c r="AR28" s="38">
        <v>0</v>
      </c>
      <c r="AS28" s="38">
        <v>5.9568323825227677E-2</v>
      </c>
      <c r="AT28" s="33" t="s">
        <v>277</v>
      </c>
      <c r="AU28" s="38">
        <v>1.6118166400000002</v>
      </c>
      <c r="AV28" s="38">
        <v>7.5785450160000007E-3</v>
      </c>
      <c r="AW28" s="38">
        <v>1.6079946636448992</v>
      </c>
      <c r="AX28" s="33" t="s">
        <v>277</v>
      </c>
      <c r="AY28" s="38">
        <v>0</v>
      </c>
      <c r="AZ28" s="38">
        <v>0</v>
      </c>
      <c r="BA28" s="38">
        <v>0</v>
      </c>
      <c r="BB28" s="38">
        <v>0</v>
      </c>
      <c r="BC28" s="38">
        <v>0</v>
      </c>
      <c r="BD28" s="33" t="s">
        <v>277</v>
      </c>
      <c r="BE28" s="38">
        <v>5.1945526027800004E-2</v>
      </c>
      <c r="BF28" s="38">
        <v>3.0314180064000003E-4</v>
      </c>
      <c r="BG28" s="38">
        <v>4.4984794680000009E-2</v>
      </c>
      <c r="BH28" s="38">
        <v>0</v>
      </c>
      <c r="BI28" s="38">
        <v>-3.7665138683212328E-2</v>
      </c>
      <c r="BJ28" s="33" t="s">
        <v>277</v>
      </c>
      <c r="BK28" s="37" t="s">
        <v>277</v>
      </c>
      <c r="BL28" s="33" t="s">
        <v>277</v>
      </c>
    </row>
    <row r="29" spans="2:64" ht="19.899999999999999" customHeight="1">
      <c r="B29" s="30" t="s">
        <v>603</v>
      </c>
      <c r="C29" s="30" t="s">
        <v>353</v>
      </c>
      <c r="D29" s="30" t="s">
        <v>393</v>
      </c>
      <c r="E29" s="33" t="s">
        <v>277</v>
      </c>
      <c r="F29" s="30" t="s">
        <v>604</v>
      </c>
      <c r="G29" s="35">
        <v>1</v>
      </c>
      <c r="H29" s="30" t="s">
        <v>605</v>
      </c>
      <c r="I29" s="36">
        <v>75</v>
      </c>
      <c r="J29" s="36">
        <v>50</v>
      </c>
      <c r="K29" s="35">
        <v>0</v>
      </c>
      <c r="L29" s="30" t="s">
        <v>606</v>
      </c>
      <c r="M29" s="35">
        <v>2.2039287908300471</v>
      </c>
      <c r="N29" s="35">
        <v>1.5790984199044136</v>
      </c>
      <c r="O29" s="35">
        <v>0.62483037092563365</v>
      </c>
      <c r="P29" s="35">
        <v>2.2039287908300471</v>
      </c>
      <c r="Q29" s="35">
        <v>15.502821172175121</v>
      </c>
      <c r="R29" s="35">
        <v>6.1602687496585116</v>
      </c>
      <c r="S29" s="35">
        <v>21.663089921833631</v>
      </c>
      <c r="T29" s="33" t="s">
        <v>277</v>
      </c>
      <c r="U29" s="35">
        <v>0.94537176538526402</v>
      </c>
      <c r="V29" s="35">
        <v>0.77357292234410069</v>
      </c>
      <c r="W29" s="35">
        <v>0</v>
      </c>
      <c r="X29" s="35">
        <v>-0.13984626782495096</v>
      </c>
      <c r="Y29" s="33" t="s">
        <v>277</v>
      </c>
      <c r="Z29" s="35">
        <v>0.94537176538526402</v>
      </c>
      <c r="AA29" s="35">
        <v>0.14543709825694562</v>
      </c>
      <c r="AB29" s="35">
        <v>0.62813582408715507</v>
      </c>
      <c r="AC29" s="33" t="s">
        <v>277</v>
      </c>
      <c r="AD29" s="35">
        <v>0</v>
      </c>
      <c r="AE29" s="35">
        <v>0</v>
      </c>
      <c r="AF29" s="35">
        <v>0</v>
      </c>
      <c r="AG29" s="35">
        <v>0</v>
      </c>
      <c r="AH29" s="35">
        <v>0</v>
      </c>
      <c r="AI29" s="33" t="s">
        <v>277</v>
      </c>
      <c r="AJ29" s="35">
        <v>0.30498422871024156</v>
      </c>
      <c r="AK29" s="35">
        <v>4.8721427916076775E-2</v>
      </c>
      <c r="AL29" s="35">
        <v>9.3003080908554848E-3</v>
      </c>
      <c r="AM29" s="35">
        <v>8.1716787714979219E-4</v>
      </c>
      <c r="AN29" s="35">
        <v>-0.50366940041927455</v>
      </c>
      <c r="AO29" s="33" t="s">
        <v>277</v>
      </c>
      <c r="AP29" s="35">
        <v>9.581150096</v>
      </c>
      <c r="AQ29" s="35">
        <v>7.4705247434234394</v>
      </c>
      <c r="AR29" s="35">
        <v>0</v>
      </c>
      <c r="AS29" s="35">
        <v>-1.54885366724832</v>
      </c>
      <c r="AT29" s="33" t="s">
        <v>277</v>
      </c>
      <c r="AU29" s="35">
        <v>9.581150096</v>
      </c>
      <c r="AV29" s="35">
        <v>1.5157090032</v>
      </c>
      <c r="AW29" s="35">
        <v>5.9548157402234398</v>
      </c>
      <c r="AX29" s="33" t="s">
        <v>277</v>
      </c>
      <c r="AY29" s="35">
        <v>0</v>
      </c>
      <c r="AZ29" s="35">
        <v>0</v>
      </c>
      <c r="BA29" s="35">
        <v>0</v>
      </c>
      <c r="BB29" s="35">
        <v>0</v>
      </c>
      <c r="BC29" s="35">
        <v>0</v>
      </c>
      <c r="BD29" s="33" t="s">
        <v>277</v>
      </c>
      <c r="BE29" s="35">
        <v>2.8789378718999998</v>
      </c>
      <c r="BF29" s="35">
        <v>0.50776251607200007</v>
      </c>
      <c r="BG29" s="35">
        <v>9.0064721599999994E-2</v>
      </c>
      <c r="BH29" s="35">
        <v>5.7884005760000011E-3</v>
      </c>
      <c r="BI29" s="35">
        <v>-5.0314071773963196</v>
      </c>
      <c r="BJ29" s="33" t="s">
        <v>277</v>
      </c>
      <c r="BK29" s="30" t="s">
        <v>277</v>
      </c>
      <c r="BL29" s="33" t="s">
        <v>277</v>
      </c>
    </row>
    <row r="30" spans="2:64" ht="19.899999999999999" customHeight="1">
      <c r="B30" s="37" t="s">
        <v>603</v>
      </c>
      <c r="C30" s="37" t="s">
        <v>89</v>
      </c>
      <c r="D30" s="37" t="s">
        <v>618</v>
      </c>
      <c r="E30" s="33" t="s">
        <v>277</v>
      </c>
      <c r="F30" s="37" t="s">
        <v>604</v>
      </c>
      <c r="G30" s="38">
        <v>1</v>
      </c>
      <c r="H30" s="37" t="s">
        <v>613</v>
      </c>
      <c r="I30" s="39">
        <v>999</v>
      </c>
      <c r="J30" s="39">
        <v>50</v>
      </c>
      <c r="K30" s="38">
        <v>0</v>
      </c>
      <c r="L30" s="37" t="s">
        <v>606</v>
      </c>
      <c r="M30" s="38">
        <v>0.51414690695567711</v>
      </c>
      <c r="N30" s="38">
        <v>0.39549761710844472</v>
      </c>
      <c r="O30" s="38">
        <v>0.11864928984723241</v>
      </c>
      <c r="P30" s="38">
        <v>0.51414690695567711</v>
      </c>
      <c r="Q30" s="38">
        <v>2.9524003599999999</v>
      </c>
      <c r="R30" s="38">
        <v>0.88572014319535508</v>
      </c>
      <c r="S30" s="38">
        <v>3.8381205031953547</v>
      </c>
      <c r="T30" s="33" t="s">
        <v>277</v>
      </c>
      <c r="U30" s="38">
        <v>0</v>
      </c>
      <c r="V30" s="38">
        <v>0.39549761710844472</v>
      </c>
      <c r="W30" s="38">
        <v>0</v>
      </c>
      <c r="X30" s="38">
        <v>0</v>
      </c>
      <c r="Y30" s="33" t="s">
        <v>277</v>
      </c>
      <c r="Z30" s="38">
        <v>0</v>
      </c>
      <c r="AA30" s="38">
        <v>0</v>
      </c>
      <c r="AB30" s="38">
        <v>0.39549761710844472</v>
      </c>
      <c r="AC30" s="33" t="s">
        <v>277</v>
      </c>
      <c r="AD30" s="38">
        <v>0</v>
      </c>
      <c r="AE30" s="38">
        <v>0</v>
      </c>
      <c r="AF30" s="38">
        <v>0</v>
      </c>
      <c r="AG30" s="38">
        <v>0</v>
      </c>
      <c r="AH30" s="38">
        <v>0</v>
      </c>
      <c r="AI30" s="33" t="s">
        <v>277</v>
      </c>
      <c r="AJ30" s="38">
        <v>0</v>
      </c>
      <c r="AK30" s="38">
        <v>0</v>
      </c>
      <c r="AL30" s="38">
        <v>0</v>
      </c>
      <c r="AM30" s="38">
        <v>0</v>
      </c>
      <c r="AN30" s="38">
        <v>0</v>
      </c>
      <c r="AO30" s="33" t="s">
        <v>277</v>
      </c>
      <c r="AP30" s="38">
        <v>0</v>
      </c>
      <c r="AQ30" s="38">
        <v>2.9524003599999999</v>
      </c>
      <c r="AR30" s="38">
        <v>0</v>
      </c>
      <c r="AS30" s="38">
        <v>0</v>
      </c>
      <c r="AT30" s="33" t="s">
        <v>277</v>
      </c>
      <c r="AU30" s="38">
        <v>0</v>
      </c>
      <c r="AV30" s="38">
        <v>0</v>
      </c>
      <c r="AW30" s="38">
        <v>2.9524003599999999</v>
      </c>
      <c r="AX30" s="33" t="s">
        <v>277</v>
      </c>
      <c r="AY30" s="38">
        <v>0</v>
      </c>
      <c r="AZ30" s="38">
        <v>0</v>
      </c>
      <c r="BA30" s="38">
        <v>0</v>
      </c>
      <c r="BB30" s="38">
        <v>0</v>
      </c>
      <c r="BC30" s="38">
        <v>0</v>
      </c>
      <c r="BD30" s="33" t="s">
        <v>277</v>
      </c>
      <c r="BE30" s="38">
        <v>0</v>
      </c>
      <c r="BF30" s="38">
        <v>0</v>
      </c>
      <c r="BG30" s="38">
        <v>0</v>
      </c>
      <c r="BH30" s="38">
        <v>0</v>
      </c>
      <c r="BI30" s="38">
        <v>0</v>
      </c>
      <c r="BJ30" s="33" t="s">
        <v>277</v>
      </c>
      <c r="BK30" s="37" t="s">
        <v>277</v>
      </c>
      <c r="BL30" s="33" t="s">
        <v>277</v>
      </c>
    </row>
    <row r="31" spans="2:64" ht="19.899999999999999" customHeight="1">
      <c r="B31" s="30" t="s">
        <v>603</v>
      </c>
      <c r="C31" s="30" t="s">
        <v>579</v>
      </c>
      <c r="D31" s="30" t="s">
        <v>619</v>
      </c>
      <c r="E31" s="33" t="s">
        <v>277</v>
      </c>
      <c r="F31" s="30" t="s">
        <v>604</v>
      </c>
      <c r="G31" s="35">
        <v>1</v>
      </c>
      <c r="H31" s="30" t="s">
        <v>605</v>
      </c>
      <c r="I31" s="36">
        <v>50</v>
      </c>
      <c r="J31" s="36">
        <v>50</v>
      </c>
      <c r="K31" s="35">
        <v>0</v>
      </c>
      <c r="L31" s="30" t="s">
        <v>609</v>
      </c>
      <c r="M31" s="35">
        <v>-9.6843579188088724E-2</v>
      </c>
      <c r="N31" s="35">
        <v>-9.6843579188088724E-2</v>
      </c>
      <c r="O31" s="35">
        <v>0</v>
      </c>
      <c r="P31" s="35">
        <v>-9.6843579188088724E-2</v>
      </c>
      <c r="Q31" s="35">
        <v>-0.89875820417167507</v>
      </c>
      <c r="R31" s="35">
        <v>0</v>
      </c>
      <c r="S31" s="35">
        <v>-0.89875820417167507</v>
      </c>
      <c r="T31" s="33" t="s">
        <v>277</v>
      </c>
      <c r="U31" s="35">
        <v>0</v>
      </c>
      <c r="V31" s="35">
        <v>0</v>
      </c>
      <c r="W31" s="35">
        <v>0</v>
      </c>
      <c r="X31" s="35">
        <v>-9.6843579188088724E-2</v>
      </c>
      <c r="Y31" s="33" t="s">
        <v>277</v>
      </c>
      <c r="Z31" s="35">
        <v>0</v>
      </c>
      <c r="AA31" s="35">
        <v>0</v>
      </c>
      <c r="AB31" s="35">
        <v>0</v>
      </c>
      <c r="AC31" s="33" t="s">
        <v>277</v>
      </c>
      <c r="AD31" s="35">
        <v>0</v>
      </c>
      <c r="AE31" s="35">
        <v>0</v>
      </c>
      <c r="AF31" s="35">
        <v>0</v>
      </c>
      <c r="AG31" s="35">
        <v>0</v>
      </c>
      <c r="AH31" s="35">
        <v>0</v>
      </c>
      <c r="AI31" s="33" t="s">
        <v>277</v>
      </c>
      <c r="AJ31" s="35">
        <v>4.8242017031909203E-2</v>
      </c>
      <c r="AK31" s="35">
        <v>0.55286467933312144</v>
      </c>
      <c r="AL31" s="35">
        <v>0.25000289085574506</v>
      </c>
      <c r="AM31" s="35">
        <v>5.7515485496176886E-3</v>
      </c>
      <c r="AN31" s="35">
        <v>-0.95370471495848208</v>
      </c>
      <c r="AO31" s="33" t="s">
        <v>277</v>
      </c>
      <c r="AP31" s="35">
        <v>0</v>
      </c>
      <c r="AQ31" s="35">
        <v>0</v>
      </c>
      <c r="AR31" s="35">
        <v>0</v>
      </c>
      <c r="AS31" s="35">
        <v>-0.89875820417167507</v>
      </c>
      <c r="AT31" s="33" t="s">
        <v>277</v>
      </c>
      <c r="AU31" s="35">
        <v>0</v>
      </c>
      <c r="AV31" s="35">
        <v>0</v>
      </c>
      <c r="AW31" s="35">
        <v>0</v>
      </c>
      <c r="AX31" s="33" t="s">
        <v>277</v>
      </c>
      <c r="AY31" s="35">
        <v>0</v>
      </c>
      <c r="AZ31" s="35">
        <v>0</v>
      </c>
      <c r="BA31" s="35">
        <v>0</v>
      </c>
      <c r="BB31" s="35">
        <v>0</v>
      </c>
      <c r="BC31" s="35">
        <v>0</v>
      </c>
      <c r="BD31" s="33" t="s">
        <v>277</v>
      </c>
      <c r="BE31" s="35">
        <v>0.36012795600000003</v>
      </c>
      <c r="BF31" s="35">
        <v>4.5870960667695</v>
      </c>
      <c r="BG31" s="35">
        <v>1.6755662617559999</v>
      </c>
      <c r="BH31" s="35">
        <v>4.0741037268400004E-2</v>
      </c>
      <c r="BI31" s="35">
        <v>-7.5622895259655749</v>
      </c>
      <c r="BJ31" s="33" t="s">
        <v>277</v>
      </c>
      <c r="BK31" s="30" t="s">
        <v>277</v>
      </c>
      <c r="BL31" s="33" t="s">
        <v>277</v>
      </c>
    </row>
    <row r="32" spans="2:64" ht="19.899999999999999" customHeight="1">
      <c r="B32" s="37" t="s">
        <v>603</v>
      </c>
      <c r="C32" s="37" t="s">
        <v>612</v>
      </c>
      <c r="D32" s="37" t="s">
        <v>240</v>
      </c>
      <c r="E32" s="33" t="s">
        <v>277</v>
      </c>
      <c r="F32" s="37" t="s">
        <v>604</v>
      </c>
      <c r="G32" s="38">
        <v>1</v>
      </c>
      <c r="H32" s="37" t="s">
        <v>613</v>
      </c>
      <c r="I32" s="39">
        <v>999</v>
      </c>
      <c r="J32" s="39">
        <v>50</v>
      </c>
      <c r="K32" s="38">
        <v>0</v>
      </c>
      <c r="L32" s="37" t="s">
        <v>606</v>
      </c>
      <c r="M32" s="38">
        <v>6.4562025772519398</v>
      </c>
      <c r="N32" s="38">
        <v>4.9663096292683964</v>
      </c>
      <c r="O32" s="38">
        <v>1.4898929479835432</v>
      </c>
      <c r="P32" s="38">
        <v>6.4562025772519398</v>
      </c>
      <c r="Q32" s="38">
        <v>46.880118803999999</v>
      </c>
      <c r="R32" s="38">
        <v>14.064036200054568</v>
      </c>
      <c r="S32" s="38">
        <v>60.944155004054565</v>
      </c>
      <c r="T32" s="33" t="s">
        <v>277</v>
      </c>
      <c r="U32" s="38">
        <v>0</v>
      </c>
      <c r="V32" s="38">
        <v>4.9663096292683964</v>
      </c>
      <c r="W32" s="38">
        <v>0</v>
      </c>
      <c r="X32" s="38">
        <v>0</v>
      </c>
      <c r="Y32" s="33" t="s">
        <v>277</v>
      </c>
      <c r="Z32" s="38">
        <v>0</v>
      </c>
      <c r="AA32" s="38">
        <v>0</v>
      </c>
      <c r="AB32" s="38">
        <v>4.9663096292683964</v>
      </c>
      <c r="AC32" s="33" t="s">
        <v>277</v>
      </c>
      <c r="AD32" s="38">
        <v>0</v>
      </c>
      <c r="AE32" s="38">
        <v>0</v>
      </c>
      <c r="AF32" s="38">
        <v>0</v>
      </c>
      <c r="AG32" s="38">
        <v>0</v>
      </c>
      <c r="AH32" s="38">
        <v>0</v>
      </c>
      <c r="AI32" s="33" t="s">
        <v>277</v>
      </c>
      <c r="AJ32" s="38">
        <v>0</v>
      </c>
      <c r="AK32" s="38">
        <v>0</v>
      </c>
      <c r="AL32" s="38">
        <v>0</v>
      </c>
      <c r="AM32" s="38">
        <v>0</v>
      </c>
      <c r="AN32" s="38">
        <v>0</v>
      </c>
      <c r="AO32" s="33" t="s">
        <v>277</v>
      </c>
      <c r="AP32" s="38">
        <v>0</v>
      </c>
      <c r="AQ32" s="38">
        <v>46.880118803999999</v>
      </c>
      <c r="AR32" s="38">
        <v>0</v>
      </c>
      <c r="AS32" s="38">
        <v>0</v>
      </c>
      <c r="AT32" s="33" t="s">
        <v>277</v>
      </c>
      <c r="AU32" s="38">
        <v>0</v>
      </c>
      <c r="AV32" s="38">
        <v>0</v>
      </c>
      <c r="AW32" s="38">
        <v>46.880118803999999</v>
      </c>
      <c r="AX32" s="33" t="s">
        <v>277</v>
      </c>
      <c r="AY32" s="38">
        <v>0</v>
      </c>
      <c r="AZ32" s="38">
        <v>0</v>
      </c>
      <c r="BA32" s="38">
        <v>0</v>
      </c>
      <c r="BB32" s="38">
        <v>0</v>
      </c>
      <c r="BC32" s="38">
        <v>0</v>
      </c>
      <c r="BD32" s="33" t="s">
        <v>277</v>
      </c>
      <c r="BE32" s="38">
        <v>0</v>
      </c>
      <c r="BF32" s="38">
        <v>0</v>
      </c>
      <c r="BG32" s="38">
        <v>0</v>
      </c>
      <c r="BH32" s="38">
        <v>0</v>
      </c>
      <c r="BI32" s="38">
        <v>0</v>
      </c>
      <c r="BJ32" s="33" t="s">
        <v>277</v>
      </c>
      <c r="BK32" s="37" t="s">
        <v>277</v>
      </c>
      <c r="BL32" s="33" t="s">
        <v>277</v>
      </c>
    </row>
    <row r="33" spans="2:64" ht="19.899999999999999" customHeight="1">
      <c r="B33" s="30" t="s">
        <v>603</v>
      </c>
      <c r="C33" s="30" t="s">
        <v>579</v>
      </c>
      <c r="D33" s="30" t="s">
        <v>620</v>
      </c>
      <c r="E33" s="33" t="s">
        <v>277</v>
      </c>
      <c r="F33" s="30" t="s">
        <v>604</v>
      </c>
      <c r="G33" s="35">
        <v>1</v>
      </c>
      <c r="H33" s="30" t="s">
        <v>118</v>
      </c>
      <c r="I33" s="36">
        <v>999</v>
      </c>
      <c r="J33" s="36">
        <v>50</v>
      </c>
      <c r="K33" s="35">
        <v>0</v>
      </c>
      <c r="L33" s="30" t="s">
        <v>609</v>
      </c>
      <c r="M33" s="35">
        <v>0.14846611092258</v>
      </c>
      <c r="N33" s="35">
        <v>0.14846611092258</v>
      </c>
      <c r="O33" s="35">
        <v>0</v>
      </c>
      <c r="P33" s="35">
        <v>0.14846611092258</v>
      </c>
      <c r="Q33" s="35">
        <v>1.9494984093604002</v>
      </c>
      <c r="R33" s="35">
        <v>0</v>
      </c>
      <c r="S33" s="35">
        <v>1.9494984093604002</v>
      </c>
      <c r="T33" s="33" t="s">
        <v>277</v>
      </c>
      <c r="U33" s="35">
        <v>0</v>
      </c>
      <c r="V33" s="35">
        <v>0</v>
      </c>
      <c r="W33" s="35">
        <v>0</v>
      </c>
      <c r="X33" s="35">
        <v>0.14846611092258</v>
      </c>
      <c r="Y33" s="33" t="s">
        <v>277</v>
      </c>
      <c r="Z33" s="35">
        <v>0</v>
      </c>
      <c r="AA33" s="35">
        <v>0</v>
      </c>
      <c r="AB33" s="35">
        <v>0</v>
      </c>
      <c r="AC33" s="33" t="s">
        <v>277</v>
      </c>
      <c r="AD33" s="35">
        <v>0</v>
      </c>
      <c r="AE33" s="35">
        <v>0</v>
      </c>
      <c r="AF33" s="35">
        <v>0</v>
      </c>
      <c r="AG33" s="35">
        <v>0</v>
      </c>
      <c r="AH33" s="35">
        <v>0</v>
      </c>
      <c r="AI33" s="33" t="s">
        <v>277</v>
      </c>
      <c r="AJ33" s="35">
        <v>7.027029711915643E-2</v>
      </c>
      <c r="AK33" s="35">
        <v>1.9838975981951224E-3</v>
      </c>
      <c r="AL33" s="35">
        <v>7.6211916205228436E-2</v>
      </c>
      <c r="AM33" s="35">
        <v>0</v>
      </c>
      <c r="AN33" s="35">
        <v>0</v>
      </c>
      <c r="AO33" s="33" t="s">
        <v>277</v>
      </c>
      <c r="AP33" s="35">
        <v>0</v>
      </c>
      <c r="AQ33" s="35">
        <v>0</v>
      </c>
      <c r="AR33" s="35">
        <v>0</v>
      </c>
      <c r="AS33" s="35">
        <v>1.9494984093604002</v>
      </c>
      <c r="AT33" s="33" t="s">
        <v>277</v>
      </c>
      <c r="AU33" s="35">
        <v>0</v>
      </c>
      <c r="AV33" s="35">
        <v>0</v>
      </c>
      <c r="AW33" s="35">
        <v>0</v>
      </c>
      <c r="AX33" s="33" t="s">
        <v>277</v>
      </c>
      <c r="AY33" s="35">
        <v>0</v>
      </c>
      <c r="AZ33" s="35">
        <v>0</v>
      </c>
      <c r="BA33" s="35">
        <v>0</v>
      </c>
      <c r="BB33" s="35">
        <v>0</v>
      </c>
      <c r="BC33" s="35">
        <v>0</v>
      </c>
      <c r="BD33" s="33" t="s">
        <v>277</v>
      </c>
      <c r="BE33" s="35">
        <v>0.57384808860000003</v>
      </c>
      <c r="BF33" s="35">
        <v>1.6460318790000001E-2</v>
      </c>
      <c r="BG33" s="35">
        <v>1.3591900019704002</v>
      </c>
      <c r="BH33" s="35">
        <v>0</v>
      </c>
      <c r="BI33" s="35">
        <v>0</v>
      </c>
      <c r="BJ33" s="33" t="s">
        <v>277</v>
      </c>
      <c r="BK33" s="30" t="s">
        <v>277</v>
      </c>
      <c r="BL33" s="33" t="s">
        <v>277</v>
      </c>
    </row>
    <row r="34" spans="2:64" ht="19.899999999999999" customHeight="1">
      <c r="B34" s="37" t="s">
        <v>603</v>
      </c>
      <c r="C34" s="37" t="s">
        <v>614</v>
      </c>
      <c r="D34" s="37" t="s">
        <v>517</v>
      </c>
      <c r="E34" s="33" t="s">
        <v>277</v>
      </c>
      <c r="F34" s="37" t="s">
        <v>604</v>
      </c>
      <c r="G34" s="38">
        <v>1</v>
      </c>
      <c r="H34" s="37" t="s">
        <v>605</v>
      </c>
      <c r="I34" s="39">
        <v>6</v>
      </c>
      <c r="J34" s="39">
        <v>6</v>
      </c>
      <c r="K34" s="38">
        <v>7.3333333333333321</v>
      </c>
      <c r="L34" s="37" t="s">
        <v>606</v>
      </c>
      <c r="M34" s="38">
        <v>0.79062214758668858</v>
      </c>
      <c r="N34" s="38">
        <v>5.0680906431841457</v>
      </c>
      <c r="O34" s="38">
        <v>1.5204272533715923</v>
      </c>
      <c r="P34" s="38">
        <v>6.5885178965557376</v>
      </c>
      <c r="Q34" s="38">
        <v>44.176433504239832</v>
      </c>
      <c r="R34" s="38">
        <v>13.252930577896077</v>
      </c>
      <c r="S34" s="38">
        <v>57.429364082135898</v>
      </c>
      <c r="T34" s="33" t="s">
        <v>277</v>
      </c>
      <c r="U34" s="38">
        <v>0.43884906631874004</v>
      </c>
      <c r="V34" s="38">
        <v>6.5467678492461285E-3</v>
      </c>
      <c r="W34" s="38">
        <v>4.4649536199946027</v>
      </c>
      <c r="X34" s="38">
        <v>0.15774118902155684</v>
      </c>
      <c r="Y34" s="33" t="s">
        <v>277</v>
      </c>
      <c r="Z34" s="38">
        <v>0.43884906631874004</v>
      </c>
      <c r="AA34" s="38">
        <v>1.8179637282118202E-3</v>
      </c>
      <c r="AB34" s="38">
        <v>4.7288041210343081E-3</v>
      </c>
      <c r="AC34" s="33" t="s">
        <v>277</v>
      </c>
      <c r="AD34" s="38">
        <v>5.033853992554461E-3</v>
      </c>
      <c r="AE34" s="38">
        <v>0</v>
      </c>
      <c r="AF34" s="38">
        <v>0</v>
      </c>
      <c r="AG34" s="38">
        <v>4.4599197660020486</v>
      </c>
      <c r="AH34" s="38">
        <v>0</v>
      </c>
      <c r="AI34" s="33" t="s">
        <v>277</v>
      </c>
      <c r="AJ34" s="38">
        <v>4.7288041210343081E-3</v>
      </c>
      <c r="AK34" s="38">
        <v>1.2723149006442437E-3</v>
      </c>
      <c r="AL34" s="38">
        <v>0</v>
      </c>
      <c r="AM34" s="38">
        <v>0.1517400699998783</v>
      </c>
      <c r="AN34" s="38">
        <v>0</v>
      </c>
      <c r="AO34" s="33" t="s">
        <v>277</v>
      </c>
      <c r="AP34" s="38">
        <v>2.5251672599999999</v>
      </c>
      <c r="AQ34" s="38">
        <v>6.8823710060000001E-2</v>
      </c>
      <c r="AR34" s="38">
        <v>38.944944385131052</v>
      </c>
      <c r="AS34" s="38">
        <v>2.6374981490487794</v>
      </c>
      <c r="AT34" s="33" t="s">
        <v>277</v>
      </c>
      <c r="AU34" s="38">
        <v>2.5251672599999999</v>
      </c>
      <c r="AV34" s="38">
        <v>1.8946362540000001E-2</v>
      </c>
      <c r="AW34" s="38">
        <v>4.9877347520000004E-2</v>
      </c>
      <c r="AX34" s="33" t="s">
        <v>277</v>
      </c>
      <c r="AY34" s="38">
        <v>6.9682901399999997E-2</v>
      </c>
      <c r="AZ34" s="38">
        <v>0</v>
      </c>
      <c r="BA34" s="38">
        <v>0</v>
      </c>
      <c r="BB34" s="38">
        <v>38.875261483731052</v>
      </c>
      <c r="BC34" s="38">
        <v>0</v>
      </c>
      <c r="BD34" s="33" t="s">
        <v>277</v>
      </c>
      <c r="BE34" s="38">
        <v>4.9877347520000004E-2</v>
      </c>
      <c r="BF34" s="38">
        <v>1.325974715478E-2</v>
      </c>
      <c r="BG34" s="38">
        <v>0</v>
      </c>
      <c r="BH34" s="38">
        <v>2.5743610543739996</v>
      </c>
      <c r="BI34" s="38">
        <v>0</v>
      </c>
      <c r="BJ34" s="33" t="s">
        <v>277</v>
      </c>
      <c r="BK34" s="37" t="s">
        <v>277</v>
      </c>
      <c r="BL34" s="33" t="s">
        <v>277</v>
      </c>
    </row>
    <row r="35" spans="2:64" ht="19.899999999999999" customHeight="1">
      <c r="B35" s="30" t="s">
        <v>603</v>
      </c>
      <c r="C35" s="30" t="s">
        <v>89</v>
      </c>
      <c r="D35" s="30" t="s">
        <v>621</v>
      </c>
      <c r="E35" s="33" t="s">
        <v>277</v>
      </c>
      <c r="F35" s="30" t="s">
        <v>604</v>
      </c>
      <c r="G35" s="35">
        <v>1</v>
      </c>
      <c r="H35" s="30" t="s">
        <v>384</v>
      </c>
      <c r="I35" s="36">
        <v>999</v>
      </c>
      <c r="J35" s="36">
        <v>50</v>
      </c>
      <c r="K35" s="35">
        <v>0</v>
      </c>
      <c r="L35" s="30" t="s">
        <v>606</v>
      </c>
      <c r="M35" s="35">
        <v>9.0596638824067093E-3</v>
      </c>
      <c r="N35" s="35">
        <v>6.9689721533308362E-3</v>
      </c>
      <c r="O35" s="35">
        <v>2.090691729075873E-3</v>
      </c>
      <c r="P35" s="35">
        <v>9.0596638824067093E-3</v>
      </c>
      <c r="Q35" s="35">
        <v>6.5784509399999996E-2</v>
      </c>
      <c r="R35" s="35">
        <v>1.9735353604212465E-2</v>
      </c>
      <c r="S35" s="35">
        <v>8.5519863004212465E-2</v>
      </c>
      <c r="T35" s="33" t="s">
        <v>277</v>
      </c>
      <c r="U35" s="35">
        <v>0</v>
      </c>
      <c r="V35" s="35">
        <v>0</v>
      </c>
      <c r="W35" s="35">
        <v>0</v>
      </c>
      <c r="X35" s="35">
        <v>6.9689721533308362E-3</v>
      </c>
      <c r="Y35" s="33" t="s">
        <v>277</v>
      </c>
      <c r="Z35" s="35">
        <v>0</v>
      </c>
      <c r="AA35" s="35">
        <v>0</v>
      </c>
      <c r="AB35" s="35">
        <v>0</v>
      </c>
      <c r="AC35" s="33" t="s">
        <v>277</v>
      </c>
      <c r="AD35" s="35">
        <v>0</v>
      </c>
      <c r="AE35" s="35">
        <v>0</v>
      </c>
      <c r="AF35" s="35">
        <v>0</v>
      </c>
      <c r="AG35" s="35">
        <v>0</v>
      </c>
      <c r="AH35" s="35">
        <v>0</v>
      </c>
      <c r="AI35" s="33" t="s">
        <v>277</v>
      </c>
      <c r="AJ35" s="35">
        <v>6.9689721533308362E-3</v>
      </c>
      <c r="AK35" s="35">
        <v>0</v>
      </c>
      <c r="AL35" s="35">
        <v>0</v>
      </c>
      <c r="AM35" s="35">
        <v>0</v>
      </c>
      <c r="AN35" s="35">
        <v>0</v>
      </c>
      <c r="AO35" s="33" t="s">
        <v>277</v>
      </c>
      <c r="AP35" s="35">
        <v>0</v>
      </c>
      <c r="AQ35" s="35">
        <v>0</v>
      </c>
      <c r="AR35" s="35">
        <v>0</v>
      </c>
      <c r="AS35" s="35">
        <v>6.5784509399999996E-2</v>
      </c>
      <c r="AT35" s="33" t="s">
        <v>277</v>
      </c>
      <c r="AU35" s="35">
        <v>0</v>
      </c>
      <c r="AV35" s="35">
        <v>0</v>
      </c>
      <c r="AW35" s="35">
        <v>0</v>
      </c>
      <c r="AX35" s="33" t="s">
        <v>277</v>
      </c>
      <c r="AY35" s="35">
        <v>0</v>
      </c>
      <c r="AZ35" s="35">
        <v>0</v>
      </c>
      <c r="BA35" s="35">
        <v>0</v>
      </c>
      <c r="BB35" s="35">
        <v>0</v>
      </c>
      <c r="BC35" s="35">
        <v>0</v>
      </c>
      <c r="BD35" s="33" t="s">
        <v>277</v>
      </c>
      <c r="BE35" s="35">
        <v>6.5784509399999996E-2</v>
      </c>
      <c r="BF35" s="35">
        <v>0</v>
      </c>
      <c r="BG35" s="35">
        <v>0</v>
      </c>
      <c r="BH35" s="35">
        <v>0</v>
      </c>
      <c r="BI35" s="35">
        <v>0</v>
      </c>
      <c r="BJ35" s="33" t="s">
        <v>277</v>
      </c>
      <c r="BK35" s="30" t="s">
        <v>277</v>
      </c>
      <c r="BL35" s="33" t="s">
        <v>277</v>
      </c>
    </row>
    <row r="36" spans="2:64" ht="19.899999999999999" customHeight="1">
      <c r="B36" s="37" t="s">
        <v>603</v>
      </c>
      <c r="C36" s="37" t="s">
        <v>89</v>
      </c>
      <c r="D36" s="37" t="s">
        <v>111</v>
      </c>
      <c r="E36" s="33" t="s">
        <v>277</v>
      </c>
      <c r="F36" s="37" t="s">
        <v>604</v>
      </c>
      <c r="G36" s="38">
        <v>1</v>
      </c>
      <c r="H36" s="37" t="s">
        <v>613</v>
      </c>
      <c r="I36" s="39">
        <v>999</v>
      </c>
      <c r="J36" s="39">
        <v>50</v>
      </c>
      <c r="K36" s="38">
        <v>0</v>
      </c>
      <c r="L36" s="37" t="s">
        <v>606</v>
      </c>
      <c r="M36" s="38">
        <v>10.728549334428999</v>
      </c>
      <c r="N36" s="38">
        <v>8.2527301815759913</v>
      </c>
      <c r="O36" s="38">
        <v>2.4758191528530076</v>
      </c>
      <c r="P36" s="38">
        <v>10.728549334428999</v>
      </c>
      <c r="Q36" s="38">
        <v>77.902708500000003</v>
      </c>
      <c r="R36" s="38">
        <v>23.370813478672659</v>
      </c>
      <c r="S36" s="38">
        <v>101.27352197867266</v>
      </c>
      <c r="T36" s="33" t="s">
        <v>277</v>
      </c>
      <c r="U36" s="38">
        <v>0</v>
      </c>
      <c r="V36" s="38">
        <v>8.2527301815759913</v>
      </c>
      <c r="W36" s="38">
        <v>0</v>
      </c>
      <c r="X36" s="38">
        <v>0</v>
      </c>
      <c r="Y36" s="33" t="s">
        <v>277</v>
      </c>
      <c r="Z36" s="38">
        <v>0</v>
      </c>
      <c r="AA36" s="38">
        <v>0</v>
      </c>
      <c r="AB36" s="38">
        <v>8.2527301815759913</v>
      </c>
      <c r="AC36" s="33" t="s">
        <v>277</v>
      </c>
      <c r="AD36" s="38">
        <v>0</v>
      </c>
      <c r="AE36" s="38">
        <v>0</v>
      </c>
      <c r="AF36" s="38">
        <v>0</v>
      </c>
      <c r="AG36" s="38">
        <v>0</v>
      </c>
      <c r="AH36" s="38">
        <v>0</v>
      </c>
      <c r="AI36" s="33" t="s">
        <v>277</v>
      </c>
      <c r="AJ36" s="38">
        <v>0</v>
      </c>
      <c r="AK36" s="38">
        <v>0</v>
      </c>
      <c r="AL36" s="38">
        <v>0</v>
      </c>
      <c r="AM36" s="38">
        <v>0</v>
      </c>
      <c r="AN36" s="38">
        <v>0</v>
      </c>
      <c r="AO36" s="33" t="s">
        <v>277</v>
      </c>
      <c r="AP36" s="38">
        <v>0</v>
      </c>
      <c r="AQ36" s="38">
        <v>77.902708500000003</v>
      </c>
      <c r="AR36" s="38">
        <v>0</v>
      </c>
      <c r="AS36" s="38">
        <v>0</v>
      </c>
      <c r="AT36" s="33" t="s">
        <v>277</v>
      </c>
      <c r="AU36" s="38">
        <v>0</v>
      </c>
      <c r="AV36" s="38">
        <v>0</v>
      </c>
      <c r="AW36" s="38">
        <v>77.902708500000003</v>
      </c>
      <c r="AX36" s="33" t="s">
        <v>277</v>
      </c>
      <c r="AY36" s="38">
        <v>0</v>
      </c>
      <c r="AZ36" s="38">
        <v>0</v>
      </c>
      <c r="BA36" s="38">
        <v>0</v>
      </c>
      <c r="BB36" s="38">
        <v>0</v>
      </c>
      <c r="BC36" s="38">
        <v>0</v>
      </c>
      <c r="BD36" s="33" t="s">
        <v>277</v>
      </c>
      <c r="BE36" s="38">
        <v>0</v>
      </c>
      <c r="BF36" s="38">
        <v>0</v>
      </c>
      <c r="BG36" s="38">
        <v>0</v>
      </c>
      <c r="BH36" s="38">
        <v>0</v>
      </c>
      <c r="BI36" s="38">
        <v>0</v>
      </c>
      <c r="BJ36" s="33" t="s">
        <v>277</v>
      </c>
      <c r="BK36" s="37" t="s">
        <v>277</v>
      </c>
      <c r="BL36" s="33" t="s">
        <v>277</v>
      </c>
    </row>
    <row r="37" spans="2:64" ht="19.899999999999999" customHeight="1">
      <c r="B37" s="30" t="s">
        <v>603</v>
      </c>
      <c r="C37" s="30" t="s">
        <v>612</v>
      </c>
      <c r="D37" s="30" t="s">
        <v>179</v>
      </c>
      <c r="E37" s="33" t="s">
        <v>277</v>
      </c>
      <c r="F37" s="30" t="s">
        <v>604</v>
      </c>
      <c r="G37" s="35">
        <v>1</v>
      </c>
      <c r="H37" s="30" t="s">
        <v>622</v>
      </c>
      <c r="I37" s="36">
        <v>999</v>
      </c>
      <c r="J37" s="36">
        <v>50</v>
      </c>
      <c r="K37" s="35">
        <v>0</v>
      </c>
      <c r="L37" s="30" t="s">
        <v>606</v>
      </c>
      <c r="M37" s="35">
        <v>1.1254061277843726E-2</v>
      </c>
      <c r="N37" s="35">
        <v>8.656970134342001E-3</v>
      </c>
      <c r="O37" s="35">
        <v>2.5970911435017263E-3</v>
      </c>
      <c r="P37" s="35">
        <v>1.1254061277843726E-2</v>
      </c>
      <c r="Q37" s="35">
        <v>9.0220774000000004E-2</v>
      </c>
      <c r="R37" s="35">
        <v>2.7066233275515442E-2</v>
      </c>
      <c r="S37" s="35">
        <v>0.11728700727551544</v>
      </c>
      <c r="T37" s="33" t="s">
        <v>277</v>
      </c>
      <c r="U37" s="35">
        <v>8.656970134342001E-3</v>
      </c>
      <c r="V37" s="35">
        <v>0</v>
      </c>
      <c r="W37" s="35">
        <v>0</v>
      </c>
      <c r="X37" s="35">
        <v>0</v>
      </c>
      <c r="Y37" s="33" t="s">
        <v>277</v>
      </c>
      <c r="Z37" s="35">
        <v>8.656970134342001E-3</v>
      </c>
      <c r="AA37" s="35">
        <v>0</v>
      </c>
      <c r="AB37" s="35">
        <v>0</v>
      </c>
      <c r="AC37" s="33" t="s">
        <v>277</v>
      </c>
      <c r="AD37" s="35">
        <v>0</v>
      </c>
      <c r="AE37" s="35">
        <v>0</v>
      </c>
      <c r="AF37" s="35">
        <v>0</v>
      </c>
      <c r="AG37" s="35">
        <v>0</v>
      </c>
      <c r="AH37" s="35">
        <v>0</v>
      </c>
      <c r="AI37" s="33" t="s">
        <v>277</v>
      </c>
      <c r="AJ37" s="35">
        <v>0</v>
      </c>
      <c r="AK37" s="35">
        <v>0</v>
      </c>
      <c r="AL37" s="35">
        <v>0</v>
      </c>
      <c r="AM37" s="35">
        <v>0</v>
      </c>
      <c r="AN37" s="35">
        <v>0</v>
      </c>
      <c r="AO37" s="33" t="s">
        <v>277</v>
      </c>
      <c r="AP37" s="35">
        <v>9.0220774000000004E-2</v>
      </c>
      <c r="AQ37" s="35">
        <v>0</v>
      </c>
      <c r="AR37" s="35">
        <v>0</v>
      </c>
      <c r="AS37" s="35">
        <v>0</v>
      </c>
      <c r="AT37" s="33" t="s">
        <v>277</v>
      </c>
      <c r="AU37" s="35">
        <v>9.0220774000000004E-2</v>
      </c>
      <c r="AV37" s="35">
        <v>0</v>
      </c>
      <c r="AW37" s="35">
        <v>0</v>
      </c>
      <c r="AX37" s="33" t="s">
        <v>277</v>
      </c>
      <c r="AY37" s="35">
        <v>0</v>
      </c>
      <c r="AZ37" s="35">
        <v>0</v>
      </c>
      <c r="BA37" s="35">
        <v>0</v>
      </c>
      <c r="BB37" s="35">
        <v>0</v>
      </c>
      <c r="BC37" s="35">
        <v>0</v>
      </c>
      <c r="BD37" s="33" t="s">
        <v>277</v>
      </c>
      <c r="BE37" s="35">
        <v>0</v>
      </c>
      <c r="BF37" s="35">
        <v>0</v>
      </c>
      <c r="BG37" s="35">
        <v>0</v>
      </c>
      <c r="BH37" s="35">
        <v>0</v>
      </c>
      <c r="BI37" s="35">
        <v>0</v>
      </c>
      <c r="BJ37" s="33" t="s">
        <v>277</v>
      </c>
      <c r="BK37" s="30" t="s">
        <v>277</v>
      </c>
      <c r="BL37" s="33" t="s">
        <v>277</v>
      </c>
    </row>
    <row r="38" spans="2:64" ht="19.899999999999999" customHeight="1">
      <c r="B38" s="37" t="s">
        <v>603</v>
      </c>
      <c r="C38" s="37" t="s">
        <v>216</v>
      </c>
      <c r="D38" s="37" t="s">
        <v>232</v>
      </c>
      <c r="E38" s="33" t="s">
        <v>277</v>
      </c>
      <c r="F38" s="37" t="s">
        <v>604</v>
      </c>
      <c r="G38" s="38">
        <v>1</v>
      </c>
      <c r="H38" s="37" t="s">
        <v>613</v>
      </c>
      <c r="I38" s="39">
        <v>999</v>
      </c>
      <c r="J38" s="39">
        <v>50</v>
      </c>
      <c r="K38" s="38">
        <v>0</v>
      </c>
      <c r="L38" s="37" t="s">
        <v>606</v>
      </c>
      <c r="M38" s="38">
        <v>9.2980760898384656</v>
      </c>
      <c r="N38" s="38">
        <v>7.1523661573658588</v>
      </c>
      <c r="O38" s="38">
        <v>2.1457099324726063</v>
      </c>
      <c r="P38" s="38">
        <v>9.2980760898384656</v>
      </c>
      <c r="Q38" s="38">
        <v>67.515680700000004</v>
      </c>
      <c r="R38" s="38">
        <v>20.254705014849637</v>
      </c>
      <c r="S38" s="38">
        <v>87.770385714849638</v>
      </c>
      <c r="T38" s="33" t="s">
        <v>277</v>
      </c>
      <c r="U38" s="38">
        <v>0</v>
      </c>
      <c r="V38" s="38">
        <v>7.1523661573658588</v>
      </c>
      <c r="W38" s="38">
        <v>0</v>
      </c>
      <c r="X38" s="38">
        <v>0</v>
      </c>
      <c r="Y38" s="33" t="s">
        <v>277</v>
      </c>
      <c r="Z38" s="38">
        <v>0</v>
      </c>
      <c r="AA38" s="38">
        <v>0</v>
      </c>
      <c r="AB38" s="38">
        <v>7.1523661573658588</v>
      </c>
      <c r="AC38" s="33" t="s">
        <v>277</v>
      </c>
      <c r="AD38" s="38">
        <v>0</v>
      </c>
      <c r="AE38" s="38">
        <v>0</v>
      </c>
      <c r="AF38" s="38">
        <v>0</v>
      </c>
      <c r="AG38" s="38">
        <v>0</v>
      </c>
      <c r="AH38" s="38">
        <v>0</v>
      </c>
      <c r="AI38" s="33" t="s">
        <v>277</v>
      </c>
      <c r="AJ38" s="38">
        <v>0</v>
      </c>
      <c r="AK38" s="38">
        <v>0</v>
      </c>
      <c r="AL38" s="38">
        <v>0</v>
      </c>
      <c r="AM38" s="38">
        <v>0</v>
      </c>
      <c r="AN38" s="38">
        <v>0</v>
      </c>
      <c r="AO38" s="33" t="s">
        <v>277</v>
      </c>
      <c r="AP38" s="38">
        <v>0</v>
      </c>
      <c r="AQ38" s="38">
        <v>67.515680700000004</v>
      </c>
      <c r="AR38" s="38">
        <v>0</v>
      </c>
      <c r="AS38" s="38">
        <v>0</v>
      </c>
      <c r="AT38" s="33" t="s">
        <v>277</v>
      </c>
      <c r="AU38" s="38">
        <v>0</v>
      </c>
      <c r="AV38" s="38">
        <v>0</v>
      </c>
      <c r="AW38" s="38">
        <v>67.515680700000004</v>
      </c>
      <c r="AX38" s="33" t="s">
        <v>277</v>
      </c>
      <c r="AY38" s="38">
        <v>0</v>
      </c>
      <c r="AZ38" s="38">
        <v>0</v>
      </c>
      <c r="BA38" s="38">
        <v>0</v>
      </c>
      <c r="BB38" s="38">
        <v>0</v>
      </c>
      <c r="BC38" s="38">
        <v>0</v>
      </c>
      <c r="BD38" s="33" t="s">
        <v>277</v>
      </c>
      <c r="BE38" s="38">
        <v>0</v>
      </c>
      <c r="BF38" s="38">
        <v>0</v>
      </c>
      <c r="BG38" s="38">
        <v>0</v>
      </c>
      <c r="BH38" s="38">
        <v>0</v>
      </c>
      <c r="BI38" s="38">
        <v>0</v>
      </c>
      <c r="BJ38" s="33" t="s">
        <v>277</v>
      </c>
      <c r="BK38" s="37" t="s">
        <v>277</v>
      </c>
      <c r="BL38" s="33" t="s">
        <v>277</v>
      </c>
    </row>
    <row r="39" spans="2:64" ht="19.899999999999999" customHeight="1">
      <c r="B39" s="30" t="s">
        <v>603</v>
      </c>
      <c r="C39" s="30" t="s">
        <v>353</v>
      </c>
      <c r="D39" s="30" t="s">
        <v>389</v>
      </c>
      <c r="E39" s="33" t="s">
        <v>277</v>
      </c>
      <c r="F39" s="30" t="s">
        <v>604</v>
      </c>
      <c r="G39" s="35">
        <v>1</v>
      </c>
      <c r="H39" s="30" t="s">
        <v>605</v>
      </c>
      <c r="I39" s="36">
        <v>50</v>
      </c>
      <c r="J39" s="36">
        <v>50</v>
      </c>
      <c r="K39" s="35">
        <v>0</v>
      </c>
      <c r="L39" s="30" t="s">
        <v>606</v>
      </c>
      <c r="M39" s="35">
        <v>1.834554116415676</v>
      </c>
      <c r="N39" s="35">
        <v>1.4056249081926389</v>
      </c>
      <c r="O39" s="35">
        <v>0.42892920822303715</v>
      </c>
      <c r="P39" s="35">
        <v>1.834554116415676</v>
      </c>
      <c r="Q39" s="35">
        <v>13.59546604799629</v>
      </c>
      <c r="R39" s="35">
        <v>4.1349292146640471</v>
      </c>
      <c r="S39" s="35">
        <v>17.730395262660338</v>
      </c>
      <c r="T39" s="33" t="s">
        <v>277</v>
      </c>
      <c r="U39" s="35">
        <v>0.41331189320166312</v>
      </c>
      <c r="V39" s="35">
        <v>0.19162820477559786</v>
      </c>
      <c r="W39" s="35">
        <v>0.7148819852982039</v>
      </c>
      <c r="X39" s="35">
        <v>8.5802824917173906E-2</v>
      </c>
      <c r="Y39" s="33" t="s">
        <v>277</v>
      </c>
      <c r="Z39" s="35">
        <v>0.41331189320166312</v>
      </c>
      <c r="AA39" s="35">
        <v>0.10863049043775728</v>
      </c>
      <c r="AB39" s="35">
        <v>8.2997714337840575E-2</v>
      </c>
      <c r="AC39" s="33" t="s">
        <v>277</v>
      </c>
      <c r="AD39" s="35">
        <v>0</v>
      </c>
      <c r="AE39" s="35">
        <v>0</v>
      </c>
      <c r="AF39" s="35">
        <v>0</v>
      </c>
      <c r="AG39" s="35">
        <v>0.7148819852982039</v>
      </c>
      <c r="AH39" s="35">
        <v>0</v>
      </c>
      <c r="AI39" s="33" t="s">
        <v>277</v>
      </c>
      <c r="AJ39" s="35">
        <v>6.6021841452607921E-2</v>
      </c>
      <c r="AK39" s="35">
        <v>3.6210163479252426E-2</v>
      </c>
      <c r="AL39" s="35">
        <v>7.3822856240467376E-3</v>
      </c>
      <c r="AM39" s="35">
        <v>3.2759676503594338E-4</v>
      </c>
      <c r="AN39" s="35">
        <v>-2.4139062403769118E-2</v>
      </c>
      <c r="AO39" s="33" t="s">
        <v>277</v>
      </c>
      <c r="AP39" s="35">
        <v>4.2051364400000004</v>
      </c>
      <c r="AQ39" s="35">
        <v>1.6889450258974139</v>
      </c>
      <c r="AR39" s="35">
        <v>6.8915484172612143</v>
      </c>
      <c r="AS39" s="35">
        <v>0.80983616483766108</v>
      </c>
      <c r="AT39" s="33" t="s">
        <v>277</v>
      </c>
      <c r="AU39" s="35">
        <v>4.2051364400000004</v>
      </c>
      <c r="AV39" s="35">
        <v>0.90130282154999997</v>
      </c>
      <c r="AW39" s="35">
        <v>0.78764220434741405</v>
      </c>
      <c r="AX39" s="33" t="s">
        <v>277</v>
      </c>
      <c r="AY39" s="35">
        <v>0</v>
      </c>
      <c r="AZ39" s="35">
        <v>0</v>
      </c>
      <c r="BA39" s="35">
        <v>0</v>
      </c>
      <c r="BB39" s="35">
        <v>6.8915484172612143</v>
      </c>
      <c r="BC39" s="35">
        <v>0</v>
      </c>
      <c r="BD39" s="33" t="s">
        <v>277</v>
      </c>
      <c r="BE39" s="35">
        <v>0.62322166800000001</v>
      </c>
      <c r="BF39" s="35">
        <v>0.30043427384999999</v>
      </c>
      <c r="BG39" s="35">
        <v>7.1490481068599995E-2</v>
      </c>
      <c r="BH39" s="35">
        <v>2.3205284452000002E-3</v>
      </c>
      <c r="BI39" s="35">
        <v>-0.18763078652613902</v>
      </c>
      <c r="BJ39" s="33" t="s">
        <v>277</v>
      </c>
      <c r="BK39" s="30" t="s">
        <v>277</v>
      </c>
      <c r="BL39" s="33" t="s">
        <v>277</v>
      </c>
    </row>
    <row r="40" spans="2:64" ht="19.899999999999999" customHeight="1">
      <c r="B40" s="37" t="s">
        <v>603</v>
      </c>
      <c r="C40" s="37" t="s">
        <v>614</v>
      </c>
      <c r="D40" s="37" t="s">
        <v>623</v>
      </c>
      <c r="E40" s="33" t="s">
        <v>277</v>
      </c>
      <c r="F40" s="37" t="s">
        <v>604</v>
      </c>
      <c r="G40" s="38">
        <v>1</v>
      </c>
      <c r="H40" s="37" t="s">
        <v>605</v>
      </c>
      <c r="I40" s="39">
        <v>6</v>
      </c>
      <c r="J40" s="39">
        <v>6</v>
      </c>
      <c r="K40" s="38">
        <v>7.3333333333333339</v>
      </c>
      <c r="L40" s="37" t="s">
        <v>606</v>
      </c>
      <c r="M40" s="38">
        <v>0.15681107855427859</v>
      </c>
      <c r="N40" s="38">
        <v>1.005199212284164</v>
      </c>
      <c r="O40" s="38">
        <v>0.30155977566815761</v>
      </c>
      <c r="P40" s="38">
        <v>1.3067589879523216</v>
      </c>
      <c r="Q40" s="38">
        <v>8.8778589449289012</v>
      </c>
      <c r="R40" s="38">
        <v>2.6633577893109965</v>
      </c>
      <c r="S40" s="38">
        <v>11.541216734239896</v>
      </c>
      <c r="T40" s="33" t="s">
        <v>277</v>
      </c>
      <c r="U40" s="38">
        <v>8.150054088776601E-2</v>
      </c>
      <c r="V40" s="38">
        <v>5.0664259562736465E-3</v>
      </c>
      <c r="W40" s="38">
        <v>0.88551016540868166</v>
      </c>
      <c r="X40" s="38">
        <v>3.3122080031442756E-2</v>
      </c>
      <c r="Y40" s="33" t="s">
        <v>277</v>
      </c>
      <c r="Z40" s="38">
        <v>8.150054088776601E-2</v>
      </c>
      <c r="AA40" s="38">
        <v>3.3762183523933811E-4</v>
      </c>
      <c r="AB40" s="38">
        <v>4.7288041210343081E-3</v>
      </c>
      <c r="AC40" s="33" t="s">
        <v>277</v>
      </c>
      <c r="AD40" s="38">
        <v>9.3485859861725765E-4</v>
      </c>
      <c r="AE40" s="38">
        <v>0</v>
      </c>
      <c r="AF40" s="38">
        <v>0</v>
      </c>
      <c r="AG40" s="38">
        <v>0.88457530681006435</v>
      </c>
      <c r="AH40" s="38">
        <v>0</v>
      </c>
      <c r="AI40" s="33" t="s">
        <v>277</v>
      </c>
      <c r="AJ40" s="38">
        <v>4.7288041210343081E-3</v>
      </c>
      <c r="AK40" s="38">
        <v>2.3531376219168419E-4</v>
      </c>
      <c r="AL40" s="38">
        <v>0</v>
      </c>
      <c r="AM40" s="38">
        <v>2.8157962148216767E-2</v>
      </c>
      <c r="AN40" s="38">
        <v>0</v>
      </c>
      <c r="AO40" s="33" t="s">
        <v>277</v>
      </c>
      <c r="AP40" s="38">
        <v>0.46895963400000001</v>
      </c>
      <c r="AQ40" s="38">
        <v>5.3395957706000002E-2</v>
      </c>
      <c r="AR40" s="38">
        <v>7.8254569817974318</v>
      </c>
      <c r="AS40" s="38">
        <v>0.53004637142546795</v>
      </c>
      <c r="AT40" s="33" t="s">
        <v>277</v>
      </c>
      <c r="AU40" s="38">
        <v>0.46895963400000001</v>
      </c>
      <c r="AV40" s="38">
        <v>3.5186101860000007E-3</v>
      </c>
      <c r="AW40" s="38">
        <v>4.9877347520000004E-2</v>
      </c>
      <c r="AX40" s="33" t="s">
        <v>277</v>
      </c>
      <c r="AY40" s="38">
        <v>1.2941110260000001E-2</v>
      </c>
      <c r="AZ40" s="38">
        <v>0</v>
      </c>
      <c r="BA40" s="38">
        <v>0</v>
      </c>
      <c r="BB40" s="38">
        <v>7.8125158715374319</v>
      </c>
      <c r="BC40" s="38">
        <v>0</v>
      </c>
      <c r="BD40" s="33" t="s">
        <v>277</v>
      </c>
      <c r="BE40" s="38">
        <v>4.9877347520000004E-2</v>
      </c>
      <c r="BF40" s="38">
        <v>2.4523810788679998E-3</v>
      </c>
      <c r="BG40" s="38">
        <v>0</v>
      </c>
      <c r="BH40" s="38">
        <v>0.47771664282659998</v>
      </c>
      <c r="BI40" s="38">
        <v>0</v>
      </c>
      <c r="BJ40" s="33" t="s">
        <v>277</v>
      </c>
      <c r="BK40" s="37" t="s">
        <v>277</v>
      </c>
      <c r="BL40" s="33" t="s">
        <v>277</v>
      </c>
    </row>
    <row r="41" spans="2:64" ht="19.899999999999999" customHeight="1">
      <c r="B41" s="30" t="s">
        <v>603</v>
      </c>
      <c r="C41" s="30" t="s">
        <v>614</v>
      </c>
      <c r="D41" s="30" t="s">
        <v>624</v>
      </c>
      <c r="E41" s="33" t="s">
        <v>277</v>
      </c>
      <c r="F41" s="30" t="s">
        <v>604</v>
      </c>
      <c r="G41" s="35">
        <v>1</v>
      </c>
      <c r="H41" s="30" t="s">
        <v>608</v>
      </c>
      <c r="I41" s="36">
        <v>30</v>
      </c>
      <c r="J41" s="36">
        <v>30</v>
      </c>
      <c r="K41" s="35">
        <v>0.66666666666666674</v>
      </c>
      <c r="L41" s="30" t="s">
        <v>606</v>
      </c>
      <c r="M41" s="35">
        <v>9.5964466020367567</v>
      </c>
      <c r="N41" s="35">
        <v>10.897987894415389</v>
      </c>
      <c r="O41" s="35">
        <v>5.096089775645873</v>
      </c>
      <c r="P41" s="35">
        <v>15.994077670061262</v>
      </c>
      <c r="Q41" s="35">
        <v>66.909111871702322</v>
      </c>
      <c r="R41" s="35">
        <v>34.581661738282421</v>
      </c>
      <c r="S41" s="35">
        <v>101.49077360998476</v>
      </c>
      <c r="T41" s="33" t="s">
        <v>277</v>
      </c>
      <c r="U41" s="35">
        <v>8.5660573645254203</v>
      </c>
      <c r="V41" s="35">
        <v>0.76321739531037369</v>
      </c>
      <c r="W41" s="35">
        <v>4.3591953557290761</v>
      </c>
      <c r="X41" s="35">
        <v>-2.7904822211494817</v>
      </c>
      <c r="Y41" s="33" t="s">
        <v>277</v>
      </c>
      <c r="Z41" s="35">
        <v>8.5660573645254203</v>
      </c>
      <c r="AA41" s="35">
        <v>2.9641379170285666E-2</v>
      </c>
      <c r="AB41" s="35">
        <v>0.73357601614008805</v>
      </c>
      <c r="AC41" s="33" t="s">
        <v>277</v>
      </c>
      <c r="AD41" s="35">
        <v>1.9796292000000001E-7</v>
      </c>
      <c r="AE41" s="35">
        <v>0</v>
      </c>
      <c r="AF41" s="35">
        <v>0</v>
      </c>
      <c r="AG41" s="35">
        <v>4.3591951577661563</v>
      </c>
      <c r="AH41" s="35">
        <v>0</v>
      </c>
      <c r="AI41" s="33" t="s">
        <v>277</v>
      </c>
      <c r="AJ41" s="35">
        <v>0.73357601614008805</v>
      </c>
      <c r="AK41" s="35">
        <v>1.0374482709599984E-2</v>
      </c>
      <c r="AL41" s="35">
        <v>0.11812095909500472</v>
      </c>
      <c r="AM41" s="35">
        <v>8.3273054752443937E-4</v>
      </c>
      <c r="AN41" s="35">
        <v>-3.653386409641699</v>
      </c>
      <c r="AO41" s="33" t="s">
        <v>277</v>
      </c>
      <c r="AP41" s="35">
        <v>54.362335417699995</v>
      </c>
      <c r="AQ41" s="35">
        <v>7.2336002279682603</v>
      </c>
      <c r="AR41" s="35">
        <v>26.763644748680932</v>
      </c>
      <c r="AS41" s="35">
        <v>-21.450468522646865</v>
      </c>
      <c r="AT41" s="33" t="s">
        <v>277</v>
      </c>
      <c r="AU41" s="35">
        <v>54.362335417699995</v>
      </c>
      <c r="AV41" s="35">
        <v>0.30891502796825998</v>
      </c>
      <c r="AW41" s="35">
        <v>6.9246851999999999</v>
      </c>
      <c r="AX41" s="33" t="s">
        <v>277</v>
      </c>
      <c r="AY41" s="35">
        <v>0</v>
      </c>
      <c r="AZ41" s="35">
        <v>0</v>
      </c>
      <c r="BA41" s="35">
        <v>0</v>
      </c>
      <c r="BB41" s="35">
        <v>26.763644748680932</v>
      </c>
      <c r="BC41" s="35">
        <v>0</v>
      </c>
      <c r="BD41" s="33" t="s">
        <v>277</v>
      </c>
      <c r="BE41" s="35">
        <v>6.9246851999999999</v>
      </c>
      <c r="BF41" s="35">
        <v>0.108120259788891</v>
      </c>
      <c r="BG41" s="35">
        <v>0.52868098420655996</v>
      </c>
      <c r="BH41" s="35">
        <v>5.8986385976839998E-3</v>
      </c>
      <c r="BI41" s="35">
        <v>-29.017853605239999</v>
      </c>
      <c r="BJ41" s="33" t="s">
        <v>277</v>
      </c>
      <c r="BK41" s="30" t="s">
        <v>277</v>
      </c>
      <c r="BL41" s="33" t="s">
        <v>277</v>
      </c>
    </row>
    <row r="42" spans="2:64" ht="19.899999999999999" customHeight="1">
      <c r="B42" s="37" t="s">
        <v>603</v>
      </c>
      <c r="C42" s="37" t="s">
        <v>612</v>
      </c>
      <c r="D42" s="37" t="s">
        <v>625</v>
      </c>
      <c r="E42" s="33" t="s">
        <v>277</v>
      </c>
      <c r="F42" s="37" t="s">
        <v>604</v>
      </c>
      <c r="G42" s="38">
        <v>1</v>
      </c>
      <c r="H42" s="37" t="s">
        <v>112</v>
      </c>
      <c r="I42" s="39">
        <v>999</v>
      </c>
      <c r="J42" s="39">
        <v>50</v>
      </c>
      <c r="K42" s="38">
        <v>0</v>
      </c>
      <c r="L42" s="37" t="s">
        <v>606</v>
      </c>
      <c r="M42" s="38">
        <v>2.0931934919343256</v>
      </c>
      <c r="N42" s="38">
        <v>1.6101488251845044</v>
      </c>
      <c r="O42" s="38">
        <v>0.48304466674982105</v>
      </c>
      <c r="P42" s="38">
        <v>2.0931934919343256</v>
      </c>
      <c r="Q42" s="38">
        <v>13.643853599264201</v>
      </c>
      <c r="R42" s="38">
        <v>4.0931562424266703</v>
      </c>
      <c r="S42" s="38">
        <v>17.73700984169087</v>
      </c>
      <c r="T42" s="33" t="s">
        <v>277</v>
      </c>
      <c r="U42" s="38">
        <v>0</v>
      </c>
      <c r="V42" s="38">
        <v>1.4893106161565342</v>
      </c>
      <c r="W42" s="38">
        <v>0</v>
      </c>
      <c r="X42" s="38">
        <v>0.12083820902797016</v>
      </c>
      <c r="Y42" s="33" t="s">
        <v>277</v>
      </c>
      <c r="Z42" s="38">
        <v>0</v>
      </c>
      <c r="AA42" s="38">
        <v>1.3105014622223876</v>
      </c>
      <c r="AB42" s="38">
        <v>0.17880915393414648</v>
      </c>
      <c r="AC42" s="33" t="s">
        <v>277</v>
      </c>
      <c r="AD42" s="38">
        <v>0</v>
      </c>
      <c r="AE42" s="38">
        <v>0</v>
      </c>
      <c r="AF42" s="38">
        <v>0</v>
      </c>
      <c r="AG42" s="38">
        <v>0</v>
      </c>
      <c r="AH42" s="38">
        <v>0</v>
      </c>
      <c r="AI42" s="33" t="s">
        <v>277</v>
      </c>
      <c r="AJ42" s="38">
        <v>8.2771949417142637E-2</v>
      </c>
      <c r="AK42" s="38">
        <v>2.6210029244447756E-2</v>
      </c>
      <c r="AL42" s="38">
        <v>0</v>
      </c>
      <c r="AM42" s="38">
        <v>1.185623036637975E-2</v>
      </c>
      <c r="AN42" s="38">
        <v>0</v>
      </c>
      <c r="AO42" s="33" t="s">
        <v>277</v>
      </c>
      <c r="AP42" s="38">
        <v>0</v>
      </c>
      <c r="AQ42" s="38">
        <v>12.56107008</v>
      </c>
      <c r="AR42" s="38">
        <v>0</v>
      </c>
      <c r="AS42" s="38">
        <v>1.0827835192642001</v>
      </c>
      <c r="AT42" s="33" t="s">
        <v>277</v>
      </c>
      <c r="AU42" s="38">
        <v>0</v>
      </c>
      <c r="AV42" s="38">
        <v>10.873178062500001</v>
      </c>
      <c r="AW42" s="38">
        <v>1.6878920174999998</v>
      </c>
      <c r="AX42" s="33" t="s">
        <v>277</v>
      </c>
      <c r="AY42" s="38">
        <v>0</v>
      </c>
      <c r="AZ42" s="38">
        <v>0</v>
      </c>
      <c r="BA42" s="38">
        <v>0</v>
      </c>
      <c r="BB42" s="38">
        <v>0</v>
      </c>
      <c r="BC42" s="38">
        <v>0</v>
      </c>
      <c r="BD42" s="33" t="s">
        <v>277</v>
      </c>
      <c r="BE42" s="38">
        <v>0.78133646751420005</v>
      </c>
      <c r="BF42" s="38">
        <v>0.21746356124999999</v>
      </c>
      <c r="BG42" s="38">
        <v>0</v>
      </c>
      <c r="BH42" s="38">
        <v>8.3983490500000008E-2</v>
      </c>
      <c r="BI42" s="38">
        <v>0</v>
      </c>
      <c r="BJ42" s="33" t="s">
        <v>277</v>
      </c>
      <c r="BK42" s="37" t="s">
        <v>277</v>
      </c>
      <c r="BL42" s="33" t="s">
        <v>277</v>
      </c>
    </row>
    <row r="43" spans="2:64" ht="19.899999999999999" customHeight="1">
      <c r="B43" s="30" t="s">
        <v>603</v>
      </c>
      <c r="C43" s="30" t="s">
        <v>612</v>
      </c>
      <c r="D43" s="30" t="s">
        <v>626</v>
      </c>
      <c r="E43" s="33" t="s">
        <v>277</v>
      </c>
      <c r="F43" s="30" t="s">
        <v>604</v>
      </c>
      <c r="G43" s="35">
        <v>1</v>
      </c>
      <c r="H43" s="30" t="s">
        <v>112</v>
      </c>
      <c r="I43" s="36">
        <v>999</v>
      </c>
      <c r="J43" s="36">
        <v>50</v>
      </c>
      <c r="K43" s="35">
        <v>0</v>
      </c>
      <c r="L43" s="30" t="s">
        <v>606</v>
      </c>
      <c r="M43" s="35">
        <v>4.1208353696762572</v>
      </c>
      <c r="N43" s="35">
        <v>2.9891950277023094</v>
      </c>
      <c r="O43" s="35">
        <v>1.1316403419739474</v>
      </c>
      <c r="P43" s="35">
        <v>4.1208353696762572</v>
      </c>
      <c r="Q43" s="35">
        <v>24.050283069420001</v>
      </c>
      <c r="R43" s="35">
        <v>9.0408005467251247</v>
      </c>
      <c r="S43" s="35">
        <v>33.091083616145127</v>
      </c>
      <c r="T43" s="33" t="s">
        <v>277</v>
      </c>
      <c r="U43" s="35">
        <v>2.2268298439137002</v>
      </c>
      <c r="V43" s="35">
        <v>1.466995445097186</v>
      </c>
      <c r="W43" s="35">
        <v>0</v>
      </c>
      <c r="X43" s="35">
        <v>-0.70463026130857687</v>
      </c>
      <c r="Y43" s="33" t="s">
        <v>277</v>
      </c>
      <c r="Z43" s="35">
        <v>2.2268298439137002</v>
      </c>
      <c r="AA43" s="35">
        <v>1.2096936574360502</v>
      </c>
      <c r="AB43" s="35">
        <v>0.25730178766113593</v>
      </c>
      <c r="AC43" s="33" t="s">
        <v>277</v>
      </c>
      <c r="AD43" s="35">
        <v>0</v>
      </c>
      <c r="AE43" s="35">
        <v>0</v>
      </c>
      <c r="AF43" s="35">
        <v>0</v>
      </c>
      <c r="AG43" s="35">
        <v>0</v>
      </c>
      <c r="AH43" s="35">
        <v>0</v>
      </c>
      <c r="AI43" s="33" t="s">
        <v>277</v>
      </c>
      <c r="AJ43" s="35">
        <v>4.3170948549844171E-2</v>
      </c>
      <c r="AK43" s="35">
        <v>2.4193873148720998E-2</v>
      </c>
      <c r="AL43" s="35">
        <v>0</v>
      </c>
      <c r="AM43" s="35">
        <v>1.0944212645889E-2</v>
      </c>
      <c r="AN43" s="35">
        <v>-0.782939295653031</v>
      </c>
      <c r="AO43" s="33" t="s">
        <v>277</v>
      </c>
      <c r="AP43" s="35">
        <v>16.984611000000001</v>
      </c>
      <c r="AQ43" s="35">
        <v>12.465613083900001</v>
      </c>
      <c r="AR43" s="35">
        <v>0</v>
      </c>
      <c r="AS43" s="35">
        <v>-5.3999410144800004</v>
      </c>
      <c r="AT43" s="33" t="s">
        <v>277</v>
      </c>
      <c r="AU43" s="35">
        <v>16.984611000000001</v>
      </c>
      <c r="AV43" s="35">
        <v>10.036779750000001</v>
      </c>
      <c r="AW43" s="35">
        <v>2.4288333338999997</v>
      </c>
      <c r="AX43" s="33" t="s">
        <v>277</v>
      </c>
      <c r="AY43" s="35">
        <v>0</v>
      </c>
      <c r="AZ43" s="35">
        <v>0</v>
      </c>
      <c r="BA43" s="35">
        <v>0</v>
      </c>
      <c r="BB43" s="35">
        <v>0</v>
      </c>
      <c r="BC43" s="35">
        <v>0</v>
      </c>
      <c r="BD43" s="33" t="s">
        <v>277</v>
      </c>
      <c r="BE43" s="35">
        <v>0.40751772401999997</v>
      </c>
      <c r="BF43" s="35">
        <v>0.20073559499999999</v>
      </c>
      <c r="BG43" s="35">
        <v>0</v>
      </c>
      <c r="BH43" s="35">
        <v>7.7523222000000003E-2</v>
      </c>
      <c r="BI43" s="35">
        <v>-6.0857175555000005</v>
      </c>
      <c r="BJ43" s="33" t="s">
        <v>277</v>
      </c>
      <c r="BK43" s="30" t="s">
        <v>277</v>
      </c>
      <c r="BL43" s="33" t="s">
        <v>277</v>
      </c>
    </row>
    <row r="44" spans="2:64" ht="19.899999999999999" customHeight="1">
      <c r="B44" s="37" t="s">
        <v>603</v>
      </c>
      <c r="C44" s="37" t="s">
        <v>353</v>
      </c>
      <c r="D44" s="37" t="s">
        <v>359</v>
      </c>
      <c r="E44" s="33" t="s">
        <v>277</v>
      </c>
      <c r="F44" s="37" t="s">
        <v>604</v>
      </c>
      <c r="G44" s="38">
        <v>1</v>
      </c>
      <c r="H44" s="37" t="s">
        <v>112</v>
      </c>
      <c r="I44" s="39">
        <v>100</v>
      </c>
      <c r="J44" s="39">
        <v>50</v>
      </c>
      <c r="K44" s="38">
        <v>0</v>
      </c>
      <c r="L44" s="37" t="s">
        <v>606</v>
      </c>
      <c r="M44" s="38">
        <v>13.617499146141085</v>
      </c>
      <c r="N44" s="38">
        <v>10.270230502008118</v>
      </c>
      <c r="O44" s="38">
        <v>3.3472686441329662</v>
      </c>
      <c r="P44" s="38">
        <v>13.617499146141085</v>
      </c>
      <c r="Q44" s="38">
        <v>95.274839734300002</v>
      </c>
      <c r="R44" s="38">
        <v>30.651597107144998</v>
      </c>
      <c r="S44" s="38">
        <v>125.926436841445</v>
      </c>
      <c r="T44" s="33" t="s">
        <v>277</v>
      </c>
      <c r="U44" s="38">
        <v>2.5237404897688602</v>
      </c>
      <c r="V44" s="38">
        <v>4.3070545292375693</v>
      </c>
      <c r="W44" s="38">
        <v>0</v>
      </c>
      <c r="X44" s="38">
        <v>3.439435483001688</v>
      </c>
      <c r="Y44" s="33" t="s">
        <v>277</v>
      </c>
      <c r="Z44" s="38">
        <v>2.5237404897688602</v>
      </c>
      <c r="AA44" s="38">
        <v>0.73087145055463987</v>
      </c>
      <c r="AB44" s="38">
        <v>3.5761830786829294</v>
      </c>
      <c r="AC44" s="33" t="s">
        <v>277</v>
      </c>
      <c r="AD44" s="38">
        <v>0</v>
      </c>
      <c r="AE44" s="38">
        <v>0</v>
      </c>
      <c r="AF44" s="38">
        <v>0</v>
      </c>
      <c r="AG44" s="38">
        <v>0</v>
      </c>
      <c r="AH44" s="38">
        <v>0</v>
      </c>
      <c r="AI44" s="33" t="s">
        <v>277</v>
      </c>
      <c r="AJ44" s="38">
        <v>3.5761830786829294</v>
      </c>
      <c r="AK44" s="38">
        <v>0.73818016506018647</v>
      </c>
      <c r="AL44" s="38">
        <v>0</v>
      </c>
      <c r="AM44" s="38">
        <v>1.2403440998674199E-2</v>
      </c>
      <c r="AN44" s="38">
        <v>-0.88733120174010172</v>
      </c>
      <c r="AO44" s="33" t="s">
        <v>277</v>
      </c>
      <c r="AP44" s="38">
        <v>19.249225800000001</v>
      </c>
      <c r="AQ44" s="38">
        <v>41.379342910000005</v>
      </c>
      <c r="AR44" s="38">
        <v>0</v>
      </c>
      <c r="AS44" s="38">
        <v>34.646271024299999</v>
      </c>
      <c r="AT44" s="33" t="s">
        <v>277</v>
      </c>
      <c r="AU44" s="38">
        <v>19.249225800000001</v>
      </c>
      <c r="AV44" s="38">
        <v>7.6215025599999997</v>
      </c>
      <c r="AW44" s="38">
        <v>33.757840350000002</v>
      </c>
      <c r="AX44" s="33" t="s">
        <v>277</v>
      </c>
      <c r="AY44" s="38">
        <v>0</v>
      </c>
      <c r="AZ44" s="38">
        <v>0</v>
      </c>
      <c r="BA44" s="38">
        <v>0</v>
      </c>
      <c r="BB44" s="38">
        <v>0</v>
      </c>
      <c r="BC44" s="38">
        <v>0</v>
      </c>
      <c r="BD44" s="33" t="s">
        <v>277</v>
      </c>
      <c r="BE44" s="38">
        <v>33.757840350000002</v>
      </c>
      <c r="BF44" s="38">
        <v>7.6977175855999995</v>
      </c>
      <c r="BG44" s="38">
        <v>0</v>
      </c>
      <c r="BH44" s="38">
        <v>8.7859651600000005E-2</v>
      </c>
      <c r="BI44" s="38">
        <v>-6.8971465629000006</v>
      </c>
      <c r="BJ44" s="33" t="s">
        <v>277</v>
      </c>
      <c r="BK44" s="37" t="s">
        <v>277</v>
      </c>
      <c r="BL44" s="33" t="s">
        <v>277</v>
      </c>
    </row>
    <row r="45" spans="2:64" ht="19.899999999999999" customHeight="1">
      <c r="B45" s="30" t="s">
        <v>603</v>
      </c>
      <c r="C45" s="30" t="s">
        <v>216</v>
      </c>
      <c r="D45" s="30" t="s">
        <v>240</v>
      </c>
      <c r="E45" s="33" t="s">
        <v>277</v>
      </c>
      <c r="F45" s="30" t="s">
        <v>604</v>
      </c>
      <c r="G45" s="35">
        <v>1</v>
      </c>
      <c r="H45" s="30" t="s">
        <v>613</v>
      </c>
      <c r="I45" s="36">
        <v>999</v>
      </c>
      <c r="J45" s="36">
        <v>50</v>
      </c>
      <c r="K45" s="35">
        <v>0</v>
      </c>
      <c r="L45" s="30" t="s">
        <v>606</v>
      </c>
      <c r="M45" s="35">
        <v>6.4562025772519398</v>
      </c>
      <c r="N45" s="35">
        <v>4.9663096292683964</v>
      </c>
      <c r="O45" s="35">
        <v>1.4898929479835432</v>
      </c>
      <c r="P45" s="35">
        <v>6.4562025772519398</v>
      </c>
      <c r="Q45" s="35">
        <v>46.880118803999999</v>
      </c>
      <c r="R45" s="35">
        <v>14.064036200054568</v>
      </c>
      <c r="S45" s="35">
        <v>60.944155004054565</v>
      </c>
      <c r="T45" s="33" t="s">
        <v>277</v>
      </c>
      <c r="U45" s="35">
        <v>0</v>
      </c>
      <c r="V45" s="35">
        <v>4.9663096292683964</v>
      </c>
      <c r="W45" s="35">
        <v>0</v>
      </c>
      <c r="X45" s="35">
        <v>0</v>
      </c>
      <c r="Y45" s="33" t="s">
        <v>277</v>
      </c>
      <c r="Z45" s="35">
        <v>0</v>
      </c>
      <c r="AA45" s="35">
        <v>0</v>
      </c>
      <c r="AB45" s="35">
        <v>4.9663096292683964</v>
      </c>
      <c r="AC45" s="33" t="s">
        <v>277</v>
      </c>
      <c r="AD45" s="35">
        <v>0</v>
      </c>
      <c r="AE45" s="35">
        <v>0</v>
      </c>
      <c r="AF45" s="35">
        <v>0</v>
      </c>
      <c r="AG45" s="35">
        <v>0</v>
      </c>
      <c r="AH45" s="35">
        <v>0</v>
      </c>
      <c r="AI45" s="33" t="s">
        <v>277</v>
      </c>
      <c r="AJ45" s="35">
        <v>0</v>
      </c>
      <c r="AK45" s="35">
        <v>0</v>
      </c>
      <c r="AL45" s="35">
        <v>0</v>
      </c>
      <c r="AM45" s="35">
        <v>0</v>
      </c>
      <c r="AN45" s="35">
        <v>0</v>
      </c>
      <c r="AO45" s="33" t="s">
        <v>277</v>
      </c>
      <c r="AP45" s="35">
        <v>0</v>
      </c>
      <c r="AQ45" s="35">
        <v>46.880118803999999</v>
      </c>
      <c r="AR45" s="35">
        <v>0</v>
      </c>
      <c r="AS45" s="35">
        <v>0</v>
      </c>
      <c r="AT45" s="33" t="s">
        <v>277</v>
      </c>
      <c r="AU45" s="35">
        <v>0</v>
      </c>
      <c r="AV45" s="35">
        <v>0</v>
      </c>
      <c r="AW45" s="35">
        <v>46.880118803999999</v>
      </c>
      <c r="AX45" s="33" t="s">
        <v>277</v>
      </c>
      <c r="AY45" s="35">
        <v>0</v>
      </c>
      <c r="AZ45" s="35">
        <v>0</v>
      </c>
      <c r="BA45" s="35">
        <v>0</v>
      </c>
      <c r="BB45" s="35">
        <v>0</v>
      </c>
      <c r="BC45" s="35">
        <v>0</v>
      </c>
      <c r="BD45" s="33" t="s">
        <v>277</v>
      </c>
      <c r="BE45" s="35">
        <v>0</v>
      </c>
      <c r="BF45" s="35">
        <v>0</v>
      </c>
      <c r="BG45" s="35">
        <v>0</v>
      </c>
      <c r="BH45" s="35">
        <v>0</v>
      </c>
      <c r="BI45" s="35">
        <v>0</v>
      </c>
      <c r="BJ45" s="33" t="s">
        <v>277</v>
      </c>
      <c r="BK45" s="30" t="s">
        <v>277</v>
      </c>
      <c r="BL45" s="33" t="s">
        <v>277</v>
      </c>
    </row>
    <row r="46" spans="2:64" ht="19.899999999999999" customHeight="1">
      <c r="B46" s="37" t="s">
        <v>603</v>
      </c>
      <c r="C46" s="37" t="s">
        <v>89</v>
      </c>
      <c r="D46" s="37" t="s">
        <v>124</v>
      </c>
      <c r="E46" s="33" t="s">
        <v>277</v>
      </c>
      <c r="F46" s="37" t="s">
        <v>604</v>
      </c>
      <c r="G46" s="38">
        <v>1</v>
      </c>
      <c r="H46" s="37" t="s">
        <v>384</v>
      </c>
      <c r="I46" s="39">
        <v>999</v>
      </c>
      <c r="J46" s="39">
        <v>50</v>
      </c>
      <c r="K46" s="38">
        <v>0</v>
      </c>
      <c r="L46" s="37" t="s">
        <v>606</v>
      </c>
      <c r="M46" s="38">
        <v>3.7301075601333857</v>
      </c>
      <c r="N46" s="38">
        <v>2.8693134814834642</v>
      </c>
      <c r="O46" s="38">
        <v>0.86079407864992141</v>
      </c>
      <c r="P46" s="38">
        <v>3.7301075601333857</v>
      </c>
      <c r="Q46" s="38">
        <v>21.419502392000002</v>
      </c>
      <c r="R46" s="38">
        <v>6.4258509729403679</v>
      </c>
      <c r="S46" s="38">
        <v>27.845353364940369</v>
      </c>
      <c r="T46" s="33" t="s">
        <v>277</v>
      </c>
      <c r="U46" s="38">
        <v>0</v>
      </c>
      <c r="V46" s="38">
        <v>0</v>
      </c>
      <c r="W46" s="38">
        <v>0</v>
      </c>
      <c r="X46" s="38">
        <v>2.8693134814834642</v>
      </c>
      <c r="Y46" s="33" t="s">
        <v>277</v>
      </c>
      <c r="Z46" s="38">
        <v>0</v>
      </c>
      <c r="AA46" s="38">
        <v>0</v>
      </c>
      <c r="AB46" s="38">
        <v>0</v>
      </c>
      <c r="AC46" s="33" t="s">
        <v>277</v>
      </c>
      <c r="AD46" s="38">
        <v>0</v>
      </c>
      <c r="AE46" s="38">
        <v>0</v>
      </c>
      <c r="AF46" s="38">
        <v>0</v>
      </c>
      <c r="AG46" s="38">
        <v>0</v>
      </c>
      <c r="AH46" s="38">
        <v>0</v>
      </c>
      <c r="AI46" s="33" t="s">
        <v>277</v>
      </c>
      <c r="AJ46" s="38">
        <v>2.8693134814834642</v>
      </c>
      <c r="AK46" s="38">
        <v>0</v>
      </c>
      <c r="AL46" s="38">
        <v>0</v>
      </c>
      <c r="AM46" s="38">
        <v>0</v>
      </c>
      <c r="AN46" s="38">
        <v>0</v>
      </c>
      <c r="AO46" s="33" t="s">
        <v>277</v>
      </c>
      <c r="AP46" s="38">
        <v>0</v>
      </c>
      <c r="AQ46" s="38">
        <v>0</v>
      </c>
      <c r="AR46" s="38">
        <v>0</v>
      </c>
      <c r="AS46" s="38">
        <v>21.419502392000002</v>
      </c>
      <c r="AT46" s="33" t="s">
        <v>277</v>
      </c>
      <c r="AU46" s="38">
        <v>0</v>
      </c>
      <c r="AV46" s="38">
        <v>0</v>
      </c>
      <c r="AW46" s="38">
        <v>0</v>
      </c>
      <c r="AX46" s="33" t="s">
        <v>277</v>
      </c>
      <c r="AY46" s="38">
        <v>0</v>
      </c>
      <c r="AZ46" s="38">
        <v>0</v>
      </c>
      <c r="BA46" s="38">
        <v>0</v>
      </c>
      <c r="BB46" s="38">
        <v>0</v>
      </c>
      <c r="BC46" s="38">
        <v>0</v>
      </c>
      <c r="BD46" s="33" t="s">
        <v>277</v>
      </c>
      <c r="BE46" s="38">
        <v>21.419502392000002</v>
      </c>
      <c r="BF46" s="38">
        <v>0</v>
      </c>
      <c r="BG46" s="38">
        <v>0</v>
      </c>
      <c r="BH46" s="38">
        <v>0</v>
      </c>
      <c r="BI46" s="38">
        <v>0</v>
      </c>
      <c r="BJ46" s="33" t="s">
        <v>277</v>
      </c>
      <c r="BK46" s="37" t="s">
        <v>277</v>
      </c>
      <c r="BL46" s="33" t="s">
        <v>277</v>
      </c>
    </row>
    <row r="47" spans="2:64" ht="19.899999999999999" customHeight="1">
      <c r="B47" s="30" t="s">
        <v>603</v>
      </c>
      <c r="C47" s="30" t="s">
        <v>89</v>
      </c>
      <c r="D47" s="30" t="s">
        <v>129</v>
      </c>
      <c r="E47" s="33" t="s">
        <v>277</v>
      </c>
      <c r="F47" s="30" t="s">
        <v>604</v>
      </c>
      <c r="G47" s="35">
        <v>1</v>
      </c>
      <c r="H47" s="30" t="s">
        <v>384</v>
      </c>
      <c r="I47" s="36">
        <v>999</v>
      </c>
      <c r="J47" s="36">
        <v>50</v>
      </c>
      <c r="K47" s="35">
        <v>0</v>
      </c>
      <c r="L47" s="30" t="s">
        <v>606</v>
      </c>
      <c r="M47" s="35">
        <v>8.5365336452673937</v>
      </c>
      <c r="N47" s="35">
        <v>6.5665642822983434</v>
      </c>
      <c r="O47" s="35">
        <v>1.9699693629690493</v>
      </c>
      <c r="P47" s="35">
        <v>8.5365336452673937</v>
      </c>
      <c r="Q47" s="35">
        <v>49.019579164</v>
      </c>
      <c r="R47" s="35">
        <v>14.705874333558922</v>
      </c>
      <c r="S47" s="35">
        <v>63.725453497558917</v>
      </c>
      <c r="T47" s="33" t="s">
        <v>277</v>
      </c>
      <c r="U47" s="35">
        <v>0</v>
      </c>
      <c r="V47" s="35">
        <v>0</v>
      </c>
      <c r="W47" s="35">
        <v>0</v>
      </c>
      <c r="X47" s="35">
        <v>6.5665642822983434</v>
      </c>
      <c r="Y47" s="33" t="s">
        <v>277</v>
      </c>
      <c r="Z47" s="35">
        <v>0</v>
      </c>
      <c r="AA47" s="35">
        <v>0</v>
      </c>
      <c r="AB47" s="35">
        <v>0</v>
      </c>
      <c r="AC47" s="33" t="s">
        <v>277</v>
      </c>
      <c r="AD47" s="35">
        <v>0</v>
      </c>
      <c r="AE47" s="35">
        <v>0</v>
      </c>
      <c r="AF47" s="35">
        <v>0</v>
      </c>
      <c r="AG47" s="35">
        <v>0</v>
      </c>
      <c r="AH47" s="35">
        <v>0</v>
      </c>
      <c r="AI47" s="33" t="s">
        <v>277</v>
      </c>
      <c r="AJ47" s="35">
        <v>6.5665642822983434</v>
      </c>
      <c r="AK47" s="35">
        <v>0</v>
      </c>
      <c r="AL47" s="35">
        <v>0</v>
      </c>
      <c r="AM47" s="35">
        <v>0</v>
      </c>
      <c r="AN47" s="35">
        <v>0</v>
      </c>
      <c r="AO47" s="33" t="s">
        <v>277</v>
      </c>
      <c r="AP47" s="35">
        <v>0</v>
      </c>
      <c r="AQ47" s="35">
        <v>0</v>
      </c>
      <c r="AR47" s="35">
        <v>0</v>
      </c>
      <c r="AS47" s="35">
        <v>49.019579164</v>
      </c>
      <c r="AT47" s="33" t="s">
        <v>277</v>
      </c>
      <c r="AU47" s="35">
        <v>0</v>
      </c>
      <c r="AV47" s="35">
        <v>0</v>
      </c>
      <c r="AW47" s="35">
        <v>0</v>
      </c>
      <c r="AX47" s="33" t="s">
        <v>277</v>
      </c>
      <c r="AY47" s="35">
        <v>0</v>
      </c>
      <c r="AZ47" s="35">
        <v>0</v>
      </c>
      <c r="BA47" s="35">
        <v>0</v>
      </c>
      <c r="BB47" s="35">
        <v>0</v>
      </c>
      <c r="BC47" s="35">
        <v>0</v>
      </c>
      <c r="BD47" s="33" t="s">
        <v>277</v>
      </c>
      <c r="BE47" s="35">
        <v>49.019579164</v>
      </c>
      <c r="BF47" s="35">
        <v>0</v>
      </c>
      <c r="BG47" s="35">
        <v>0</v>
      </c>
      <c r="BH47" s="35">
        <v>0</v>
      </c>
      <c r="BI47" s="35">
        <v>0</v>
      </c>
      <c r="BJ47" s="33" t="s">
        <v>277</v>
      </c>
      <c r="BK47" s="30" t="s">
        <v>277</v>
      </c>
      <c r="BL47" s="33" t="s">
        <v>277</v>
      </c>
    </row>
    <row r="48" spans="2:64" ht="19.899999999999999" customHeight="1">
      <c r="B48" s="37" t="s">
        <v>603</v>
      </c>
      <c r="C48" s="37" t="s">
        <v>89</v>
      </c>
      <c r="D48" s="37" t="s">
        <v>232</v>
      </c>
      <c r="E48" s="33" t="s">
        <v>277</v>
      </c>
      <c r="F48" s="37" t="s">
        <v>604</v>
      </c>
      <c r="G48" s="38">
        <v>1</v>
      </c>
      <c r="H48" s="37" t="s">
        <v>613</v>
      </c>
      <c r="I48" s="39">
        <v>999</v>
      </c>
      <c r="J48" s="39">
        <v>50</v>
      </c>
      <c r="K48" s="38">
        <v>0</v>
      </c>
      <c r="L48" s="37" t="s">
        <v>606</v>
      </c>
      <c r="M48" s="38">
        <v>9.2980760898384656</v>
      </c>
      <c r="N48" s="38">
        <v>7.1523661573658588</v>
      </c>
      <c r="O48" s="38">
        <v>2.1457099324726063</v>
      </c>
      <c r="P48" s="38">
        <v>9.2980760898384656</v>
      </c>
      <c r="Q48" s="38">
        <v>67.515680700000004</v>
      </c>
      <c r="R48" s="38">
        <v>20.254705014849637</v>
      </c>
      <c r="S48" s="38">
        <v>87.770385714849638</v>
      </c>
      <c r="T48" s="33" t="s">
        <v>277</v>
      </c>
      <c r="U48" s="38">
        <v>0</v>
      </c>
      <c r="V48" s="38">
        <v>7.1523661573658588</v>
      </c>
      <c r="W48" s="38">
        <v>0</v>
      </c>
      <c r="X48" s="38">
        <v>0</v>
      </c>
      <c r="Y48" s="33" t="s">
        <v>277</v>
      </c>
      <c r="Z48" s="38">
        <v>0</v>
      </c>
      <c r="AA48" s="38">
        <v>0</v>
      </c>
      <c r="AB48" s="38">
        <v>7.1523661573658588</v>
      </c>
      <c r="AC48" s="33" t="s">
        <v>277</v>
      </c>
      <c r="AD48" s="38">
        <v>0</v>
      </c>
      <c r="AE48" s="38">
        <v>0</v>
      </c>
      <c r="AF48" s="38">
        <v>0</v>
      </c>
      <c r="AG48" s="38">
        <v>0</v>
      </c>
      <c r="AH48" s="38">
        <v>0</v>
      </c>
      <c r="AI48" s="33" t="s">
        <v>277</v>
      </c>
      <c r="AJ48" s="38">
        <v>0</v>
      </c>
      <c r="AK48" s="38">
        <v>0</v>
      </c>
      <c r="AL48" s="38">
        <v>0</v>
      </c>
      <c r="AM48" s="38">
        <v>0</v>
      </c>
      <c r="AN48" s="38">
        <v>0</v>
      </c>
      <c r="AO48" s="33" t="s">
        <v>277</v>
      </c>
      <c r="AP48" s="38">
        <v>0</v>
      </c>
      <c r="AQ48" s="38">
        <v>67.515680700000004</v>
      </c>
      <c r="AR48" s="38">
        <v>0</v>
      </c>
      <c r="AS48" s="38">
        <v>0</v>
      </c>
      <c r="AT48" s="33" t="s">
        <v>277</v>
      </c>
      <c r="AU48" s="38">
        <v>0</v>
      </c>
      <c r="AV48" s="38">
        <v>0</v>
      </c>
      <c r="AW48" s="38">
        <v>67.515680700000004</v>
      </c>
      <c r="AX48" s="33" t="s">
        <v>277</v>
      </c>
      <c r="AY48" s="38">
        <v>0</v>
      </c>
      <c r="AZ48" s="38">
        <v>0</v>
      </c>
      <c r="BA48" s="38">
        <v>0</v>
      </c>
      <c r="BB48" s="38">
        <v>0</v>
      </c>
      <c r="BC48" s="38">
        <v>0</v>
      </c>
      <c r="BD48" s="33" t="s">
        <v>277</v>
      </c>
      <c r="BE48" s="38">
        <v>0</v>
      </c>
      <c r="BF48" s="38">
        <v>0</v>
      </c>
      <c r="BG48" s="38">
        <v>0</v>
      </c>
      <c r="BH48" s="38">
        <v>0</v>
      </c>
      <c r="BI48" s="38">
        <v>0</v>
      </c>
      <c r="BJ48" s="33" t="s">
        <v>277</v>
      </c>
      <c r="BK48" s="37" t="s">
        <v>277</v>
      </c>
      <c r="BL48" s="33" t="s">
        <v>277</v>
      </c>
    </row>
    <row r="49" spans="2:64" ht="19.899999999999999" customHeight="1">
      <c r="B49" s="30" t="s">
        <v>603</v>
      </c>
      <c r="C49" s="30" t="s">
        <v>353</v>
      </c>
      <c r="D49" s="30" t="s">
        <v>210</v>
      </c>
      <c r="E49" s="33" t="s">
        <v>277</v>
      </c>
      <c r="F49" s="30" t="s">
        <v>604</v>
      </c>
      <c r="G49" s="35">
        <v>1</v>
      </c>
      <c r="H49" s="30" t="s">
        <v>118</v>
      </c>
      <c r="I49" s="36">
        <v>999</v>
      </c>
      <c r="J49" s="36">
        <v>50</v>
      </c>
      <c r="K49" s="35">
        <v>0</v>
      </c>
      <c r="L49" s="30" t="s">
        <v>606</v>
      </c>
      <c r="M49" s="35">
        <v>1.1151478179238101</v>
      </c>
      <c r="N49" s="35">
        <v>0.80656685544868589</v>
      </c>
      <c r="O49" s="35">
        <v>0.30858096247512418</v>
      </c>
      <c r="P49" s="35">
        <v>1.1151478179238101</v>
      </c>
      <c r="Q49" s="35">
        <v>7.1935892154709196</v>
      </c>
      <c r="R49" s="35">
        <v>2.6758374262125382</v>
      </c>
      <c r="S49" s="35">
        <v>9.8694266416834573</v>
      </c>
      <c r="T49" s="33" t="s">
        <v>277</v>
      </c>
      <c r="U49" s="35">
        <v>0.61312048369090544</v>
      </c>
      <c r="V49" s="35">
        <v>0.22594904537322638</v>
      </c>
      <c r="W49" s="35">
        <v>0</v>
      </c>
      <c r="X49" s="35">
        <v>-3.2502673615445926E-2</v>
      </c>
      <c r="Y49" s="33" t="s">
        <v>277</v>
      </c>
      <c r="Z49" s="35">
        <v>0.61312048369090544</v>
      </c>
      <c r="AA49" s="35">
        <v>0.17876643327416228</v>
      </c>
      <c r="AB49" s="35">
        <v>4.7182612099064096E-2</v>
      </c>
      <c r="AC49" s="33" t="s">
        <v>277</v>
      </c>
      <c r="AD49" s="35">
        <v>0</v>
      </c>
      <c r="AE49" s="35">
        <v>0</v>
      </c>
      <c r="AF49" s="35">
        <v>0</v>
      </c>
      <c r="AG49" s="35">
        <v>0</v>
      </c>
      <c r="AH49" s="35">
        <v>0</v>
      </c>
      <c r="AI49" s="33" t="s">
        <v>277</v>
      </c>
      <c r="AJ49" s="35">
        <v>7.7538984906007297E-3</v>
      </c>
      <c r="AK49" s="35">
        <v>0.17876643327416228</v>
      </c>
      <c r="AL49" s="35">
        <v>0</v>
      </c>
      <c r="AM49" s="35">
        <v>3.0133065485014377E-3</v>
      </c>
      <c r="AN49" s="35">
        <v>-0.22203631192871037</v>
      </c>
      <c r="AO49" s="33" t="s">
        <v>277</v>
      </c>
      <c r="AP49" s="35">
        <v>4.676429562</v>
      </c>
      <c r="AQ49" s="35">
        <v>2.2854305381597197</v>
      </c>
      <c r="AR49" s="35">
        <v>0</v>
      </c>
      <c r="AS49" s="35">
        <v>0.23172911531119955</v>
      </c>
      <c r="AT49" s="33" t="s">
        <v>277</v>
      </c>
      <c r="AU49" s="35">
        <v>4.676429562</v>
      </c>
      <c r="AV49" s="35">
        <v>1.8630589831</v>
      </c>
      <c r="AW49" s="35">
        <v>0.42237155505971996</v>
      </c>
      <c r="AX49" s="33" t="s">
        <v>277</v>
      </c>
      <c r="AY49" s="35">
        <v>0</v>
      </c>
      <c r="AZ49" s="35">
        <v>0</v>
      </c>
      <c r="BA49" s="35">
        <v>0</v>
      </c>
      <c r="BB49" s="35">
        <v>0</v>
      </c>
      <c r="BC49" s="35">
        <v>0</v>
      </c>
      <c r="BD49" s="33" t="s">
        <v>277</v>
      </c>
      <c r="BE49" s="35">
        <v>7.3193922563999994E-2</v>
      </c>
      <c r="BF49" s="35">
        <v>1.8630589831</v>
      </c>
      <c r="BG49" s="35">
        <v>0</v>
      </c>
      <c r="BH49" s="35">
        <v>2.1344727124000002E-2</v>
      </c>
      <c r="BI49" s="35">
        <v>-1.7258685174768003</v>
      </c>
      <c r="BJ49" s="33" t="s">
        <v>277</v>
      </c>
      <c r="BK49" s="30" t="s">
        <v>277</v>
      </c>
      <c r="BL49" s="33" t="s">
        <v>277</v>
      </c>
    </row>
    <row r="50" spans="2:64" ht="19.899999999999999" customHeight="1">
      <c r="B50" s="37" t="s">
        <v>603</v>
      </c>
      <c r="C50" s="37" t="s">
        <v>216</v>
      </c>
      <c r="D50" s="37" t="s">
        <v>252</v>
      </c>
      <c r="E50" s="33" t="s">
        <v>277</v>
      </c>
      <c r="F50" s="37" t="s">
        <v>604</v>
      </c>
      <c r="G50" s="38">
        <v>1</v>
      </c>
      <c r="H50" s="37" t="s">
        <v>608</v>
      </c>
      <c r="I50" s="39">
        <v>50</v>
      </c>
      <c r="J50" s="39">
        <v>50</v>
      </c>
      <c r="K50" s="38">
        <v>0</v>
      </c>
      <c r="L50" s="37" t="s">
        <v>606</v>
      </c>
      <c r="M50" s="38">
        <v>0.99750382400944937</v>
      </c>
      <c r="N50" s="38">
        <v>0.71368878742669262</v>
      </c>
      <c r="O50" s="38">
        <v>0.28381503658275681</v>
      </c>
      <c r="P50" s="38">
        <v>0.99750382400944937</v>
      </c>
      <c r="Q50" s="38">
        <v>6.44226660466148</v>
      </c>
      <c r="R50" s="38">
        <v>2.5747540601909744</v>
      </c>
      <c r="S50" s="38">
        <v>9.0170206648524509</v>
      </c>
      <c r="T50" s="33" t="s">
        <v>277</v>
      </c>
      <c r="U50" s="38">
        <v>0.74315489139331592</v>
      </c>
      <c r="V50" s="38">
        <v>3.0521335066210849E-2</v>
      </c>
      <c r="W50" s="38">
        <v>0</v>
      </c>
      <c r="X50" s="38">
        <v>-5.9987439032834045E-2</v>
      </c>
      <c r="Y50" s="33" t="s">
        <v>277</v>
      </c>
      <c r="Z50" s="38">
        <v>0.74315489139331592</v>
      </c>
      <c r="AA50" s="38">
        <v>2.9664782404864795E-3</v>
      </c>
      <c r="AB50" s="38">
        <v>2.755485682572437E-2</v>
      </c>
      <c r="AC50" s="33" t="s">
        <v>277</v>
      </c>
      <c r="AD50" s="38">
        <v>0</v>
      </c>
      <c r="AE50" s="38">
        <v>0</v>
      </c>
      <c r="AF50" s="38">
        <v>0</v>
      </c>
      <c r="AG50" s="38">
        <v>0</v>
      </c>
      <c r="AH50" s="38">
        <v>0</v>
      </c>
      <c r="AI50" s="33" t="s">
        <v>277</v>
      </c>
      <c r="AJ50" s="38">
        <v>0</v>
      </c>
      <c r="AK50" s="38">
        <v>1.3843565122270238E-3</v>
      </c>
      <c r="AL50" s="38">
        <v>0.16980737628241269</v>
      </c>
      <c r="AM50" s="38">
        <v>1.1821250957035343E-3</v>
      </c>
      <c r="AN50" s="38">
        <v>-0.23236129692317728</v>
      </c>
      <c r="AO50" s="33" t="s">
        <v>277</v>
      </c>
      <c r="AP50" s="38">
        <v>6.6199611999999997</v>
      </c>
      <c r="AQ50" s="38">
        <v>0.28091044633547996</v>
      </c>
      <c r="AR50" s="38">
        <v>0</v>
      </c>
      <c r="AS50" s="38">
        <v>-0.45860504167399974</v>
      </c>
      <c r="AT50" s="33" t="s">
        <v>277</v>
      </c>
      <c r="AU50" s="38">
        <v>6.6199611999999997</v>
      </c>
      <c r="AV50" s="38">
        <v>3.0934333919999994E-2</v>
      </c>
      <c r="AW50" s="38">
        <v>0.24997611241547998</v>
      </c>
      <c r="AX50" s="33" t="s">
        <v>277</v>
      </c>
      <c r="AY50" s="38">
        <v>0</v>
      </c>
      <c r="AZ50" s="38">
        <v>0</v>
      </c>
      <c r="BA50" s="38">
        <v>0</v>
      </c>
      <c r="BB50" s="38">
        <v>0</v>
      </c>
      <c r="BC50" s="38">
        <v>0</v>
      </c>
      <c r="BD50" s="33" t="s">
        <v>277</v>
      </c>
      <c r="BE50" s="38">
        <v>0</v>
      </c>
      <c r="BF50" s="38">
        <v>1.4436022495999998E-2</v>
      </c>
      <c r="BG50" s="38">
        <v>1.6504880384999998</v>
      </c>
      <c r="BH50" s="38">
        <v>1.6717485599999998E-2</v>
      </c>
      <c r="BI50" s="38">
        <v>-2.1402465882699997</v>
      </c>
      <c r="BJ50" s="33" t="s">
        <v>277</v>
      </c>
      <c r="BK50" s="37" t="s">
        <v>277</v>
      </c>
      <c r="BL50" s="33" t="s">
        <v>277</v>
      </c>
    </row>
    <row r="51" spans="2:64" ht="19.899999999999999" customHeight="1">
      <c r="B51" s="30" t="s">
        <v>603</v>
      </c>
      <c r="C51" s="30" t="s">
        <v>612</v>
      </c>
      <c r="D51" s="30" t="s">
        <v>213</v>
      </c>
      <c r="E51" s="33" t="s">
        <v>277</v>
      </c>
      <c r="F51" s="30" t="s">
        <v>604</v>
      </c>
      <c r="G51" s="35">
        <v>1</v>
      </c>
      <c r="H51" s="30" t="s">
        <v>112</v>
      </c>
      <c r="I51" s="36">
        <v>100</v>
      </c>
      <c r="J51" s="36">
        <v>50</v>
      </c>
      <c r="K51" s="35">
        <v>0</v>
      </c>
      <c r="L51" s="30" t="s">
        <v>606</v>
      </c>
      <c r="M51" s="35">
        <v>10.167423171398916</v>
      </c>
      <c r="N51" s="35">
        <v>7.8210946755109241</v>
      </c>
      <c r="O51" s="35">
        <v>2.3463284958879913</v>
      </c>
      <c r="P51" s="35">
        <v>10.167423171398916</v>
      </c>
      <c r="Q51" s="35">
        <v>74.452556226000013</v>
      </c>
      <c r="R51" s="35">
        <v>22.335767755343642</v>
      </c>
      <c r="S51" s="35">
        <v>96.788323981343638</v>
      </c>
      <c r="T51" s="33" t="s">
        <v>277</v>
      </c>
      <c r="U51" s="35">
        <v>0</v>
      </c>
      <c r="V51" s="35">
        <v>4.2210696527017291</v>
      </c>
      <c r="W51" s="35">
        <v>0</v>
      </c>
      <c r="X51" s="35">
        <v>3.6000250228091946</v>
      </c>
      <c r="Y51" s="33" t="s">
        <v>277</v>
      </c>
      <c r="Z51" s="35">
        <v>0</v>
      </c>
      <c r="AA51" s="35">
        <v>0.64488657401880001</v>
      </c>
      <c r="AB51" s="35">
        <v>3.5761830786829294</v>
      </c>
      <c r="AC51" s="33" t="s">
        <v>277</v>
      </c>
      <c r="AD51" s="35">
        <v>0</v>
      </c>
      <c r="AE51" s="35">
        <v>0</v>
      </c>
      <c r="AF51" s="35">
        <v>0</v>
      </c>
      <c r="AG51" s="35">
        <v>0</v>
      </c>
      <c r="AH51" s="35">
        <v>0</v>
      </c>
      <c r="AI51" s="33" t="s">
        <v>277</v>
      </c>
      <c r="AJ51" s="35">
        <v>3.5761830786829294</v>
      </c>
      <c r="AK51" s="35">
        <v>1.2897731480376E-2</v>
      </c>
      <c r="AL51" s="35">
        <v>0</v>
      </c>
      <c r="AM51" s="35">
        <v>1.0944212645889E-2</v>
      </c>
      <c r="AN51" s="35">
        <v>0</v>
      </c>
      <c r="AO51" s="33" t="s">
        <v>277</v>
      </c>
      <c r="AP51" s="35">
        <v>0</v>
      </c>
      <c r="AQ51" s="35">
        <v>40.482695550000003</v>
      </c>
      <c r="AR51" s="35">
        <v>0</v>
      </c>
      <c r="AS51" s="35">
        <v>33.969860676000003</v>
      </c>
      <c r="AT51" s="33" t="s">
        <v>277</v>
      </c>
      <c r="AU51" s="35">
        <v>0</v>
      </c>
      <c r="AV51" s="35">
        <v>6.7248551999999995</v>
      </c>
      <c r="AW51" s="35">
        <v>33.757840350000002</v>
      </c>
      <c r="AX51" s="33" t="s">
        <v>277</v>
      </c>
      <c r="AY51" s="35">
        <v>0</v>
      </c>
      <c r="AZ51" s="35">
        <v>0</v>
      </c>
      <c r="BA51" s="35">
        <v>0</v>
      </c>
      <c r="BB51" s="35">
        <v>0</v>
      </c>
      <c r="BC51" s="35">
        <v>0</v>
      </c>
      <c r="BD51" s="33" t="s">
        <v>277</v>
      </c>
      <c r="BE51" s="35">
        <v>33.757840350000002</v>
      </c>
      <c r="BF51" s="35">
        <v>0.13449710399999998</v>
      </c>
      <c r="BG51" s="35">
        <v>0</v>
      </c>
      <c r="BH51" s="35">
        <v>7.7523222000000003E-2</v>
      </c>
      <c r="BI51" s="35">
        <v>0</v>
      </c>
      <c r="BJ51" s="33" t="s">
        <v>277</v>
      </c>
      <c r="BK51" s="30" t="s">
        <v>277</v>
      </c>
      <c r="BL51" s="33" t="s">
        <v>277</v>
      </c>
    </row>
    <row r="52" spans="2:64" ht="19.899999999999999" customHeight="1">
      <c r="B52" s="37" t="s">
        <v>603</v>
      </c>
      <c r="C52" s="37" t="s">
        <v>614</v>
      </c>
      <c r="D52" s="37" t="s">
        <v>534</v>
      </c>
      <c r="E52" s="33" t="s">
        <v>277</v>
      </c>
      <c r="F52" s="37" t="s">
        <v>604</v>
      </c>
      <c r="G52" s="38">
        <v>1</v>
      </c>
      <c r="H52" s="37" t="s">
        <v>605</v>
      </c>
      <c r="I52" s="39">
        <v>30</v>
      </c>
      <c r="J52" s="39">
        <v>30</v>
      </c>
      <c r="K52" s="38">
        <v>0.66666666666666652</v>
      </c>
      <c r="L52" s="37" t="s">
        <v>606</v>
      </c>
      <c r="M52" s="38">
        <v>1.6942045713966476</v>
      </c>
      <c r="N52" s="38">
        <v>1.6759207555159361</v>
      </c>
      <c r="O52" s="38">
        <v>1.1477535301451431</v>
      </c>
      <c r="P52" s="38">
        <v>2.8236742856610793</v>
      </c>
      <c r="Q52" s="38">
        <v>6.74556058898294</v>
      </c>
      <c r="R52" s="38">
        <v>2.7644540772717674</v>
      </c>
      <c r="S52" s="38">
        <v>9.51001466625471</v>
      </c>
      <c r="T52" s="33" t="s">
        <v>277</v>
      </c>
      <c r="U52" s="38">
        <v>2.1070459071961043</v>
      </c>
      <c r="V52" s="38">
        <v>6.9762691061585391E-2</v>
      </c>
      <c r="W52" s="38">
        <v>0.67036830220637456</v>
      </c>
      <c r="X52" s="38">
        <v>-1.1712561449481282</v>
      </c>
      <c r="Y52" s="33" t="s">
        <v>277</v>
      </c>
      <c r="Z52" s="38">
        <v>2.1070459071961043</v>
      </c>
      <c r="AA52" s="38">
        <v>2.9032647778465199E-3</v>
      </c>
      <c r="AB52" s="38">
        <v>6.6859426283738865E-2</v>
      </c>
      <c r="AC52" s="33" t="s">
        <v>277</v>
      </c>
      <c r="AD52" s="38">
        <v>0</v>
      </c>
      <c r="AE52" s="38">
        <v>0</v>
      </c>
      <c r="AF52" s="38">
        <v>0</v>
      </c>
      <c r="AG52" s="38">
        <v>0.67036830220637456</v>
      </c>
      <c r="AH52" s="38">
        <v>0</v>
      </c>
      <c r="AI52" s="33" t="s">
        <v>277</v>
      </c>
      <c r="AJ52" s="38">
        <v>0</v>
      </c>
      <c r="AK52" s="38">
        <v>2.2451914282013087E-3</v>
      </c>
      <c r="AL52" s="38">
        <v>0.11571263845686118</v>
      </c>
      <c r="AM52" s="38">
        <v>7.4054093228247456E-4</v>
      </c>
      <c r="AN52" s="38">
        <v>-1.2899545157654733</v>
      </c>
      <c r="AO52" s="33" t="s">
        <v>277</v>
      </c>
      <c r="AP52" s="38">
        <v>3.4903058039999997</v>
      </c>
      <c r="AQ52" s="38">
        <v>0.18512442484207198</v>
      </c>
      <c r="AR52" s="38">
        <v>2.6982242355931763</v>
      </c>
      <c r="AS52" s="38">
        <v>0.37190612454769223</v>
      </c>
      <c r="AT52" s="33" t="s">
        <v>277</v>
      </c>
      <c r="AU52" s="38">
        <v>3.4903058039999997</v>
      </c>
      <c r="AV52" s="38">
        <v>2.40882714E-2</v>
      </c>
      <c r="AW52" s="38">
        <v>0.16103615344207198</v>
      </c>
      <c r="AX52" s="33" t="s">
        <v>277</v>
      </c>
      <c r="AY52" s="38">
        <v>0</v>
      </c>
      <c r="AZ52" s="38">
        <v>0</v>
      </c>
      <c r="BA52" s="38">
        <v>0</v>
      </c>
      <c r="BB52" s="38">
        <v>2.6982242355931763</v>
      </c>
      <c r="BC52" s="38">
        <v>0</v>
      </c>
      <c r="BD52" s="33" t="s">
        <v>277</v>
      </c>
      <c r="BE52" s="38">
        <v>0</v>
      </c>
      <c r="BF52" s="38">
        <v>1.8628263215999998E-2</v>
      </c>
      <c r="BG52" s="38">
        <v>1.8251781225299999</v>
      </c>
      <c r="BH52" s="38">
        <v>9.6713202563999991E-3</v>
      </c>
      <c r="BI52" s="38">
        <v>-1.4815715814547077</v>
      </c>
      <c r="BJ52" s="33" t="s">
        <v>277</v>
      </c>
      <c r="BK52" s="37" t="s">
        <v>277</v>
      </c>
      <c r="BL52" s="33" t="s">
        <v>277</v>
      </c>
    </row>
    <row r="53" spans="2:64" ht="19.899999999999999" customHeight="1">
      <c r="B53" s="30" t="s">
        <v>603</v>
      </c>
      <c r="C53" s="30" t="s">
        <v>612</v>
      </c>
      <c r="D53" s="30" t="s">
        <v>97</v>
      </c>
      <c r="E53" s="33" t="s">
        <v>277</v>
      </c>
      <c r="F53" s="30" t="s">
        <v>627</v>
      </c>
      <c r="G53" s="35">
        <v>1</v>
      </c>
      <c r="H53" s="30" t="s">
        <v>613</v>
      </c>
      <c r="I53" s="36">
        <v>999</v>
      </c>
      <c r="J53" s="36">
        <v>50</v>
      </c>
      <c r="K53" s="35">
        <v>0</v>
      </c>
      <c r="L53" s="30" t="s">
        <v>606</v>
      </c>
      <c r="M53" s="35">
        <v>4.4774830628534632</v>
      </c>
      <c r="N53" s="35">
        <v>4.4774830628534632</v>
      </c>
      <c r="O53" s="35">
        <v>0</v>
      </c>
      <c r="P53" s="35">
        <v>4.4774830628534632</v>
      </c>
      <c r="Q53" s="35">
        <v>47.226523455999995</v>
      </c>
      <c r="R53" s="35">
        <v>0</v>
      </c>
      <c r="S53" s="35">
        <v>47.226523455999995</v>
      </c>
      <c r="T53" s="33" t="s">
        <v>277</v>
      </c>
      <c r="U53" s="35">
        <v>0</v>
      </c>
      <c r="V53" s="35">
        <v>4.4774830628534632</v>
      </c>
      <c r="W53" s="35">
        <v>0</v>
      </c>
      <c r="X53" s="35">
        <v>0</v>
      </c>
      <c r="Y53" s="33" t="s">
        <v>277</v>
      </c>
      <c r="Z53" s="35">
        <v>0</v>
      </c>
      <c r="AA53" s="35">
        <v>0</v>
      </c>
      <c r="AB53" s="35">
        <v>4.4774830628534632</v>
      </c>
      <c r="AC53" s="33" t="s">
        <v>277</v>
      </c>
      <c r="AD53" s="35">
        <v>0</v>
      </c>
      <c r="AE53" s="35">
        <v>0</v>
      </c>
      <c r="AF53" s="35">
        <v>0</v>
      </c>
      <c r="AG53" s="35">
        <v>0</v>
      </c>
      <c r="AH53" s="35">
        <v>0</v>
      </c>
      <c r="AI53" s="33" t="s">
        <v>277</v>
      </c>
      <c r="AJ53" s="35">
        <v>0</v>
      </c>
      <c r="AK53" s="35">
        <v>0</v>
      </c>
      <c r="AL53" s="35">
        <v>0</v>
      </c>
      <c r="AM53" s="35">
        <v>0</v>
      </c>
      <c r="AN53" s="35">
        <v>0</v>
      </c>
      <c r="AO53" s="33" t="s">
        <v>277</v>
      </c>
      <c r="AP53" s="35">
        <v>0</v>
      </c>
      <c r="AQ53" s="35">
        <v>47.226523455999995</v>
      </c>
      <c r="AR53" s="35">
        <v>0</v>
      </c>
      <c r="AS53" s="35">
        <v>0</v>
      </c>
      <c r="AT53" s="33" t="s">
        <v>277</v>
      </c>
      <c r="AU53" s="35">
        <v>0</v>
      </c>
      <c r="AV53" s="35">
        <v>0</v>
      </c>
      <c r="AW53" s="35">
        <v>47.226523455999995</v>
      </c>
      <c r="AX53" s="33" t="s">
        <v>277</v>
      </c>
      <c r="AY53" s="35">
        <v>0</v>
      </c>
      <c r="AZ53" s="35">
        <v>0</v>
      </c>
      <c r="BA53" s="35">
        <v>0</v>
      </c>
      <c r="BB53" s="35">
        <v>0</v>
      </c>
      <c r="BC53" s="35">
        <v>0</v>
      </c>
      <c r="BD53" s="33" t="s">
        <v>277</v>
      </c>
      <c r="BE53" s="35">
        <v>0</v>
      </c>
      <c r="BF53" s="35">
        <v>0</v>
      </c>
      <c r="BG53" s="35">
        <v>0</v>
      </c>
      <c r="BH53" s="35">
        <v>0</v>
      </c>
      <c r="BI53" s="35">
        <v>0</v>
      </c>
      <c r="BJ53" s="33" t="s">
        <v>277</v>
      </c>
      <c r="BK53" s="30" t="s">
        <v>277</v>
      </c>
      <c r="BL53" s="33" t="s">
        <v>277</v>
      </c>
    </row>
    <row r="54" spans="2:64" ht="19.899999999999999" customHeight="1">
      <c r="B54" s="37" t="s">
        <v>603</v>
      </c>
      <c r="C54" s="37" t="s">
        <v>216</v>
      </c>
      <c r="D54" s="37" t="s">
        <v>270</v>
      </c>
      <c r="E54" s="33" t="s">
        <v>277</v>
      </c>
      <c r="F54" s="37" t="s">
        <v>628</v>
      </c>
      <c r="G54" s="38">
        <v>1</v>
      </c>
      <c r="H54" s="37" t="s">
        <v>629</v>
      </c>
      <c r="I54" s="39">
        <v>100</v>
      </c>
      <c r="J54" s="39">
        <v>50</v>
      </c>
      <c r="K54" s="38">
        <v>0</v>
      </c>
      <c r="L54" s="37" t="s">
        <v>606</v>
      </c>
      <c r="M54" s="38">
        <v>8.4525735989400008</v>
      </c>
      <c r="N54" s="38">
        <v>8.4525735989400008</v>
      </c>
      <c r="O54" s="38">
        <v>0</v>
      </c>
      <c r="P54" s="38">
        <v>8.4525735989400008</v>
      </c>
      <c r="Q54" s="38">
        <v>85.201000000000008</v>
      </c>
      <c r="R54" s="38">
        <v>0</v>
      </c>
      <c r="S54" s="38">
        <v>85.200999999999993</v>
      </c>
      <c r="T54" s="33" t="s">
        <v>277</v>
      </c>
      <c r="U54" s="38">
        <v>8.4728285000000003</v>
      </c>
      <c r="V54" s="38">
        <v>1.09956071</v>
      </c>
      <c r="W54" s="38">
        <v>0</v>
      </c>
      <c r="X54" s="38">
        <v>-1.1198156110600004</v>
      </c>
      <c r="Y54" s="33" t="s">
        <v>277</v>
      </c>
      <c r="Z54" s="38">
        <v>8.4728285000000003</v>
      </c>
      <c r="AA54" s="38">
        <v>0.49660078000000007</v>
      </c>
      <c r="AB54" s="38">
        <v>0.60295993000000003</v>
      </c>
      <c r="AC54" s="33" t="s">
        <v>277</v>
      </c>
      <c r="AD54" s="38">
        <v>0</v>
      </c>
      <c r="AE54" s="38">
        <v>0</v>
      </c>
      <c r="AF54" s="38">
        <v>0</v>
      </c>
      <c r="AG54" s="38">
        <v>0</v>
      </c>
      <c r="AH54" s="38">
        <v>0</v>
      </c>
      <c r="AI54" s="33" t="s">
        <v>277</v>
      </c>
      <c r="AJ54" s="38">
        <v>0.15877340480000002</v>
      </c>
      <c r="AK54" s="38">
        <v>3.7721119400000003E-2</v>
      </c>
      <c r="AL54" s="38">
        <v>2.6820841600000001</v>
      </c>
      <c r="AM54" s="38">
        <v>2.8953384740000001E-2</v>
      </c>
      <c r="AN54" s="38">
        <v>-4.0273476800000001</v>
      </c>
      <c r="AO54" s="33" t="s">
        <v>277</v>
      </c>
      <c r="AP54" s="38">
        <v>87.9</v>
      </c>
      <c r="AQ54" s="38">
        <v>10.030000000000001</v>
      </c>
      <c r="AR54" s="38">
        <v>0</v>
      </c>
      <c r="AS54" s="38">
        <v>-12.728999999999999</v>
      </c>
      <c r="AT54" s="33" t="s">
        <v>277</v>
      </c>
      <c r="AU54" s="38">
        <v>87.9</v>
      </c>
      <c r="AV54" s="38">
        <v>4.1100000000000003</v>
      </c>
      <c r="AW54" s="38">
        <v>5.92</v>
      </c>
      <c r="AX54" s="33" t="s">
        <v>277</v>
      </c>
      <c r="AY54" s="38">
        <v>0</v>
      </c>
      <c r="AZ54" s="38">
        <v>0</v>
      </c>
      <c r="BA54" s="38">
        <v>0</v>
      </c>
      <c r="BB54" s="38">
        <v>0</v>
      </c>
      <c r="BC54" s="38">
        <v>0</v>
      </c>
      <c r="BD54" s="33" t="s">
        <v>277</v>
      </c>
      <c r="BE54" s="38">
        <v>1.1599999999999999</v>
      </c>
      <c r="BF54" s="38">
        <v>0.312</v>
      </c>
      <c r="BG54" s="38">
        <v>33.4</v>
      </c>
      <c r="BH54" s="38">
        <v>0.39900000000000002</v>
      </c>
      <c r="BI54" s="38">
        <v>-48</v>
      </c>
      <c r="BJ54" s="33" t="s">
        <v>277</v>
      </c>
      <c r="BK54" s="37" t="s">
        <v>277</v>
      </c>
      <c r="BL54" s="33" t="s">
        <v>277</v>
      </c>
    </row>
    <row r="55" spans="2:64" ht="19.899999999999999" customHeight="1">
      <c r="B55" s="30" t="s">
        <v>603</v>
      </c>
      <c r="C55" s="30" t="s">
        <v>353</v>
      </c>
      <c r="D55" s="30" t="s">
        <v>383</v>
      </c>
      <c r="E55" s="33" t="s">
        <v>277</v>
      </c>
      <c r="F55" s="30" t="s">
        <v>604</v>
      </c>
      <c r="G55" s="35">
        <v>1</v>
      </c>
      <c r="H55" s="30" t="s">
        <v>118</v>
      </c>
      <c r="I55" s="36">
        <v>100</v>
      </c>
      <c r="J55" s="36">
        <v>50</v>
      </c>
      <c r="K55" s="35">
        <v>0</v>
      </c>
      <c r="L55" s="30" t="s">
        <v>606</v>
      </c>
      <c r="M55" s="35">
        <v>1.2915035018887937</v>
      </c>
      <c r="N55" s="35">
        <v>0.99346422311213645</v>
      </c>
      <c r="O55" s="35">
        <v>0.29803927877665737</v>
      </c>
      <c r="P55" s="35">
        <v>1.2915035018887937</v>
      </c>
      <c r="Q55" s="35">
        <v>8.6827730866049997</v>
      </c>
      <c r="R55" s="35">
        <v>2.6048320294882217</v>
      </c>
      <c r="S55" s="35">
        <v>11.287605116093221</v>
      </c>
      <c r="T55" s="33" t="s">
        <v>277</v>
      </c>
      <c r="U55" s="35">
        <v>0</v>
      </c>
      <c r="V55" s="35">
        <v>0.39993157965752113</v>
      </c>
      <c r="W55" s="35">
        <v>4.1242407285000005E-2</v>
      </c>
      <c r="X55" s="35">
        <v>0.55229023616961537</v>
      </c>
      <c r="Y55" s="33" t="s">
        <v>277</v>
      </c>
      <c r="Z55" s="35">
        <v>0</v>
      </c>
      <c r="AA55" s="35">
        <v>0.25321637642950351</v>
      </c>
      <c r="AB55" s="35">
        <v>0.14671520322801762</v>
      </c>
      <c r="AC55" s="33" t="s">
        <v>277</v>
      </c>
      <c r="AD55" s="35">
        <v>4.1242407285000005E-2</v>
      </c>
      <c r="AE55" s="35">
        <v>0</v>
      </c>
      <c r="AF55" s="35">
        <v>0</v>
      </c>
      <c r="AG55" s="35">
        <v>0</v>
      </c>
      <c r="AH55" s="35">
        <v>0</v>
      </c>
      <c r="AI55" s="33" t="s">
        <v>277</v>
      </c>
      <c r="AJ55" s="35">
        <v>7.1523661573658595E-2</v>
      </c>
      <c r="AK55" s="35">
        <v>0.47649833166405997</v>
      </c>
      <c r="AL55" s="35">
        <v>0</v>
      </c>
      <c r="AM55" s="35">
        <v>4.2682429318967111E-3</v>
      </c>
      <c r="AN55" s="35">
        <v>0</v>
      </c>
      <c r="AO55" s="33" t="s">
        <v>277</v>
      </c>
      <c r="AP55" s="35">
        <v>0</v>
      </c>
      <c r="AQ55" s="35">
        <v>4.0238946794999997</v>
      </c>
      <c r="AR55" s="35">
        <v>0</v>
      </c>
      <c r="AS55" s="35">
        <v>4.658878407105</v>
      </c>
      <c r="AT55" s="33" t="s">
        <v>277</v>
      </c>
      <c r="AU55" s="35">
        <v>0</v>
      </c>
      <c r="AV55" s="35">
        <v>2.6389576395000001</v>
      </c>
      <c r="AW55" s="35">
        <v>1.3849370400000001</v>
      </c>
      <c r="AX55" s="33" t="s">
        <v>277</v>
      </c>
      <c r="AY55" s="35">
        <v>0</v>
      </c>
      <c r="AZ55" s="35">
        <v>0</v>
      </c>
      <c r="BA55" s="35">
        <v>0</v>
      </c>
      <c r="BB55" s="35">
        <v>0</v>
      </c>
      <c r="BC55" s="35">
        <v>0</v>
      </c>
      <c r="BD55" s="33" t="s">
        <v>277</v>
      </c>
      <c r="BE55" s="35">
        <v>0.67515680700000003</v>
      </c>
      <c r="BF55" s="35">
        <v>3.9534875435249996</v>
      </c>
      <c r="BG55" s="35">
        <v>0</v>
      </c>
      <c r="BH55" s="35">
        <v>3.0234056580000005E-2</v>
      </c>
      <c r="BI55" s="35">
        <v>0</v>
      </c>
      <c r="BJ55" s="33" t="s">
        <v>277</v>
      </c>
      <c r="BK55" s="30" t="s">
        <v>277</v>
      </c>
      <c r="BL55" s="33" t="s">
        <v>277</v>
      </c>
    </row>
    <row r="56" spans="2:64" ht="19.899999999999999" customHeight="1">
      <c r="B56" s="37" t="s">
        <v>603</v>
      </c>
      <c r="C56" s="37" t="s">
        <v>614</v>
      </c>
      <c r="D56" s="37" t="s">
        <v>630</v>
      </c>
      <c r="E56" s="33" t="s">
        <v>277</v>
      </c>
      <c r="F56" s="37" t="s">
        <v>604</v>
      </c>
      <c r="G56" s="38">
        <v>1</v>
      </c>
      <c r="H56" s="37" t="s">
        <v>608</v>
      </c>
      <c r="I56" s="39">
        <v>30</v>
      </c>
      <c r="J56" s="39">
        <v>30</v>
      </c>
      <c r="K56" s="38">
        <v>0.66666666666666696</v>
      </c>
      <c r="L56" s="37" t="s">
        <v>606</v>
      </c>
      <c r="M56" s="38">
        <v>31.20084110662722</v>
      </c>
      <c r="N56" s="38">
        <v>40.001077975022078</v>
      </c>
      <c r="O56" s="38">
        <v>12.000323869356631</v>
      </c>
      <c r="P56" s="38">
        <v>52.001401844378705</v>
      </c>
      <c r="Q56" s="38">
        <v>283.36413697555332</v>
      </c>
      <c r="R56" s="38">
        <v>85.009244470629753</v>
      </c>
      <c r="S56" s="38">
        <v>368.37338144618309</v>
      </c>
      <c r="T56" s="33" t="s">
        <v>277</v>
      </c>
      <c r="U56" s="38">
        <v>22.527413168007595</v>
      </c>
      <c r="V56" s="38">
        <v>0.73502764852901126</v>
      </c>
      <c r="W56" s="38">
        <v>16.591209922000644</v>
      </c>
      <c r="X56" s="38">
        <v>0.14742723648482112</v>
      </c>
      <c r="Y56" s="33" t="s">
        <v>277</v>
      </c>
      <c r="Z56" s="38">
        <v>22.527413168007595</v>
      </c>
      <c r="AA56" s="38">
        <v>1.4516323889232599E-3</v>
      </c>
      <c r="AB56" s="38">
        <v>0.73357601614008805</v>
      </c>
      <c r="AC56" s="33" t="s">
        <v>277</v>
      </c>
      <c r="AD56" s="38">
        <v>0.59077873199181552</v>
      </c>
      <c r="AE56" s="38">
        <v>0</v>
      </c>
      <c r="AF56" s="38">
        <v>0</v>
      </c>
      <c r="AG56" s="38">
        <v>16.000431190008829</v>
      </c>
      <c r="AH56" s="38">
        <v>0</v>
      </c>
      <c r="AI56" s="33" t="s">
        <v>277</v>
      </c>
      <c r="AJ56" s="38">
        <v>0.14671520322801762</v>
      </c>
      <c r="AK56" s="38">
        <v>5.5645908242058298E-4</v>
      </c>
      <c r="AL56" s="38">
        <v>1.0591278850516799E-4</v>
      </c>
      <c r="AM56" s="38">
        <v>4.9661385877762799E-5</v>
      </c>
      <c r="AN56" s="38">
        <v>0</v>
      </c>
      <c r="AO56" s="33" t="s">
        <v>277</v>
      </c>
      <c r="AP56" s="38">
        <v>161.15539199999998</v>
      </c>
      <c r="AQ56" s="38">
        <v>6.9367293356999999</v>
      </c>
      <c r="AR56" s="38">
        <v>113.88177208197133</v>
      </c>
      <c r="AS56" s="38">
        <v>1.390243557882</v>
      </c>
      <c r="AT56" s="33" t="s">
        <v>277</v>
      </c>
      <c r="AU56" s="38">
        <v>161.15539199999998</v>
      </c>
      <c r="AV56" s="38">
        <v>1.20441357E-2</v>
      </c>
      <c r="AW56" s="38">
        <v>6.9246851999999999</v>
      </c>
      <c r="AX56" s="33" t="s">
        <v>277</v>
      </c>
      <c r="AY56" s="38">
        <v>0.53611729175</v>
      </c>
      <c r="AZ56" s="38">
        <v>0</v>
      </c>
      <c r="BA56" s="38">
        <v>0</v>
      </c>
      <c r="BB56" s="38">
        <v>113.34565479022133</v>
      </c>
      <c r="BC56" s="38">
        <v>0</v>
      </c>
      <c r="BD56" s="33" t="s">
        <v>277</v>
      </c>
      <c r="BE56" s="38">
        <v>1.3849370400000001</v>
      </c>
      <c r="BF56" s="38">
        <v>4.6169186849999997E-3</v>
      </c>
      <c r="BG56" s="38">
        <v>4.2446655E-4</v>
      </c>
      <c r="BH56" s="38">
        <v>2.6513264699999997E-4</v>
      </c>
      <c r="BI56" s="38">
        <v>0</v>
      </c>
      <c r="BJ56" s="33" t="s">
        <v>277</v>
      </c>
      <c r="BK56" s="37" t="s">
        <v>277</v>
      </c>
      <c r="BL56" s="33" t="s">
        <v>277</v>
      </c>
    </row>
    <row r="57" spans="2:64" ht="19.899999999999999" customHeight="1">
      <c r="B57" s="30" t="s">
        <v>603</v>
      </c>
      <c r="C57" s="30" t="s">
        <v>89</v>
      </c>
      <c r="D57" s="30" t="s">
        <v>104</v>
      </c>
      <c r="E57" s="33" t="s">
        <v>277</v>
      </c>
      <c r="F57" s="30" t="s">
        <v>604</v>
      </c>
      <c r="G57" s="35">
        <v>1</v>
      </c>
      <c r="H57" s="30" t="s">
        <v>613</v>
      </c>
      <c r="I57" s="36">
        <v>999</v>
      </c>
      <c r="J57" s="36">
        <v>50</v>
      </c>
      <c r="K57" s="35">
        <v>0</v>
      </c>
      <c r="L57" s="30" t="s">
        <v>606</v>
      </c>
      <c r="M57" s="35">
        <v>7.1523662229526641</v>
      </c>
      <c r="N57" s="35">
        <v>5.5018201210506597</v>
      </c>
      <c r="O57" s="35">
        <v>1.6505461019020047</v>
      </c>
      <c r="P57" s="35">
        <v>7.1523662229526641</v>
      </c>
      <c r="Q57" s="35">
        <v>51.935138999999999</v>
      </c>
      <c r="R57" s="35">
        <v>15.580542319115105</v>
      </c>
      <c r="S57" s="35">
        <v>67.515681319115103</v>
      </c>
      <c r="T57" s="33" t="s">
        <v>277</v>
      </c>
      <c r="U57" s="35">
        <v>0</v>
      </c>
      <c r="V57" s="35">
        <v>5.5018201210506597</v>
      </c>
      <c r="W57" s="35">
        <v>0</v>
      </c>
      <c r="X57" s="35">
        <v>0</v>
      </c>
      <c r="Y57" s="33" t="s">
        <v>277</v>
      </c>
      <c r="Z57" s="35">
        <v>0</v>
      </c>
      <c r="AA57" s="35">
        <v>0</v>
      </c>
      <c r="AB57" s="35">
        <v>5.5018201210506597</v>
      </c>
      <c r="AC57" s="33" t="s">
        <v>277</v>
      </c>
      <c r="AD57" s="35">
        <v>0</v>
      </c>
      <c r="AE57" s="35">
        <v>0</v>
      </c>
      <c r="AF57" s="35">
        <v>0</v>
      </c>
      <c r="AG57" s="35">
        <v>0</v>
      </c>
      <c r="AH57" s="35">
        <v>0</v>
      </c>
      <c r="AI57" s="33" t="s">
        <v>277</v>
      </c>
      <c r="AJ57" s="35">
        <v>0</v>
      </c>
      <c r="AK57" s="35">
        <v>0</v>
      </c>
      <c r="AL57" s="35">
        <v>0</v>
      </c>
      <c r="AM57" s="35">
        <v>0</v>
      </c>
      <c r="AN57" s="35">
        <v>0</v>
      </c>
      <c r="AO57" s="33" t="s">
        <v>277</v>
      </c>
      <c r="AP57" s="35">
        <v>0</v>
      </c>
      <c r="AQ57" s="35">
        <v>51.935138999999999</v>
      </c>
      <c r="AR57" s="35">
        <v>0</v>
      </c>
      <c r="AS57" s="35">
        <v>0</v>
      </c>
      <c r="AT57" s="33" t="s">
        <v>277</v>
      </c>
      <c r="AU57" s="35">
        <v>0</v>
      </c>
      <c r="AV57" s="35">
        <v>0</v>
      </c>
      <c r="AW57" s="35">
        <v>51.935138999999999</v>
      </c>
      <c r="AX57" s="33" t="s">
        <v>277</v>
      </c>
      <c r="AY57" s="35">
        <v>0</v>
      </c>
      <c r="AZ57" s="35">
        <v>0</v>
      </c>
      <c r="BA57" s="35">
        <v>0</v>
      </c>
      <c r="BB57" s="35">
        <v>0</v>
      </c>
      <c r="BC57" s="35">
        <v>0</v>
      </c>
      <c r="BD57" s="33" t="s">
        <v>277</v>
      </c>
      <c r="BE57" s="35">
        <v>0</v>
      </c>
      <c r="BF57" s="35">
        <v>0</v>
      </c>
      <c r="BG57" s="35">
        <v>0</v>
      </c>
      <c r="BH57" s="35">
        <v>0</v>
      </c>
      <c r="BI57" s="35">
        <v>0</v>
      </c>
      <c r="BJ57" s="33" t="s">
        <v>277</v>
      </c>
      <c r="BK57" s="30" t="s">
        <v>277</v>
      </c>
      <c r="BL57" s="33" t="s">
        <v>277</v>
      </c>
    </row>
    <row r="58" spans="2:64" ht="19.899999999999999" customHeight="1">
      <c r="B58" s="37" t="s">
        <v>603</v>
      </c>
      <c r="C58" s="37" t="s">
        <v>89</v>
      </c>
      <c r="D58" s="37" t="s">
        <v>631</v>
      </c>
      <c r="E58" s="33" t="s">
        <v>277</v>
      </c>
      <c r="F58" s="37" t="s">
        <v>604</v>
      </c>
      <c r="G58" s="38">
        <v>1</v>
      </c>
      <c r="H58" s="37" t="s">
        <v>632</v>
      </c>
      <c r="I58" s="39">
        <v>999</v>
      </c>
      <c r="J58" s="39">
        <v>50</v>
      </c>
      <c r="K58" s="38">
        <v>0</v>
      </c>
      <c r="L58" s="37" t="s">
        <v>606</v>
      </c>
      <c r="M58" s="38">
        <v>0.42989128767247115</v>
      </c>
      <c r="N58" s="38">
        <v>0.33068560286953197</v>
      </c>
      <c r="O58" s="38">
        <v>9.9205684802939176E-2</v>
      </c>
      <c r="P58" s="38">
        <v>0.42989128767247115</v>
      </c>
      <c r="Q58" s="38">
        <v>3.4879264000000001</v>
      </c>
      <c r="R58" s="38">
        <v>1.0463779615793229</v>
      </c>
      <c r="S58" s="38">
        <v>4.5343043615793235</v>
      </c>
      <c r="T58" s="33" t="s">
        <v>277</v>
      </c>
      <c r="U58" s="38">
        <v>0</v>
      </c>
      <c r="V58" s="38">
        <v>0.33068560286953197</v>
      </c>
      <c r="W58" s="38">
        <v>0</v>
      </c>
      <c r="X58" s="38">
        <v>0</v>
      </c>
      <c r="Y58" s="33" t="s">
        <v>277</v>
      </c>
      <c r="Z58" s="38">
        <v>0</v>
      </c>
      <c r="AA58" s="38">
        <v>0</v>
      </c>
      <c r="AB58" s="38">
        <v>0.33068560286953197</v>
      </c>
      <c r="AC58" s="33" t="s">
        <v>277</v>
      </c>
      <c r="AD58" s="38">
        <v>0</v>
      </c>
      <c r="AE58" s="38">
        <v>0</v>
      </c>
      <c r="AF58" s="38">
        <v>0</v>
      </c>
      <c r="AG58" s="38">
        <v>0</v>
      </c>
      <c r="AH58" s="38">
        <v>0</v>
      </c>
      <c r="AI58" s="33" t="s">
        <v>277</v>
      </c>
      <c r="AJ58" s="38">
        <v>0</v>
      </c>
      <c r="AK58" s="38">
        <v>0</v>
      </c>
      <c r="AL58" s="38">
        <v>0</v>
      </c>
      <c r="AM58" s="38">
        <v>0</v>
      </c>
      <c r="AN58" s="38">
        <v>0</v>
      </c>
      <c r="AO58" s="33" t="s">
        <v>277</v>
      </c>
      <c r="AP58" s="38">
        <v>0</v>
      </c>
      <c r="AQ58" s="38">
        <v>3.4879264000000001</v>
      </c>
      <c r="AR58" s="38">
        <v>0</v>
      </c>
      <c r="AS58" s="38">
        <v>0</v>
      </c>
      <c r="AT58" s="33" t="s">
        <v>277</v>
      </c>
      <c r="AU58" s="38">
        <v>0</v>
      </c>
      <c r="AV58" s="38">
        <v>0</v>
      </c>
      <c r="AW58" s="38">
        <v>3.4879264000000001</v>
      </c>
      <c r="AX58" s="33" t="s">
        <v>277</v>
      </c>
      <c r="AY58" s="38">
        <v>0</v>
      </c>
      <c r="AZ58" s="38">
        <v>0</v>
      </c>
      <c r="BA58" s="38">
        <v>0</v>
      </c>
      <c r="BB58" s="38">
        <v>0</v>
      </c>
      <c r="BC58" s="38">
        <v>0</v>
      </c>
      <c r="BD58" s="33" t="s">
        <v>277</v>
      </c>
      <c r="BE58" s="38">
        <v>0</v>
      </c>
      <c r="BF58" s="38">
        <v>0</v>
      </c>
      <c r="BG58" s="38">
        <v>0</v>
      </c>
      <c r="BH58" s="38">
        <v>0</v>
      </c>
      <c r="BI58" s="38">
        <v>0</v>
      </c>
      <c r="BJ58" s="33" t="s">
        <v>277</v>
      </c>
      <c r="BK58" s="37" t="s">
        <v>277</v>
      </c>
      <c r="BL58" s="33" t="s">
        <v>277</v>
      </c>
    </row>
    <row r="59" spans="2:64" ht="19.899999999999999" customHeight="1">
      <c r="B59" s="30" t="s">
        <v>603</v>
      </c>
      <c r="C59" s="30" t="s">
        <v>614</v>
      </c>
      <c r="D59" s="30" t="s">
        <v>539</v>
      </c>
      <c r="E59" s="33" t="s">
        <v>277</v>
      </c>
      <c r="F59" s="30" t="s">
        <v>604</v>
      </c>
      <c r="G59" s="35">
        <v>1</v>
      </c>
      <c r="H59" s="30" t="s">
        <v>118</v>
      </c>
      <c r="I59" s="36">
        <v>25</v>
      </c>
      <c r="J59" s="36">
        <v>25</v>
      </c>
      <c r="K59" s="35">
        <v>1</v>
      </c>
      <c r="L59" s="30" t="s">
        <v>606</v>
      </c>
      <c r="M59" s="35">
        <v>3.9926320082908267</v>
      </c>
      <c r="N59" s="35">
        <v>6.0228218381748038</v>
      </c>
      <c r="O59" s="35">
        <v>1.9624421784068495</v>
      </c>
      <c r="P59" s="35">
        <v>7.9852640165816533</v>
      </c>
      <c r="Q59" s="35">
        <v>49.634255841485526</v>
      </c>
      <c r="R59" s="35">
        <v>16.025241734471113</v>
      </c>
      <c r="S59" s="35">
        <v>65.659497575956635</v>
      </c>
      <c r="T59" s="33" t="s">
        <v>277</v>
      </c>
      <c r="U59" s="35">
        <v>1.9644416761972259</v>
      </c>
      <c r="V59" s="35">
        <v>0.99821798136451256</v>
      </c>
      <c r="W59" s="35">
        <v>3.0114109190874019</v>
      </c>
      <c r="X59" s="35">
        <v>4.8751261525663447E-2</v>
      </c>
      <c r="Y59" s="33" t="s">
        <v>277</v>
      </c>
      <c r="Z59" s="35">
        <v>1.9644416761972259</v>
      </c>
      <c r="AA59" s="35">
        <v>0.24476135002122743</v>
      </c>
      <c r="AB59" s="35">
        <v>0.75345663134328511</v>
      </c>
      <c r="AC59" s="33" t="s">
        <v>277</v>
      </c>
      <c r="AD59" s="35">
        <v>0</v>
      </c>
      <c r="AE59" s="35">
        <v>0</v>
      </c>
      <c r="AF59" s="35">
        <v>0</v>
      </c>
      <c r="AG59" s="35">
        <v>3.0114109190874019</v>
      </c>
      <c r="AH59" s="35">
        <v>0</v>
      </c>
      <c r="AI59" s="33" t="s">
        <v>277</v>
      </c>
      <c r="AJ59" s="35">
        <v>5.7218929258926868E-2</v>
      </c>
      <c r="AK59" s="35">
        <v>0.24720896352143967</v>
      </c>
      <c r="AL59" s="35">
        <v>1.4349046768748468E-3</v>
      </c>
      <c r="AM59" s="35">
        <v>2.2143790250312911E-3</v>
      </c>
      <c r="AN59" s="35">
        <v>-0.25932591495660923</v>
      </c>
      <c r="AO59" s="33" t="s">
        <v>277</v>
      </c>
      <c r="AP59" s="35">
        <v>15.143191420411201</v>
      </c>
      <c r="AQ59" s="35">
        <v>8.9447542111980347</v>
      </c>
      <c r="AR59" s="35">
        <v>24.817127920742763</v>
      </c>
      <c r="AS59" s="35">
        <v>0.72918228913352445</v>
      </c>
      <c r="AT59" s="33" t="s">
        <v>277</v>
      </c>
      <c r="AU59" s="35">
        <v>15.143191420411201</v>
      </c>
      <c r="AV59" s="35">
        <v>2.0307751027499998</v>
      </c>
      <c r="AW59" s="35">
        <v>6.9139791084480349</v>
      </c>
      <c r="AX59" s="33" t="s">
        <v>277</v>
      </c>
      <c r="AY59" s="35">
        <v>0</v>
      </c>
      <c r="AZ59" s="35">
        <v>0</v>
      </c>
      <c r="BA59" s="35">
        <v>0</v>
      </c>
      <c r="BB59" s="35">
        <v>24.817127920742763</v>
      </c>
      <c r="BC59" s="35">
        <v>0</v>
      </c>
      <c r="BD59" s="33" t="s">
        <v>277</v>
      </c>
      <c r="BE59" s="35">
        <v>0.54012544559999998</v>
      </c>
      <c r="BF59" s="35">
        <v>2.0510828537774999</v>
      </c>
      <c r="BG59" s="35">
        <v>1.3895699904000001E-2</v>
      </c>
      <c r="BH59" s="35">
        <v>1.5685531918000001E-2</v>
      </c>
      <c r="BI59" s="35">
        <v>-1.8916072420659749</v>
      </c>
      <c r="BJ59" s="33" t="s">
        <v>277</v>
      </c>
      <c r="BK59" s="30" t="s">
        <v>277</v>
      </c>
      <c r="BL59" s="33" t="s">
        <v>277</v>
      </c>
    </row>
    <row r="60" spans="2:64" ht="19.899999999999999" customHeight="1">
      <c r="B60" s="37" t="s">
        <v>603</v>
      </c>
      <c r="C60" s="37" t="s">
        <v>216</v>
      </c>
      <c r="D60" s="37" t="s">
        <v>308</v>
      </c>
      <c r="E60" s="33" t="s">
        <v>277</v>
      </c>
      <c r="F60" s="37" t="s">
        <v>604</v>
      </c>
      <c r="G60" s="38">
        <v>1</v>
      </c>
      <c r="H60" s="37" t="s">
        <v>605</v>
      </c>
      <c r="I60" s="39">
        <v>999</v>
      </c>
      <c r="J60" s="39">
        <v>50</v>
      </c>
      <c r="K60" s="38">
        <v>0</v>
      </c>
      <c r="L60" s="37" t="s">
        <v>606</v>
      </c>
      <c r="M60" s="38">
        <v>6.7459723714360198</v>
      </c>
      <c r="N60" s="38">
        <v>5.1892094689044788</v>
      </c>
      <c r="O60" s="38">
        <v>1.556762902531541</v>
      </c>
      <c r="P60" s="38">
        <v>6.7459723714360198</v>
      </c>
      <c r="Q60" s="38">
        <v>38.737588422999998</v>
      </c>
      <c r="R60" s="38">
        <v>11.621276988688042</v>
      </c>
      <c r="S60" s="38">
        <v>50.358865411688036</v>
      </c>
      <c r="T60" s="33" t="s">
        <v>277</v>
      </c>
      <c r="U60" s="38">
        <v>0</v>
      </c>
      <c r="V60" s="38">
        <v>5.1892094689044788</v>
      </c>
      <c r="W60" s="38">
        <v>0</v>
      </c>
      <c r="X60" s="38">
        <v>0</v>
      </c>
      <c r="Y60" s="33" t="s">
        <v>277</v>
      </c>
      <c r="Z60" s="38">
        <v>0</v>
      </c>
      <c r="AA60" s="38">
        <v>0</v>
      </c>
      <c r="AB60" s="38">
        <v>5.1892094689044788</v>
      </c>
      <c r="AC60" s="33" t="s">
        <v>277</v>
      </c>
      <c r="AD60" s="38">
        <v>0</v>
      </c>
      <c r="AE60" s="38">
        <v>0</v>
      </c>
      <c r="AF60" s="38">
        <v>0</v>
      </c>
      <c r="AG60" s="38">
        <v>0</v>
      </c>
      <c r="AH60" s="38">
        <v>0</v>
      </c>
      <c r="AI60" s="33" t="s">
        <v>277</v>
      </c>
      <c r="AJ60" s="38">
        <v>0</v>
      </c>
      <c r="AK60" s="38">
        <v>0</v>
      </c>
      <c r="AL60" s="38">
        <v>0</v>
      </c>
      <c r="AM60" s="38">
        <v>0</v>
      </c>
      <c r="AN60" s="38">
        <v>0</v>
      </c>
      <c r="AO60" s="33" t="s">
        <v>277</v>
      </c>
      <c r="AP60" s="38">
        <v>0</v>
      </c>
      <c r="AQ60" s="38">
        <v>38.737588422999998</v>
      </c>
      <c r="AR60" s="38">
        <v>0</v>
      </c>
      <c r="AS60" s="38">
        <v>0</v>
      </c>
      <c r="AT60" s="33" t="s">
        <v>277</v>
      </c>
      <c r="AU60" s="38">
        <v>0</v>
      </c>
      <c r="AV60" s="38">
        <v>0</v>
      </c>
      <c r="AW60" s="38">
        <v>38.737588422999998</v>
      </c>
      <c r="AX60" s="33" t="s">
        <v>277</v>
      </c>
      <c r="AY60" s="38">
        <v>0</v>
      </c>
      <c r="AZ60" s="38">
        <v>0</v>
      </c>
      <c r="BA60" s="38">
        <v>0</v>
      </c>
      <c r="BB60" s="38">
        <v>0</v>
      </c>
      <c r="BC60" s="38">
        <v>0</v>
      </c>
      <c r="BD60" s="33" t="s">
        <v>277</v>
      </c>
      <c r="BE60" s="38">
        <v>0</v>
      </c>
      <c r="BF60" s="38">
        <v>0</v>
      </c>
      <c r="BG60" s="38">
        <v>0</v>
      </c>
      <c r="BH60" s="38">
        <v>0</v>
      </c>
      <c r="BI60" s="38">
        <v>0</v>
      </c>
      <c r="BJ60" s="33" t="s">
        <v>277</v>
      </c>
      <c r="BK60" s="37" t="s">
        <v>277</v>
      </c>
      <c r="BL60" s="33" t="s">
        <v>277</v>
      </c>
    </row>
    <row r="61" spans="2:64" ht="19.899999999999999" customHeight="1">
      <c r="B61" s="30" t="s">
        <v>603</v>
      </c>
      <c r="C61" s="30" t="s">
        <v>353</v>
      </c>
      <c r="D61" s="30" t="s">
        <v>633</v>
      </c>
      <c r="E61" s="33" t="s">
        <v>277</v>
      </c>
      <c r="F61" s="30" t="s">
        <v>604</v>
      </c>
      <c r="G61" s="35">
        <v>1</v>
      </c>
      <c r="H61" s="30" t="s">
        <v>118</v>
      </c>
      <c r="I61" s="36">
        <v>100</v>
      </c>
      <c r="J61" s="36">
        <v>50</v>
      </c>
      <c r="K61" s="35">
        <v>0</v>
      </c>
      <c r="L61" s="30" t="s">
        <v>606</v>
      </c>
      <c r="M61" s="35">
        <v>1.0966029675451168</v>
      </c>
      <c r="N61" s="35">
        <v>0.84354073653025208</v>
      </c>
      <c r="O61" s="35">
        <v>0.2530622310148648</v>
      </c>
      <c r="P61" s="35">
        <v>1.0966029675451168</v>
      </c>
      <c r="Q61" s="35">
        <v>8.0661742026350005</v>
      </c>
      <c r="R61" s="35">
        <v>2.41985235694679</v>
      </c>
      <c r="S61" s="35">
        <v>10.48602655958179</v>
      </c>
      <c r="T61" s="33" t="s">
        <v>277</v>
      </c>
      <c r="U61" s="35">
        <v>1.2140223597170286E-2</v>
      </c>
      <c r="V61" s="35">
        <v>0.45861766094872813</v>
      </c>
      <c r="W61" s="35">
        <v>4.1242407285000005E-2</v>
      </c>
      <c r="X61" s="35">
        <v>0.33154044469935373</v>
      </c>
      <c r="Y61" s="33" t="s">
        <v>277</v>
      </c>
      <c r="Z61" s="35">
        <v>1.2140223597170286E-2</v>
      </c>
      <c r="AA61" s="35">
        <v>0.25321637642950351</v>
      </c>
      <c r="AB61" s="35">
        <v>0.20540128451922463</v>
      </c>
      <c r="AC61" s="33" t="s">
        <v>277</v>
      </c>
      <c r="AD61" s="35">
        <v>4.1242407285000005E-2</v>
      </c>
      <c r="AE61" s="35">
        <v>0</v>
      </c>
      <c r="AF61" s="35">
        <v>0</v>
      </c>
      <c r="AG61" s="35">
        <v>0</v>
      </c>
      <c r="AH61" s="35">
        <v>0</v>
      </c>
      <c r="AI61" s="33" t="s">
        <v>277</v>
      </c>
      <c r="AJ61" s="35">
        <v>7.1523661573658595E-2</v>
      </c>
      <c r="AK61" s="35">
        <v>0.25574854019379845</v>
      </c>
      <c r="AL61" s="35">
        <v>0</v>
      </c>
      <c r="AM61" s="35">
        <v>4.2682429318967102E-3</v>
      </c>
      <c r="AN61" s="35">
        <v>0</v>
      </c>
      <c r="AO61" s="33" t="s">
        <v>277</v>
      </c>
      <c r="AP61" s="35">
        <v>0.11756662765999999</v>
      </c>
      <c r="AQ61" s="35">
        <v>4.5778694954999999</v>
      </c>
      <c r="AR61" s="35">
        <v>0</v>
      </c>
      <c r="AS61" s="35">
        <v>3.3707380794749997</v>
      </c>
      <c r="AT61" s="33" t="s">
        <v>277</v>
      </c>
      <c r="AU61" s="35">
        <v>0.11756662765999999</v>
      </c>
      <c r="AV61" s="35">
        <v>2.6389576395000001</v>
      </c>
      <c r="AW61" s="35">
        <v>1.938911856</v>
      </c>
      <c r="AX61" s="33" t="s">
        <v>277</v>
      </c>
      <c r="AY61" s="35">
        <v>0</v>
      </c>
      <c r="AZ61" s="35">
        <v>0</v>
      </c>
      <c r="BA61" s="35">
        <v>0</v>
      </c>
      <c r="BB61" s="35">
        <v>0</v>
      </c>
      <c r="BC61" s="35">
        <v>0</v>
      </c>
      <c r="BD61" s="33" t="s">
        <v>277</v>
      </c>
      <c r="BE61" s="35">
        <v>0.67515680700000003</v>
      </c>
      <c r="BF61" s="35">
        <v>2.6653472158949998</v>
      </c>
      <c r="BG61" s="35">
        <v>0</v>
      </c>
      <c r="BH61" s="35">
        <v>3.0234056580000002E-2</v>
      </c>
      <c r="BI61" s="35">
        <v>0</v>
      </c>
      <c r="BJ61" s="33" t="s">
        <v>277</v>
      </c>
      <c r="BK61" s="30" t="s">
        <v>277</v>
      </c>
      <c r="BL61" s="33" t="s">
        <v>277</v>
      </c>
    </row>
    <row r="62" spans="2:64" ht="19.899999999999999" customHeight="1">
      <c r="B62" s="37" t="s">
        <v>603</v>
      </c>
      <c r="C62" s="37" t="s">
        <v>216</v>
      </c>
      <c r="D62" s="37" t="s">
        <v>96</v>
      </c>
      <c r="E62" s="33" t="s">
        <v>277</v>
      </c>
      <c r="F62" s="37" t="s">
        <v>604</v>
      </c>
      <c r="G62" s="38">
        <v>1</v>
      </c>
      <c r="H62" s="37" t="s">
        <v>605</v>
      </c>
      <c r="I62" s="39">
        <v>999</v>
      </c>
      <c r="J62" s="39">
        <v>50</v>
      </c>
      <c r="K62" s="38">
        <v>0</v>
      </c>
      <c r="L62" s="37" t="s">
        <v>606</v>
      </c>
      <c r="M62" s="38">
        <v>0.6537490936057454</v>
      </c>
      <c r="N62" s="38">
        <v>0.50288391354684769</v>
      </c>
      <c r="O62" s="38">
        <v>0.15086518005889771</v>
      </c>
      <c r="P62" s="38">
        <v>0.6537490936057454</v>
      </c>
      <c r="Q62" s="38">
        <v>3.7540419456599996</v>
      </c>
      <c r="R62" s="38">
        <v>1.1262126284496674</v>
      </c>
      <c r="S62" s="38">
        <v>4.8802545741096672</v>
      </c>
      <c r="T62" s="33" t="s">
        <v>277</v>
      </c>
      <c r="U62" s="38">
        <v>0</v>
      </c>
      <c r="V62" s="38">
        <v>0.50288391354684769</v>
      </c>
      <c r="W62" s="38">
        <v>0</v>
      </c>
      <c r="X62" s="38">
        <v>0</v>
      </c>
      <c r="Y62" s="33" t="s">
        <v>277</v>
      </c>
      <c r="Z62" s="38">
        <v>0</v>
      </c>
      <c r="AA62" s="38">
        <v>0</v>
      </c>
      <c r="AB62" s="38">
        <v>0.50288391354684769</v>
      </c>
      <c r="AC62" s="33" t="s">
        <v>277</v>
      </c>
      <c r="AD62" s="38">
        <v>0</v>
      </c>
      <c r="AE62" s="38">
        <v>0</v>
      </c>
      <c r="AF62" s="38">
        <v>0</v>
      </c>
      <c r="AG62" s="38">
        <v>0</v>
      </c>
      <c r="AH62" s="38">
        <v>0</v>
      </c>
      <c r="AI62" s="33" t="s">
        <v>277</v>
      </c>
      <c r="AJ62" s="38">
        <v>0</v>
      </c>
      <c r="AK62" s="38">
        <v>0</v>
      </c>
      <c r="AL62" s="38">
        <v>0</v>
      </c>
      <c r="AM62" s="38">
        <v>0</v>
      </c>
      <c r="AN62" s="38">
        <v>0</v>
      </c>
      <c r="AO62" s="33" t="s">
        <v>277</v>
      </c>
      <c r="AP62" s="38">
        <v>0</v>
      </c>
      <c r="AQ62" s="38">
        <v>3.7540419456599996</v>
      </c>
      <c r="AR62" s="38">
        <v>0</v>
      </c>
      <c r="AS62" s="38">
        <v>0</v>
      </c>
      <c r="AT62" s="33" t="s">
        <v>277</v>
      </c>
      <c r="AU62" s="38">
        <v>0</v>
      </c>
      <c r="AV62" s="38">
        <v>0</v>
      </c>
      <c r="AW62" s="38">
        <v>3.7540419456599996</v>
      </c>
      <c r="AX62" s="33" t="s">
        <v>277</v>
      </c>
      <c r="AY62" s="38">
        <v>0</v>
      </c>
      <c r="AZ62" s="38">
        <v>0</v>
      </c>
      <c r="BA62" s="38">
        <v>0</v>
      </c>
      <c r="BB62" s="38">
        <v>0</v>
      </c>
      <c r="BC62" s="38">
        <v>0</v>
      </c>
      <c r="BD62" s="33" t="s">
        <v>277</v>
      </c>
      <c r="BE62" s="38">
        <v>0</v>
      </c>
      <c r="BF62" s="38">
        <v>0</v>
      </c>
      <c r="BG62" s="38">
        <v>0</v>
      </c>
      <c r="BH62" s="38">
        <v>0</v>
      </c>
      <c r="BI62" s="38">
        <v>0</v>
      </c>
      <c r="BJ62" s="33" t="s">
        <v>277</v>
      </c>
      <c r="BK62" s="37" t="s">
        <v>277</v>
      </c>
      <c r="BL62" s="33" t="s">
        <v>277</v>
      </c>
    </row>
    <row r="63" spans="2:64" ht="19.899999999999999" customHeight="1">
      <c r="B63" s="30" t="s">
        <v>603</v>
      </c>
      <c r="C63" s="30" t="s">
        <v>216</v>
      </c>
      <c r="D63" s="30" t="s">
        <v>347</v>
      </c>
      <c r="E63" s="33" t="s">
        <v>277</v>
      </c>
      <c r="F63" s="30" t="s">
        <v>604</v>
      </c>
      <c r="G63" s="35">
        <v>1</v>
      </c>
      <c r="H63" s="30" t="s">
        <v>608</v>
      </c>
      <c r="I63" s="36">
        <v>100</v>
      </c>
      <c r="J63" s="36">
        <v>50</v>
      </c>
      <c r="K63" s="35">
        <v>0</v>
      </c>
      <c r="L63" s="30" t="s">
        <v>606</v>
      </c>
      <c r="M63" s="35">
        <v>105.33891889454681</v>
      </c>
      <c r="N63" s="35">
        <v>79.303226603132984</v>
      </c>
      <c r="O63" s="35">
        <v>26.035692291413827</v>
      </c>
      <c r="P63" s="35">
        <v>105.33891889454681</v>
      </c>
      <c r="Q63" s="35">
        <v>750.57456368718545</v>
      </c>
      <c r="R63" s="35">
        <v>242.76663959299896</v>
      </c>
      <c r="S63" s="35">
        <v>993.34120328018457</v>
      </c>
      <c r="T63" s="33" t="s">
        <v>277</v>
      </c>
      <c r="U63" s="35">
        <v>39.169755900222903</v>
      </c>
      <c r="V63" s="35">
        <v>32.046519454707521</v>
      </c>
      <c r="W63" s="35">
        <v>0</v>
      </c>
      <c r="X63" s="35">
        <v>8.0869512482025705</v>
      </c>
      <c r="Y63" s="33" t="s">
        <v>277</v>
      </c>
      <c r="Z63" s="35">
        <v>39.169755900222903</v>
      </c>
      <c r="AA63" s="35">
        <v>2.2694247207177551</v>
      </c>
      <c r="AB63" s="35">
        <v>29.777094733989767</v>
      </c>
      <c r="AC63" s="33" t="s">
        <v>277</v>
      </c>
      <c r="AD63" s="35">
        <v>0</v>
      </c>
      <c r="AE63" s="35">
        <v>0</v>
      </c>
      <c r="AF63" s="35">
        <v>0</v>
      </c>
      <c r="AG63" s="35">
        <v>0</v>
      </c>
      <c r="AH63" s="35">
        <v>0</v>
      </c>
      <c r="AI63" s="33" t="s">
        <v>277</v>
      </c>
      <c r="AJ63" s="35">
        <v>11.363092490009961</v>
      </c>
      <c r="AK63" s="35">
        <v>2.2927249558343368</v>
      </c>
      <c r="AL63" s="35">
        <v>1.8742469097066445</v>
      </c>
      <c r="AM63" s="35">
        <v>3.9297812346666065E-2</v>
      </c>
      <c r="AN63" s="35">
        <v>-7.4824109196950399</v>
      </c>
      <c r="AO63" s="33" t="s">
        <v>277</v>
      </c>
      <c r="AP63" s="35">
        <v>358.95209539199993</v>
      </c>
      <c r="AQ63" s="35">
        <v>304.44477022661653</v>
      </c>
      <c r="AR63" s="35">
        <v>0</v>
      </c>
      <c r="AS63" s="35">
        <v>87.177698068569072</v>
      </c>
      <c r="AT63" s="33" t="s">
        <v>277</v>
      </c>
      <c r="AU63" s="35">
        <v>358.95209539199993</v>
      </c>
      <c r="AV63" s="35">
        <v>23.651375904100004</v>
      </c>
      <c r="AW63" s="35">
        <v>280.79339432251652</v>
      </c>
      <c r="AX63" s="33" t="s">
        <v>277</v>
      </c>
      <c r="AY63" s="35">
        <v>0</v>
      </c>
      <c r="AZ63" s="35">
        <v>0</v>
      </c>
      <c r="BA63" s="35">
        <v>0</v>
      </c>
      <c r="BB63" s="35">
        <v>0</v>
      </c>
      <c r="BC63" s="35">
        <v>0</v>
      </c>
      <c r="BD63" s="33" t="s">
        <v>277</v>
      </c>
      <c r="BE63" s="35">
        <v>107.26337374799999</v>
      </c>
      <c r="BF63" s="35">
        <v>23.894205117321004</v>
      </c>
      <c r="BG63" s="35">
        <v>14.389360430711999</v>
      </c>
      <c r="BH63" s="35">
        <v>0.27829490641644999</v>
      </c>
      <c r="BI63" s="35">
        <v>-58.647536133880379</v>
      </c>
      <c r="BJ63" s="33" t="s">
        <v>277</v>
      </c>
      <c r="BK63" s="30" t="s">
        <v>277</v>
      </c>
      <c r="BL63" s="33" t="s">
        <v>277</v>
      </c>
    </row>
    <row r="64" spans="2:64" ht="19.899999999999999" customHeight="1">
      <c r="B64" s="37" t="s">
        <v>603</v>
      </c>
      <c r="C64" s="37" t="s">
        <v>89</v>
      </c>
      <c r="D64" s="37" t="s">
        <v>97</v>
      </c>
      <c r="E64" s="33" t="s">
        <v>277</v>
      </c>
      <c r="F64" s="37" t="s">
        <v>627</v>
      </c>
      <c r="G64" s="38">
        <v>1</v>
      </c>
      <c r="H64" s="37" t="s">
        <v>613</v>
      </c>
      <c r="I64" s="39">
        <v>999</v>
      </c>
      <c r="J64" s="39">
        <v>50</v>
      </c>
      <c r="K64" s="38">
        <v>0</v>
      </c>
      <c r="L64" s="37" t="s">
        <v>606</v>
      </c>
      <c r="M64" s="38">
        <v>4.4774830628534632</v>
      </c>
      <c r="N64" s="38">
        <v>4.4774830628534632</v>
      </c>
      <c r="O64" s="38">
        <v>0</v>
      </c>
      <c r="P64" s="38">
        <v>4.4774830628534632</v>
      </c>
      <c r="Q64" s="38">
        <v>47.226523455999995</v>
      </c>
      <c r="R64" s="38">
        <v>0</v>
      </c>
      <c r="S64" s="38">
        <v>47.226523455999995</v>
      </c>
      <c r="T64" s="33" t="s">
        <v>277</v>
      </c>
      <c r="U64" s="38">
        <v>0</v>
      </c>
      <c r="V64" s="38">
        <v>4.4774830628534632</v>
      </c>
      <c r="W64" s="38">
        <v>0</v>
      </c>
      <c r="X64" s="38">
        <v>0</v>
      </c>
      <c r="Y64" s="33" t="s">
        <v>277</v>
      </c>
      <c r="Z64" s="38">
        <v>0</v>
      </c>
      <c r="AA64" s="38">
        <v>0</v>
      </c>
      <c r="AB64" s="38">
        <v>4.4774830628534632</v>
      </c>
      <c r="AC64" s="33" t="s">
        <v>277</v>
      </c>
      <c r="AD64" s="38">
        <v>0</v>
      </c>
      <c r="AE64" s="38">
        <v>0</v>
      </c>
      <c r="AF64" s="38">
        <v>0</v>
      </c>
      <c r="AG64" s="38">
        <v>0</v>
      </c>
      <c r="AH64" s="38">
        <v>0</v>
      </c>
      <c r="AI64" s="33" t="s">
        <v>277</v>
      </c>
      <c r="AJ64" s="38">
        <v>0</v>
      </c>
      <c r="AK64" s="38">
        <v>0</v>
      </c>
      <c r="AL64" s="38">
        <v>0</v>
      </c>
      <c r="AM64" s="38">
        <v>0</v>
      </c>
      <c r="AN64" s="38">
        <v>0</v>
      </c>
      <c r="AO64" s="33" t="s">
        <v>277</v>
      </c>
      <c r="AP64" s="38">
        <v>0</v>
      </c>
      <c r="AQ64" s="38">
        <v>47.226523455999995</v>
      </c>
      <c r="AR64" s="38">
        <v>0</v>
      </c>
      <c r="AS64" s="38">
        <v>0</v>
      </c>
      <c r="AT64" s="33" t="s">
        <v>277</v>
      </c>
      <c r="AU64" s="38">
        <v>0</v>
      </c>
      <c r="AV64" s="38">
        <v>0</v>
      </c>
      <c r="AW64" s="38">
        <v>47.226523455999995</v>
      </c>
      <c r="AX64" s="33" t="s">
        <v>277</v>
      </c>
      <c r="AY64" s="38">
        <v>0</v>
      </c>
      <c r="AZ64" s="38">
        <v>0</v>
      </c>
      <c r="BA64" s="38">
        <v>0</v>
      </c>
      <c r="BB64" s="38">
        <v>0</v>
      </c>
      <c r="BC64" s="38">
        <v>0</v>
      </c>
      <c r="BD64" s="33" t="s">
        <v>277</v>
      </c>
      <c r="BE64" s="38">
        <v>0</v>
      </c>
      <c r="BF64" s="38">
        <v>0</v>
      </c>
      <c r="BG64" s="38">
        <v>0</v>
      </c>
      <c r="BH64" s="38">
        <v>0</v>
      </c>
      <c r="BI64" s="38">
        <v>0</v>
      </c>
      <c r="BJ64" s="33" t="s">
        <v>277</v>
      </c>
      <c r="BK64" s="37" t="s">
        <v>277</v>
      </c>
      <c r="BL64" s="33" t="s">
        <v>277</v>
      </c>
    </row>
    <row r="65" spans="2:64" ht="19.899999999999999" customHeight="1">
      <c r="B65" s="30" t="s">
        <v>603</v>
      </c>
      <c r="C65" s="30" t="s">
        <v>353</v>
      </c>
      <c r="D65" s="30" t="s">
        <v>634</v>
      </c>
      <c r="E65" s="33" t="s">
        <v>277</v>
      </c>
      <c r="F65" s="30" t="s">
        <v>604</v>
      </c>
      <c r="G65" s="35">
        <v>1</v>
      </c>
      <c r="H65" s="30" t="s">
        <v>118</v>
      </c>
      <c r="I65" s="36">
        <v>25</v>
      </c>
      <c r="J65" s="36">
        <v>25</v>
      </c>
      <c r="K65" s="35">
        <v>1</v>
      </c>
      <c r="L65" s="30" t="s">
        <v>606</v>
      </c>
      <c r="M65" s="35">
        <v>1.8551132435702646</v>
      </c>
      <c r="N65" s="35">
        <v>2.828934250039846</v>
      </c>
      <c r="O65" s="35">
        <v>0.88129223710068327</v>
      </c>
      <c r="P65" s="35">
        <v>3.7102264871405293</v>
      </c>
      <c r="Q65" s="35">
        <v>26.91283154306085</v>
      </c>
      <c r="R65" s="35">
        <v>8.3273394042997335</v>
      </c>
      <c r="S65" s="35">
        <v>35.240170947360582</v>
      </c>
      <c r="T65" s="33" t="s">
        <v>277</v>
      </c>
      <c r="U65" s="35">
        <v>0.9306421470531876</v>
      </c>
      <c r="V65" s="35">
        <v>0.36105442555003431</v>
      </c>
      <c r="W65" s="35">
        <v>1.414467125019923</v>
      </c>
      <c r="X65" s="35">
        <v>0.12277055241670098</v>
      </c>
      <c r="Y65" s="33" t="s">
        <v>277</v>
      </c>
      <c r="Z65" s="35">
        <v>0.9306421470531876</v>
      </c>
      <c r="AA65" s="35">
        <v>0.24460005753356934</v>
      </c>
      <c r="AB65" s="35">
        <v>0.11645436801646496</v>
      </c>
      <c r="AC65" s="33" t="s">
        <v>277</v>
      </c>
      <c r="AD65" s="35">
        <v>0</v>
      </c>
      <c r="AE65" s="35">
        <v>0</v>
      </c>
      <c r="AF65" s="35">
        <v>0</v>
      </c>
      <c r="AG65" s="35">
        <v>1.414467125019923</v>
      </c>
      <c r="AH65" s="35">
        <v>0</v>
      </c>
      <c r="AI65" s="33" t="s">
        <v>277</v>
      </c>
      <c r="AJ65" s="35">
        <v>7.8230297889582467E-2</v>
      </c>
      <c r="AK65" s="35">
        <v>8.1533352511189761E-2</v>
      </c>
      <c r="AL65" s="35">
        <v>1.6622473866172056E-2</v>
      </c>
      <c r="AM65" s="35">
        <v>7.376399319628926E-4</v>
      </c>
      <c r="AN65" s="35">
        <v>-5.4353211782206166E-2</v>
      </c>
      <c r="AO65" s="33" t="s">
        <v>277</v>
      </c>
      <c r="AP65" s="35">
        <v>9.4685811599999994</v>
      </c>
      <c r="AQ65" s="35">
        <v>2.9836489967801461</v>
      </c>
      <c r="AR65" s="35">
        <v>13.456415771530425</v>
      </c>
      <c r="AS65" s="35">
        <v>1.0041856147502792</v>
      </c>
      <c r="AT65" s="33" t="s">
        <v>277</v>
      </c>
      <c r="AU65" s="35">
        <v>9.4685811599999994</v>
      </c>
      <c r="AV65" s="35">
        <v>2.0294368654500001</v>
      </c>
      <c r="AW65" s="35">
        <v>0.95421213133014593</v>
      </c>
      <c r="AX65" s="33" t="s">
        <v>277</v>
      </c>
      <c r="AY65" s="35">
        <v>0</v>
      </c>
      <c r="AZ65" s="35">
        <v>0</v>
      </c>
      <c r="BA65" s="35">
        <v>0</v>
      </c>
      <c r="BB65" s="35">
        <v>13.456415771530425</v>
      </c>
      <c r="BC65" s="35">
        <v>0</v>
      </c>
      <c r="BD65" s="33" t="s">
        <v>277</v>
      </c>
      <c r="BE65" s="35">
        <v>0.58399128</v>
      </c>
      <c r="BF65" s="35">
        <v>0.67647895515000001</v>
      </c>
      <c r="BG65" s="35">
        <v>0.16097299857539998</v>
      </c>
      <c r="BH65" s="35">
        <v>5.2250651628000001E-3</v>
      </c>
      <c r="BI65" s="35">
        <v>-0.42248268413792101</v>
      </c>
      <c r="BJ65" s="33" t="s">
        <v>277</v>
      </c>
      <c r="BK65" s="30" t="s">
        <v>277</v>
      </c>
      <c r="BL65" s="33" t="s">
        <v>277</v>
      </c>
    </row>
    <row r="66" spans="2:64" ht="19.899999999999999" customHeight="1">
      <c r="B66" s="37" t="s">
        <v>603</v>
      </c>
      <c r="C66" s="37" t="s">
        <v>216</v>
      </c>
      <c r="D66" s="37" t="s">
        <v>635</v>
      </c>
      <c r="E66" s="33" t="s">
        <v>277</v>
      </c>
      <c r="F66" s="37" t="s">
        <v>604</v>
      </c>
      <c r="G66" s="38">
        <v>1</v>
      </c>
      <c r="H66" s="37" t="s">
        <v>608</v>
      </c>
      <c r="I66" s="39">
        <v>60</v>
      </c>
      <c r="J66" s="39">
        <v>50</v>
      </c>
      <c r="K66" s="38">
        <v>0</v>
      </c>
      <c r="L66" s="37" t="s">
        <v>606</v>
      </c>
      <c r="M66" s="38">
        <v>0.13670106577198765</v>
      </c>
      <c r="N66" s="38">
        <v>9.4455177460529297E-2</v>
      </c>
      <c r="O66" s="38">
        <v>4.2245888311458361E-2</v>
      </c>
      <c r="P66" s="38">
        <v>0.13670106577198765</v>
      </c>
      <c r="Q66" s="38">
        <v>1.0209357292801315</v>
      </c>
      <c r="R66" s="38">
        <v>0.44452370276270198</v>
      </c>
      <c r="S66" s="38">
        <v>1.4654594320428336</v>
      </c>
      <c r="T66" s="33" t="s">
        <v>277</v>
      </c>
      <c r="U66" s="38">
        <v>0.10447091749201104</v>
      </c>
      <c r="V66" s="38">
        <v>5.1031687398869182E-3</v>
      </c>
      <c r="W66" s="38">
        <v>0</v>
      </c>
      <c r="X66" s="38">
        <v>-1.511890877136866E-2</v>
      </c>
      <c r="Y66" s="33" t="s">
        <v>277</v>
      </c>
      <c r="Z66" s="38">
        <v>0.10447091749201104</v>
      </c>
      <c r="AA66" s="38">
        <v>1.0016263483570492E-3</v>
      </c>
      <c r="AB66" s="38">
        <v>4.101542391529869E-3</v>
      </c>
      <c r="AC66" s="33" t="s">
        <v>277</v>
      </c>
      <c r="AD66" s="38">
        <v>0</v>
      </c>
      <c r="AE66" s="38">
        <v>0</v>
      </c>
      <c r="AF66" s="38">
        <v>0</v>
      </c>
      <c r="AG66" s="38">
        <v>0</v>
      </c>
      <c r="AH66" s="38">
        <v>0</v>
      </c>
      <c r="AI66" s="33" t="s">
        <v>277</v>
      </c>
      <c r="AJ66" s="38">
        <v>0</v>
      </c>
      <c r="AK66" s="38">
        <v>4.6742562923328976E-4</v>
      </c>
      <c r="AL66" s="38">
        <v>3.0565327730834278E-2</v>
      </c>
      <c r="AM66" s="38">
        <v>2.1278251722663615E-4</v>
      </c>
      <c r="AN66" s="38">
        <v>-4.6364444648662864E-2</v>
      </c>
      <c r="AO66" s="33" t="s">
        <v>277</v>
      </c>
      <c r="AP66" s="38">
        <v>1.126302318</v>
      </c>
      <c r="AQ66" s="38">
        <v>5.1468092962992006E-2</v>
      </c>
      <c r="AR66" s="38">
        <v>0</v>
      </c>
      <c r="AS66" s="38">
        <v>-0.15683468168286063</v>
      </c>
      <c r="AT66" s="33" t="s">
        <v>277</v>
      </c>
      <c r="AU66" s="38">
        <v>1.126302318</v>
      </c>
      <c r="AV66" s="38">
        <v>8.3104536330000003E-3</v>
      </c>
      <c r="AW66" s="38">
        <v>4.3157639329992004E-2</v>
      </c>
      <c r="AX66" s="33" t="s">
        <v>277</v>
      </c>
      <c r="AY66" s="38">
        <v>0</v>
      </c>
      <c r="AZ66" s="38">
        <v>0</v>
      </c>
      <c r="BA66" s="38">
        <v>0</v>
      </c>
      <c r="BB66" s="38">
        <v>0</v>
      </c>
      <c r="BC66" s="38">
        <v>0</v>
      </c>
      <c r="BD66" s="33" t="s">
        <v>277</v>
      </c>
      <c r="BE66" s="38">
        <v>0</v>
      </c>
      <c r="BF66" s="38">
        <v>3.8782116953999996E-3</v>
      </c>
      <c r="BG66" s="38">
        <v>0.29708784693000001</v>
      </c>
      <c r="BH66" s="38">
        <v>3.0091474079999999E-3</v>
      </c>
      <c r="BI66" s="38">
        <v>-0.46080988771626064</v>
      </c>
      <c r="BJ66" s="33" t="s">
        <v>277</v>
      </c>
      <c r="BK66" s="37" t="s">
        <v>277</v>
      </c>
      <c r="BL66" s="33" t="s">
        <v>277</v>
      </c>
    </row>
    <row r="67" spans="2:64" ht="19.899999999999999" customHeight="1">
      <c r="B67" s="30" t="s">
        <v>603</v>
      </c>
      <c r="C67" s="30" t="s">
        <v>353</v>
      </c>
      <c r="D67" s="30" t="s">
        <v>636</v>
      </c>
      <c r="E67" s="33" t="s">
        <v>277</v>
      </c>
      <c r="F67" s="30" t="s">
        <v>604</v>
      </c>
      <c r="G67" s="35">
        <v>1</v>
      </c>
      <c r="H67" s="30" t="s">
        <v>118</v>
      </c>
      <c r="I67" s="36">
        <v>60</v>
      </c>
      <c r="J67" s="36">
        <v>50</v>
      </c>
      <c r="K67" s="35">
        <v>0</v>
      </c>
      <c r="L67" s="30" t="s">
        <v>606</v>
      </c>
      <c r="M67" s="35">
        <v>8.0326639786232583</v>
      </c>
      <c r="N67" s="35">
        <v>6.1558302466772243</v>
      </c>
      <c r="O67" s="35">
        <v>1.8768337319460346</v>
      </c>
      <c r="P67" s="35">
        <v>8.0326639786232583</v>
      </c>
      <c r="Q67" s="35">
        <v>59.67591202250528</v>
      </c>
      <c r="R67" s="35">
        <v>18.1366191199353</v>
      </c>
      <c r="S67" s="35">
        <v>77.812531142440562</v>
      </c>
      <c r="T67" s="33" t="s">
        <v>277</v>
      </c>
      <c r="U67" s="35">
        <v>4.708556351180432</v>
      </c>
      <c r="V67" s="35">
        <v>0.96149884309583933</v>
      </c>
      <c r="W67" s="35">
        <v>0</v>
      </c>
      <c r="X67" s="35">
        <v>0.48577505240095326</v>
      </c>
      <c r="Y67" s="33" t="s">
        <v>277</v>
      </c>
      <c r="Z67" s="35">
        <v>4.708556351180432</v>
      </c>
      <c r="AA67" s="35">
        <v>0.45128831584309276</v>
      </c>
      <c r="AB67" s="35">
        <v>0.51021052725274652</v>
      </c>
      <c r="AC67" s="33" t="s">
        <v>277</v>
      </c>
      <c r="AD67" s="35">
        <v>0</v>
      </c>
      <c r="AE67" s="35">
        <v>0</v>
      </c>
      <c r="AF67" s="35">
        <v>0</v>
      </c>
      <c r="AG67" s="35">
        <v>0</v>
      </c>
      <c r="AH67" s="35">
        <v>0</v>
      </c>
      <c r="AI67" s="33" t="s">
        <v>277</v>
      </c>
      <c r="AJ67" s="35">
        <v>0.40209376813406361</v>
      </c>
      <c r="AK67" s="35">
        <v>0.15193373300050791</v>
      </c>
      <c r="AL67" s="35">
        <v>3.0668546491167882E-2</v>
      </c>
      <c r="AM67" s="35">
        <v>1.3609493225424168E-3</v>
      </c>
      <c r="AN67" s="35">
        <v>-0.10028194454732857</v>
      </c>
      <c r="AO67" s="33" t="s">
        <v>277</v>
      </c>
      <c r="AP67" s="35">
        <v>47.932890164399993</v>
      </c>
      <c r="AQ67" s="35">
        <v>7.9536393522001294</v>
      </c>
      <c r="AR67" s="35">
        <v>0</v>
      </c>
      <c r="AS67" s="35">
        <v>3.7893825059051518</v>
      </c>
      <c r="AT67" s="33" t="s">
        <v>277</v>
      </c>
      <c r="AU67" s="35">
        <v>47.932890164399993</v>
      </c>
      <c r="AV67" s="35">
        <v>3.7443210535350002</v>
      </c>
      <c r="AW67" s="35">
        <v>4.2093182986651296</v>
      </c>
      <c r="AX67" s="33" t="s">
        <v>277</v>
      </c>
      <c r="AY67" s="35">
        <v>0</v>
      </c>
      <c r="AZ67" s="35">
        <v>0</v>
      </c>
      <c r="BA67" s="35">
        <v>0</v>
      </c>
      <c r="BB67" s="35">
        <v>0</v>
      </c>
      <c r="BC67" s="35">
        <v>0</v>
      </c>
      <c r="BD67" s="33" t="s">
        <v>277</v>
      </c>
      <c r="BE67" s="35">
        <v>3.0016408100000005</v>
      </c>
      <c r="BF67" s="35">
        <v>1.2605880880234501</v>
      </c>
      <c r="BG67" s="35">
        <v>0.29699597847942</v>
      </c>
      <c r="BH67" s="35">
        <v>9.6402710664399999E-3</v>
      </c>
      <c r="BI67" s="35">
        <v>-0.77948264166415837</v>
      </c>
      <c r="BJ67" s="33" t="s">
        <v>277</v>
      </c>
      <c r="BK67" s="30" t="s">
        <v>277</v>
      </c>
      <c r="BL67" s="33" t="s">
        <v>277</v>
      </c>
    </row>
    <row r="68" spans="2:64" ht="19.899999999999999" customHeight="1">
      <c r="B68" s="37" t="s">
        <v>603</v>
      </c>
      <c r="C68" s="37" t="s">
        <v>216</v>
      </c>
      <c r="D68" s="37" t="s">
        <v>264</v>
      </c>
      <c r="E68" s="33" t="s">
        <v>277</v>
      </c>
      <c r="F68" s="37" t="s">
        <v>604</v>
      </c>
      <c r="G68" s="38">
        <v>1</v>
      </c>
      <c r="H68" s="37" t="s">
        <v>608</v>
      </c>
      <c r="I68" s="39">
        <v>60</v>
      </c>
      <c r="J68" s="39">
        <v>50</v>
      </c>
      <c r="K68" s="38">
        <v>0</v>
      </c>
      <c r="L68" s="37" t="s">
        <v>606</v>
      </c>
      <c r="M68" s="38">
        <v>0.1746735840419843</v>
      </c>
      <c r="N68" s="38">
        <v>0.12069272675512081</v>
      </c>
      <c r="O68" s="38">
        <v>5.3980857286863471E-2</v>
      </c>
      <c r="P68" s="38">
        <v>0.1746735840419843</v>
      </c>
      <c r="Q68" s="38">
        <v>1.3045289874135013</v>
      </c>
      <c r="R68" s="38">
        <v>0.56800250908567473</v>
      </c>
      <c r="S68" s="38">
        <v>1.8725314964991759</v>
      </c>
      <c r="T68" s="33" t="s">
        <v>277</v>
      </c>
      <c r="U68" s="38">
        <v>0.13349061679534746</v>
      </c>
      <c r="V68" s="38">
        <v>6.5207156120777295E-3</v>
      </c>
      <c r="W68" s="38">
        <v>0</v>
      </c>
      <c r="X68" s="38">
        <v>-1.931860565230438E-2</v>
      </c>
      <c r="Y68" s="33" t="s">
        <v>277</v>
      </c>
      <c r="Z68" s="38">
        <v>0.13349061679534746</v>
      </c>
      <c r="AA68" s="38">
        <v>1.2798558895673409E-3</v>
      </c>
      <c r="AB68" s="38">
        <v>5.2408597225103888E-3</v>
      </c>
      <c r="AC68" s="33" t="s">
        <v>277</v>
      </c>
      <c r="AD68" s="38">
        <v>0</v>
      </c>
      <c r="AE68" s="38">
        <v>0</v>
      </c>
      <c r="AF68" s="38">
        <v>0</v>
      </c>
      <c r="AG68" s="38">
        <v>0</v>
      </c>
      <c r="AH68" s="38">
        <v>0</v>
      </c>
      <c r="AI68" s="33" t="s">
        <v>277</v>
      </c>
      <c r="AJ68" s="38">
        <v>0</v>
      </c>
      <c r="AK68" s="38">
        <v>5.9726608179809244E-4</v>
      </c>
      <c r="AL68" s="38">
        <v>3.9055696544954922E-2</v>
      </c>
      <c r="AM68" s="38">
        <v>2.7188877201181284E-4</v>
      </c>
      <c r="AN68" s="38">
        <v>-5.9243457051069211E-2</v>
      </c>
      <c r="AO68" s="33" t="s">
        <v>277</v>
      </c>
      <c r="AP68" s="38">
        <v>1.4391640730000002</v>
      </c>
      <c r="AQ68" s="38">
        <v>6.5764785452711999E-2</v>
      </c>
      <c r="AR68" s="38">
        <v>0</v>
      </c>
      <c r="AS68" s="38">
        <v>-0.20039987103921092</v>
      </c>
      <c r="AT68" s="33" t="s">
        <v>277</v>
      </c>
      <c r="AU68" s="38">
        <v>1.4391640730000002</v>
      </c>
      <c r="AV68" s="38">
        <v>1.0618912975500001E-2</v>
      </c>
      <c r="AW68" s="38">
        <v>5.5145872477212005E-2</v>
      </c>
      <c r="AX68" s="33" t="s">
        <v>277</v>
      </c>
      <c r="AY68" s="38">
        <v>0</v>
      </c>
      <c r="AZ68" s="38">
        <v>0</v>
      </c>
      <c r="BA68" s="38">
        <v>0</v>
      </c>
      <c r="BB68" s="38">
        <v>0</v>
      </c>
      <c r="BC68" s="38">
        <v>0</v>
      </c>
      <c r="BD68" s="33" t="s">
        <v>277</v>
      </c>
      <c r="BE68" s="38">
        <v>0</v>
      </c>
      <c r="BF68" s="38">
        <v>4.9554927219000004E-3</v>
      </c>
      <c r="BG68" s="38">
        <v>0.379612248855</v>
      </c>
      <c r="BH68" s="38">
        <v>3.845021688E-3</v>
      </c>
      <c r="BI68" s="38">
        <v>-0.5888126343041109</v>
      </c>
      <c r="BJ68" s="33" t="s">
        <v>277</v>
      </c>
      <c r="BK68" s="37" t="s">
        <v>277</v>
      </c>
      <c r="BL68" s="33" t="s">
        <v>277</v>
      </c>
    </row>
    <row r="69" spans="2:64" ht="19.899999999999999" customHeight="1">
      <c r="B69" s="30" t="s">
        <v>603</v>
      </c>
      <c r="C69" s="30" t="s">
        <v>89</v>
      </c>
      <c r="D69" s="30" t="s">
        <v>139</v>
      </c>
      <c r="E69" s="33" t="s">
        <v>277</v>
      </c>
      <c r="F69" s="30" t="s">
        <v>604</v>
      </c>
      <c r="G69" s="35">
        <v>1</v>
      </c>
      <c r="H69" s="30" t="s">
        <v>613</v>
      </c>
      <c r="I69" s="36">
        <v>999</v>
      </c>
      <c r="J69" s="36">
        <v>50</v>
      </c>
      <c r="K69" s="35">
        <v>0</v>
      </c>
      <c r="L69" s="30" t="s">
        <v>606</v>
      </c>
      <c r="M69" s="35">
        <v>4.7682441486351106</v>
      </c>
      <c r="N69" s="35">
        <v>3.6678800807004404</v>
      </c>
      <c r="O69" s="35">
        <v>1.10036406793467</v>
      </c>
      <c r="P69" s="35">
        <v>4.7682441486351106</v>
      </c>
      <c r="Q69" s="35">
        <v>34.623426000000002</v>
      </c>
      <c r="R69" s="35">
        <v>10.387028212743404</v>
      </c>
      <c r="S69" s="35">
        <v>45.010454212743404</v>
      </c>
      <c r="T69" s="33" t="s">
        <v>277</v>
      </c>
      <c r="U69" s="35">
        <v>0</v>
      </c>
      <c r="V69" s="35">
        <v>3.6678800807004404</v>
      </c>
      <c r="W69" s="35">
        <v>0</v>
      </c>
      <c r="X69" s="35">
        <v>0</v>
      </c>
      <c r="Y69" s="33" t="s">
        <v>277</v>
      </c>
      <c r="Z69" s="35">
        <v>0</v>
      </c>
      <c r="AA69" s="35">
        <v>0</v>
      </c>
      <c r="AB69" s="35">
        <v>3.6678800807004404</v>
      </c>
      <c r="AC69" s="33" t="s">
        <v>277</v>
      </c>
      <c r="AD69" s="35">
        <v>0</v>
      </c>
      <c r="AE69" s="35">
        <v>0</v>
      </c>
      <c r="AF69" s="35">
        <v>0</v>
      </c>
      <c r="AG69" s="35">
        <v>0</v>
      </c>
      <c r="AH69" s="35">
        <v>0</v>
      </c>
      <c r="AI69" s="33" t="s">
        <v>277</v>
      </c>
      <c r="AJ69" s="35">
        <v>0</v>
      </c>
      <c r="AK69" s="35">
        <v>0</v>
      </c>
      <c r="AL69" s="35">
        <v>0</v>
      </c>
      <c r="AM69" s="35">
        <v>0</v>
      </c>
      <c r="AN69" s="35">
        <v>0</v>
      </c>
      <c r="AO69" s="33" t="s">
        <v>277</v>
      </c>
      <c r="AP69" s="35">
        <v>0</v>
      </c>
      <c r="AQ69" s="35">
        <v>34.623426000000002</v>
      </c>
      <c r="AR69" s="35">
        <v>0</v>
      </c>
      <c r="AS69" s="35">
        <v>0</v>
      </c>
      <c r="AT69" s="33" t="s">
        <v>277</v>
      </c>
      <c r="AU69" s="35">
        <v>0</v>
      </c>
      <c r="AV69" s="35">
        <v>0</v>
      </c>
      <c r="AW69" s="35">
        <v>34.623426000000002</v>
      </c>
      <c r="AX69" s="33" t="s">
        <v>277</v>
      </c>
      <c r="AY69" s="35">
        <v>0</v>
      </c>
      <c r="AZ69" s="35">
        <v>0</v>
      </c>
      <c r="BA69" s="35">
        <v>0</v>
      </c>
      <c r="BB69" s="35">
        <v>0</v>
      </c>
      <c r="BC69" s="35">
        <v>0</v>
      </c>
      <c r="BD69" s="33" t="s">
        <v>277</v>
      </c>
      <c r="BE69" s="35">
        <v>0</v>
      </c>
      <c r="BF69" s="35">
        <v>0</v>
      </c>
      <c r="BG69" s="35">
        <v>0</v>
      </c>
      <c r="BH69" s="35">
        <v>0</v>
      </c>
      <c r="BI69" s="35">
        <v>0</v>
      </c>
      <c r="BJ69" s="33" t="s">
        <v>277</v>
      </c>
      <c r="BK69" s="30" t="s">
        <v>277</v>
      </c>
      <c r="BL69" s="33" t="s">
        <v>277</v>
      </c>
    </row>
    <row r="70" spans="2:64" ht="19.899999999999999" customHeight="1">
      <c r="B70" s="37" t="s">
        <v>603</v>
      </c>
      <c r="C70" s="37" t="s">
        <v>353</v>
      </c>
      <c r="D70" s="37" t="s">
        <v>495</v>
      </c>
      <c r="E70" s="33" t="s">
        <v>277</v>
      </c>
      <c r="F70" s="37" t="s">
        <v>604</v>
      </c>
      <c r="G70" s="38">
        <v>1</v>
      </c>
      <c r="H70" s="37" t="s">
        <v>118</v>
      </c>
      <c r="I70" s="39">
        <v>30</v>
      </c>
      <c r="J70" s="39">
        <v>30</v>
      </c>
      <c r="K70" s="38">
        <v>0.66666666666666696</v>
      </c>
      <c r="L70" s="37" t="s">
        <v>606</v>
      </c>
      <c r="M70" s="38">
        <v>1.0149346166586912</v>
      </c>
      <c r="N70" s="38">
        <v>1.2794867256495346</v>
      </c>
      <c r="O70" s="38">
        <v>0.41207096878161781</v>
      </c>
      <c r="P70" s="38">
        <v>1.6915576944311523</v>
      </c>
      <c r="Q70" s="38">
        <v>10.563433284996666</v>
      </c>
      <c r="R70" s="38">
        <v>3.3884200068427091</v>
      </c>
      <c r="S70" s="38">
        <v>13.951853291839377</v>
      </c>
      <c r="T70" s="33" t="s">
        <v>277</v>
      </c>
      <c r="U70" s="38">
        <v>0.10806188191974002</v>
      </c>
      <c r="V70" s="38">
        <v>0.62351131406622473</v>
      </c>
      <c r="W70" s="38">
        <v>0.51179469025981383</v>
      </c>
      <c r="X70" s="38">
        <v>3.6118839403755904E-2</v>
      </c>
      <c r="Y70" s="33" t="s">
        <v>277</v>
      </c>
      <c r="Z70" s="38">
        <v>0.10806188191974002</v>
      </c>
      <c r="AA70" s="38">
        <v>0.59274969325970006</v>
      </c>
      <c r="AB70" s="38">
        <v>3.0761620806524673E-2</v>
      </c>
      <c r="AC70" s="33" t="s">
        <v>277</v>
      </c>
      <c r="AD70" s="38">
        <v>0</v>
      </c>
      <c r="AE70" s="38">
        <v>0</v>
      </c>
      <c r="AF70" s="38">
        <v>0</v>
      </c>
      <c r="AG70" s="38">
        <v>0.51179469025981383</v>
      </c>
      <c r="AH70" s="38">
        <v>0</v>
      </c>
      <c r="AI70" s="33" t="s">
        <v>277</v>
      </c>
      <c r="AJ70" s="38">
        <v>7.1240870578660413E-3</v>
      </c>
      <c r="AK70" s="38">
        <v>8.4678527254240007E-2</v>
      </c>
      <c r="AL70" s="38">
        <v>0</v>
      </c>
      <c r="AM70" s="38">
        <v>7.6609451670775995E-4</v>
      </c>
      <c r="AN70" s="38">
        <v>-5.6449869425057905E-2</v>
      </c>
      <c r="AO70" s="33" t="s">
        <v>277</v>
      </c>
      <c r="AP70" s="38">
        <v>0.84980900000000004</v>
      </c>
      <c r="AQ70" s="38">
        <v>5.1658483809979998</v>
      </c>
      <c r="AR70" s="38">
        <v>4.2253733139986673</v>
      </c>
      <c r="AS70" s="38">
        <v>0.32240258999999999</v>
      </c>
      <c r="AT70" s="33" t="s">
        <v>277</v>
      </c>
      <c r="AU70" s="38">
        <v>0.84980900000000004</v>
      </c>
      <c r="AV70" s="38">
        <v>4.9180199</v>
      </c>
      <c r="AW70" s="38">
        <v>0.24782848099799998</v>
      </c>
      <c r="AX70" s="33" t="s">
        <v>277</v>
      </c>
      <c r="AY70" s="38">
        <v>0</v>
      </c>
      <c r="AZ70" s="38">
        <v>0</v>
      </c>
      <c r="BA70" s="38">
        <v>0</v>
      </c>
      <c r="BB70" s="38">
        <v>4.2253733139986673</v>
      </c>
      <c r="BC70" s="38">
        <v>0</v>
      </c>
      <c r="BD70" s="33" t="s">
        <v>277</v>
      </c>
      <c r="BE70" s="38">
        <v>5.3181472E-2</v>
      </c>
      <c r="BF70" s="38">
        <v>0.70257426999999995</v>
      </c>
      <c r="BG70" s="38">
        <v>0</v>
      </c>
      <c r="BH70" s="38">
        <v>5.4266213999999997E-3</v>
      </c>
      <c r="BI70" s="38">
        <v>-0.43877977340000002</v>
      </c>
      <c r="BJ70" s="33" t="s">
        <v>277</v>
      </c>
      <c r="BK70" s="37" t="s">
        <v>277</v>
      </c>
      <c r="BL70" s="33" t="s">
        <v>277</v>
      </c>
    </row>
    <row r="71" spans="2:64" ht="19.899999999999999" customHeight="1">
      <c r="B71" s="30" t="s">
        <v>603</v>
      </c>
      <c r="C71" s="30" t="s">
        <v>353</v>
      </c>
      <c r="D71" s="30" t="s">
        <v>366</v>
      </c>
      <c r="E71" s="33" t="s">
        <v>277</v>
      </c>
      <c r="F71" s="30" t="s">
        <v>604</v>
      </c>
      <c r="G71" s="35">
        <v>1</v>
      </c>
      <c r="H71" s="30" t="s">
        <v>118</v>
      </c>
      <c r="I71" s="36">
        <v>100</v>
      </c>
      <c r="J71" s="36">
        <v>50</v>
      </c>
      <c r="K71" s="35">
        <v>0</v>
      </c>
      <c r="L71" s="30" t="s">
        <v>606</v>
      </c>
      <c r="M71" s="35">
        <v>0.85485266133593751</v>
      </c>
      <c r="N71" s="35">
        <v>0.6575789642284503</v>
      </c>
      <c r="O71" s="35">
        <v>0.19727369710748721</v>
      </c>
      <c r="P71" s="35">
        <v>0.85485266133593751</v>
      </c>
      <c r="Q71" s="35">
        <v>6.27429821565</v>
      </c>
      <c r="R71" s="35">
        <v>1.8822895394904635</v>
      </c>
      <c r="S71" s="35">
        <v>8.1565877551404622</v>
      </c>
      <c r="T71" s="33" t="s">
        <v>277</v>
      </c>
      <c r="U71" s="35">
        <v>0</v>
      </c>
      <c r="V71" s="35">
        <v>0.38521584238099493</v>
      </c>
      <c r="W71" s="35">
        <v>2.7494938189999998E-2</v>
      </c>
      <c r="X71" s="35">
        <v>0.24486818365745541</v>
      </c>
      <c r="Y71" s="33" t="s">
        <v>277</v>
      </c>
      <c r="Z71" s="35">
        <v>0</v>
      </c>
      <c r="AA71" s="35">
        <v>0.16881091761966899</v>
      </c>
      <c r="AB71" s="35">
        <v>0.21640492476132595</v>
      </c>
      <c r="AC71" s="33" t="s">
        <v>277</v>
      </c>
      <c r="AD71" s="35">
        <v>2.7494938189999998E-2</v>
      </c>
      <c r="AE71" s="35">
        <v>0</v>
      </c>
      <c r="AF71" s="35">
        <v>0</v>
      </c>
      <c r="AG71" s="35">
        <v>0</v>
      </c>
      <c r="AH71" s="35">
        <v>0</v>
      </c>
      <c r="AI71" s="33" t="s">
        <v>277</v>
      </c>
      <c r="AJ71" s="35">
        <v>7.1523661573658595E-2</v>
      </c>
      <c r="AK71" s="35">
        <v>0.1704990267958657</v>
      </c>
      <c r="AL71" s="35">
        <v>0</v>
      </c>
      <c r="AM71" s="35">
        <v>2.8454952879311394E-3</v>
      </c>
      <c r="AN71" s="35">
        <v>0</v>
      </c>
      <c r="AO71" s="33" t="s">
        <v>277</v>
      </c>
      <c r="AP71" s="35">
        <v>0</v>
      </c>
      <c r="AQ71" s="35">
        <v>3.8020872269999999</v>
      </c>
      <c r="AR71" s="35">
        <v>0</v>
      </c>
      <c r="AS71" s="35">
        <v>2.4722109886500001</v>
      </c>
      <c r="AT71" s="33" t="s">
        <v>277</v>
      </c>
      <c r="AU71" s="35">
        <v>0</v>
      </c>
      <c r="AV71" s="35">
        <v>1.759305093</v>
      </c>
      <c r="AW71" s="35">
        <v>2.0427821339999999</v>
      </c>
      <c r="AX71" s="33" t="s">
        <v>277</v>
      </c>
      <c r="AY71" s="35">
        <v>0</v>
      </c>
      <c r="AZ71" s="35">
        <v>0</v>
      </c>
      <c r="BA71" s="35">
        <v>0</v>
      </c>
      <c r="BB71" s="35">
        <v>0</v>
      </c>
      <c r="BC71" s="35">
        <v>0</v>
      </c>
      <c r="BD71" s="33" t="s">
        <v>277</v>
      </c>
      <c r="BE71" s="35">
        <v>0.67515680700000003</v>
      </c>
      <c r="BF71" s="35">
        <v>1.77689814393</v>
      </c>
      <c r="BG71" s="35">
        <v>0</v>
      </c>
      <c r="BH71" s="35">
        <v>2.0156037719999999E-2</v>
      </c>
      <c r="BI71" s="35">
        <v>0</v>
      </c>
      <c r="BJ71" s="33" t="s">
        <v>277</v>
      </c>
      <c r="BK71" s="30" t="s">
        <v>277</v>
      </c>
      <c r="BL71" s="33" t="s">
        <v>277</v>
      </c>
    </row>
    <row r="72" spans="2:64" ht="19.899999999999999" customHeight="1">
      <c r="B72" s="37" t="s">
        <v>603</v>
      </c>
      <c r="C72" s="37" t="s">
        <v>216</v>
      </c>
      <c r="D72" s="37" t="s">
        <v>281</v>
      </c>
      <c r="E72" s="33" t="s">
        <v>277</v>
      </c>
      <c r="F72" s="37" t="s">
        <v>604</v>
      </c>
      <c r="G72" s="38">
        <v>1</v>
      </c>
      <c r="H72" s="37" t="s">
        <v>608</v>
      </c>
      <c r="I72" s="39">
        <v>40</v>
      </c>
      <c r="J72" s="39">
        <v>40</v>
      </c>
      <c r="K72" s="38">
        <v>0.24999999999999978</v>
      </c>
      <c r="L72" s="37" t="s">
        <v>606</v>
      </c>
      <c r="M72" s="38">
        <v>40.185597966444782</v>
      </c>
      <c r="N72" s="38">
        <v>38.387734762016649</v>
      </c>
      <c r="O72" s="38">
        <v>11.844262696039326</v>
      </c>
      <c r="P72" s="38">
        <v>50.231997458055972</v>
      </c>
      <c r="Q72" s="38">
        <v>370.67853282066881</v>
      </c>
      <c r="R72" s="38">
        <v>113.75262680447698</v>
      </c>
      <c r="S72" s="38">
        <v>484.43115962514577</v>
      </c>
      <c r="T72" s="33" t="s">
        <v>277</v>
      </c>
      <c r="U72" s="38">
        <v>14.973489041370895</v>
      </c>
      <c r="V72" s="38">
        <v>12.040286288169103</v>
      </c>
      <c r="W72" s="38">
        <v>7.67754695240333</v>
      </c>
      <c r="X72" s="38">
        <v>3.6964124800733238</v>
      </c>
      <c r="Y72" s="33" t="s">
        <v>277</v>
      </c>
      <c r="Z72" s="38">
        <v>14.973489041370895</v>
      </c>
      <c r="AA72" s="38">
        <v>3.935472181863553</v>
      </c>
      <c r="AB72" s="38">
        <v>8.1048141063055503</v>
      </c>
      <c r="AC72" s="33" t="s">
        <v>277</v>
      </c>
      <c r="AD72" s="38">
        <v>0</v>
      </c>
      <c r="AE72" s="38">
        <v>0</v>
      </c>
      <c r="AF72" s="38">
        <v>0</v>
      </c>
      <c r="AG72" s="38">
        <v>7.67754695240333</v>
      </c>
      <c r="AH72" s="38">
        <v>0</v>
      </c>
      <c r="AI72" s="33" t="s">
        <v>277</v>
      </c>
      <c r="AJ72" s="38">
        <v>2.9797857775610375</v>
      </c>
      <c r="AK72" s="38">
        <v>1.3118240606211844</v>
      </c>
      <c r="AL72" s="38">
        <v>0.26744590395321571</v>
      </c>
      <c r="AM72" s="38">
        <v>1.1868196032919087E-2</v>
      </c>
      <c r="AN72" s="38">
        <v>-0.87451145809503317</v>
      </c>
      <c r="AO72" s="33" t="s">
        <v>277</v>
      </c>
      <c r="AP72" s="38">
        <v>152.34394518400001</v>
      </c>
      <c r="AQ72" s="38">
        <v>109.31012816127058</v>
      </c>
      <c r="AR72" s="38">
        <v>74.135706564133756</v>
      </c>
      <c r="AS72" s="38">
        <v>34.888752911264426</v>
      </c>
      <c r="AT72" s="33" t="s">
        <v>277</v>
      </c>
      <c r="AU72" s="38">
        <v>152.34394518400001</v>
      </c>
      <c r="AV72" s="38">
        <v>32.65245482508</v>
      </c>
      <c r="AW72" s="38">
        <v>76.657673336190584</v>
      </c>
      <c r="AX72" s="33" t="s">
        <v>277</v>
      </c>
      <c r="AY72" s="38">
        <v>0</v>
      </c>
      <c r="AZ72" s="38">
        <v>0</v>
      </c>
      <c r="BA72" s="38">
        <v>0</v>
      </c>
      <c r="BB72" s="38">
        <v>74.135706564133756</v>
      </c>
      <c r="BC72" s="38">
        <v>0</v>
      </c>
      <c r="BD72" s="33" t="s">
        <v>277</v>
      </c>
      <c r="BE72" s="38">
        <v>28.128071282400001</v>
      </c>
      <c r="BF72" s="38">
        <v>10.884151608360002</v>
      </c>
      <c r="BG72" s="38">
        <v>2.5899616063569599</v>
      </c>
      <c r="BH72" s="38">
        <v>8.4068249222720007E-2</v>
      </c>
      <c r="BI72" s="38">
        <v>-6.7974998350752518</v>
      </c>
      <c r="BJ72" s="33" t="s">
        <v>277</v>
      </c>
      <c r="BK72" s="37" t="s">
        <v>277</v>
      </c>
      <c r="BL72" s="33" t="s">
        <v>277</v>
      </c>
    </row>
    <row r="73" spans="2:64" ht="19.899999999999999" customHeight="1">
      <c r="B73" s="30" t="s">
        <v>603</v>
      </c>
      <c r="C73" s="30" t="s">
        <v>216</v>
      </c>
      <c r="D73" s="30" t="s">
        <v>637</v>
      </c>
      <c r="E73" s="33" t="s">
        <v>277</v>
      </c>
      <c r="F73" s="30" t="s">
        <v>604</v>
      </c>
      <c r="G73" s="35">
        <v>1</v>
      </c>
      <c r="H73" s="30" t="s">
        <v>608</v>
      </c>
      <c r="I73" s="36">
        <v>40</v>
      </c>
      <c r="J73" s="36">
        <v>40</v>
      </c>
      <c r="K73" s="35">
        <v>0.25</v>
      </c>
      <c r="L73" s="30" t="s">
        <v>606</v>
      </c>
      <c r="M73" s="35">
        <v>54.530166957103781</v>
      </c>
      <c r="N73" s="35">
        <v>52.077628803291852</v>
      </c>
      <c r="O73" s="35">
        <v>16.085079893087872</v>
      </c>
      <c r="P73" s="35">
        <v>68.162708696379724</v>
      </c>
      <c r="Q73" s="35">
        <v>503.29880909010654</v>
      </c>
      <c r="R73" s="35">
        <v>154.57910625874183</v>
      </c>
      <c r="S73" s="35">
        <v>657.87791534884832</v>
      </c>
      <c r="T73" s="33" t="s">
        <v>277</v>
      </c>
      <c r="U73" s="35">
        <v>21.08488991031335</v>
      </c>
      <c r="V73" s="35">
        <v>16.09094629744726</v>
      </c>
      <c r="W73" s="35">
        <v>10.415525760658371</v>
      </c>
      <c r="X73" s="35">
        <v>4.4862668348728745</v>
      </c>
      <c r="Y73" s="33" t="s">
        <v>277</v>
      </c>
      <c r="Z73" s="35">
        <v>21.08488991031335</v>
      </c>
      <c r="AA73" s="35">
        <v>5.5417276140802905</v>
      </c>
      <c r="AB73" s="35">
        <v>10.549218683366972</v>
      </c>
      <c r="AC73" s="33" t="s">
        <v>277</v>
      </c>
      <c r="AD73" s="35">
        <v>0</v>
      </c>
      <c r="AE73" s="35">
        <v>0</v>
      </c>
      <c r="AF73" s="35">
        <v>0</v>
      </c>
      <c r="AG73" s="35">
        <v>10.415525760658371</v>
      </c>
      <c r="AH73" s="35">
        <v>0</v>
      </c>
      <c r="AI73" s="33" t="s">
        <v>277</v>
      </c>
      <c r="AJ73" s="35">
        <v>3.4771503165040176</v>
      </c>
      <c r="AK73" s="35">
        <v>1.8472425380267632</v>
      </c>
      <c r="AL73" s="35">
        <v>0.37660343733096341</v>
      </c>
      <c r="AM73" s="35">
        <v>1.6712177508977289E-2</v>
      </c>
      <c r="AN73" s="35">
        <v>-1.2314416344978474</v>
      </c>
      <c r="AO73" s="33" t="s">
        <v>277</v>
      </c>
      <c r="AP73" s="35">
        <v>214.52283458000002</v>
      </c>
      <c r="AQ73" s="35">
        <v>145.77316395919649</v>
      </c>
      <c r="AR73" s="35">
        <v>100.65976181802131</v>
      </c>
      <c r="AS73" s="35">
        <v>42.343048732888747</v>
      </c>
      <c r="AT73" s="33" t="s">
        <v>277</v>
      </c>
      <c r="AU73" s="35">
        <v>214.52283458000002</v>
      </c>
      <c r="AV73" s="35">
        <v>45.979491712725007</v>
      </c>
      <c r="AW73" s="35">
        <v>99.793672246471473</v>
      </c>
      <c r="AX73" s="33" t="s">
        <v>277</v>
      </c>
      <c r="AY73" s="35">
        <v>0</v>
      </c>
      <c r="AZ73" s="35">
        <v>0</v>
      </c>
      <c r="BA73" s="35">
        <v>0</v>
      </c>
      <c r="BB73" s="35">
        <v>100.65976181802131</v>
      </c>
      <c r="BC73" s="35">
        <v>0</v>
      </c>
      <c r="BD73" s="33" t="s">
        <v>277</v>
      </c>
      <c r="BE73" s="35">
        <v>32.823007848000003</v>
      </c>
      <c r="BF73" s="35">
        <v>15.326497237575003</v>
      </c>
      <c r="BG73" s="35">
        <v>3.6470494746477002</v>
      </c>
      <c r="BH73" s="35">
        <v>0.11838054410140002</v>
      </c>
      <c r="BI73" s="35">
        <v>-9.5718863714353635</v>
      </c>
      <c r="BJ73" s="33" t="s">
        <v>277</v>
      </c>
      <c r="BK73" s="30" t="s">
        <v>277</v>
      </c>
      <c r="BL73" s="33" t="s">
        <v>277</v>
      </c>
    </row>
    <row r="74" spans="2:64" ht="19.899999999999999" customHeight="1">
      <c r="B74" s="37" t="s">
        <v>603</v>
      </c>
      <c r="C74" s="37" t="s">
        <v>216</v>
      </c>
      <c r="D74" s="37" t="s">
        <v>638</v>
      </c>
      <c r="E74" s="33" t="s">
        <v>277</v>
      </c>
      <c r="F74" s="37" t="s">
        <v>604</v>
      </c>
      <c r="G74" s="38">
        <v>1</v>
      </c>
      <c r="H74" s="37" t="s">
        <v>608</v>
      </c>
      <c r="I74" s="39">
        <v>40</v>
      </c>
      <c r="J74" s="39">
        <v>40</v>
      </c>
      <c r="K74" s="38">
        <v>0.25</v>
      </c>
      <c r="L74" s="37" t="s">
        <v>606</v>
      </c>
      <c r="M74" s="38">
        <v>324.19727879804981</v>
      </c>
      <c r="N74" s="38">
        <v>306.09393419946298</v>
      </c>
      <c r="O74" s="38">
        <v>99.152664298099296</v>
      </c>
      <c r="P74" s="38">
        <v>405.24659849756227</v>
      </c>
      <c r="Q74" s="38">
        <v>2791.161710719281</v>
      </c>
      <c r="R74" s="38">
        <v>895.44427007143349</v>
      </c>
      <c r="S74" s="38">
        <v>3686.6059807907141</v>
      </c>
      <c r="T74" s="33" t="s">
        <v>277</v>
      </c>
      <c r="U74" s="38">
        <v>184.36320911988744</v>
      </c>
      <c r="V74" s="38">
        <v>58.77946469258768</v>
      </c>
      <c r="W74" s="38">
        <v>61.218786839892594</v>
      </c>
      <c r="X74" s="38">
        <v>1.7324735470952497</v>
      </c>
      <c r="Y74" s="33" t="s">
        <v>277</v>
      </c>
      <c r="Z74" s="38">
        <v>184.36320911988744</v>
      </c>
      <c r="AA74" s="38">
        <v>32.428185293268747</v>
      </c>
      <c r="AB74" s="38">
        <v>26.351279399318933</v>
      </c>
      <c r="AC74" s="33" t="s">
        <v>277</v>
      </c>
      <c r="AD74" s="38">
        <v>0</v>
      </c>
      <c r="AE74" s="38">
        <v>0</v>
      </c>
      <c r="AF74" s="38">
        <v>0</v>
      </c>
      <c r="AG74" s="38">
        <v>61.218786839892594</v>
      </c>
      <c r="AH74" s="38">
        <v>0</v>
      </c>
      <c r="AI74" s="33" t="s">
        <v>277</v>
      </c>
      <c r="AJ74" s="38">
        <v>5.9603051311382149</v>
      </c>
      <c r="AK74" s="38">
        <v>10.809395097756248</v>
      </c>
      <c r="AL74" s="38">
        <v>4.3842255061921129</v>
      </c>
      <c r="AM74" s="38">
        <v>0.11049474077574362</v>
      </c>
      <c r="AN74" s="38">
        <v>-19.53194692876707</v>
      </c>
      <c r="AO74" s="33" t="s">
        <v>277</v>
      </c>
      <c r="AP74" s="38">
        <v>1695.7381260520001</v>
      </c>
      <c r="AQ74" s="38">
        <v>514.65445602493503</v>
      </c>
      <c r="AR74" s="38">
        <v>558.23234214385616</v>
      </c>
      <c r="AS74" s="38">
        <v>22.536786498489448</v>
      </c>
      <c r="AT74" s="33" t="s">
        <v>277</v>
      </c>
      <c r="AU74" s="38">
        <v>1695.7381260520001</v>
      </c>
      <c r="AV74" s="38">
        <v>269.05535255146503</v>
      </c>
      <c r="AW74" s="38">
        <v>245.59910347346997</v>
      </c>
      <c r="AX74" s="33" t="s">
        <v>277</v>
      </c>
      <c r="AY74" s="38">
        <v>0</v>
      </c>
      <c r="AZ74" s="38">
        <v>0</v>
      </c>
      <c r="BA74" s="38">
        <v>0</v>
      </c>
      <c r="BB74" s="38">
        <v>558.23234214385616</v>
      </c>
      <c r="BC74" s="38">
        <v>0</v>
      </c>
      <c r="BD74" s="33" t="s">
        <v>277</v>
      </c>
      <c r="BE74" s="38">
        <v>56.263067249999999</v>
      </c>
      <c r="BF74" s="38">
        <v>89.685117517155007</v>
      </c>
      <c r="BG74" s="38">
        <v>30.72783672488778</v>
      </c>
      <c r="BH74" s="38">
        <v>0.78268840349196012</v>
      </c>
      <c r="BI74" s="38">
        <v>-154.92192339704528</v>
      </c>
      <c r="BJ74" s="33" t="s">
        <v>277</v>
      </c>
      <c r="BK74" s="37" t="s">
        <v>277</v>
      </c>
      <c r="BL74" s="33" t="s">
        <v>277</v>
      </c>
    </row>
    <row r="75" spans="2:64" ht="19.899999999999999" customHeight="1">
      <c r="B75" s="30" t="s">
        <v>603</v>
      </c>
      <c r="C75" s="30" t="s">
        <v>216</v>
      </c>
      <c r="D75" s="30" t="s">
        <v>639</v>
      </c>
      <c r="E75" s="33" t="s">
        <v>277</v>
      </c>
      <c r="F75" s="30" t="s">
        <v>604</v>
      </c>
      <c r="G75" s="35">
        <v>1</v>
      </c>
      <c r="H75" s="30" t="s">
        <v>608</v>
      </c>
      <c r="I75" s="36">
        <v>40</v>
      </c>
      <c r="J75" s="36">
        <v>40</v>
      </c>
      <c r="K75" s="35">
        <v>0.24999999999999978</v>
      </c>
      <c r="L75" s="30" t="s">
        <v>606</v>
      </c>
      <c r="M75" s="35">
        <v>15.146085834177292</v>
      </c>
      <c r="N75" s="35">
        <v>12.5413622536913</v>
      </c>
      <c r="O75" s="35">
        <v>6.3912450390303146</v>
      </c>
      <c r="P75" s="35">
        <v>18.932607292721613</v>
      </c>
      <c r="Q75" s="35">
        <v>88.176451886961217</v>
      </c>
      <c r="R75" s="35">
        <v>46.862688105865416</v>
      </c>
      <c r="S75" s="35">
        <v>135.03913999282662</v>
      </c>
      <c r="T75" s="33" t="s">
        <v>277</v>
      </c>
      <c r="U75" s="35">
        <v>14.740720855678919</v>
      </c>
      <c r="V75" s="35">
        <v>1.3841140037299904</v>
      </c>
      <c r="W75" s="35">
        <v>2.5082724507382599</v>
      </c>
      <c r="X75" s="35">
        <v>-6.0917450564558715</v>
      </c>
      <c r="Y75" s="33" t="s">
        <v>277</v>
      </c>
      <c r="Z75" s="35">
        <v>14.740720855678919</v>
      </c>
      <c r="AA75" s="35">
        <v>0.42000563786179657</v>
      </c>
      <c r="AB75" s="35">
        <v>0.96410836586819371</v>
      </c>
      <c r="AC75" s="33" t="s">
        <v>277</v>
      </c>
      <c r="AD75" s="35">
        <v>0</v>
      </c>
      <c r="AE75" s="35">
        <v>0</v>
      </c>
      <c r="AF75" s="35">
        <v>0</v>
      </c>
      <c r="AG75" s="35">
        <v>2.5082724507382599</v>
      </c>
      <c r="AH75" s="35">
        <v>0</v>
      </c>
      <c r="AI75" s="33" t="s">
        <v>277</v>
      </c>
      <c r="AJ75" s="35">
        <v>0.49663096292683956</v>
      </c>
      <c r="AK75" s="35">
        <v>0.1404454336283254</v>
      </c>
      <c r="AL75" s="35">
        <v>0.28014156066651186</v>
      </c>
      <c r="AM75" s="35">
        <v>1.2666102095821778E-3</v>
      </c>
      <c r="AN75" s="35">
        <v>-7.0102296238871302</v>
      </c>
      <c r="AO75" s="33" t="s">
        <v>277</v>
      </c>
      <c r="AP75" s="35">
        <v>106.20998849999998</v>
      </c>
      <c r="AQ75" s="35">
        <v>11.539514029670647</v>
      </c>
      <c r="AR75" s="35">
        <v>17.635290377392245</v>
      </c>
      <c r="AS75" s="35">
        <v>-47.208341020101642</v>
      </c>
      <c r="AT75" s="33" t="s">
        <v>277</v>
      </c>
      <c r="AU75" s="35">
        <v>106.20998849999998</v>
      </c>
      <c r="AV75" s="35">
        <v>3.4847699292000001</v>
      </c>
      <c r="AW75" s="35">
        <v>8.0547441004706464</v>
      </c>
      <c r="AX75" s="33" t="s">
        <v>277</v>
      </c>
      <c r="AY75" s="35">
        <v>0</v>
      </c>
      <c r="AZ75" s="35">
        <v>0</v>
      </c>
      <c r="BA75" s="35">
        <v>0</v>
      </c>
      <c r="BB75" s="35">
        <v>17.635290377392245</v>
      </c>
      <c r="BC75" s="35">
        <v>0</v>
      </c>
      <c r="BD75" s="33" t="s">
        <v>277</v>
      </c>
      <c r="BE75" s="35">
        <v>4.6880118804000004</v>
      </c>
      <c r="BF75" s="35">
        <v>1.165270128975</v>
      </c>
      <c r="BG75" s="35">
        <v>1.3554067566204</v>
      </c>
      <c r="BH75" s="35">
        <v>8.9720208927999996E-3</v>
      </c>
      <c r="BI75" s="35">
        <v>-54.426001806989845</v>
      </c>
      <c r="BJ75" s="33" t="s">
        <v>277</v>
      </c>
      <c r="BK75" s="30" t="s">
        <v>277</v>
      </c>
      <c r="BL75" s="33" t="s">
        <v>277</v>
      </c>
    </row>
    <row r="76" spans="2:64" ht="19.899999999999999" customHeight="1">
      <c r="B76" s="37" t="s">
        <v>603</v>
      </c>
      <c r="C76" s="37" t="s">
        <v>353</v>
      </c>
      <c r="D76" s="37" t="s">
        <v>498</v>
      </c>
      <c r="E76" s="33" t="s">
        <v>277</v>
      </c>
      <c r="F76" s="37" t="s">
        <v>628</v>
      </c>
      <c r="G76" s="38">
        <v>1</v>
      </c>
      <c r="H76" s="37" t="s">
        <v>118</v>
      </c>
      <c r="I76" s="39">
        <v>25</v>
      </c>
      <c r="J76" s="39">
        <v>25</v>
      </c>
      <c r="K76" s="38">
        <v>0</v>
      </c>
      <c r="L76" s="37" t="s">
        <v>606</v>
      </c>
      <c r="M76" s="38">
        <v>0.47022323665511229</v>
      </c>
      <c r="N76" s="38">
        <v>0.47022323665511229</v>
      </c>
      <c r="O76" s="38">
        <v>0</v>
      </c>
      <c r="P76" s="38">
        <v>0.47022323665511229</v>
      </c>
      <c r="Q76" s="38">
        <v>6.5867840141820011</v>
      </c>
      <c r="R76" s="38">
        <v>0</v>
      </c>
      <c r="S76" s="38">
        <v>3.2933920070910006</v>
      </c>
      <c r="T76" s="33" t="s">
        <v>277</v>
      </c>
      <c r="U76" s="38">
        <v>0.3691850132333746</v>
      </c>
      <c r="V76" s="38">
        <v>0.16442086815507634</v>
      </c>
      <c r="W76" s="38">
        <v>0</v>
      </c>
      <c r="X76" s="38">
        <v>-6.3382644733338697E-2</v>
      </c>
      <c r="Y76" s="33" t="s">
        <v>277</v>
      </c>
      <c r="Z76" s="38">
        <v>0.3691850132333746</v>
      </c>
      <c r="AA76" s="38">
        <v>8.6485224153936807E-2</v>
      </c>
      <c r="AB76" s="38">
        <v>7.7935644001139517E-2</v>
      </c>
      <c r="AC76" s="33" t="s">
        <v>277</v>
      </c>
      <c r="AD76" s="38">
        <v>0</v>
      </c>
      <c r="AE76" s="38">
        <v>0</v>
      </c>
      <c r="AF76" s="38">
        <v>0</v>
      </c>
      <c r="AG76" s="38">
        <v>0</v>
      </c>
      <c r="AH76" s="38">
        <v>0</v>
      </c>
      <c r="AI76" s="33" t="s">
        <v>277</v>
      </c>
      <c r="AJ76" s="38">
        <v>0</v>
      </c>
      <c r="AK76" s="38">
        <v>1.7290364307375999E-3</v>
      </c>
      <c r="AL76" s="38">
        <v>0</v>
      </c>
      <c r="AM76" s="38">
        <v>8.2588840221479998E-4</v>
      </c>
      <c r="AN76" s="38">
        <v>-6.5937569566291099E-2</v>
      </c>
      <c r="AO76" s="33" t="s">
        <v>277</v>
      </c>
      <c r="AP76" s="38">
        <v>2.465143586155</v>
      </c>
      <c r="AQ76" s="38">
        <v>1.3581546127080002</v>
      </c>
      <c r="AR76" s="38">
        <v>3.2933920070910001</v>
      </c>
      <c r="AS76" s="38">
        <v>-0.52990619177200005</v>
      </c>
      <c r="AT76" s="33" t="s">
        <v>277</v>
      </c>
      <c r="AU76" s="38">
        <v>2.465143586155</v>
      </c>
      <c r="AV76" s="38">
        <v>0.72573994268700004</v>
      </c>
      <c r="AW76" s="38">
        <v>0.63241467002100005</v>
      </c>
      <c r="AX76" s="33" t="s">
        <v>277</v>
      </c>
      <c r="AY76" s="38">
        <v>0</v>
      </c>
      <c r="AZ76" s="38">
        <v>0</v>
      </c>
      <c r="BA76" s="38">
        <v>0</v>
      </c>
      <c r="BB76" s="38">
        <v>3.2933920070910001</v>
      </c>
      <c r="BC76" s="38">
        <v>0</v>
      </c>
      <c r="BD76" s="33" t="s">
        <v>277</v>
      </c>
      <c r="BE76" s="38">
        <v>0</v>
      </c>
      <c r="BF76" s="38">
        <v>1.4509193032E-2</v>
      </c>
      <c r="BG76" s="38">
        <v>0</v>
      </c>
      <c r="BH76" s="38">
        <v>5.8689448669999996E-3</v>
      </c>
      <c r="BI76" s="38">
        <v>-0.55028432967100005</v>
      </c>
      <c r="BJ76" s="33" t="s">
        <v>277</v>
      </c>
      <c r="BK76" s="37" t="s">
        <v>277</v>
      </c>
      <c r="BL76" s="33" t="s">
        <v>277</v>
      </c>
    </row>
    <row r="77" spans="2:64" ht="19.899999999999999" customHeight="1">
      <c r="B77" s="30" t="s">
        <v>603</v>
      </c>
      <c r="C77" s="30" t="s">
        <v>216</v>
      </c>
      <c r="D77" s="30" t="s">
        <v>286</v>
      </c>
      <c r="E77" s="33" t="s">
        <v>277</v>
      </c>
      <c r="F77" s="30" t="s">
        <v>604</v>
      </c>
      <c r="G77" s="35">
        <v>1</v>
      </c>
      <c r="H77" s="30" t="s">
        <v>608</v>
      </c>
      <c r="I77" s="36">
        <v>40</v>
      </c>
      <c r="J77" s="36">
        <v>40</v>
      </c>
      <c r="K77" s="35">
        <v>0.24999999999999978</v>
      </c>
      <c r="L77" s="30" t="s">
        <v>606</v>
      </c>
      <c r="M77" s="35">
        <v>24.496525269732345</v>
      </c>
      <c r="N77" s="35">
        <v>22.521535489139488</v>
      </c>
      <c r="O77" s="35">
        <v>8.0991210980259414</v>
      </c>
      <c r="P77" s="35">
        <v>30.620656587165428</v>
      </c>
      <c r="Q77" s="35">
        <v>180.45521416834902</v>
      </c>
      <c r="R77" s="35">
        <v>67.561576301164408</v>
      </c>
      <c r="S77" s="35">
        <v>248.01679046951341</v>
      </c>
      <c r="T77" s="33" t="s">
        <v>277</v>
      </c>
      <c r="U77" s="35">
        <v>11.315206947046821</v>
      </c>
      <c r="V77" s="35">
        <v>3.9989369491320899</v>
      </c>
      <c r="W77" s="35">
        <v>4.5043070978278976</v>
      </c>
      <c r="X77" s="35">
        <v>2.7030844951326771</v>
      </c>
      <c r="Y77" s="33" t="s">
        <v>277</v>
      </c>
      <c r="Z77" s="35">
        <v>11.315206947046821</v>
      </c>
      <c r="AA77" s="35">
        <v>9.9194879909756131E-2</v>
      </c>
      <c r="AB77" s="35">
        <v>3.8997420692223339</v>
      </c>
      <c r="AC77" s="33" t="s">
        <v>277</v>
      </c>
      <c r="AD77" s="35">
        <v>0</v>
      </c>
      <c r="AE77" s="35">
        <v>0</v>
      </c>
      <c r="AF77" s="35">
        <v>0</v>
      </c>
      <c r="AG77" s="35">
        <v>4.5043070978278976</v>
      </c>
      <c r="AH77" s="35">
        <v>0</v>
      </c>
      <c r="AI77" s="33" t="s">
        <v>277</v>
      </c>
      <c r="AJ77" s="35">
        <v>3.4729945043333399</v>
      </c>
      <c r="AK77" s="35">
        <v>5.7299156240554233E-2</v>
      </c>
      <c r="AL77" s="35">
        <v>2.7523058287159525</v>
      </c>
      <c r="AM77" s="35">
        <v>9.1201772003325003E-4</v>
      </c>
      <c r="AN77" s="35">
        <v>-3.580427011877203</v>
      </c>
      <c r="AO77" s="33" t="s">
        <v>277</v>
      </c>
      <c r="AP77" s="35">
        <v>88.79365150000001</v>
      </c>
      <c r="AQ77" s="35">
        <v>30.486262021364752</v>
      </c>
      <c r="AR77" s="35">
        <v>36.091042833669803</v>
      </c>
      <c r="AS77" s="35">
        <v>25.084257813314444</v>
      </c>
      <c r="AT77" s="33" t="s">
        <v>277</v>
      </c>
      <c r="AU77" s="35">
        <v>88.79365150000001</v>
      </c>
      <c r="AV77" s="35">
        <v>0.82301593950000007</v>
      </c>
      <c r="AW77" s="35">
        <v>29.663246081864752</v>
      </c>
      <c r="AX77" s="33" t="s">
        <v>277</v>
      </c>
      <c r="AY77" s="35">
        <v>0</v>
      </c>
      <c r="AZ77" s="35">
        <v>0</v>
      </c>
      <c r="BA77" s="35">
        <v>0</v>
      </c>
      <c r="BB77" s="35">
        <v>36.091042833669803</v>
      </c>
      <c r="BC77" s="35">
        <v>0</v>
      </c>
      <c r="BD77" s="33" t="s">
        <v>277</v>
      </c>
      <c r="BE77" s="35">
        <v>25.925997500000001</v>
      </c>
      <c r="BF77" s="35">
        <v>0.47540880082500003</v>
      </c>
      <c r="BG77" s="35">
        <v>34.476416220000004</v>
      </c>
      <c r="BH77" s="35">
        <v>6.4602685000000005E-3</v>
      </c>
      <c r="BI77" s="35">
        <v>-35.800024976010562</v>
      </c>
      <c r="BJ77" s="33" t="s">
        <v>277</v>
      </c>
      <c r="BK77" s="30" t="s">
        <v>277</v>
      </c>
      <c r="BL77" s="33" t="s">
        <v>277</v>
      </c>
    </row>
    <row r="78" spans="2:64" ht="19.899999999999999" customHeight="1">
      <c r="B78" s="37" t="s">
        <v>603</v>
      </c>
      <c r="C78" s="37" t="s">
        <v>216</v>
      </c>
      <c r="D78" s="37" t="s">
        <v>640</v>
      </c>
      <c r="E78" s="33" t="s">
        <v>277</v>
      </c>
      <c r="F78" s="37" t="s">
        <v>628</v>
      </c>
      <c r="G78" s="38">
        <v>1</v>
      </c>
      <c r="H78" s="37" t="s">
        <v>629</v>
      </c>
      <c r="I78" s="39">
        <v>45</v>
      </c>
      <c r="J78" s="39">
        <v>45</v>
      </c>
      <c r="K78" s="38">
        <v>0.11111111111111094</v>
      </c>
      <c r="L78" s="37" t="s">
        <v>606</v>
      </c>
      <c r="M78" s="38">
        <v>5.0066290067240011</v>
      </c>
      <c r="N78" s="38">
        <v>5.5629211185822225</v>
      </c>
      <c r="O78" s="38">
        <v>0</v>
      </c>
      <c r="P78" s="38">
        <v>5.5629211185822225</v>
      </c>
      <c r="Q78" s="38">
        <v>40.445666666666675</v>
      </c>
      <c r="R78" s="38">
        <v>0</v>
      </c>
      <c r="S78" s="38">
        <v>40.445666666666682</v>
      </c>
      <c r="T78" s="33" t="s">
        <v>277</v>
      </c>
      <c r="U78" s="38">
        <v>6.6597328400000011</v>
      </c>
      <c r="V78" s="38">
        <v>0.65380077000000003</v>
      </c>
      <c r="W78" s="38">
        <v>0.55629211185822258</v>
      </c>
      <c r="X78" s="38">
        <v>-2.3069046032760006</v>
      </c>
      <c r="Y78" s="33" t="s">
        <v>277</v>
      </c>
      <c r="Z78" s="38">
        <v>6.6597328400000011</v>
      </c>
      <c r="AA78" s="38">
        <v>0.35290560599999998</v>
      </c>
      <c r="AB78" s="38">
        <v>0.30089516400000005</v>
      </c>
      <c r="AC78" s="33" t="s">
        <v>277</v>
      </c>
      <c r="AD78" s="38">
        <v>0</v>
      </c>
      <c r="AE78" s="38">
        <v>0</v>
      </c>
      <c r="AF78" s="38">
        <v>0</v>
      </c>
      <c r="AG78" s="38">
        <v>0.55629211185822258</v>
      </c>
      <c r="AH78" s="38">
        <v>0</v>
      </c>
      <c r="AI78" s="33" t="s">
        <v>277</v>
      </c>
      <c r="AJ78" s="38">
        <v>7.2038297519999989E-2</v>
      </c>
      <c r="AK78" s="38">
        <v>2.8048282599999995E-2</v>
      </c>
      <c r="AL78" s="38">
        <v>0.80339696599999999</v>
      </c>
      <c r="AM78" s="38">
        <v>6.8688626040000009E-3</v>
      </c>
      <c r="AN78" s="38">
        <v>-3.2172570120000006</v>
      </c>
      <c r="AO78" s="33" t="s">
        <v>277</v>
      </c>
      <c r="AP78" s="38">
        <v>46.7</v>
      </c>
      <c r="AQ78" s="38">
        <v>6.6</v>
      </c>
      <c r="AR78" s="38">
        <v>4.0445666666666691</v>
      </c>
      <c r="AS78" s="38">
        <v>-16.898899999999998</v>
      </c>
      <c r="AT78" s="33" t="s">
        <v>277</v>
      </c>
      <c r="AU78" s="38">
        <v>46.7</v>
      </c>
      <c r="AV78" s="38">
        <v>2.92</v>
      </c>
      <c r="AW78" s="38">
        <v>3.68</v>
      </c>
      <c r="AX78" s="33" t="s">
        <v>277</v>
      </c>
      <c r="AY78" s="38">
        <v>0</v>
      </c>
      <c r="AZ78" s="38">
        <v>0</v>
      </c>
      <c r="BA78" s="38">
        <v>0</v>
      </c>
      <c r="BB78" s="38">
        <v>4.0445666666666691</v>
      </c>
      <c r="BC78" s="38">
        <v>0</v>
      </c>
      <c r="BD78" s="33" t="s">
        <v>277</v>
      </c>
      <c r="BE78" s="38">
        <v>0.52700000000000002</v>
      </c>
      <c r="BF78" s="38">
        <v>0.23200000000000001</v>
      </c>
      <c r="BG78" s="38">
        <v>8.0500000000000007</v>
      </c>
      <c r="BH78" s="38">
        <v>9.2100000000000001E-2</v>
      </c>
      <c r="BI78" s="38">
        <v>-25.8</v>
      </c>
      <c r="BJ78" s="33" t="s">
        <v>277</v>
      </c>
      <c r="BK78" s="37" t="s">
        <v>277</v>
      </c>
      <c r="BL78" s="33" t="s">
        <v>277</v>
      </c>
    </row>
    <row r="79" spans="2:64" ht="19.899999999999999" customHeight="1">
      <c r="B79" s="30" t="s">
        <v>603</v>
      </c>
      <c r="C79" s="30" t="s">
        <v>353</v>
      </c>
      <c r="D79" s="30" t="s">
        <v>434</v>
      </c>
      <c r="E79" s="33" t="s">
        <v>277</v>
      </c>
      <c r="F79" s="30" t="s">
        <v>641</v>
      </c>
      <c r="G79" s="35">
        <v>1</v>
      </c>
      <c r="H79" s="30" t="s">
        <v>642</v>
      </c>
      <c r="I79" s="36">
        <v>14</v>
      </c>
      <c r="J79" s="36">
        <v>14</v>
      </c>
      <c r="K79" s="35">
        <v>2.5714285714285712</v>
      </c>
      <c r="L79" s="30" t="s">
        <v>606</v>
      </c>
      <c r="M79" s="35">
        <v>9.8989802736817976E-3</v>
      </c>
      <c r="N79" s="35">
        <v>3.535350097743499E-2</v>
      </c>
      <c r="O79" s="35">
        <v>0</v>
      </c>
      <c r="P79" s="35">
        <v>3.535350097743499E-2</v>
      </c>
      <c r="Q79" s="35">
        <v>0.33810522811428578</v>
      </c>
      <c r="R79" s="35">
        <v>0</v>
      </c>
      <c r="S79" s="35">
        <v>0.33810522811428578</v>
      </c>
      <c r="T79" s="33" t="s">
        <v>277</v>
      </c>
      <c r="U79" s="35">
        <v>1.2937091586731599E-2</v>
      </c>
      <c r="V79" s="35">
        <v>6.351658213261999E-4</v>
      </c>
      <c r="W79" s="35">
        <v>2.5536600558277094E-2</v>
      </c>
      <c r="X79" s="35">
        <v>-3.7553569888999E-3</v>
      </c>
      <c r="Y79" s="33" t="s">
        <v>277</v>
      </c>
      <c r="Z79" s="35">
        <v>1.2937091586731599E-2</v>
      </c>
      <c r="AA79" s="35">
        <v>3.7546048639299992E-4</v>
      </c>
      <c r="AB79" s="35">
        <v>2.5970533493319998E-4</v>
      </c>
      <c r="AC79" s="33" t="s">
        <v>277</v>
      </c>
      <c r="AD79" s="35">
        <v>8.2079854523900002E-5</v>
      </c>
      <c r="AE79" s="35">
        <v>0</v>
      </c>
      <c r="AF79" s="35">
        <v>0</v>
      </c>
      <c r="AG79" s="35">
        <v>2.5454520703753196E-2</v>
      </c>
      <c r="AH79" s="35">
        <v>0</v>
      </c>
      <c r="AI79" s="33" t="s">
        <v>277</v>
      </c>
      <c r="AJ79" s="35">
        <v>1.3541603216309998E-4</v>
      </c>
      <c r="AK79" s="35">
        <v>3.1791355701000004E-4</v>
      </c>
      <c r="AL79" s="35">
        <v>1.5929998126950004E-4</v>
      </c>
      <c r="AM79" s="35">
        <v>0</v>
      </c>
      <c r="AN79" s="35">
        <v>-4.3679865593425002E-3</v>
      </c>
      <c r="AO79" s="33" t="s">
        <v>277</v>
      </c>
      <c r="AP79" s="35">
        <v>0.114302082983</v>
      </c>
      <c r="AQ79" s="35">
        <v>6.5186766859999992E-3</v>
      </c>
      <c r="AR79" s="35">
        <v>0.24343576424228575</v>
      </c>
      <c r="AS79" s="35">
        <v>-2.6151295796999999E-2</v>
      </c>
      <c r="AT79" s="33" t="s">
        <v>277</v>
      </c>
      <c r="AU79" s="35">
        <v>0.114302082983</v>
      </c>
      <c r="AV79" s="35">
        <v>3.9891474709999996E-3</v>
      </c>
      <c r="AW79" s="35">
        <v>2.529529215E-3</v>
      </c>
      <c r="AX79" s="33" t="s">
        <v>277</v>
      </c>
      <c r="AY79" s="35">
        <v>0</v>
      </c>
      <c r="AZ79" s="35">
        <v>0</v>
      </c>
      <c r="BA79" s="35">
        <v>0</v>
      </c>
      <c r="BB79" s="35">
        <v>0.24343576424228575</v>
      </c>
      <c r="BC79" s="35">
        <v>0</v>
      </c>
      <c r="BD79" s="33" t="s">
        <v>277</v>
      </c>
      <c r="BE79" s="35">
        <v>1.439214898E-3</v>
      </c>
      <c r="BF79" s="35">
        <v>3.2726104579999999E-3</v>
      </c>
      <c r="BG79" s="35">
        <v>1.6136651889999999E-3</v>
      </c>
      <c r="BH79" s="35">
        <v>0</v>
      </c>
      <c r="BI79" s="35">
        <v>-3.2476786341999998E-2</v>
      </c>
      <c r="BJ79" s="33" t="s">
        <v>277</v>
      </c>
      <c r="BK79" s="30" t="s">
        <v>277</v>
      </c>
      <c r="BL79" s="33" t="s">
        <v>277</v>
      </c>
    </row>
    <row r="80" spans="2:64" ht="19.899999999999999" customHeight="1">
      <c r="B80" s="37" t="s">
        <v>603</v>
      </c>
      <c r="C80" s="37" t="s">
        <v>353</v>
      </c>
      <c r="D80" s="37" t="s">
        <v>428</v>
      </c>
      <c r="E80" s="33" t="s">
        <v>277</v>
      </c>
      <c r="F80" s="37" t="s">
        <v>641</v>
      </c>
      <c r="G80" s="38">
        <v>1</v>
      </c>
      <c r="H80" s="37" t="s">
        <v>642</v>
      </c>
      <c r="I80" s="39">
        <v>45</v>
      </c>
      <c r="J80" s="39">
        <v>45</v>
      </c>
      <c r="K80" s="38">
        <v>0.11111111111111116</v>
      </c>
      <c r="L80" s="37" t="s">
        <v>606</v>
      </c>
      <c r="M80" s="38">
        <v>4.8932677833255977E-3</v>
      </c>
      <c r="N80" s="38">
        <v>5.4369642036951084E-3</v>
      </c>
      <c r="O80" s="38">
        <v>0</v>
      </c>
      <c r="P80" s="38">
        <v>5.4369642036951084E-3</v>
      </c>
      <c r="Q80" s="38">
        <v>5.9624660007777774E-2</v>
      </c>
      <c r="R80" s="38">
        <v>0</v>
      </c>
      <c r="S80" s="38">
        <v>5.9624660007777774E-2</v>
      </c>
      <c r="T80" s="33" t="s">
        <v>277</v>
      </c>
      <c r="U80" s="38">
        <v>5.9086681484993983E-3</v>
      </c>
      <c r="V80" s="38">
        <v>5.1723580831839985E-4</v>
      </c>
      <c r="W80" s="38">
        <v>5.436964203695111E-4</v>
      </c>
      <c r="X80" s="38">
        <v>-1.5326361734922002E-3</v>
      </c>
      <c r="Y80" s="33" t="s">
        <v>277</v>
      </c>
      <c r="Z80" s="38">
        <v>5.9086681484993983E-3</v>
      </c>
      <c r="AA80" s="38">
        <v>3.7546048639299992E-4</v>
      </c>
      <c r="AB80" s="38">
        <v>1.4177532192539998E-4</v>
      </c>
      <c r="AC80" s="33" t="s">
        <v>277</v>
      </c>
      <c r="AD80" s="38">
        <v>0</v>
      </c>
      <c r="AE80" s="38">
        <v>0</v>
      </c>
      <c r="AF80" s="38">
        <v>0</v>
      </c>
      <c r="AG80" s="38">
        <v>5.436964203695111E-4</v>
      </c>
      <c r="AH80" s="38">
        <v>0</v>
      </c>
      <c r="AI80" s="33" t="s">
        <v>277</v>
      </c>
      <c r="AJ80" s="38">
        <v>3.1586754990729993E-4</v>
      </c>
      <c r="AK80" s="38">
        <v>3.1791355701000004E-4</v>
      </c>
      <c r="AL80" s="38">
        <v>1.592999815156E-4</v>
      </c>
      <c r="AM80" s="38">
        <v>0</v>
      </c>
      <c r="AN80" s="38">
        <v>-2.3257172619251002E-3</v>
      </c>
      <c r="AO80" s="33" t="s">
        <v>277</v>
      </c>
      <c r="AP80" s="38">
        <v>5.7338428451999997E-2</v>
      </c>
      <c r="AQ80" s="38">
        <v>5.3847497979999997E-3</v>
      </c>
      <c r="AR80" s="38">
        <v>5.9624660007777793E-3</v>
      </c>
      <c r="AS80" s="38">
        <v>-9.0609842429999997E-3</v>
      </c>
      <c r="AT80" s="33" t="s">
        <v>277</v>
      </c>
      <c r="AU80" s="38">
        <v>5.7338428451999997E-2</v>
      </c>
      <c r="AV80" s="38">
        <v>3.9891474709999996E-3</v>
      </c>
      <c r="AW80" s="38">
        <v>1.3956023269999999E-3</v>
      </c>
      <c r="AX80" s="33" t="s">
        <v>277</v>
      </c>
      <c r="AY80" s="38">
        <v>0</v>
      </c>
      <c r="AZ80" s="38">
        <v>0</v>
      </c>
      <c r="BA80" s="38">
        <v>0</v>
      </c>
      <c r="BB80" s="38">
        <v>5.9624660007777793E-3</v>
      </c>
      <c r="BC80" s="38">
        <v>0</v>
      </c>
      <c r="BD80" s="33" t="s">
        <v>277</v>
      </c>
      <c r="BE80" s="38">
        <v>3.358168099E-3</v>
      </c>
      <c r="BF80" s="38">
        <v>3.2726104579999999E-3</v>
      </c>
      <c r="BG80" s="38">
        <v>1.6136651899999999E-3</v>
      </c>
      <c r="BH80" s="38">
        <v>0</v>
      </c>
      <c r="BI80" s="38">
        <v>-1.730542799E-2</v>
      </c>
      <c r="BJ80" s="33" t="s">
        <v>277</v>
      </c>
      <c r="BK80" s="37" t="s">
        <v>277</v>
      </c>
      <c r="BL80" s="33" t="s">
        <v>277</v>
      </c>
    </row>
    <row r="81" spans="2:64" ht="19.899999999999999" customHeight="1">
      <c r="B81" s="30" t="s">
        <v>603</v>
      </c>
      <c r="C81" s="30" t="s">
        <v>216</v>
      </c>
      <c r="D81" s="30" t="s">
        <v>297</v>
      </c>
      <c r="E81" s="33" t="s">
        <v>277</v>
      </c>
      <c r="F81" s="30" t="s">
        <v>604</v>
      </c>
      <c r="G81" s="35">
        <v>1</v>
      </c>
      <c r="H81" s="30" t="s">
        <v>605</v>
      </c>
      <c r="I81" s="36">
        <v>100</v>
      </c>
      <c r="J81" s="36">
        <v>50</v>
      </c>
      <c r="K81" s="35">
        <v>0</v>
      </c>
      <c r="L81" s="30" t="s">
        <v>606</v>
      </c>
      <c r="M81" s="35">
        <v>1.9573358558583815</v>
      </c>
      <c r="N81" s="35">
        <v>1.4999603927810428</v>
      </c>
      <c r="O81" s="35">
        <v>0.45737546307733884</v>
      </c>
      <c r="P81" s="35">
        <v>1.9573358558583815</v>
      </c>
      <c r="Q81" s="35">
        <v>15.302695425206149</v>
      </c>
      <c r="R81" s="35">
        <v>4.6950455947104093</v>
      </c>
      <c r="S81" s="35">
        <v>19.997741019916557</v>
      </c>
      <c r="T81" s="33" t="s">
        <v>277</v>
      </c>
      <c r="U81" s="35">
        <v>0.96554413145460716</v>
      </c>
      <c r="V81" s="35">
        <v>0.51955330342378436</v>
      </c>
      <c r="W81" s="35">
        <v>0</v>
      </c>
      <c r="X81" s="35">
        <v>1.48629579026512E-2</v>
      </c>
      <c r="Y81" s="33" t="s">
        <v>277</v>
      </c>
      <c r="Z81" s="35">
        <v>0.96554413145460716</v>
      </c>
      <c r="AA81" s="35">
        <v>4.8046184245598101E-3</v>
      </c>
      <c r="AB81" s="35">
        <v>0.51474868499922455</v>
      </c>
      <c r="AC81" s="33" t="s">
        <v>277</v>
      </c>
      <c r="AD81" s="35">
        <v>0</v>
      </c>
      <c r="AE81" s="35">
        <v>0</v>
      </c>
      <c r="AF81" s="35">
        <v>0</v>
      </c>
      <c r="AG81" s="35">
        <v>0</v>
      </c>
      <c r="AH81" s="35">
        <v>0</v>
      </c>
      <c r="AI81" s="33" t="s">
        <v>277</v>
      </c>
      <c r="AJ81" s="35">
        <v>1.4671520322801758E-2</v>
      </c>
      <c r="AK81" s="35">
        <v>1.9218473698239241E-4</v>
      </c>
      <c r="AL81" s="35">
        <v>2.4623676404729473E-2</v>
      </c>
      <c r="AM81" s="35">
        <v>0</v>
      </c>
      <c r="AN81" s="35">
        <v>-2.4624423561862424E-2</v>
      </c>
      <c r="AO81" s="33" t="s">
        <v>277</v>
      </c>
      <c r="AP81" s="35">
        <v>10.187983670000001</v>
      </c>
      <c r="AQ81" s="35">
        <v>4.9457683032540851</v>
      </c>
      <c r="AR81" s="35">
        <v>0</v>
      </c>
      <c r="AS81" s="35">
        <v>0.16894345195206417</v>
      </c>
      <c r="AT81" s="33" t="s">
        <v>277</v>
      </c>
      <c r="AU81" s="35">
        <v>10.187983670000001</v>
      </c>
      <c r="AV81" s="35">
        <v>5.0072529570000003E-2</v>
      </c>
      <c r="AW81" s="35">
        <v>4.8956957736840847</v>
      </c>
      <c r="AX81" s="33" t="s">
        <v>277</v>
      </c>
      <c r="AY81" s="35">
        <v>0</v>
      </c>
      <c r="AZ81" s="35">
        <v>0</v>
      </c>
      <c r="BA81" s="35">
        <v>0</v>
      </c>
      <c r="BB81" s="35">
        <v>0</v>
      </c>
      <c r="BC81" s="35">
        <v>0</v>
      </c>
      <c r="BD81" s="33" t="s">
        <v>277</v>
      </c>
      <c r="BE81" s="35">
        <v>0.138493704</v>
      </c>
      <c r="BF81" s="35">
        <v>2.0029011828E-3</v>
      </c>
      <c r="BG81" s="35">
        <v>0.37590278205</v>
      </c>
      <c r="BH81" s="35">
        <v>0</v>
      </c>
      <c r="BI81" s="35">
        <v>-0.34745593528073582</v>
      </c>
      <c r="BJ81" s="33" t="s">
        <v>277</v>
      </c>
      <c r="BK81" s="30" t="s">
        <v>277</v>
      </c>
      <c r="BL81" s="33" t="s">
        <v>277</v>
      </c>
    </row>
    <row r="82" spans="2:64" ht="19.899999999999999" customHeight="1">
      <c r="B82" s="37" t="s">
        <v>603</v>
      </c>
      <c r="C82" s="37" t="s">
        <v>216</v>
      </c>
      <c r="D82" s="37" t="s">
        <v>301</v>
      </c>
      <c r="E82" s="33" t="s">
        <v>277</v>
      </c>
      <c r="F82" s="37" t="s">
        <v>604</v>
      </c>
      <c r="G82" s="38">
        <v>1</v>
      </c>
      <c r="H82" s="37" t="s">
        <v>608</v>
      </c>
      <c r="I82" s="39">
        <v>50</v>
      </c>
      <c r="J82" s="39">
        <v>50</v>
      </c>
      <c r="K82" s="38">
        <v>0</v>
      </c>
      <c r="L82" s="37" t="s">
        <v>606</v>
      </c>
      <c r="M82" s="38">
        <v>1.6141338636844031</v>
      </c>
      <c r="N82" s="38">
        <v>1.1876687372667687</v>
      </c>
      <c r="O82" s="38">
        <v>0.42646512641763451</v>
      </c>
      <c r="P82" s="38">
        <v>1.6141338636844031</v>
      </c>
      <c r="Q82" s="38">
        <v>14.203425894856084</v>
      </c>
      <c r="R82" s="38">
        <v>5.3999063202117288</v>
      </c>
      <c r="S82" s="38">
        <v>19.603332215067812</v>
      </c>
      <c r="T82" s="33" t="s">
        <v>277</v>
      </c>
      <c r="U82" s="38">
        <v>0.90030466311307944</v>
      </c>
      <c r="V82" s="38">
        <v>4.5854096921063084E-2</v>
      </c>
      <c r="W82" s="38">
        <v>0</v>
      </c>
      <c r="X82" s="38">
        <v>0.2415099772326261</v>
      </c>
      <c r="Y82" s="33" t="s">
        <v>277</v>
      </c>
      <c r="Z82" s="38">
        <v>0.90030466311307944</v>
      </c>
      <c r="AA82" s="38">
        <v>4.4497173607297201E-3</v>
      </c>
      <c r="AB82" s="38">
        <v>4.1404379560333361E-2</v>
      </c>
      <c r="AC82" s="33" t="s">
        <v>277</v>
      </c>
      <c r="AD82" s="38">
        <v>0</v>
      </c>
      <c r="AE82" s="38">
        <v>0</v>
      </c>
      <c r="AF82" s="38">
        <v>0</v>
      </c>
      <c r="AG82" s="38">
        <v>0</v>
      </c>
      <c r="AH82" s="38">
        <v>0</v>
      </c>
      <c r="AI82" s="33" t="s">
        <v>277</v>
      </c>
      <c r="AJ82" s="38">
        <v>0</v>
      </c>
      <c r="AK82" s="38">
        <v>4.1530695366810717E-3</v>
      </c>
      <c r="AL82" s="38">
        <v>0.46803236359330952</v>
      </c>
      <c r="AM82" s="38">
        <v>3.2061717406455456E-3</v>
      </c>
      <c r="AN82" s="38">
        <v>-0.23388162763801004</v>
      </c>
      <c r="AO82" s="33" t="s">
        <v>277</v>
      </c>
      <c r="AP82" s="38">
        <v>9.4996063950000007</v>
      </c>
      <c r="AQ82" s="38">
        <v>0.57066422958278995</v>
      </c>
      <c r="AR82" s="38">
        <v>0</v>
      </c>
      <c r="AS82" s="38">
        <v>4.1331552702732921</v>
      </c>
      <c r="AT82" s="33" t="s">
        <v>277</v>
      </c>
      <c r="AU82" s="38">
        <v>9.4996063950000007</v>
      </c>
      <c r="AV82" s="38">
        <v>4.6401500880000002E-2</v>
      </c>
      <c r="AW82" s="38">
        <v>0.52426272870279</v>
      </c>
      <c r="AX82" s="33" t="s">
        <v>277</v>
      </c>
      <c r="AY82" s="38">
        <v>0</v>
      </c>
      <c r="AZ82" s="38">
        <v>0</v>
      </c>
      <c r="BA82" s="38">
        <v>0</v>
      </c>
      <c r="BB82" s="38">
        <v>0</v>
      </c>
      <c r="BC82" s="38">
        <v>0</v>
      </c>
      <c r="BD82" s="33" t="s">
        <v>277</v>
      </c>
      <c r="BE82" s="38">
        <v>0</v>
      </c>
      <c r="BF82" s="38">
        <v>4.3308067488E-2</v>
      </c>
      <c r="BG82" s="38">
        <v>7.8423581418750006</v>
      </c>
      <c r="BH82" s="38">
        <v>4.3750184850000005E-2</v>
      </c>
      <c r="BI82" s="38">
        <v>-3.796261123939709</v>
      </c>
      <c r="BJ82" s="33" t="s">
        <v>277</v>
      </c>
      <c r="BK82" s="37" t="s">
        <v>277</v>
      </c>
      <c r="BL82" s="33" t="s">
        <v>277</v>
      </c>
    </row>
    <row r="83" spans="2:64" ht="19.899999999999999" customHeight="1">
      <c r="B83" s="30" t="s">
        <v>603</v>
      </c>
      <c r="C83" s="30" t="s">
        <v>353</v>
      </c>
      <c r="D83" s="30" t="s">
        <v>463</v>
      </c>
      <c r="E83" s="33" t="s">
        <v>277</v>
      </c>
      <c r="F83" s="30" t="s">
        <v>604</v>
      </c>
      <c r="G83" s="35">
        <v>1</v>
      </c>
      <c r="H83" s="30" t="s">
        <v>118</v>
      </c>
      <c r="I83" s="36">
        <v>25</v>
      </c>
      <c r="J83" s="36">
        <v>25</v>
      </c>
      <c r="K83" s="35">
        <v>1</v>
      </c>
      <c r="L83" s="30" t="s">
        <v>606</v>
      </c>
      <c r="M83" s="35">
        <v>3.1395411433721612</v>
      </c>
      <c r="N83" s="35">
        <v>4.7854988289427727</v>
      </c>
      <c r="O83" s="35">
        <v>1.4935834578015497</v>
      </c>
      <c r="P83" s="35">
        <v>6.2790822867443223</v>
      </c>
      <c r="Q83" s="35">
        <v>46.020515262045841</v>
      </c>
      <c r="R83" s="35">
        <v>14.256469032777648</v>
      </c>
      <c r="S83" s="35">
        <v>60.276984294823485</v>
      </c>
      <c r="T83" s="33" t="s">
        <v>277</v>
      </c>
      <c r="U83" s="35">
        <v>1.6532475728066525</v>
      </c>
      <c r="V83" s="35">
        <v>0.5806992033777173</v>
      </c>
      <c r="W83" s="35">
        <v>2.3927494144713863</v>
      </c>
      <c r="X83" s="35">
        <v>0.15880263828701652</v>
      </c>
      <c r="Y83" s="33" t="s">
        <v>277</v>
      </c>
      <c r="Z83" s="35">
        <v>1.6532475728066525</v>
      </c>
      <c r="AA83" s="35">
        <v>0.43452196175102914</v>
      </c>
      <c r="AB83" s="35">
        <v>0.14617724162668819</v>
      </c>
      <c r="AC83" s="33" t="s">
        <v>277</v>
      </c>
      <c r="AD83" s="35">
        <v>0</v>
      </c>
      <c r="AE83" s="35">
        <v>0</v>
      </c>
      <c r="AF83" s="35">
        <v>0</v>
      </c>
      <c r="AG83" s="35">
        <v>2.3927494144713863</v>
      </c>
      <c r="AH83" s="35">
        <v>0</v>
      </c>
      <c r="AI83" s="33" t="s">
        <v>277</v>
      </c>
      <c r="AJ83" s="35">
        <v>7.8230297889582467E-2</v>
      </c>
      <c r="AK83" s="35">
        <v>0.14628906045617981</v>
      </c>
      <c r="AL83" s="35">
        <v>2.952914249618695E-2</v>
      </c>
      <c r="AM83" s="35">
        <v>1.3103870601437735E-3</v>
      </c>
      <c r="AN83" s="35">
        <v>-9.6556249615076473E-2</v>
      </c>
      <c r="AO83" s="33" t="s">
        <v>277</v>
      </c>
      <c r="AP83" s="35">
        <v>16.820545760000002</v>
      </c>
      <c r="AQ83" s="35">
        <v>4.8472452327182758</v>
      </c>
      <c r="AR83" s="35">
        <v>23.01025763102292</v>
      </c>
      <c r="AS83" s="35">
        <v>1.342466638304644</v>
      </c>
      <c r="AT83" s="33" t="s">
        <v>277</v>
      </c>
      <c r="AU83" s="35">
        <v>16.820545760000002</v>
      </c>
      <c r="AV83" s="35">
        <v>3.6052112861999999</v>
      </c>
      <c r="AW83" s="35">
        <v>1.2420339465182759</v>
      </c>
      <c r="AX83" s="33" t="s">
        <v>277</v>
      </c>
      <c r="AY83" s="35">
        <v>0</v>
      </c>
      <c r="AZ83" s="35">
        <v>0</v>
      </c>
      <c r="BA83" s="35">
        <v>0</v>
      </c>
      <c r="BB83" s="35">
        <v>23.01025763102292</v>
      </c>
      <c r="BC83" s="35">
        <v>0</v>
      </c>
      <c r="BD83" s="33" t="s">
        <v>277</v>
      </c>
      <c r="BE83" s="35">
        <v>0.58399128</v>
      </c>
      <c r="BF83" s="35">
        <v>1.2137544663540001</v>
      </c>
      <c r="BG83" s="35">
        <v>0.28596192427439998</v>
      </c>
      <c r="BH83" s="35">
        <v>9.2821137808000009E-3</v>
      </c>
      <c r="BI83" s="35">
        <v>-0.75052314610455606</v>
      </c>
      <c r="BJ83" s="33" t="s">
        <v>277</v>
      </c>
      <c r="BK83" s="30" t="s">
        <v>277</v>
      </c>
      <c r="BL83" s="33" t="s">
        <v>277</v>
      </c>
    </row>
    <row r="84" spans="2:64" ht="19.899999999999999" customHeight="1">
      <c r="B84" s="37" t="s">
        <v>603</v>
      </c>
      <c r="C84" s="37" t="s">
        <v>216</v>
      </c>
      <c r="D84" s="37" t="s">
        <v>305</v>
      </c>
      <c r="E84" s="33" t="s">
        <v>277</v>
      </c>
      <c r="F84" s="37" t="s">
        <v>604</v>
      </c>
      <c r="G84" s="38">
        <v>1</v>
      </c>
      <c r="H84" s="37" t="s">
        <v>608</v>
      </c>
      <c r="I84" s="39">
        <v>50</v>
      </c>
      <c r="J84" s="39">
        <v>50</v>
      </c>
      <c r="K84" s="38">
        <v>0</v>
      </c>
      <c r="L84" s="37" t="s">
        <v>606</v>
      </c>
      <c r="M84" s="38">
        <v>128.20590201811356</v>
      </c>
      <c r="N84" s="38">
        <v>97.639214501252241</v>
      </c>
      <c r="O84" s="38">
        <v>30.566687516861329</v>
      </c>
      <c r="P84" s="38">
        <v>128.20590201811356</v>
      </c>
      <c r="Q84" s="38">
        <v>226.73157606900884</v>
      </c>
      <c r="R84" s="38">
        <v>82.148308078706705</v>
      </c>
      <c r="S84" s="38">
        <v>308.87988414771559</v>
      </c>
      <c r="T84" s="33" t="s">
        <v>277</v>
      </c>
      <c r="U84" s="38">
        <v>84.869514493484544</v>
      </c>
      <c r="V84" s="38">
        <v>8.1905186485323913</v>
      </c>
      <c r="W84" s="38">
        <v>0</v>
      </c>
      <c r="X84" s="38">
        <v>4.5791813592352995</v>
      </c>
      <c r="Y84" s="33" t="s">
        <v>277</v>
      </c>
      <c r="Z84" s="38">
        <v>84.869514493484544</v>
      </c>
      <c r="AA84" s="38">
        <v>4.1553456644841599E-2</v>
      </c>
      <c r="AB84" s="38">
        <v>8.1489651918875499</v>
      </c>
      <c r="AC84" s="33" t="s">
        <v>277</v>
      </c>
      <c r="AD84" s="38">
        <v>0</v>
      </c>
      <c r="AE84" s="38">
        <v>0</v>
      </c>
      <c r="AF84" s="38">
        <v>0</v>
      </c>
      <c r="AG84" s="38">
        <v>0</v>
      </c>
      <c r="AH84" s="38">
        <v>0</v>
      </c>
      <c r="AI84" s="33" t="s">
        <v>277</v>
      </c>
      <c r="AJ84" s="38">
        <v>5.5018201210506597</v>
      </c>
      <c r="AK84" s="38">
        <v>3.0332941229467579E-2</v>
      </c>
      <c r="AL84" s="38">
        <v>3.2961685683656743</v>
      </c>
      <c r="AM84" s="38">
        <v>5.9956817172729078E-4</v>
      </c>
      <c r="AN84" s="38">
        <v>-4.2497398395822295</v>
      </c>
      <c r="AO84" s="33" t="s">
        <v>277</v>
      </c>
      <c r="AP84" s="38">
        <v>106.53493392999999</v>
      </c>
      <c r="AQ84" s="38">
        <v>57.318414386503534</v>
      </c>
      <c r="AR84" s="38">
        <v>0</v>
      </c>
      <c r="AS84" s="38">
        <v>62.878227752505325</v>
      </c>
      <c r="AT84" s="33" t="s">
        <v>277</v>
      </c>
      <c r="AU84" s="38">
        <v>106.53493392999999</v>
      </c>
      <c r="AV84" s="38">
        <v>0.43305971520000003</v>
      </c>
      <c r="AW84" s="38">
        <v>56.885354671303531</v>
      </c>
      <c r="AX84" s="33" t="s">
        <v>277</v>
      </c>
      <c r="AY84" s="38">
        <v>0</v>
      </c>
      <c r="AZ84" s="38">
        <v>0</v>
      </c>
      <c r="BA84" s="38">
        <v>0</v>
      </c>
      <c r="BB84" s="38">
        <v>0</v>
      </c>
      <c r="BC84" s="38">
        <v>0</v>
      </c>
      <c r="BD84" s="33" t="s">
        <v>277</v>
      </c>
      <c r="BE84" s="38">
        <v>51.935138999999999</v>
      </c>
      <c r="BF84" s="38">
        <v>0.31612231449924999</v>
      </c>
      <c r="BG84" s="38">
        <v>57.717628039849998</v>
      </c>
      <c r="BH84" s="38">
        <v>5.4450439017500012E-3</v>
      </c>
      <c r="BI84" s="38">
        <v>-47.096106645745664</v>
      </c>
      <c r="BJ84" s="33" t="s">
        <v>277</v>
      </c>
      <c r="BK84" s="37" t="s">
        <v>277</v>
      </c>
      <c r="BL84" s="33" t="s">
        <v>277</v>
      </c>
    </row>
    <row r="85" spans="2:64" ht="19.899999999999999" customHeight="1">
      <c r="B85" s="30" t="s">
        <v>603</v>
      </c>
      <c r="C85" s="30" t="s">
        <v>353</v>
      </c>
      <c r="D85" s="30" t="s">
        <v>179</v>
      </c>
      <c r="E85" s="33" t="s">
        <v>277</v>
      </c>
      <c r="F85" s="30" t="s">
        <v>604</v>
      </c>
      <c r="G85" s="35">
        <v>1</v>
      </c>
      <c r="H85" s="30" t="s">
        <v>622</v>
      </c>
      <c r="I85" s="36">
        <v>999</v>
      </c>
      <c r="J85" s="36">
        <v>50</v>
      </c>
      <c r="K85" s="35">
        <v>0</v>
      </c>
      <c r="L85" s="30" t="s">
        <v>606</v>
      </c>
      <c r="M85" s="35">
        <v>1.1254061277843726E-2</v>
      </c>
      <c r="N85" s="35">
        <v>8.656970134342001E-3</v>
      </c>
      <c r="O85" s="35">
        <v>2.5970911435017263E-3</v>
      </c>
      <c r="P85" s="35">
        <v>1.1254061277843726E-2</v>
      </c>
      <c r="Q85" s="35">
        <v>9.0220774000000004E-2</v>
      </c>
      <c r="R85" s="35">
        <v>2.7066233275515442E-2</v>
      </c>
      <c r="S85" s="35">
        <v>0.11728700727551544</v>
      </c>
      <c r="T85" s="33" t="s">
        <v>277</v>
      </c>
      <c r="U85" s="35">
        <v>8.656970134342001E-3</v>
      </c>
      <c r="V85" s="35">
        <v>0</v>
      </c>
      <c r="W85" s="35">
        <v>0</v>
      </c>
      <c r="X85" s="35">
        <v>0</v>
      </c>
      <c r="Y85" s="33" t="s">
        <v>277</v>
      </c>
      <c r="Z85" s="35">
        <v>8.656970134342001E-3</v>
      </c>
      <c r="AA85" s="35">
        <v>0</v>
      </c>
      <c r="AB85" s="35">
        <v>0</v>
      </c>
      <c r="AC85" s="33" t="s">
        <v>277</v>
      </c>
      <c r="AD85" s="35">
        <v>0</v>
      </c>
      <c r="AE85" s="35">
        <v>0</v>
      </c>
      <c r="AF85" s="35">
        <v>0</v>
      </c>
      <c r="AG85" s="35">
        <v>0</v>
      </c>
      <c r="AH85" s="35">
        <v>0</v>
      </c>
      <c r="AI85" s="33" t="s">
        <v>277</v>
      </c>
      <c r="AJ85" s="35">
        <v>0</v>
      </c>
      <c r="AK85" s="35">
        <v>0</v>
      </c>
      <c r="AL85" s="35">
        <v>0</v>
      </c>
      <c r="AM85" s="35">
        <v>0</v>
      </c>
      <c r="AN85" s="35">
        <v>0</v>
      </c>
      <c r="AO85" s="33" t="s">
        <v>277</v>
      </c>
      <c r="AP85" s="35">
        <v>9.0220774000000004E-2</v>
      </c>
      <c r="AQ85" s="35">
        <v>0</v>
      </c>
      <c r="AR85" s="35">
        <v>0</v>
      </c>
      <c r="AS85" s="35">
        <v>0</v>
      </c>
      <c r="AT85" s="33" t="s">
        <v>277</v>
      </c>
      <c r="AU85" s="35">
        <v>9.0220774000000004E-2</v>
      </c>
      <c r="AV85" s="35">
        <v>0</v>
      </c>
      <c r="AW85" s="35">
        <v>0</v>
      </c>
      <c r="AX85" s="33" t="s">
        <v>277</v>
      </c>
      <c r="AY85" s="35">
        <v>0</v>
      </c>
      <c r="AZ85" s="35">
        <v>0</v>
      </c>
      <c r="BA85" s="35">
        <v>0</v>
      </c>
      <c r="BB85" s="35">
        <v>0</v>
      </c>
      <c r="BC85" s="35">
        <v>0</v>
      </c>
      <c r="BD85" s="33" t="s">
        <v>277</v>
      </c>
      <c r="BE85" s="35">
        <v>0</v>
      </c>
      <c r="BF85" s="35">
        <v>0</v>
      </c>
      <c r="BG85" s="35">
        <v>0</v>
      </c>
      <c r="BH85" s="35">
        <v>0</v>
      </c>
      <c r="BI85" s="35">
        <v>0</v>
      </c>
      <c r="BJ85" s="33" t="s">
        <v>277</v>
      </c>
      <c r="BK85" s="30" t="s">
        <v>277</v>
      </c>
      <c r="BL85" s="33" t="s">
        <v>277</v>
      </c>
    </row>
    <row r="86" spans="2:64" ht="19.899999999999999" customHeight="1">
      <c r="B86" s="37" t="s">
        <v>603</v>
      </c>
      <c r="C86" s="37" t="s">
        <v>216</v>
      </c>
      <c r="D86" s="37" t="s">
        <v>313</v>
      </c>
      <c r="E86" s="33" t="s">
        <v>277</v>
      </c>
      <c r="F86" s="37" t="s">
        <v>604</v>
      </c>
      <c r="G86" s="38">
        <v>1</v>
      </c>
      <c r="H86" s="37" t="s">
        <v>605</v>
      </c>
      <c r="I86" s="39">
        <v>75</v>
      </c>
      <c r="J86" s="39">
        <v>50</v>
      </c>
      <c r="K86" s="38">
        <v>0</v>
      </c>
      <c r="L86" s="37" t="s">
        <v>606</v>
      </c>
      <c r="M86" s="38">
        <v>0.13081951358625368</v>
      </c>
      <c r="N86" s="38">
        <v>9.0844610838562712E-2</v>
      </c>
      <c r="O86" s="38">
        <v>3.9974902747690978E-2</v>
      </c>
      <c r="P86" s="38">
        <v>0.13081951358625368</v>
      </c>
      <c r="Q86" s="38">
        <v>0.77354551602482169</v>
      </c>
      <c r="R86" s="38">
        <v>0.35850219484024326</v>
      </c>
      <c r="S86" s="38">
        <v>1.1320477108650648</v>
      </c>
      <c r="T86" s="33" t="s">
        <v>277</v>
      </c>
      <c r="U86" s="38">
        <v>0.12601322071451879</v>
      </c>
      <c r="V86" s="38">
        <v>4.3874911178329026E-3</v>
      </c>
      <c r="W86" s="38">
        <v>0</v>
      </c>
      <c r="X86" s="38">
        <v>-3.9556100993788985E-2</v>
      </c>
      <c r="Y86" s="33" t="s">
        <v>277</v>
      </c>
      <c r="Z86" s="38">
        <v>0.12601322071451879</v>
      </c>
      <c r="AA86" s="38">
        <v>5.0643275285900703E-4</v>
      </c>
      <c r="AB86" s="38">
        <v>3.8810583649738955E-3</v>
      </c>
      <c r="AC86" s="33" t="s">
        <v>277</v>
      </c>
      <c r="AD86" s="38">
        <v>0</v>
      </c>
      <c r="AE86" s="38">
        <v>0</v>
      </c>
      <c r="AF86" s="38">
        <v>0</v>
      </c>
      <c r="AG86" s="38">
        <v>0</v>
      </c>
      <c r="AH86" s="38">
        <v>0</v>
      </c>
      <c r="AI86" s="33" t="s">
        <v>277</v>
      </c>
      <c r="AJ86" s="38">
        <v>0</v>
      </c>
      <c r="AK86" s="38">
        <v>2.8489586984187247E-3</v>
      </c>
      <c r="AL86" s="38">
        <v>0</v>
      </c>
      <c r="AM86" s="38">
        <v>0</v>
      </c>
      <c r="AN86" s="38">
        <v>-4.240505969220771E-2</v>
      </c>
      <c r="AO86" s="33" t="s">
        <v>277</v>
      </c>
      <c r="AP86" s="38">
        <v>1.1225151600000001</v>
      </c>
      <c r="AQ86" s="38">
        <v>4.0083952229936541E-2</v>
      </c>
      <c r="AR86" s="38">
        <v>0</v>
      </c>
      <c r="AS86" s="38">
        <v>-0.38905359620511493</v>
      </c>
      <c r="AT86" s="33" t="s">
        <v>277</v>
      </c>
      <c r="AU86" s="38">
        <v>1.1225151600000001</v>
      </c>
      <c r="AV86" s="38">
        <v>5.2779152789999995E-3</v>
      </c>
      <c r="AW86" s="38">
        <v>3.4806036950936543E-2</v>
      </c>
      <c r="AX86" s="33" t="s">
        <v>277</v>
      </c>
      <c r="AY86" s="38">
        <v>0</v>
      </c>
      <c r="AZ86" s="38">
        <v>0</v>
      </c>
      <c r="BA86" s="38">
        <v>0</v>
      </c>
      <c r="BB86" s="38">
        <v>0</v>
      </c>
      <c r="BC86" s="38">
        <v>0</v>
      </c>
      <c r="BD86" s="33" t="s">
        <v>277</v>
      </c>
      <c r="BE86" s="38">
        <v>0</v>
      </c>
      <c r="BF86" s="38">
        <v>3.2408156418885004E-2</v>
      </c>
      <c r="BG86" s="38">
        <v>0</v>
      </c>
      <c r="BH86" s="38">
        <v>0</v>
      </c>
      <c r="BI86" s="38">
        <v>-0.42146175262399993</v>
      </c>
      <c r="BJ86" s="33" t="s">
        <v>277</v>
      </c>
      <c r="BK86" s="37" t="s">
        <v>277</v>
      </c>
      <c r="BL86" s="33" t="s">
        <v>277</v>
      </c>
    </row>
    <row r="87" spans="2:64" ht="19.899999999999999" customHeight="1">
      <c r="B87" s="30" t="s">
        <v>603</v>
      </c>
      <c r="C87" s="30" t="s">
        <v>353</v>
      </c>
      <c r="D87" s="30" t="s">
        <v>643</v>
      </c>
      <c r="E87" s="33" t="s">
        <v>277</v>
      </c>
      <c r="F87" s="30" t="s">
        <v>604</v>
      </c>
      <c r="G87" s="35">
        <v>1</v>
      </c>
      <c r="H87" s="30" t="s">
        <v>613</v>
      </c>
      <c r="I87" s="36">
        <v>999</v>
      </c>
      <c r="J87" s="36">
        <v>50</v>
      </c>
      <c r="K87" s="35">
        <v>0</v>
      </c>
      <c r="L87" s="30" t="s">
        <v>606</v>
      </c>
      <c r="M87" s="35">
        <v>10.080068130214622</v>
      </c>
      <c r="N87" s="35">
        <v>7.7538984906007302</v>
      </c>
      <c r="O87" s="35">
        <v>2.3261696396138922</v>
      </c>
      <c r="P87" s="35">
        <v>10.080068130214622</v>
      </c>
      <c r="Q87" s="35">
        <v>73.193922564000005</v>
      </c>
      <c r="R87" s="35">
        <v>21.958177641739557</v>
      </c>
      <c r="S87" s="35">
        <v>95.152100205739558</v>
      </c>
      <c r="T87" s="33" t="s">
        <v>277</v>
      </c>
      <c r="U87" s="35">
        <v>0</v>
      </c>
      <c r="V87" s="35">
        <v>7.7538984906007302</v>
      </c>
      <c r="W87" s="35">
        <v>0</v>
      </c>
      <c r="X87" s="35">
        <v>0</v>
      </c>
      <c r="Y87" s="33" t="s">
        <v>277</v>
      </c>
      <c r="Z87" s="35">
        <v>0</v>
      </c>
      <c r="AA87" s="35">
        <v>0</v>
      </c>
      <c r="AB87" s="35">
        <v>7.7538984906007302</v>
      </c>
      <c r="AC87" s="33" t="s">
        <v>277</v>
      </c>
      <c r="AD87" s="35">
        <v>0</v>
      </c>
      <c r="AE87" s="35">
        <v>0</v>
      </c>
      <c r="AF87" s="35">
        <v>0</v>
      </c>
      <c r="AG87" s="35">
        <v>0</v>
      </c>
      <c r="AH87" s="35">
        <v>0</v>
      </c>
      <c r="AI87" s="33" t="s">
        <v>277</v>
      </c>
      <c r="AJ87" s="35">
        <v>0</v>
      </c>
      <c r="AK87" s="35">
        <v>0</v>
      </c>
      <c r="AL87" s="35">
        <v>0</v>
      </c>
      <c r="AM87" s="35">
        <v>0</v>
      </c>
      <c r="AN87" s="35">
        <v>0</v>
      </c>
      <c r="AO87" s="33" t="s">
        <v>277</v>
      </c>
      <c r="AP87" s="35">
        <v>0</v>
      </c>
      <c r="AQ87" s="35">
        <v>73.193922564000005</v>
      </c>
      <c r="AR87" s="35">
        <v>0</v>
      </c>
      <c r="AS87" s="35">
        <v>0</v>
      </c>
      <c r="AT87" s="33" t="s">
        <v>277</v>
      </c>
      <c r="AU87" s="35">
        <v>0</v>
      </c>
      <c r="AV87" s="35">
        <v>0</v>
      </c>
      <c r="AW87" s="35">
        <v>73.193922564000005</v>
      </c>
      <c r="AX87" s="33" t="s">
        <v>277</v>
      </c>
      <c r="AY87" s="35">
        <v>0</v>
      </c>
      <c r="AZ87" s="35">
        <v>0</v>
      </c>
      <c r="BA87" s="35">
        <v>0</v>
      </c>
      <c r="BB87" s="35">
        <v>0</v>
      </c>
      <c r="BC87" s="35">
        <v>0</v>
      </c>
      <c r="BD87" s="33" t="s">
        <v>277</v>
      </c>
      <c r="BE87" s="35">
        <v>0</v>
      </c>
      <c r="BF87" s="35">
        <v>0</v>
      </c>
      <c r="BG87" s="35">
        <v>0</v>
      </c>
      <c r="BH87" s="35">
        <v>0</v>
      </c>
      <c r="BI87" s="35">
        <v>0</v>
      </c>
      <c r="BJ87" s="33" t="s">
        <v>277</v>
      </c>
      <c r="BK87" s="30" t="s">
        <v>277</v>
      </c>
      <c r="BL87" s="33" t="s">
        <v>277</v>
      </c>
    </row>
    <row r="88" spans="2:64" ht="19.899999999999999" customHeight="1">
      <c r="B88" s="37" t="s">
        <v>603</v>
      </c>
      <c r="C88" s="37" t="s">
        <v>216</v>
      </c>
      <c r="D88" s="37" t="s">
        <v>318</v>
      </c>
      <c r="E88" s="33" t="s">
        <v>277</v>
      </c>
      <c r="F88" s="37" t="s">
        <v>604</v>
      </c>
      <c r="G88" s="38">
        <v>1</v>
      </c>
      <c r="H88" s="37" t="s">
        <v>605</v>
      </c>
      <c r="I88" s="39">
        <v>75</v>
      </c>
      <c r="J88" s="39">
        <v>50</v>
      </c>
      <c r="K88" s="38">
        <v>0</v>
      </c>
      <c r="L88" s="37" t="s">
        <v>606</v>
      </c>
      <c r="M88" s="38">
        <v>0.23672089966237797</v>
      </c>
      <c r="N88" s="38">
        <v>0.16328081479353151</v>
      </c>
      <c r="O88" s="38">
        <v>7.344008486884647E-2</v>
      </c>
      <c r="P88" s="38">
        <v>0.23672089966237797</v>
      </c>
      <c r="Q88" s="38">
        <v>1.3762640381424895</v>
      </c>
      <c r="R88" s="38">
        <v>0.655471041407925</v>
      </c>
      <c r="S88" s="38">
        <v>2.031735079550415</v>
      </c>
      <c r="T88" s="33" t="s">
        <v>277</v>
      </c>
      <c r="U88" s="38">
        <v>0.23587090031179156</v>
      </c>
      <c r="V88" s="38">
        <v>8.0780432734580028E-3</v>
      </c>
      <c r="W88" s="38">
        <v>0</v>
      </c>
      <c r="X88" s="38">
        <v>-8.0668128791718072E-2</v>
      </c>
      <c r="Y88" s="33" t="s">
        <v>277</v>
      </c>
      <c r="Z88" s="38">
        <v>0.23587090031179156</v>
      </c>
      <c r="AA88" s="38">
        <v>9.4793822971044907E-4</v>
      </c>
      <c r="AB88" s="38">
        <v>7.1301050437475545E-3</v>
      </c>
      <c r="AC88" s="33" t="s">
        <v>277</v>
      </c>
      <c r="AD88" s="38">
        <v>0</v>
      </c>
      <c r="AE88" s="38">
        <v>0</v>
      </c>
      <c r="AF88" s="38">
        <v>0</v>
      </c>
      <c r="AG88" s="38">
        <v>0</v>
      </c>
      <c r="AH88" s="38">
        <v>0</v>
      </c>
      <c r="AI88" s="33" t="s">
        <v>277</v>
      </c>
      <c r="AJ88" s="38">
        <v>0</v>
      </c>
      <c r="AK88" s="38">
        <v>4.7613335738881006E-4</v>
      </c>
      <c r="AL88" s="38">
        <v>0</v>
      </c>
      <c r="AM88" s="38">
        <v>3.7519622602764338E-4</v>
      </c>
      <c r="AN88" s="38">
        <v>-8.1519458375134524E-2</v>
      </c>
      <c r="AO88" s="33" t="s">
        <v>277</v>
      </c>
      <c r="AP88" s="38">
        <v>2.1011181199999998</v>
      </c>
      <c r="AQ88" s="38">
        <v>7.3517137409489994E-2</v>
      </c>
      <c r="AR88" s="38">
        <v>0</v>
      </c>
      <c r="AS88" s="38">
        <v>-0.79837121926699994</v>
      </c>
      <c r="AT88" s="33" t="s">
        <v>277</v>
      </c>
      <c r="AU88" s="38">
        <v>2.1011181199999998</v>
      </c>
      <c r="AV88" s="38">
        <v>9.8791747530000001E-3</v>
      </c>
      <c r="AW88" s="38">
        <v>6.3637962656489994E-2</v>
      </c>
      <c r="AX88" s="33" t="s">
        <v>277</v>
      </c>
      <c r="AY88" s="38">
        <v>0</v>
      </c>
      <c r="AZ88" s="38">
        <v>0</v>
      </c>
      <c r="BA88" s="38">
        <v>0</v>
      </c>
      <c r="BB88" s="38">
        <v>0</v>
      </c>
      <c r="BC88" s="38">
        <v>0</v>
      </c>
      <c r="BD88" s="33" t="s">
        <v>277</v>
      </c>
      <c r="BE88" s="38">
        <v>0</v>
      </c>
      <c r="BF88" s="38">
        <v>4.9621425700000004E-3</v>
      </c>
      <c r="BG88" s="38">
        <v>0</v>
      </c>
      <c r="BH88" s="38">
        <v>5.3059845599999992E-3</v>
      </c>
      <c r="BI88" s="38">
        <v>-0.80863934639699997</v>
      </c>
      <c r="BJ88" s="33" t="s">
        <v>277</v>
      </c>
      <c r="BK88" s="37" t="s">
        <v>277</v>
      </c>
      <c r="BL88" s="33" t="s">
        <v>277</v>
      </c>
    </row>
    <row r="89" spans="2:64" ht="19.899999999999999" customHeight="1">
      <c r="B89" s="30" t="s">
        <v>603</v>
      </c>
      <c r="C89" s="30" t="s">
        <v>353</v>
      </c>
      <c r="D89" s="30" t="s">
        <v>369</v>
      </c>
      <c r="E89" s="33" t="s">
        <v>277</v>
      </c>
      <c r="F89" s="30" t="s">
        <v>604</v>
      </c>
      <c r="G89" s="35">
        <v>1</v>
      </c>
      <c r="H89" s="30" t="s">
        <v>118</v>
      </c>
      <c r="I89" s="36">
        <v>100</v>
      </c>
      <c r="J89" s="36">
        <v>50</v>
      </c>
      <c r="K89" s="35">
        <v>0</v>
      </c>
      <c r="L89" s="30" t="s">
        <v>606</v>
      </c>
      <c r="M89" s="35">
        <v>0.97022079110432302</v>
      </c>
      <c r="N89" s="35">
        <v>0.74632367862111648</v>
      </c>
      <c r="O89" s="35">
        <v>0.22389711248320648</v>
      </c>
      <c r="P89" s="35">
        <v>0.97022079110432302</v>
      </c>
      <c r="Q89" s="35">
        <v>7.1287646083125011</v>
      </c>
      <c r="R89" s="35">
        <v>2.1386294674752473</v>
      </c>
      <c r="S89" s="35">
        <v>9.2673940757877489</v>
      </c>
      <c r="T89" s="33" t="s">
        <v>277</v>
      </c>
      <c r="U89" s="35">
        <v>0</v>
      </c>
      <c r="V89" s="35">
        <v>0.42375069170521174</v>
      </c>
      <c r="W89" s="35">
        <v>3.4368672737500001E-2</v>
      </c>
      <c r="X89" s="35">
        <v>0.2882043141784047</v>
      </c>
      <c r="Y89" s="33" t="s">
        <v>277</v>
      </c>
      <c r="Z89" s="35">
        <v>0</v>
      </c>
      <c r="AA89" s="35">
        <v>0.21101364702458622</v>
      </c>
      <c r="AB89" s="35">
        <v>0.21273704468062554</v>
      </c>
      <c r="AC89" s="33" t="s">
        <v>277</v>
      </c>
      <c r="AD89" s="35">
        <v>3.4368672737500001E-2</v>
      </c>
      <c r="AE89" s="35">
        <v>0</v>
      </c>
      <c r="AF89" s="35">
        <v>0</v>
      </c>
      <c r="AG89" s="35">
        <v>0</v>
      </c>
      <c r="AH89" s="35">
        <v>0</v>
      </c>
      <c r="AI89" s="33" t="s">
        <v>277</v>
      </c>
      <c r="AJ89" s="35">
        <v>7.1523661573658595E-2</v>
      </c>
      <c r="AK89" s="35">
        <v>0.21312378349483216</v>
      </c>
      <c r="AL89" s="35">
        <v>0</v>
      </c>
      <c r="AM89" s="35">
        <v>3.556869109913925E-3</v>
      </c>
      <c r="AN89" s="35">
        <v>0</v>
      </c>
      <c r="AO89" s="33" t="s">
        <v>277</v>
      </c>
      <c r="AP89" s="35">
        <v>0</v>
      </c>
      <c r="AQ89" s="35">
        <v>4.2072900742500003</v>
      </c>
      <c r="AR89" s="35">
        <v>0</v>
      </c>
      <c r="AS89" s="35">
        <v>2.9214745340625004</v>
      </c>
      <c r="AT89" s="33" t="s">
        <v>277</v>
      </c>
      <c r="AU89" s="35">
        <v>0</v>
      </c>
      <c r="AV89" s="35">
        <v>2.1991313662500001</v>
      </c>
      <c r="AW89" s="35">
        <v>2.0081587079999998</v>
      </c>
      <c r="AX89" s="33" t="s">
        <v>277</v>
      </c>
      <c r="AY89" s="35">
        <v>0</v>
      </c>
      <c r="AZ89" s="35">
        <v>0</v>
      </c>
      <c r="BA89" s="35">
        <v>0</v>
      </c>
      <c r="BB89" s="35">
        <v>0</v>
      </c>
      <c r="BC89" s="35">
        <v>0</v>
      </c>
      <c r="BD89" s="33" t="s">
        <v>277</v>
      </c>
      <c r="BE89" s="35">
        <v>0.67515680700000003</v>
      </c>
      <c r="BF89" s="35">
        <v>2.2211226799125003</v>
      </c>
      <c r="BG89" s="35">
        <v>0</v>
      </c>
      <c r="BH89" s="35">
        <v>2.519504715E-2</v>
      </c>
      <c r="BI89" s="35">
        <v>0</v>
      </c>
      <c r="BJ89" s="33" t="s">
        <v>277</v>
      </c>
      <c r="BK89" s="30" t="s">
        <v>277</v>
      </c>
      <c r="BL89" s="33" t="s">
        <v>277</v>
      </c>
    </row>
    <row r="90" spans="2:64" ht="19.899999999999999" customHeight="1">
      <c r="B90" s="37" t="s">
        <v>603</v>
      </c>
      <c r="C90" s="37" t="s">
        <v>216</v>
      </c>
      <c r="D90" s="37" t="s">
        <v>342</v>
      </c>
      <c r="E90" s="33" t="s">
        <v>277</v>
      </c>
      <c r="F90" s="37" t="s">
        <v>604</v>
      </c>
      <c r="G90" s="38">
        <v>1</v>
      </c>
      <c r="H90" s="37" t="s">
        <v>118</v>
      </c>
      <c r="I90" s="39">
        <v>10</v>
      </c>
      <c r="J90" s="39">
        <v>10</v>
      </c>
      <c r="K90" s="38">
        <v>4.0000000000000009</v>
      </c>
      <c r="L90" s="37" t="s">
        <v>606</v>
      </c>
      <c r="M90" s="38">
        <v>0.35795728058302401</v>
      </c>
      <c r="N90" s="38">
        <v>1.3664970540009398</v>
      </c>
      <c r="O90" s="38">
        <v>0.42328934891418041</v>
      </c>
      <c r="P90" s="38">
        <v>1.7897864029151203</v>
      </c>
      <c r="Q90" s="38">
        <v>12.37471521557644</v>
      </c>
      <c r="R90" s="38">
        <v>3.7479508701752819</v>
      </c>
      <c r="S90" s="38">
        <v>16.122666085751721</v>
      </c>
      <c r="T90" s="33" t="s">
        <v>277</v>
      </c>
      <c r="U90" s="38">
        <v>8.6296373596007989E-2</v>
      </c>
      <c r="V90" s="38">
        <v>0.12789502440806166</v>
      </c>
      <c r="W90" s="38">
        <v>1.0931976432007517</v>
      </c>
      <c r="X90" s="38">
        <v>5.9108012796118242E-2</v>
      </c>
      <c r="Y90" s="33" t="s">
        <v>277</v>
      </c>
      <c r="Z90" s="38">
        <v>8.6296373596007989E-2</v>
      </c>
      <c r="AA90" s="38">
        <v>1.2985455201513E-3</v>
      </c>
      <c r="AB90" s="38">
        <v>0.12659647888791037</v>
      </c>
      <c r="AC90" s="33" t="s">
        <v>277</v>
      </c>
      <c r="AD90" s="38">
        <v>0</v>
      </c>
      <c r="AE90" s="38">
        <v>0</v>
      </c>
      <c r="AF90" s="38">
        <v>0</v>
      </c>
      <c r="AG90" s="38">
        <v>1.0931976432007517</v>
      </c>
      <c r="AH90" s="38">
        <v>0</v>
      </c>
      <c r="AI90" s="33" t="s">
        <v>277</v>
      </c>
      <c r="AJ90" s="38">
        <v>6.2078870365854945E-2</v>
      </c>
      <c r="AK90" s="38">
        <v>8.6569701343420006E-4</v>
      </c>
      <c r="AL90" s="38">
        <v>1.67764643721848E-3</v>
      </c>
      <c r="AM90" s="38">
        <v>3.3792762422050365E-3</v>
      </c>
      <c r="AN90" s="38">
        <v>-8.8934772625944118E-3</v>
      </c>
      <c r="AO90" s="33" t="s">
        <v>277</v>
      </c>
      <c r="AP90" s="38">
        <v>0.64097974999999996</v>
      </c>
      <c r="AQ90" s="38">
        <v>1.2037463174334002</v>
      </c>
      <c r="AR90" s="38">
        <v>9.8997721724611516</v>
      </c>
      <c r="AS90" s="38">
        <v>0.63021697568188806</v>
      </c>
      <c r="AT90" s="33" t="s">
        <v>277</v>
      </c>
      <c r="AU90" s="38">
        <v>0.64097974999999996</v>
      </c>
      <c r="AV90" s="38">
        <v>1.3533116100000001E-2</v>
      </c>
      <c r="AW90" s="38">
        <v>1.1902132013334001</v>
      </c>
      <c r="AX90" s="33" t="s">
        <v>277</v>
      </c>
      <c r="AY90" s="38">
        <v>0</v>
      </c>
      <c r="AZ90" s="38">
        <v>0</v>
      </c>
      <c r="BA90" s="38">
        <v>0</v>
      </c>
      <c r="BB90" s="38">
        <v>9.8997721724611516</v>
      </c>
      <c r="BC90" s="38">
        <v>0</v>
      </c>
      <c r="BD90" s="33" t="s">
        <v>277</v>
      </c>
      <c r="BE90" s="38">
        <v>0.58600148505000005</v>
      </c>
      <c r="BF90" s="38">
        <v>9.0220774000000017E-3</v>
      </c>
      <c r="BG90" s="38">
        <v>3.4598086799999999E-3</v>
      </c>
      <c r="BH90" s="38">
        <v>5.5424375599999999E-2</v>
      </c>
      <c r="BI90" s="38">
        <v>-2.3690771048112003E-2</v>
      </c>
      <c r="BJ90" s="33" t="s">
        <v>277</v>
      </c>
      <c r="BK90" s="37" t="s">
        <v>277</v>
      </c>
      <c r="BL90" s="33" t="s">
        <v>277</v>
      </c>
    </row>
    <row r="91" spans="2:64" ht="19.899999999999999" customHeight="1">
      <c r="B91" s="30" t="s">
        <v>603</v>
      </c>
      <c r="C91" s="30" t="s">
        <v>353</v>
      </c>
      <c r="D91" s="30" t="s">
        <v>439</v>
      </c>
      <c r="E91" s="33" t="s">
        <v>277</v>
      </c>
      <c r="F91" s="30" t="s">
        <v>604</v>
      </c>
      <c r="G91" s="35">
        <v>1</v>
      </c>
      <c r="H91" s="30" t="s">
        <v>118</v>
      </c>
      <c r="I91" s="36">
        <v>45</v>
      </c>
      <c r="J91" s="36">
        <v>45</v>
      </c>
      <c r="K91" s="35">
        <v>0.11111111111111116</v>
      </c>
      <c r="L91" s="30" t="s">
        <v>606</v>
      </c>
      <c r="M91" s="35">
        <v>0.11479037567170716</v>
      </c>
      <c r="N91" s="35">
        <v>9.8054652482129384E-2</v>
      </c>
      <c r="O91" s="35">
        <v>2.9490209375323012E-2</v>
      </c>
      <c r="P91" s="35">
        <v>0.1275448618574524</v>
      </c>
      <c r="Q91" s="35">
        <v>0.65855726569555573</v>
      </c>
      <c r="R91" s="35">
        <v>0.19814092526407942</v>
      </c>
      <c r="S91" s="35">
        <v>0.85669819095963495</v>
      </c>
      <c r="T91" s="33" t="s">
        <v>277</v>
      </c>
      <c r="U91" s="35">
        <v>5.7831353764160008E-2</v>
      </c>
      <c r="V91" s="35">
        <v>3.0076766929412777E-2</v>
      </c>
      <c r="W91" s="35">
        <v>9.8054652482129426E-3</v>
      </c>
      <c r="X91" s="35">
        <v>3.4106654034365524E-4</v>
      </c>
      <c r="Y91" s="33" t="s">
        <v>277</v>
      </c>
      <c r="Z91" s="35">
        <v>5.7831353764160008E-2</v>
      </c>
      <c r="AA91" s="35">
        <v>9.677549259488401E-4</v>
      </c>
      <c r="AB91" s="35">
        <v>2.9109012003463938E-2</v>
      </c>
      <c r="AC91" s="33" t="s">
        <v>277</v>
      </c>
      <c r="AD91" s="35">
        <v>0</v>
      </c>
      <c r="AE91" s="35">
        <v>0</v>
      </c>
      <c r="AF91" s="35">
        <v>0</v>
      </c>
      <c r="AG91" s="35">
        <v>9.8054652482129426E-3</v>
      </c>
      <c r="AH91" s="35">
        <v>0</v>
      </c>
      <c r="AI91" s="33" t="s">
        <v>277</v>
      </c>
      <c r="AJ91" s="35">
        <v>1.73488169495648E-4</v>
      </c>
      <c r="AK91" s="35">
        <v>3.2258497531628005E-4</v>
      </c>
      <c r="AL91" s="35">
        <v>6.6430772077539189E-5</v>
      </c>
      <c r="AM91" s="35">
        <v>0</v>
      </c>
      <c r="AN91" s="35">
        <v>-2.2143737654581197E-4</v>
      </c>
      <c r="AO91" s="33" t="s">
        <v>277</v>
      </c>
      <c r="AP91" s="35">
        <v>0.36762235200000004</v>
      </c>
      <c r="AQ91" s="35">
        <v>0.22218551229200001</v>
      </c>
      <c r="AR91" s="35">
        <v>6.58557265695556E-2</v>
      </c>
      <c r="AS91" s="35">
        <v>2.8936748339999994E-3</v>
      </c>
      <c r="AT91" s="33" t="s">
        <v>277</v>
      </c>
      <c r="AU91" s="35">
        <v>0.36762235200000004</v>
      </c>
      <c r="AV91" s="35">
        <v>8.0294238000000011E-3</v>
      </c>
      <c r="AW91" s="35">
        <v>0.21415608849200002</v>
      </c>
      <c r="AX91" s="33" t="s">
        <v>277</v>
      </c>
      <c r="AY91" s="35">
        <v>0</v>
      </c>
      <c r="AZ91" s="35">
        <v>0</v>
      </c>
      <c r="BA91" s="35">
        <v>0</v>
      </c>
      <c r="BB91" s="35">
        <v>6.58557265695556E-2</v>
      </c>
      <c r="BC91" s="35">
        <v>0</v>
      </c>
      <c r="BD91" s="33" t="s">
        <v>277</v>
      </c>
      <c r="BE91" s="35">
        <v>1.2950938400000001E-3</v>
      </c>
      <c r="BF91" s="35">
        <v>2.6764746000000001E-3</v>
      </c>
      <c r="BG91" s="35">
        <v>6.4331944000000003E-4</v>
      </c>
      <c r="BH91" s="35">
        <v>0</v>
      </c>
      <c r="BI91" s="35">
        <v>-1.7212130460000003E-3</v>
      </c>
      <c r="BJ91" s="33" t="s">
        <v>277</v>
      </c>
      <c r="BK91" s="30" t="s">
        <v>277</v>
      </c>
      <c r="BL91" s="33" t="s">
        <v>277</v>
      </c>
    </row>
    <row r="92" spans="2:64" ht="19.899999999999999" customHeight="1">
      <c r="B92" s="37" t="s">
        <v>603</v>
      </c>
      <c r="C92" s="37" t="s">
        <v>353</v>
      </c>
      <c r="D92" s="37" t="s">
        <v>446</v>
      </c>
      <c r="E92" s="33" t="s">
        <v>277</v>
      </c>
      <c r="F92" s="37" t="s">
        <v>604</v>
      </c>
      <c r="G92" s="38">
        <v>1</v>
      </c>
      <c r="H92" s="37" t="s">
        <v>118</v>
      </c>
      <c r="I92" s="39">
        <v>999</v>
      </c>
      <c r="J92" s="39">
        <v>50</v>
      </c>
      <c r="K92" s="38">
        <v>0</v>
      </c>
      <c r="L92" s="37" t="s">
        <v>606</v>
      </c>
      <c r="M92" s="38">
        <v>0.52205408552811428</v>
      </c>
      <c r="N92" s="38">
        <v>0.39825247081581777</v>
      </c>
      <c r="O92" s="38">
        <v>0.12380161471229652</v>
      </c>
      <c r="P92" s="38">
        <v>0.52205408552811428</v>
      </c>
      <c r="Q92" s="38">
        <v>4.0058197033898129</v>
      </c>
      <c r="R92" s="38">
        <v>1.2787789009557538</v>
      </c>
      <c r="S92" s="38">
        <v>5.2845986043455664</v>
      </c>
      <c r="T92" s="33" t="s">
        <v>277</v>
      </c>
      <c r="U92" s="38">
        <v>7.5703563400008014E-2</v>
      </c>
      <c r="V92" s="38">
        <v>0.12774259966863932</v>
      </c>
      <c r="W92" s="38">
        <v>0</v>
      </c>
      <c r="X92" s="38">
        <v>0.19480630774717045</v>
      </c>
      <c r="Y92" s="33" t="s">
        <v>277</v>
      </c>
      <c r="Z92" s="38">
        <v>7.5703563400008014E-2</v>
      </c>
      <c r="AA92" s="38">
        <v>3.8956365604539005E-4</v>
      </c>
      <c r="AB92" s="38">
        <v>0.12735303601259393</v>
      </c>
      <c r="AC92" s="33" t="s">
        <v>277</v>
      </c>
      <c r="AD92" s="38">
        <v>0</v>
      </c>
      <c r="AE92" s="38">
        <v>0</v>
      </c>
      <c r="AF92" s="38">
        <v>0</v>
      </c>
      <c r="AG92" s="38">
        <v>0</v>
      </c>
      <c r="AH92" s="38">
        <v>0</v>
      </c>
      <c r="AI92" s="33" t="s">
        <v>277</v>
      </c>
      <c r="AJ92" s="38">
        <v>0.17880915393414648</v>
      </c>
      <c r="AK92" s="38">
        <v>1.2096936574360502E-5</v>
      </c>
      <c r="AL92" s="38">
        <v>3.0404618703506955E-2</v>
      </c>
      <c r="AM92" s="38">
        <v>0</v>
      </c>
      <c r="AN92" s="38">
        <v>-1.4419561827057351E-2</v>
      </c>
      <c r="AO92" s="33" t="s">
        <v>277</v>
      </c>
      <c r="AP92" s="38">
        <v>0.81616110000000008</v>
      </c>
      <c r="AQ92" s="38">
        <v>1.2169182790913249</v>
      </c>
      <c r="AR92" s="38">
        <v>0</v>
      </c>
      <c r="AS92" s="38">
        <v>1.972740324298488</v>
      </c>
      <c r="AT92" s="33" t="s">
        <v>277</v>
      </c>
      <c r="AU92" s="38">
        <v>0.81616110000000008</v>
      </c>
      <c r="AV92" s="38">
        <v>4.0599348300000004E-3</v>
      </c>
      <c r="AW92" s="38">
        <v>1.212858344261325</v>
      </c>
      <c r="AX92" s="33" t="s">
        <v>277</v>
      </c>
      <c r="AY92" s="38">
        <v>0</v>
      </c>
      <c r="AZ92" s="38">
        <v>0</v>
      </c>
      <c r="BA92" s="38">
        <v>0</v>
      </c>
      <c r="BB92" s="38">
        <v>0</v>
      </c>
      <c r="BC92" s="38">
        <v>0</v>
      </c>
      <c r="BD92" s="33" t="s">
        <v>277</v>
      </c>
      <c r="BE92" s="38">
        <v>1.6878920174999998</v>
      </c>
      <c r="BF92" s="38">
        <v>1.0036779749999999E-4</v>
      </c>
      <c r="BG92" s="38">
        <v>0.54152440275000002</v>
      </c>
      <c r="BH92" s="38">
        <v>0</v>
      </c>
      <c r="BI92" s="38">
        <v>-0.25677646374901197</v>
      </c>
      <c r="BJ92" s="33" t="s">
        <v>277</v>
      </c>
      <c r="BK92" s="37" t="s">
        <v>277</v>
      </c>
      <c r="BL92" s="33" t="s">
        <v>277</v>
      </c>
    </row>
    <row r="93" spans="2:64" ht="19.899999999999999" customHeight="1">
      <c r="B93" s="30" t="s">
        <v>603</v>
      </c>
      <c r="C93" s="30" t="s">
        <v>216</v>
      </c>
      <c r="D93" s="30" t="s">
        <v>347</v>
      </c>
      <c r="E93" s="33" t="s">
        <v>277</v>
      </c>
      <c r="F93" s="30" t="s">
        <v>604</v>
      </c>
      <c r="G93" s="35">
        <v>1</v>
      </c>
      <c r="H93" s="30" t="s">
        <v>608</v>
      </c>
      <c r="I93" s="36">
        <v>100</v>
      </c>
      <c r="J93" s="36">
        <v>50</v>
      </c>
      <c r="K93" s="35">
        <v>0</v>
      </c>
      <c r="L93" s="30" t="s">
        <v>606</v>
      </c>
      <c r="M93" s="35">
        <v>105.33891889454681</v>
      </c>
      <c r="N93" s="35">
        <v>79.303226603132984</v>
      </c>
      <c r="O93" s="35">
        <v>26.035692291413827</v>
      </c>
      <c r="P93" s="35">
        <v>105.33891889454681</v>
      </c>
      <c r="Q93" s="35">
        <v>750.57456368718545</v>
      </c>
      <c r="R93" s="35">
        <v>242.76663959299896</v>
      </c>
      <c r="S93" s="35">
        <v>993.34120328018457</v>
      </c>
      <c r="T93" s="33" t="s">
        <v>277</v>
      </c>
      <c r="U93" s="35">
        <v>39.169755900222903</v>
      </c>
      <c r="V93" s="35">
        <v>32.046519454707521</v>
      </c>
      <c r="W93" s="35">
        <v>0</v>
      </c>
      <c r="X93" s="35">
        <v>8.0869512482025705</v>
      </c>
      <c r="Y93" s="33" t="s">
        <v>277</v>
      </c>
      <c r="Z93" s="35">
        <v>39.169755900222903</v>
      </c>
      <c r="AA93" s="35">
        <v>2.2694247207177551</v>
      </c>
      <c r="AB93" s="35">
        <v>29.777094733989767</v>
      </c>
      <c r="AC93" s="33" t="s">
        <v>277</v>
      </c>
      <c r="AD93" s="35">
        <v>0</v>
      </c>
      <c r="AE93" s="35">
        <v>0</v>
      </c>
      <c r="AF93" s="35">
        <v>0</v>
      </c>
      <c r="AG93" s="35">
        <v>0</v>
      </c>
      <c r="AH93" s="35">
        <v>0</v>
      </c>
      <c r="AI93" s="33" t="s">
        <v>277</v>
      </c>
      <c r="AJ93" s="35">
        <v>11.363092490009961</v>
      </c>
      <c r="AK93" s="35">
        <v>2.2927249558343368</v>
      </c>
      <c r="AL93" s="35">
        <v>1.8742469097066445</v>
      </c>
      <c r="AM93" s="35">
        <v>3.9297812346666065E-2</v>
      </c>
      <c r="AN93" s="35">
        <v>-7.4824109196950399</v>
      </c>
      <c r="AO93" s="33" t="s">
        <v>277</v>
      </c>
      <c r="AP93" s="35">
        <v>358.95209539199993</v>
      </c>
      <c r="AQ93" s="35">
        <v>304.44477022661653</v>
      </c>
      <c r="AR93" s="35">
        <v>0</v>
      </c>
      <c r="AS93" s="35">
        <v>87.177698068569072</v>
      </c>
      <c r="AT93" s="33" t="s">
        <v>277</v>
      </c>
      <c r="AU93" s="35">
        <v>358.95209539199993</v>
      </c>
      <c r="AV93" s="35">
        <v>23.651375904100004</v>
      </c>
      <c r="AW93" s="35">
        <v>280.79339432251652</v>
      </c>
      <c r="AX93" s="33" t="s">
        <v>277</v>
      </c>
      <c r="AY93" s="35">
        <v>0</v>
      </c>
      <c r="AZ93" s="35">
        <v>0</v>
      </c>
      <c r="BA93" s="35">
        <v>0</v>
      </c>
      <c r="BB93" s="35">
        <v>0</v>
      </c>
      <c r="BC93" s="35">
        <v>0</v>
      </c>
      <c r="BD93" s="33" t="s">
        <v>277</v>
      </c>
      <c r="BE93" s="35">
        <v>107.26337374799999</v>
      </c>
      <c r="BF93" s="35">
        <v>23.894205117321004</v>
      </c>
      <c r="BG93" s="35">
        <v>14.389360430711999</v>
      </c>
      <c r="BH93" s="35">
        <v>0.27829490641644999</v>
      </c>
      <c r="BI93" s="35">
        <v>-58.647536133880379</v>
      </c>
      <c r="BJ93" s="33" t="s">
        <v>277</v>
      </c>
      <c r="BK93" s="30" t="s">
        <v>277</v>
      </c>
      <c r="BL93" s="33" t="s">
        <v>277</v>
      </c>
    </row>
    <row r="94" spans="2:64" ht="19.899999999999999" customHeight="1">
      <c r="B94" s="37" t="s">
        <v>603</v>
      </c>
      <c r="C94" s="37" t="s">
        <v>216</v>
      </c>
      <c r="D94" s="37" t="s">
        <v>224</v>
      </c>
      <c r="E94" s="33" t="s">
        <v>277</v>
      </c>
      <c r="F94" s="37" t="s">
        <v>604</v>
      </c>
      <c r="G94" s="38">
        <v>1</v>
      </c>
      <c r="H94" s="37" t="s">
        <v>605</v>
      </c>
      <c r="I94" s="39">
        <v>50</v>
      </c>
      <c r="J94" s="39">
        <v>50</v>
      </c>
      <c r="K94" s="38">
        <v>0</v>
      </c>
      <c r="L94" s="37" t="s">
        <v>606</v>
      </c>
      <c r="M94" s="38">
        <v>33.804536357857287</v>
      </c>
      <c r="N94" s="38">
        <v>24.519117407765055</v>
      </c>
      <c r="O94" s="38">
        <v>9.2854189500922342</v>
      </c>
      <c r="P94" s="38">
        <v>33.804536357857287</v>
      </c>
      <c r="Q94" s="38">
        <v>144.3882082140172</v>
      </c>
      <c r="R94" s="38">
        <v>58.607808938328162</v>
      </c>
      <c r="S94" s="38">
        <v>202.99601715234539</v>
      </c>
      <c r="T94" s="33" t="s">
        <v>277</v>
      </c>
      <c r="U94" s="38">
        <v>24.758729258284973</v>
      </c>
      <c r="V94" s="38">
        <v>2.351413862462008</v>
      </c>
      <c r="W94" s="38">
        <v>0</v>
      </c>
      <c r="X94" s="38">
        <v>-2.5910257129819247</v>
      </c>
      <c r="Y94" s="33" t="s">
        <v>277</v>
      </c>
      <c r="Z94" s="38">
        <v>24.758729258284973</v>
      </c>
      <c r="AA94" s="38">
        <v>6.1464055105321484E-2</v>
      </c>
      <c r="AB94" s="38">
        <v>2.2899498073566864</v>
      </c>
      <c r="AC94" s="33" t="s">
        <v>277</v>
      </c>
      <c r="AD94" s="38">
        <v>0</v>
      </c>
      <c r="AE94" s="38">
        <v>0</v>
      </c>
      <c r="AF94" s="38">
        <v>0</v>
      </c>
      <c r="AG94" s="38">
        <v>0</v>
      </c>
      <c r="AH94" s="38">
        <v>0</v>
      </c>
      <c r="AI94" s="33" t="s">
        <v>277</v>
      </c>
      <c r="AJ94" s="38">
        <v>3.557843678279426</v>
      </c>
      <c r="AK94" s="38">
        <v>2.0601711915469442E-2</v>
      </c>
      <c r="AL94" s="38">
        <v>0.26169077856472772</v>
      </c>
      <c r="AM94" s="38">
        <v>1.1159809028963431E-3</v>
      </c>
      <c r="AN94" s="38">
        <v>-6.4322778626444439</v>
      </c>
      <c r="AO94" s="33" t="s">
        <v>277</v>
      </c>
      <c r="AP94" s="38">
        <v>140.8316129239</v>
      </c>
      <c r="AQ94" s="38">
        <v>19.43712071091112</v>
      </c>
      <c r="AR94" s="38">
        <v>0</v>
      </c>
      <c r="AS94" s="38">
        <v>-15.880525420793923</v>
      </c>
      <c r="AT94" s="33" t="s">
        <v>277</v>
      </c>
      <c r="AU94" s="38">
        <v>140.8316129239</v>
      </c>
      <c r="AV94" s="38">
        <v>0.64056298436129999</v>
      </c>
      <c r="AW94" s="38">
        <v>18.796557726549821</v>
      </c>
      <c r="AX94" s="33" t="s">
        <v>277</v>
      </c>
      <c r="AY94" s="38">
        <v>0</v>
      </c>
      <c r="AZ94" s="38">
        <v>0</v>
      </c>
      <c r="BA94" s="38">
        <v>0</v>
      </c>
      <c r="BB94" s="38">
        <v>0</v>
      </c>
      <c r="BC94" s="38">
        <v>0</v>
      </c>
      <c r="BD94" s="33" t="s">
        <v>277</v>
      </c>
      <c r="BE94" s="38">
        <v>33.584723219999994</v>
      </c>
      <c r="BF94" s="38">
        <v>0.21470588045178138</v>
      </c>
      <c r="BG94" s="38">
        <v>1.28463633712</v>
      </c>
      <c r="BH94" s="38">
        <v>6.5562924943000003E-3</v>
      </c>
      <c r="BI94" s="38">
        <v>-50.971147150859998</v>
      </c>
      <c r="BJ94" s="33" t="s">
        <v>277</v>
      </c>
      <c r="BK94" s="37" t="s">
        <v>277</v>
      </c>
      <c r="BL94" s="33" t="s">
        <v>277</v>
      </c>
    </row>
    <row r="95" spans="2:64" ht="19.899999999999999" customHeight="1">
      <c r="B95" s="30" t="s">
        <v>603</v>
      </c>
      <c r="C95" s="30" t="s">
        <v>216</v>
      </c>
      <c r="D95" s="30" t="s">
        <v>276</v>
      </c>
      <c r="E95" s="33" t="s">
        <v>277</v>
      </c>
      <c r="F95" s="30" t="s">
        <v>628</v>
      </c>
      <c r="G95" s="35">
        <v>1</v>
      </c>
      <c r="H95" s="30" t="s">
        <v>629</v>
      </c>
      <c r="I95" s="36">
        <v>100</v>
      </c>
      <c r="J95" s="36">
        <v>50</v>
      </c>
      <c r="K95" s="35">
        <v>0</v>
      </c>
      <c r="L95" s="30" t="s">
        <v>606</v>
      </c>
      <c r="M95" s="35">
        <v>4.4522492922600012</v>
      </c>
      <c r="N95" s="35">
        <v>4.4522492922600012</v>
      </c>
      <c r="O95" s="35">
        <v>0</v>
      </c>
      <c r="P95" s="35">
        <v>4.4522492922600012</v>
      </c>
      <c r="Q95" s="35">
        <v>45.061000000000007</v>
      </c>
      <c r="R95" s="35">
        <v>0</v>
      </c>
      <c r="S95" s="35">
        <v>45.061000000000007</v>
      </c>
      <c r="T95" s="33" t="s">
        <v>277</v>
      </c>
      <c r="U95" s="35">
        <v>4.0105758000000007</v>
      </c>
      <c r="V95" s="35">
        <v>0.49490287399999999</v>
      </c>
      <c r="W95" s="35">
        <v>0</v>
      </c>
      <c r="X95" s="35">
        <v>-5.3229381739999804E-2</v>
      </c>
      <c r="Y95" s="33" t="s">
        <v>277</v>
      </c>
      <c r="Z95" s="35">
        <v>4.0105758000000007</v>
      </c>
      <c r="AA95" s="35">
        <v>0.233031988</v>
      </c>
      <c r="AB95" s="35">
        <v>0.26187088600000002</v>
      </c>
      <c r="AC95" s="33" t="s">
        <v>277</v>
      </c>
      <c r="AD95" s="35">
        <v>0</v>
      </c>
      <c r="AE95" s="35">
        <v>0</v>
      </c>
      <c r="AF95" s="35">
        <v>0</v>
      </c>
      <c r="AG95" s="35">
        <v>0</v>
      </c>
      <c r="AH95" s="35">
        <v>0</v>
      </c>
      <c r="AI95" s="33" t="s">
        <v>277</v>
      </c>
      <c r="AJ95" s="35">
        <v>7.064194364000001E-2</v>
      </c>
      <c r="AK95" s="35">
        <v>1.6398619399999998E-2</v>
      </c>
      <c r="AL95" s="35">
        <v>1.1762982840000002</v>
      </c>
      <c r="AM95" s="35">
        <v>1.2922871219999998E-2</v>
      </c>
      <c r="AN95" s="35">
        <v>-1.3294911</v>
      </c>
      <c r="AO95" s="33" t="s">
        <v>277</v>
      </c>
      <c r="AP95" s="35">
        <v>39.6</v>
      </c>
      <c r="AQ95" s="35">
        <v>4.43</v>
      </c>
      <c r="AR95" s="35">
        <v>0</v>
      </c>
      <c r="AS95" s="35">
        <v>1.0310000000000024</v>
      </c>
      <c r="AT95" s="33" t="s">
        <v>277</v>
      </c>
      <c r="AU95" s="35">
        <v>39.6</v>
      </c>
      <c r="AV95" s="35">
        <v>1.93</v>
      </c>
      <c r="AW95" s="35">
        <v>2.5</v>
      </c>
      <c r="AX95" s="33" t="s">
        <v>277</v>
      </c>
      <c r="AY95" s="35">
        <v>0</v>
      </c>
      <c r="AZ95" s="35">
        <v>0</v>
      </c>
      <c r="BA95" s="35">
        <v>0</v>
      </c>
      <c r="BB95" s="35">
        <v>0</v>
      </c>
      <c r="BC95" s="35">
        <v>0</v>
      </c>
      <c r="BD95" s="33" t="s">
        <v>277</v>
      </c>
      <c r="BE95" s="35">
        <v>0.51700000000000002</v>
      </c>
      <c r="BF95" s="35">
        <v>0.13600000000000001</v>
      </c>
      <c r="BG95" s="35">
        <v>14.4</v>
      </c>
      <c r="BH95" s="35">
        <v>0.17799999999999999</v>
      </c>
      <c r="BI95" s="35">
        <v>-14.2</v>
      </c>
      <c r="BJ95" s="33" t="s">
        <v>277</v>
      </c>
      <c r="BK95" s="30" t="s">
        <v>277</v>
      </c>
      <c r="BL95" s="33" t="s">
        <v>277</v>
      </c>
    </row>
    <row r="96" spans="2:64" ht="19.899999999999999" customHeight="1">
      <c r="B96" s="37" t="s">
        <v>603</v>
      </c>
      <c r="C96" s="37" t="s">
        <v>644</v>
      </c>
      <c r="D96" s="37" t="s">
        <v>645</v>
      </c>
      <c r="E96" s="33" t="s">
        <v>277</v>
      </c>
      <c r="F96" s="37" t="s">
        <v>641</v>
      </c>
      <c r="G96" s="38">
        <v>1</v>
      </c>
      <c r="H96" s="37" t="s">
        <v>642</v>
      </c>
      <c r="I96" s="39">
        <v>14</v>
      </c>
      <c r="J96" s="39">
        <v>14</v>
      </c>
      <c r="K96" s="38">
        <v>2.5714285714285712</v>
      </c>
      <c r="L96" s="37" t="s">
        <v>606</v>
      </c>
      <c r="M96" s="38">
        <v>8.5585317173462998E-3</v>
      </c>
      <c r="N96" s="38">
        <v>3.0566184704808212E-2</v>
      </c>
      <c r="O96" s="38">
        <v>0</v>
      </c>
      <c r="P96" s="38">
        <v>3.0566184704808212E-2</v>
      </c>
      <c r="Q96" s="38">
        <v>0.29571357937142861</v>
      </c>
      <c r="R96" s="38">
        <v>0</v>
      </c>
      <c r="S96" s="38">
        <v>0.29571357937142861</v>
      </c>
      <c r="T96" s="33" t="s">
        <v>277</v>
      </c>
      <c r="U96" s="38">
        <v>1.03124549774721E-2</v>
      </c>
      <c r="V96" s="38">
        <v>6.351658213261999E-4</v>
      </c>
      <c r="W96" s="38">
        <v>2.2089732841985815E-2</v>
      </c>
      <c r="X96" s="38">
        <v>-2.4711689359758998E-3</v>
      </c>
      <c r="Y96" s="33" t="s">
        <v>277</v>
      </c>
      <c r="Z96" s="38">
        <v>1.03124549774721E-2</v>
      </c>
      <c r="AA96" s="38">
        <v>3.7546048639299992E-4</v>
      </c>
      <c r="AB96" s="38">
        <v>2.5970533493319998E-4</v>
      </c>
      <c r="AC96" s="33" t="s">
        <v>277</v>
      </c>
      <c r="AD96" s="38">
        <v>8.2079854523900002E-5</v>
      </c>
      <c r="AE96" s="38">
        <v>0</v>
      </c>
      <c r="AF96" s="38">
        <v>0</v>
      </c>
      <c r="AG96" s="38">
        <v>2.2007652987461917E-2</v>
      </c>
      <c r="AH96" s="38">
        <v>0</v>
      </c>
      <c r="AI96" s="33" t="s">
        <v>277</v>
      </c>
      <c r="AJ96" s="38">
        <v>1.3541603216299998E-4</v>
      </c>
      <c r="AK96" s="38">
        <v>3.1791355701000004E-4</v>
      </c>
      <c r="AL96" s="38">
        <v>1.5929998126950004E-4</v>
      </c>
      <c r="AM96" s="38">
        <v>0</v>
      </c>
      <c r="AN96" s="38">
        <v>-3.0837985064183998E-3</v>
      </c>
      <c r="AO96" s="33" t="s">
        <v>277</v>
      </c>
      <c r="AP96" s="38">
        <v>9.2884246150000002E-2</v>
      </c>
      <c r="AQ96" s="38">
        <v>6.5186766859999992E-3</v>
      </c>
      <c r="AR96" s="38">
        <v>0.2129137771474286</v>
      </c>
      <c r="AS96" s="38">
        <v>-1.6603120612000002E-2</v>
      </c>
      <c r="AT96" s="33" t="s">
        <v>277</v>
      </c>
      <c r="AU96" s="38">
        <v>9.2884246150000002E-2</v>
      </c>
      <c r="AV96" s="38">
        <v>3.9891474709999996E-3</v>
      </c>
      <c r="AW96" s="38">
        <v>2.529529215E-3</v>
      </c>
      <c r="AX96" s="33" t="s">
        <v>277</v>
      </c>
      <c r="AY96" s="38">
        <v>0</v>
      </c>
      <c r="AZ96" s="38">
        <v>0</v>
      </c>
      <c r="BA96" s="38">
        <v>0</v>
      </c>
      <c r="BB96" s="38">
        <v>0.2129137771474286</v>
      </c>
      <c r="BC96" s="38">
        <v>0</v>
      </c>
      <c r="BD96" s="33" t="s">
        <v>277</v>
      </c>
      <c r="BE96" s="38">
        <v>1.439214898E-3</v>
      </c>
      <c r="BF96" s="38">
        <v>3.2726104579999999E-3</v>
      </c>
      <c r="BG96" s="38">
        <v>1.6136651889999999E-3</v>
      </c>
      <c r="BH96" s="38">
        <v>0</v>
      </c>
      <c r="BI96" s="38">
        <v>-2.2928611157000001E-2</v>
      </c>
      <c r="BJ96" s="33" t="s">
        <v>277</v>
      </c>
      <c r="BK96" s="37" t="s">
        <v>277</v>
      </c>
      <c r="BL96" s="33" t="s">
        <v>277</v>
      </c>
    </row>
    <row r="97" spans="2:64" ht="19.899999999999999" customHeight="1">
      <c r="B97" s="30" t="s">
        <v>603</v>
      </c>
      <c r="C97" s="30" t="s">
        <v>644</v>
      </c>
      <c r="D97" s="30" t="s">
        <v>646</v>
      </c>
      <c r="E97" s="33" t="s">
        <v>277</v>
      </c>
      <c r="F97" s="30" t="s">
        <v>641</v>
      </c>
      <c r="G97" s="35">
        <v>1</v>
      </c>
      <c r="H97" s="30" t="s">
        <v>642</v>
      </c>
      <c r="I97" s="36">
        <v>14</v>
      </c>
      <c r="J97" s="36">
        <v>14</v>
      </c>
      <c r="K97" s="35">
        <v>2.5714285714285716</v>
      </c>
      <c r="L97" s="30" t="s">
        <v>606</v>
      </c>
      <c r="M97" s="35">
        <v>1.1582478479683599E-2</v>
      </c>
      <c r="N97" s="35">
        <v>4.1365994570298568E-2</v>
      </c>
      <c r="O97" s="35">
        <v>0</v>
      </c>
      <c r="P97" s="35">
        <v>4.1365994570298568E-2</v>
      </c>
      <c r="Q97" s="35">
        <v>0.39416626921785708</v>
      </c>
      <c r="R97" s="35">
        <v>0</v>
      </c>
      <c r="S97" s="35">
        <v>0.39416626921785713</v>
      </c>
      <c r="T97" s="33" t="s">
        <v>277</v>
      </c>
      <c r="U97" s="35">
        <v>1.462058979561E-2</v>
      </c>
      <c r="V97" s="35">
        <v>6.3516582138099993E-4</v>
      </c>
      <c r="W97" s="35">
        <v>2.9865595945138868E-2</v>
      </c>
      <c r="X97" s="35">
        <v>-3.7553569918313003E-3</v>
      </c>
      <c r="Y97" s="33" t="s">
        <v>277</v>
      </c>
      <c r="Z97" s="35">
        <v>1.462058979561E-2</v>
      </c>
      <c r="AA97" s="35">
        <v>3.7546048639299992E-4</v>
      </c>
      <c r="AB97" s="35">
        <v>2.5970533498799995E-4</v>
      </c>
      <c r="AC97" s="33" t="s">
        <v>277</v>
      </c>
      <c r="AD97" s="35">
        <v>8.2079854523900002E-5</v>
      </c>
      <c r="AE97" s="35">
        <v>0</v>
      </c>
      <c r="AF97" s="35">
        <v>0</v>
      </c>
      <c r="AG97" s="35">
        <v>2.978351609061497E-2</v>
      </c>
      <c r="AH97" s="35">
        <v>0</v>
      </c>
      <c r="AI97" s="33" t="s">
        <v>277</v>
      </c>
      <c r="AJ97" s="35">
        <v>1.3541603221580001E-4</v>
      </c>
      <c r="AK97" s="35">
        <v>3.1791355701000004E-4</v>
      </c>
      <c r="AL97" s="35">
        <v>1.5929998127250003E-4</v>
      </c>
      <c r="AM97" s="35">
        <v>0</v>
      </c>
      <c r="AN97" s="35">
        <v>-4.3679865623296003E-3</v>
      </c>
      <c r="AO97" s="33" t="s">
        <v>277</v>
      </c>
      <c r="AP97" s="35">
        <v>0.12999917452099999</v>
      </c>
      <c r="AQ97" s="35">
        <v>6.5186766869999996E-3</v>
      </c>
      <c r="AR97" s="35">
        <v>0.28379971383685709</v>
      </c>
      <c r="AS97" s="35">
        <v>-2.6151295827000001E-2</v>
      </c>
      <c r="AT97" s="33" t="s">
        <v>277</v>
      </c>
      <c r="AU97" s="35">
        <v>0.12999917452099999</v>
      </c>
      <c r="AV97" s="35">
        <v>3.9891474709999996E-3</v>
      </c>
      <c r="AW97" s="35">
        <v>2.529529216E-3</v>
      </c>
      <c r="AX97" s="33" t="s">
        <v>277</v>
      </c>
      <c r="AY97" s="35">
        <v>0</v>
      </c>
      <c r="AZ97" s="35">
        <v>0</v>
      </c>
      <c r="BA97" s="35">
        <v>0</v>
      </c>
      <c r="BB97" s="35">
        <v>0.28379971383685709</v>
      </c>
      <c r="BC97" s="35">
        <v>0</v>
      </c>
      <c r="BD97" s="33" t="s">
        <v>277</v>
      </c>
      <c r="BE97" s="35">
        <v>1.439214899E-3</v>
      </c>
      <c r="BF97" s="35">
        <v>3.2726104579999999E-3</v>
      </c>
      <c r="BG97" s="35">
        <v>1.6136651889999999E-3</v>
      </c>
      <c r="BH97" s="35">
        <v>0</v>
      </c>
      <c r="BI97" s="35">
        <v>-3.2476786372999999E-2</v>
      </c>
      <c r="BJ97" s="33" t="s">
        <v>277</v>
      </c>
      <c r="BK97" s="30" t="s">
        <v>277</v>
      </c>
      <c r="BL97" s="33" t="s">
        <v>277</v>
      </c>
    </row>
    <row r="98" spans="2:64" ht="19.899999999999999" customHeight="1">
      <c r="B98" s="37" t="s">
        <v>603</v>
      </c>
      <c r="C98" s="37" t="s">
        <v>644</v>
      </c>
      <c r="D98" s="37" t="s">
        <v>647</v>
      </c>
      <c r="E98" s="33" t="s">
        <v>277</v>
      </c>
      <c r="F98" s="37" t="s">
        <v>641</v>
      </c>
      <c r="G98" s="38">
        <v>1</v>
      </c>
      <c r="H98" s="37" t="s">
        <v>642</v>
      </c>
      <c r="I98" s="39">
        <v>14</v>
      </c>
      <c r="J98" s="39">
        <v>14</v>
      </c>
      <c r="K98" s="38">
        <v>2.5714285714285712</v>
      </c>
      <c r="L98" s="37" t="s">
        <v>606</v>
      </c>
      <c r="M98" s="38">
        <v>9.8937198951405004E-3</v>
      </c>
      <c r="N98" s="38">
        <v>3.5334713911216072E-2</v>
      </c>
      <c r="O98" s="38">
        <v>0</v>
      </c>
      <c r="P98" s="38">
        <v>3.5334713911216072E-2</v>
      </c>
      <c r="Q98" s="38">
        <v>0.34017578317500008</v>
      </c>
      <c r="R98" s="38">
        <v>0</v>
      </c>
      <c r="S98" s="38">
        <v>0.34017578317499997</v>
      </c>
      <c r="T98" s="33" t="s">
        <v>277</v>
      </c>
      <c r="U98" s="38">
        <v>1.1647643157336001E-2</v>
      </c>
      <c r="V98" s="38">
        <v>6.3516582138099993E-4</v>
      </c>
      <c r="W98" s="38">
        <v>2.5523073870599471E-2</v>
      </c>
      <c r="X98" s="38">
        <v>-2.4711689381004E-3</v>
      </c>
      <c r="Y98" s="33" t="s">
        <v>277</v>
      </c>
      <c r="Z98" s="38">
        <v>1.1647643157336001E-2</v>
      </c>
      <c r="AA98" s="38">
        <v>3.7546048639299992E-4</v>
      </c>
      <c r="AB98" s="38">
        <v>2.5970533498799995E-4</v>
      </c>
      <c r="AC98" s="33" t="s">
        <v>277</v>
      </c>
      <c r="AD98" s="38">
        <v>8.2079854523900002E-5</v>
      </c>
      <c r="AE98" s="38">
        <v>0</v>
      </c>
      <c r="AF98" s="38">
        <v>0</v>
      </c>
      <c r="AG98" s="38">
        <v>2.5440994016075573E-2</v>
      </c>
      <c r="AH98" s="38">
        <v>0</v>
      </c>
      <c r="AI98" s="33" t="s">
        <v>277</v>
      </c>
      <c r="AJ98" s="38">
        <v>1.3541603221580001E-4</v>
      </c>
      <c r="AK98" s="38">
        <v>3.1791355701000004E-4</v>
      </c>
      <c r="AL98" s="38">
        <v>1.5929998127250003E-4</v>
      </c>
      <c r="AM98" s="38">
        <v>0</v>
      </c>
      <c r="AN98" s="38">
        <v>-3.0837985085987001E-3</v>
      </c>
      <c r="AO98" s="33" t="s">
        <v>277</v>
      </c>
      <c r="AP98" s="38">
        <v>0.10533366323600001</v>
      </c>
      <c r="AQ98" s="38">
        <v>6.5186766869999996E-3</v>
      </c>
      <c r="AR98" s="38">
        <v>0.24492656388600006</v>
      </c>
      <c r="AS98" s="38">
        <v>-1.6603120633999997E-2</v>
      </c>
      <c r="AT98" s="33" t="s">
        <v>277</v>
      </c>
      <c r="AU98" s="38">
        <v>0.10533366323600001</v>
      </c>
      <c r="AV98" s="38">
        <v>3.9891474709999996E-3</v>
      </c>
      <c r="AW98" s="38">
        <v>2.529529216E-3</v>
      </c>
      <c r="AX98" s="33" t="s">
        <v>277</v>
      </c>
      <c r="AY98" s="38">
        <v>0</v>
      </c>
      <c r="AZ98" s="38">
        <v>0</v>
      </c>
      <c r="BA98" s="38">
        <v>0</v>
      </c>
      <c r="BB98" s="38">
        <v>0.24492656388600006</v>
      </c>
      <c r="BC98" s="38">
        <v>0</v>
      </c>
      <c r="BD98" s="33" t="s">
        <v>277</v>
      </c>
      <c r="BE98" s="38">
        <v>1.439214899E-3</v>
      </c>
      <c r="BF98" s="38">
        <v>3.2726104579999999E-3</v>
      </c>
      <c r="BG98" s="38">
        <v>1.6136651889999999E-3</v>
      </c>
      <c r="BH98" s="38">
        <v>0</v>
      </c>
      <c r="BI98" s="38">
        <v>-2.2928611179999999E-2</v>
      </c>
      <c r="BJ98" s="33" t="s">
        <v>277</v>
      </c>
      <c r="BK98" s="37" t="s">
        <v>277</v>
      </c>
      <c r="BL98" s="33" t="s">
        <v>277</v>
      </c>
    </row>
    <row r="99" spans="2:64" ht="19.899999999999999" customHeight="1">
      <c r="B99" s="30" t="s">
        <v>603</v>
      </c>
      <c r="C99" s="30" t="s">
        <v>644</v>
      </c>
      <c r="D99" s="30" t="s">
        <v>648</v>
      </c>
      <c r="E99" s="33" t="s">
        <v>277</v>
      </c>
      <c r="F99" s="30" t="s">
        <v>641</v>
      </c>
      <c r="G99" s="35">
        <v>1</v>
      </c>
      <c r="H99" s="30" t="s">
        <v>642</v>
      </c>
      <c r="I99" s="36">
        <v>45</v>
      </c>
      <c r="J99" s="36">
        <v>45</v>
      </c>
      <c r="K99" s="35">
        <v>0.11111111111111116</v>
      </c>
      <c r="L99" s="30" t="s">
        <v>606</v>
      </c>
      <c r="M99" s="35">
        <v>5.4737843769686999E-3</v>
      </c>
      <c r="N99" s="35">
        <v>6.0819826410763332E-3</v>
      </c>
      <c r="O99" s="35">
        <v>0</v>
      </c>
      <c r="P99" s="35">
        <v>6.0819826410763332E-3</v>
      </c>
      <c r="Q99" s="35">
        <v>6.5638871217777797E-2</v>
      </c>
      <c r="R99" s="35">
        <v>0</v>
      </c>
      <c r="S99" s="35">
        <v>6.5638871217777783E-2</v>
      </c>
      <c r="T99" s="33" t="s">
        <v>277</v>
      </c>
      <c r="U99" s="35">
        <v>6.4891847375398003E-3</v>
      </c>
      <c r="V99" s="35">
        <v>5.1723581232549995E-4</v>
      </c>
      <c r="W99" s="35">
        <v>6.0819826410763356E-4</v>
      </c>
      <c r="X99" s="35">
        <v>-1.5326361728966004E-3</v>
      </c>
      <c r="Y99" s="33" t="s">
        <v>277</v>
      </c>
      <c r="Z99" s="35">
        <v>6.4891847375398003E-3</v>
      </c>
      <c r="AA99" s="35">
        <v>3.7546048639299992E-4</v>
      </c>
      <c r="AB99" s="35">
        <v>1.417753259325E-4</v>
      </c>
      <c r="AC99" s="33" t="s">
        <v>277</v>
      </c>
      <c r="AD99" s="35">
        <v>0</v>
      </c>
      <c r="AE99" s="35">
        <v>0</v>
      </c>
      <c r="AF99" s="35">
        <v>0</v>
      </c>
      <c r="AG99" s="35">
        <v>6.0819826410763356E-4</v>
      </c>
      <c r="AH99" s="35">
        <v>0</v>
      </c>
      <c r="AI99" s="33" t="s">
        <v>277</v>
      </c>
      <c r="AJ99" s="35">
        <v>3.1586755022459999E-4</v>
      </c>
      <c r="AK99" s="35">
        <v>3.1791355701000004E-4</v>
      </c>
      <c r="AL99" s="35">
        <v>1.5929998157389999E-4</v>
      </c>
      <c r="AM99" s="35">
        <v>0</v>
      </c>
      <c r="AN99" s="35">
        <v>-2.3257172617051004E-3</v>
      </c>
      <c r="AO99" s="33" t="s">
        <v>277</v>
      </c>
      <c r="AP99" s="35">
        <v>6.2751218538000003E-2</v>
      </c>
      <c r="AQ99" s="35">
        <v>5.3847497979999997E-3</v>
      </c>
      <c r="AR99" s="35">
        <v>6.5638871217777815E-3</v>
      </c>
      <c r="AS99" s="35">
        <v>-9.0609842400000019E-3</v>
      </c>
      <c r="AT99" s="33" t="s">
        <v>277</v>
      </c>
      <c r="AU99" s="35">
        <v>6.2751218538000003E-2</v>
      </c>
      <c r="AV99" s="35">
        <v>3.9891474709999996E-3</v>
      </c>
      <c r="AW99" s="35">
        <v>1.3956023269999999E-3</v>
      </c>
      <c r="AX99" s="33" t="s">
        <v>277</v>
      </c>
      <c r="AY99" s="35">
        <v>0</v>
      </c>
      <c r="AZ99" s="35">
        <v>0</v>
      </c>
      <c r="BA99" s="35">
        <v>0</v>
      </c>
      <c r="BB99" s="35">
        <v>6.5638871217777815E-3</v>
      </c>
      <c r="BC99" s="35">
        <v>0</v>
      </c>
      <c r="BD99" s="33" t="s">
        <v>277</v>
      </c>
      <c r="BE99" s="35">
        <v>3.3581681E-3</v>
      </c>
      <c r="BF99" s="35">
        <v>3.2726104579999999E-3</v>
      </c>
      <c r="BG99" s="35">
        <v>1.6136651909999999E-3</v>
      </c>
      <c r="BH99" s="35">
        <v>0</v>
      </c>
      <c r="BI99" s="35">
        <v>-1.7305427989000002E-2</v>
      </c>
      <c r="BJ99" s="33" t="s">
        <v>277</v>
      </c>
      <c r="BK99" s="30" t="s">
        <v>277</v>
      </c>
      <c r="BL99" s="33" t="s">
        <v>277</v>
      </c>
    </row>
    <row r="100" spans="2:64" ht="19.899999999999999" customHeight="1">
      <c r="B100" s="37" t="s">
        <v>603</v>
      </c>
      <c r="C100" s="37" t="s">
        <v>644</v>
      </c>
      <c r="D100" s="37" t="s">
        <v>233</v>
      </c>
      <c r="E100" s="33" t="s">
        <v>277</v>
      </c>
      <c r="F100" s="37" t="s">
        <v>604</v>
      </c>
      <c r="G100" s="38">
        <v>1</v>
      </c>
      <c r="H100" s="37" t="s">
        <v>613</v>
      </c>
      <c r="I100" s="39">
        <v>999</v>
      </c>
      <c r="J100" s="39">
        <v>50</v>
      </c>
      <c r="K100" s="38">
        <v>0</v>
      </c>
      <c r="L100" s="37" t="s">
        <v>606</v>
      </c>
      <c r="M100" s="38">
        <v>1.314868834871691</v>
      </c>
      <c r="N100" s="38">
        <v>1.0114375560110891</v>
      </c>
      <c r="O100" s="38">
        <v>0.30343127886060195</v>
      </c>
      <c r="P100" s="38">
        <v>1.314868834871691</v>
      </c>
      <c r="Q100" s="38">
        <v>9.4157348511999999</v>
      </c>
      <c r="R100" s="38">
        <v>2.8247205676043068</v>
      </c>
      <c r="S100" s="38">
        <v>12.240455418804306</v>
      </c>
      <c r="T100" s="33" t="s">
        <v>277</v>
      </c>
      <c r="U100" s="38">
        <v>0</v>
      </c>
      <c r="V100" s="38">
        <v>1.0114375560110891</v>
      </c>
      <c r="W100" s="38">
        <v>0</v>
      </c>
      <c r="X100" s="38">
        <v>0</v>
      </c>
      <c r="Y100" s="33" t="s">
        <v>277</v>
      </c>
      <c r="Z100" s="38">
        <v>0</v>
      </c>
      <c r="AA100" s="38">
        <v>0</v>
      </c>
      <c r="AB100" s="38">
        <v>1.0114375560110891</v>
      </c>
      <c r="AC100" s="33" t="s">
        <v>277</v>
      </c>
      <c r="AD100" s="38">
        <v>0</v>
      </c>
      <c r="AE100" s="38">
        <v>0</v>
      </c>
      <c r="AF100" s="38">
        <v>0</v>
      </c>
      <c r="AG100" s="38">
        <v>0</v>
      </c>
      <c r="AH100" s="38">
        <v>0</v>
      </c>
      <c r="AI100" s="33" t="s">
        <v>277</v>
      </c>
      <c r="AJ100" s="38">
        <v>0</v>
      </c>
      <c r="AK100" s="38">
        <v>0</v>
      </c>
      <c r="AL100" s="38">
        <v>0</v>
      </c>
      <c r="AM100" s="38">
        <v>0</v>
      </c>
      <c r="AN100" s="38">
        <v>0</v>
      </c>
      <c r="AO100" s="33" t="s">
        <v>277</v>
      </c>
      <c r="AP100" s="38">
        <v>0</v>
      </c>
      <c r="AQ100" s="38">
        <v>9.4157348511999999</v>
      </c>
      <c r="AR100" s="38">
        <v>0</v>
      </c>
      <c r="AS100" s="38">
        <v>0</v>
      </c>
      <c r="AT100" s="33" t="s">
        <v>277</v>
      </c>
      <c r="AU100" s="38">
        <v>0</v>
      </c>
      <c r="AV100" s="38">
        <v>0</v>
      </c>
      <c r="AW100" s="38">
        <v>9.4157348511999999</v>
      </c>
      <c r="AX100" s="33" t="s">
        <v>277</v>
      </c>
      <c r="AY100" s="38">
        <v>0</v>
      </c>
      <c r="AZ100" s="38">
        <v>0</v>
      </c>
      <c r="BA100" s="38">
        <v>0</v>
      </c>
      <c r="BB100" s="38">
        <v>0</v>
      </c>
      <c r="BC100" s="38">
        <v>0</v>
      </c>
      <c r="BD100" s="33" t="s">
        <v>277</v>
      </c>
      <c r="BE100" s="38">
        <v>0</v>
      </c>
      <c r="BF100" s="38">
        <v>0</v>
      </c>
      <c r="BG100" s="38">
        <v>0</v>
      </c>
      <c r="BH100" s="38">
        <v>0</v>
      </c>
      <c r="BI100" s="38">
        <v>0</v>
      </c>
      <c r="BJ100" s="33" t="s">
        <v>277</v>
      </c>
      <c r="BK100" s="37" t="s">
        <v>277</v>
      </c>
      <c r="BL100" s="33" t="s">
        <v>277</v>
      </c>
    </row>
    <row r="101" spans="2:64" ht="19.899999999999999" customHeight="1">
      <c r="B101" s="30" t="s">
        <v>603</v>
      </c>
      <c r="C101" s="30" t="s">
        <v>644</v>
      </c>
      <c r="D101" s="30" t="s">
        <v>241</v>
      </c>
      <c r="E101" s="33" t="s">
        <v>277</v>
      </c>
      <c r="F101" s="30" t="s">
        <v>604</v>
      </c>
      <c r="G101" s="35">
        <v>1</v>
      </c>
      <c r="H101" s="30" t="s">
        <v>613</v>
      </c>
      <c r="I101" s="36">
        <v>999</v>
      </c>
      <c r="J101" s="36">
        <v>50</v>
      </c>
      <c r="K101" s="35">
        <v>0</v>
      </c>
      <c r="L101" s="30" t="s">
        <v>606</v>
      </c>
      <c r="M101" s="35">
        <v>2.4914863229604616</v>
      </c>
      <c r="N101" s="35">
        <v>1.9165279231643604</v>
      </c>
      <c r="O101" s="35">
        <v>0.5749583997961013</v>
      </c>
      <c r="P101" s="35">
        <v>2.4914863229604616</v>
      </c>
      <c r="Q101" s="35">
        <v>10.724770262231999</v>
      </c>
      <c r="R101" s="35">
        <v>3.2174312065188246</v>
      </c>
      <c r="S101" s="35">
        <v>13.942201468750824</v>
      </c>
      <c r="T101" s="33" t="s">
        <v>277</v>
      </c>
      <c r="U101" s="35">
        <v>0</v>
      </c>
      <c r="V101" s="35">
        <v>1.9165279231643604</v>
      </c>
      <c r="W101" s="35">
        <v>0</v>
      </c>
      <c r="X101" s="35">
        <v>0</v>
      </c>
      <c r="Y101" s="33" t="s">
        <v>277</v>
      </c>
      <c r="Z101" s="35">
        <v>0</v>
      </c>
      <c r="AA101" s="35">
        <v>0</v>
      </c>
      <c r="AB101" s="35">
        <v>1.9165279231643604</v>
      </c>
      <c r="AC101" s="33" t="s">
        <v>277</v>
      </c>
      <c r="AD101" s="35">
        <v>0</v>
      </c>
      <c r="AE101" s="35">
        <v>0</v>
      </c>
      <c r="AF101" s="35">
        <v>0</v>
      </c>
      <c r="AG101" s="35">
        <v>0</v>
      </c>
      <c r="AH101" s="35">
        <v>0</v>
      </c>
      <c r="AI101" s="33" t="s">
        <v>277</v>
      </c>
      <c r="AJ101" s="35">
        <v>0</v>
      </c>
      <c r="AK101" s="35">
        <v>0</v>
      </c>
      <c r="AL101" s="35">
        <v>0</v>
      </c>
      <c r="AM101" s="35">
        <v>0</v>
      </c>
      <c r="AN101" s="35">
        <v>0</v>
      </c>
      <c r="AO101" s="33" t="s">
        <v>277</v>
      </c>
      <c r="AP101" s="35">
        <v>0</v>
      </c>
      <c r="AQ101" s="35">
        <v>10.724770262231999</v>
      </c>
      <c r="AR101" s="35">
        <v>0</v>
      </c>
      <c r="AS101" s="35">
        <v>0</v>
      </c>
      <c r="AT101" s="33" t="s">
        <v>277</v>
      </c>
      <c r="AU101" s="35">
        <v>0</v>
      </c>
      <c r="AV101" s="35">
        <v>0</v>
      </c>
      <c r="AW101" s="35">
        <v>10.724770262231999</v>
      </c>
      <c r="AX101" s="33" t="s">
        <v>277</v>
      </c>
      <c r="AY101" s="35">
        <v>0</v>
      </c>
      <c r="AZ101" s="35">
        <v>0</v>
      </c>
      <c r="BA101" s="35">
        <v>0</v>
      </c>
      <c r="BB101" s="35">
        <v>0</v>
      </c>
      <c r="BC101" s="35">
        <v>0</v>
      </c>
      <c r="BD101" s="33" t="s">
        <v>277</v>
      </c>
      <c r="BE101" s="35">
        <v>0</v>
      </c>
      <c r="BF101" s="35">
        <v>0</v>
      </c>
      <c r="BG101" s="35">
        <v>0</v>
      </c>
      <c r="BH101" s="35">
        <v>0</v>
      </c>
      <c r="BI101" s="35">
        <v>0</v>
      </c>
      <c r="BJ101" s="33" t="s">
        <v>277</v>
      </c>
      <c r="BK101" s="30" t="s">
        <v>277</v>
      </c>
      <c r="BL101" s="33" t="s">
        <v>277</v>
      </c>
    </row>
    <row r="102" spans="2:64" ht="19.899999999999999" customHeight="1">
      <c r="B102" s="37" t="s">
        <v>603</v>
      </c>
      <c r="C102" s="37" t="s">
        <v>644</v>
      </c>
      <c r="D102" s="37" t="s">
        <v>180</v>
      </c>
      <c r="E102" s="33" t="s">
        <v>277</v>
      </c>
      <c r="F102" s="37" t="s">
        <v>604</v>
      </c>
      <c r="G102" s="38">
        <v>1</v>
      </c>
      <c r="H102" s="37" t="s">
        <v>622</v>
      </c>
      <c r="I102" s="39">
        <v>999</v>
      </c>
      <c r="J102" s="39">
        <v>50</v>
      </c>
      <c r="K102" s="38">
        <v>0</v>
      </c>
      <c r="L102" s="37" t="s">
        <v>606</v>
      </c>
      <c r="M102" s="38">
        <v>5.9509486484054571E-3</v>
      </c>
      <c r="N102" s="38">
        <v>4.5776527644889103E-3</v>
      </c>
      <c r="O102" s="38">
        <v>1.3732958839165466E-3</v>
      </c>
      <c r="P102" s="38">
        <v>5.9509486484054571E-3</v>
      </c>
      <c r="Q102" s="38">
        <v>3.0807325180000001E-2</v>
      </c>
      <c r="R102" s="38">
        <v>9.2421979212519365E-3</v>
      </c>
      <c r="S102" s="38">
        <v>4.0049523101251934E-2</v>
      </c>
      <c r="T102" s="33" t="s">
        <v>277</v>
      </c>
      <c r="U102" s="38">
        <v>4.5776527644889103E-3</v>
      </c>
      <c r="V102" s="38">
        <v>0</v>
      </c>
      <c r="W102" s="38">
        <v>0</v>
      </c>
      <c r="X102" s="38">
        <v>0</v>
      </c>
      <c r="Y102" s="33" t="s">
        <v>277</v>
      </c>
      <c r="Z102" s="38">
        <v>4.5776527644889103E-3</v>
      </c>
      <c r="AA102" s="38">
        <v>0</v>
      </c>
      <c r="AB102" s="38">
        <v>0</v>
      </c>
      <c r="AC102" s="33" t="s">
        <v>277</v>
      </c>
      <c r="AD102" s="38">
        <v>0</v>
      </c>
      <c r="AE102" s="38">
        <v>0</v>
      </c>
      <c r="AF102" s="38">
        <v>0</v>
      </c>
      <c r="AG102" s="38">
        <v>0</v>
      </c>
      <c r="AH102" s="38">
        <v>0</v>
      </c>
      <c r="AI102" s="33" t="s">
        <v>277</v>
      </c>
      <c r="AJ102" s="38">
        <v>0</v>
      </c>
      <c r="AK102" s="38">
        <v>0</v>
      </c>
      <c r="AL102" s="38">
        <v>0</v>
      </c>
      <c r="AM102" s="38">
        <v>0</v>
      </c>
      <c r="AN102" s="38">
        <v>0</v>
      </c>
      <c r="AO102" s="33" t="s">
        <v>277</v>
      </c>
      <c r="AP102" s="38">
        <v>3.0807325180000001E-2</v>
      </c>
      <c r="AQ102" s="38">
        <v>0</v>
      </c>
      <c r="AR102" s="38">
        <v>0</v>
      </c>
      <c r="AS102" s="38">
        <v>0</v>
      </c>
      <c r="AT102" s="33" t="s">
        <v>277</v>
      </c>
      <c r="AU102" s="38">
        <v>3.0807325180000001E-2</v>
      </c>
      <c r="AV102" s="38">
        <v>0</v>
      </c>
      <c r="AW102" s="38">
        <v>0</v>
      </c>
      <c r="AX102" s="33" t="s">
        <v>277</v>
      </c>
      <c r="AY102" s="38">
        <v>0</v>
      </c>
      <c r="AZ102" s="38">
        <v>0</v>
      </c>
      <c r="BA102" s="38">
        <v>0</v>
      </c>
      <c r="BB102" s="38">
        <v>0</v>
      </c>
      <c r="BC102" s="38">
        <v>0</v>
      </c>
      <c r="BD102" s="33" t="s">
        <v>277</v>
      </c>
      <c r="BE102" s="38">
        <v>0</v>
      </c>
      <c r="BF102" s="38">
        <v>0</v>
      </c>
      <c r="BG102" s="38">
        <v>0</v>
      </c>
      <c r="BH102" s="38">
        <v>0</v>
      </c>
      <c r="BI102" s="38">
        <v>0</v>
      </c>
      <c r="BJ102" s="33" t="s">
        <v>277</v>
      </c>
      <c r="BK102" s="37" t="s">
        <v>277</v>
      </c>
      <c r="BL102" s="33" t="s">
        <v>277</v>
      </c>
    </row>
    <row r="103" spans="2:64" ht="19.899999999999999" customHeight="1">
      <c r="B103" s="30" t="s">
        <v>603</v>
      </c>
      <c r="C103" s="30" t="s">
        <v>644</v>
      </c>
      <c r="D103" s="30" t="s">
        <v>649</v>
      </c>
      <c r="E103" s="33" t="s">
        <v>277</v>
      </c>
      <c r="F103" s="30" t="s">
        <v>604</v>
      </c>
      <c r="G103" s="35">
        <v>1</v>
      </c>
      <c r="H103" s="30" t="s">
        <v>613</v>
      </c>
      <c r="I103" s="36">
        <v>999</v>
      </c>
      <c r="J103" s="36">
        <v>50</v>
      </c>
      <c r="K103" s="35">
        <v>0</v>
      </c>
      <c r="L103" s="30" t="s">
        <v>606</v>
      </c>
      <c r="M103" s="35">
        <v>7.0570013399799629</v>
      </c>
      <c r="N103" s="35">
        <v>5.4284625194366516</v>
      </c>
      <c r="O103" s="35">
        <v>1.6285388205433116</v>
      </c>
      <c r="P103" s="35">
        <v>7.0570013399799629</v>
      </c>
      <c r="Q103" s="35">
        <v>51.242670480000001</v>
      </c>
      <c r="R103" s="35">
        <v>15.372801754860237</v>
      </c>
      <c r="S103" s="35">
        <v>66.615472234860235</v>
      </c>
      <c r="T103" s="33" t="s">
        <v>277</v>
      </c>
      <c r="U103" s="35">
        <v>0</v>
      </c>
      <c r="V103" s="35">
        <v>5.4284625194366516</v>
      </c>
      <c r="W103" s="35">
        <v>0</v>
      </c>
      <c r="X103" s="35">
        <v>0</v>
      </c>
      <c r="Y103" s="33" t="s">
        <v>277</v>
      </c>
      <c r="Z103" s="35">
        <v>0</v>
      </c>
      <c r="AA103" s="35">
        <v>0</v>
      </c>
      <c r="AB103" s="35">
        <v>5.4284625194366516</v>
      </c>
      <c r="AC103" s="33" t="s">
        <v>277</v>
      </c>
      <c r="AD103" s="35">
        <v>0</v>
      </c>
      <c r="AE103" s="35">
        <v>0</v>
      </c>
      <c r="AF103" s="35">
        <v>0</v>
      </c>
      <c r="AG103" s="35">
        <v>0</v>
      </c>
      <c r="AH103" s="35">
        <v>0</v>
      </c>
      <c r="AI103" s="33" t="s">
        <v>277</v>
      </c>
      <c r="AJ103" s="35">
        <v>0</v>
      </c>
      <c r="AK103" s="35">
        <v>0</v>
      </c>
      <c r="AL103" s="35">
        <v>0</v>
      </c>
      <c r="AM103" s="35">
        <v>0</v>
      </c>
      <c r="AN103" s="35">
        <v>0</v>
      </c>
      <c r="AO103" s="33" t="s">
        <v>277</v>
      </c>
      <c r="AP103" s="35">
        <v>0</v>
      </c>
      <c r="AQ103" s="35">
        <v>51.242670480000001</v>
      </c>
      <c r="AR103" s="35">
        <v>0</v>
      </c>
      <c r="AS103" s="35">
        <v>0</v>
      </c>
      <c r="AT103" s="33" t="s">
        <v>277</v>
      </c>
      <c r="AU103" s="35">
        <v>0</v>
      </c>
      <c r="AV103" s="35">
        <v>0</v>
      </c>
      <c r="AW103" s="35">
        <v>51.242670480000001</v>
      </c>
      <c r="AX103" s="33" t="s">
        <v>277</v>
      </c>
      <c r="AY103" s="35">
        <v>0</v>
      </c>
      <c r="AZ103" s="35">
        <v>0</v>
      </c>
      <c r="BA103" s="35">
        <v>0</v>
      </c>
      <c r="BB103" s="35">
        <v>0</v>
      </c>
      <c r="BC103" s="35">
        <v>0</v>
      </c>
      <c r="BD103" s="33" t="s">
        <v>277</v>
      </c>
      <c r="BE103" s="35">
        <v>0</v>
      </c>
      <c r="BF103" s="35">
        <v>0</v>
      </c>
      <c r="BG103" s="35">
        <v>0</v>
      </c>
      <c r="BH103" s="35">
        <v>0</v>
      </c>
      <c r="BI103" s="35">
        <v>0</v>
      </c>
      <c r="BJ103" s="33" t="s">
        <v>277</v>
      </c>
      <c r="BK103" s="30" t="s">
        <v>277</v>
      </c>
      <c r="BL103" s="33" t="s">
        <v>277</v>
      </c>
    </row>
    <row r="104" spans="2:64" ht="19.899999999999999" customHeight="1">
      <c r="B104" s="37" t="s">
        <v>603</v>
      </c>
      <c r="C104" s="37" t="s">
        <v>644</v>
      </c>
      <c r="D104" s="37" t="s">
        <v>105</v>
      </c>
      <c r="E104" s="33" t="s">
        <v>277</v>
      </c>
      <c r="F104" s="37" t="s">
        <v>627</v>
      </c>
      <c r="G104" s="38">
        <v>1</v>
      </c>
      <c r="H104" s="37" t="s">
        <v>613</v>
      </c>
      <c r="I104" s="39">
        <v>999</v>
      </c>
      <c r="J104" s="39">
        <v>50</v>
      </c>
      <c r="K104" s="38">
        <v>0</v>
      </c>
      <c r="L104" s="37" t="s">
        <v>606</v>
      </c>
      <c r="M104" s="38">
        <v>1.6700055940885286</v>
      </c>
      <c r="N104" s="38">
        <v>1.6700055940885286</v>
      </c>
      <c r="O104" s="38">
        <v>0</v>
      </c>
      <c r="P104" s="38">
        <v>1.6700055940885286</v>
      </c>
      <c r="Q104" s="38">
        <v>11.222864138303999</v>
      </c>
      <c r="R104" s="38">
        <v>0</v>
      </c>
      <c r="S104" s="38">
        <v>11.222864138303999</v>
      </c>
      <c r="T104" s="33" t="s">
        <v>277</v>
      </c>
      <c r="U104" s="38">
        <v>0</v>
      </c>
      <c r="V104" s="38">
        <v>1.6700055940885286</v>
      </c>
      <c r="W104" s="38">
        <v>0</v>
      </c>
      <c r="X104" s="38">
        <v>0</v>
      </c>
      <c r="Y104" s="33" t="s">
        <v>277</v>
      </c>
      <c r="Z104" s="38">
        <v>0</v>
      </c>
      <c r="AA104" s="38">
        <v>0</v>
      </c>
      <c r="AB104" s="38">
        <v>1.6700055940885286</v>
      </c>
      <c r="AC104" s="33" t="s">
        <v>277</v>
      </c>
      <c r="AD104" s="38">
        <v>0</v>
      </c>
      <c r="AE104" s="38">
        <v>0</v>
      </c>
      <c r="AF104" s="38">
        <v>0</v>
      </c>
      <c r="AG104" s="38">
        <v>0</v>
      </c>
      <c r="AH104" s="38">
        <v>0</v>
      </c>
      <c r="AI104" s="33" t="s">
        <v>277</v>
      </c>
      <c r="AJ104" s="38">
        <v>0</v>
      </c>
      <c r="AK104" s="38">
        <v>0</v>
      </c>
      <c r="AL104" s="38">
        <v>0</v>
      </c>
      <c r="AM104" s="38">
        <v>0</v>
      </c>
      <c r="AN104" s="38">
        <v>0</v>
      </c>
      <c r="AO104" s="33" t="s">
        <v>277</v>
      </c>
      <c r="AP104" s="38">
        <v>0</v>
      </c>
      <c r="AQ104" s="38">
        <v>11.222864138303999</v>
      </c>
      <c r="AR104" s="38">
        <v>0</v>
      </c>
      <c r="AS104" s="38">
        <v>0</v>
      </c>
      <c r="AT104" s="33" t="s">
        <v>277</v>
      </c>
      <c r="AU104" s="38">
        <v>0</v>
      </c>
      <c r="AV104" s="38">
        <v>0</v>
      </c>
      <c r="AW104" s="38">
        <v>11.222864138303999</v>
      </c>
      <c r="AX104" s="33" t="s">
        <v>277</v>
      </c>
      <c r="AY104" s="38">
        <v>0</v>
      </c>
      <c r="AZ104" s="38">
        <v>0</v>
      </c>
      <c r="BA104" s="38">
        <v>0</v>
      </c>
      <c r="BB104" s="38">
        <v>0</v>
      </c>
      <c r="BC104" s="38">
        <v>0</v>
      </c>
      <c r="BD104" s="33" t="s">
        <v>277</v>
      </c>
      <c r="BE104" s="38">
        <v>0</v>
      </c>
      <c r="BF104" s="38">
        <v>0</v>
      </c>
      <c r="BG104" s="38">
        <v>0</v>
      </c>
      <c r="BH104" s="38">
        <v>0</v>
      </c>
      <c r="BI104" s="38">
        <v>0</v>
      </c>
      <c r="BJ104" s="33" t="s">
        <v>277</v>
      </c>
      <c r="BK104" s="37" t="s">
        <v>277</v>
      </c>
      <c r="BL104" s="33" t="s">
        <v>277</v>
      </c>
    </row>
    <row r="105" spans="2:64" ht="19.899999999999999" customHeight="1">
      <c r="B105" s="30" t="s">
        <v>603</v>
      </c>
      <c r="C105" s="30" t="s">
        <v>644</v>
      </c>
      <c r="D105" s="30" t="s">
        <v>151</v>
      </c>
      <c r="E105" s="33" t="s">
        <v>277</v>
      </c>
      <c r="F105" s="30" t="s">
        <v>604</v>
      </c>
      <c r="G105" s="35">
        <v>1</v>
      </c>
      <c r="H105" s="30" t="s">
        <v>613</v>
      </c>
      <c r="I105" s="36">
        <v>999</v>
      </c>
      <c r="J105" s="36">
        <v>50</v>
      </c>
      <c r="K105" s="35">
        <v>0</v>
      </c>
      <c r="L105" s="30" t="s">
        <v>606</v>
      </c>
      <c r="M105" s="35">
        <v>9.3981406053719019E-2</v>
      </c>
      <c r="N105" s="35">
        <v>7.2293388609165135E-2</v>
      </c>
      <c r="O105" s="35">
        <v>2.1688017444553891E-2</v>
      </c>
      <c r="P105" s="35">
        <v>9.3981406053719019E-2</v>
      </c>
      <c r="Q105" s="35">
        <v>0.67299774479999996</v>
      </c>
      <c r="R105" s="35">
        <v>0.20189933146275832</v>
      </c>
      <c r="S105" s="35">
        <v>0.87489707626275826</v>
      </c>
      <c r="T105" s="33" t="s">
        <v>277</v>
      </c>
      <c r="U105" s="35">
        <v>0</v>
      </c>
      <c r="V105" s="35">
        <v>7.2293388609165135E-2</v>
      </c>
      <c r="W105" s="35">
        <v>0</v>
      </c>
      <c r="X105" s="35">
        <v>0</v>
      </c>
      <c r="Y105" s="33" t="s">
        <v>277</v>
      </c>
      <c r="Z105" s="35">
        <v>0</v>
      </c>
      <c r="AA105" s="35">
        <v>0</v>
      </c>
      <c r="AB105" s="35">
        <v>7.2293388609165135E-2</v>
      </c>
      <c r="AC105" s="33" t="s">
        <v>277</v>
      </c>
      <c r="AD105" s="35">
        <v>0</v>
      </c>
      <c r="AE105" s="35">
        <v>0</v>
      </c>
      <c r="AF105" s="35">
        <v>0</v>
      </c>
      <c r="AG105" s="35">
        <v>0</v>
      </c>
      <c r="AH105" s="35">
        <v>0</v>
      </c>
      <c r="AI105" s="33" t="s">
        <v>277</v>
      </c>
      <c r="AJ105" s="35">
        <v>0</v>
      </c>
      <c r="AK105" s="35">
        <v>0</v>
      </c>
      <c r="AL105" s="35">
        <v>0</v>
      </c>
      <c r="AM105" s="35">
        <v>0</v>
      </c>
      <c r="AN105" s="35">
        <v>0</v>
      </c>
      <c r="AO105" s="33" t="s">
        <v>277</v>
      </c>
      <c r="AP105" s="35">
        <v>0</v>
      </c>
      <c r="AQ105" s="35">
        <v>0.67299774479999996</v>
      </c>
      <c r="AR105" s="35">
        <v>0</v>
      </c>
      <c r="AS105" s="35">
        <v>0</v>
      </c>
      <c r="AT105" s="33" t="s">
        <v>277</v>
      </c>
      <c r="AU105" s="35">
        <v>0</v>
      </c>
      <c r="AV105" s="35">
        <v>0</v>
      </c>
      <c r="AW105" s="35">
        <v>0.67299774479999996</v>
      </c>
      <c r="AX105" s="33" t="s">
        <v>277</v>
      </c>
      <c r="AY105" s="35">
        <v>0</v>
      </c>
      <c r="AZ105" s="35">
        <v>0</v>
      </c>
      <c r="BA105" s="35">
        <v>0</v>
      </c>
      <c r="BB105" s="35">
        <v>0</v>
      </c>
      <c r="BC105" s="35">
        <v>0</v>
      </c>
      <c r="BD105" s="33" t="s">
        <v>277</v>
      </c>
      <c r="BE105" s="35">
        <v>0</v>
      </c>
      <c r="BF105" s="35">
        <v>0</v>
      </c>
      <c r="BG105" s="35">
        <v>0</v>
      </c>
      <c r="BH105" s="35">
        <v>0</v>
      </c>
      <c r="BI105" s="35">
        <v>0</v>
      </c>
      <c r="BJ105" s="33" t="s">
        <v>277</v>
      </c>
      <c r="BK105" s="30" t="s">
        <v>277</v>
      </c>
      <c r="BL105" s="33" t="s">
        <v>277</v>
      </c>
    </row>
    <row r="106" spans="2:64" ht="19.899999999999999" customHeight="1">
      <c r="B106" s="37" t="s">
        <v>603</v>
      </c>
      <c r="C106" s="37" t="s">
        <v>644</v>
      </c>
      <c r="D106" s="37" t="s">
        <v>180</v>
      </c>
      <c r="E106" s="33" t="s">
        <v>277</v>
      </c>
      <c r="F106" s="37" t="s">
        <v>604</v>
      </c>
      <c r="G106" s="38">
        <v>1</v>
      </c>
      <c r="H106" s="37" t="s">
        <v>622</v>
      </c>
      <c r="I106" s="39">
        <v>999</v>
      </c>
      <c r="J106" s="39">
        <v>50</v>
      </c>
      <c r="K106" s="38">
        <v>0</v>
      </c>
      <c r="L106" s="37" t="s">
        <v>606</v>
      </c>
      <c r="M106" s="38">
        <v>5.9509486484054571E-3</v>
      </c>
      <c r="N106" s="38">
        <v>4.5776527644889103E-3</v>
      </c>
      <c r="O106" s="38">
        <v>1.3732958839165466E-3</v>
      </c>
      <c r="P106" s="38">
        <v>5.9509486484054571E-3</v>
      </c>
      <c r="Q106" s="38">
        <v>3.0807325180000001E-2</v>
      </c>
      <c r="R106" s="38">
        <v>9.2421979212519365E-3</v>
      </c>
      <c r="S106" s="38">
        <v>4.0049523101251934E-2</v>
      </c>
      <c r="T106" s="33" t="s">
        <v>277</v>
      </c>
      <c r="U106" s="38">
        <v>4.5776527644889103E-3</v>
      </c>
      <c r="V106" s="38">
        <v>0</v>
      </c>
      <c r="W106" s="38">
        <v>0</v>
      </c>
      <c r="X106" s="38">
        <v>0</v>
      </c>
      <c r="Y106" s="33" t="s">
        <v>277</v>
      </c>
      <c r="Z106" s="38">
        <v>4.5776527644889103E-3</v>
      </c>
      <c r="AA106" s="38">
        <v>0</v>
      </c>
      <c r="AB106" s="38">
        <v>0</v>
      </c>
      <c r="AC106" s="33" t="s">
        <v>277</v>
      </c>
      <c r="AD106" s="38">
        <v>0</v>
      </c>
      <c r="AE106" s="38">
        <v>0</v>
      </c>
      <c r="AF106" s="38">
        <v>0</v>
      </c>
      <c r="AG106" s="38">
        <v>0</v>
      </c>
      <c r="AH106" s="38">
        <v>0</v>
      </c>
      <c r="AI106" s="33" t="s">
        <v>277</v>
      </c>
      <c r="AJ106" s="38">
        <v>0</v>
      </c>
      <c r="AK106" s="38">
        <v>0</v>
      </c>
      <c r="AL106" s="38">
        <v>0</v>
      </c>
      <c r="AM106" s="38">
        <v>0</v>
      </c>
      <c r="AN106" s="38">
        <v>0</v>
      </c>
      <c r="AO106" s="33" t="s">
        <v>277</v>
      </c>
      <c r="AP106" s="38">
        <v>3.0807325180000001E-2</v>
      </c>
      <c r="AQ106" s="38">
        <v>0</v>
      </c>
      <c r="AR106" s="38">
        <v>0</v>
      </c>
      <c r="AS106" s="38">
        <v>0</v>
      </c>
      <c r="AT106" s="33" t="s">
        <v>277</v>
      </c>
      <c r="AU106" s="38">
        <v>3.0807325180000001E-2</v>
      </c>
      <c r="AV106" s="38">
        <v>0</v>
      </c>
      <c r="AW106" s="38">
        <v>0</v>
      </c>
      <c r="AX106" s="33" t="s">
        <v>277</v>
      </c>
      <c r="AY106" s="38">
        <v>0</v>
      </c>
      <c r="AZ106" s="38">
        <v>0</v>
      </c>
      <c r="BA106" s="38">
        <v>0</v>
      </c>
      <c r="BB106" s="38">
        <v>0</v>
      </c>
      <c r="BC106" s="38">
        <v>0</v>
      </c>
      <c r="BD106" s="33" t="s">
        <v>277</v>
      </c>
      <c r="BE106" s="38">
        <v>0</v>
      </c>
      <c r="BF106" s="38">
        <v>0</v>
      </c>
      <c r="BG106" s="38">
        <v>0</v>
      </c>
      <c r="BH106" s="38">
        <v>0</v>
      </c>
      <c r="BI106" s="38">
        <v>0</v>
      </c>
      <c r="BJ106" s="33" t="s">
        <v>277</v>
      </c>
      <c r="BK106" s="37" t="s">
        <v>277</v>
      </c>
      <c r="BL106" s="33" t="s">
        <v>277</v>
      </c>
    </row>
    <row r="107" spans="2:64" ht="19.899999999999999" customHeight="1">
      <c r="B107" s="30" t="s">
        <v>603</v>
      </c>
      <c r="C107" s="30" t="s">
        <v>216</v>
      </c>
      <c r="D107" s="30" t="s">
        <v>650</v>
      </c>
      <c r="E107" s="33"/>
      <c r="F107" s="30" t="s">
        <v>604</v>
      </c>
      <c r="G107" s="35">
        <v>1</v>
      </c>
      <c r="H107" s="30" t="s">
        <v>608</v>
      </c>
      <c r="I107" s="36">
        <v>50</v>
      </c>
      <c r="J107" s="36">
        <v>50</v>
      </c>
      <c r="K107" s="35">
        <v>0</v>
      </c>
      <c r="L107" s="30" t="s">
        <v>606</v>
      </c>
      <c r="M107" s="35">
        <v>406.15</v>
      </c>
      <c r="N107" s="35">
        <v>311.13</v>
      </c>
      <c r="O107" s="35">
        <v>95.01</v>
      </c>
      <c r="P107" s="35">
        <v>406.15</v>
      </c>
      <c r="Q107" s="35">
        <v>256.61</v>
      </c>
      <c r="R107" s="35">
        <v>88.85</v>
      </c>
      <c r="S107" s="35">
        <v>345.46</v>
      </c>
      <c r="T107" s="33"/>
      <c r="U107" s="35">
        <v>296.49</v>
      </c>
      <c r="V107" s="35">
        <v>14.46</v>
      </c>
      <c r="W107" s="35">
        <v>0</v>
      </c>
      <c r="X107" s="35">
        <v>0.18</v>
      </c>
      <c r="Y107" s="33"/>
      <c r="Z107" s="35">
        <v>296.49</v>
      </c>
      <c r="AA107" s="35">
        <v>0.05</v>
      </c>
      <c r="AB107" s="35">
        <v>14.41</v>
      </c>
      <c r="AC107" s="33"/>
      <c r="AD107" s="35">
        <v>0</v>
      </c>
      <c r="AE107" s="35">
        <v>0</v>
      </c>
      <c r="AF107" s="35">
        <v>0</v>
      </c>
      <c r="AG107" s="35">
        <v>0</v>
      </c>
      <c r="AH107" s="35">
        <v>0</v>
      </c>
      <c r="AI107" s="33"/>
      <c r="AJ107" s="35">
        <v>5.5</v>
      </c>
      <c r="AK107" s="35">
        <v>0.02</v>
      </c>
      <c r="AL107" s="35">
        <v>0.24</v>
      </c>
      <c r="AM107" s="35">
        <v>0</v>
      </c>
      <c r="AN107" s="35">
        <v>-5.58</v>
      </c>
      <c r="AO107" s="33"/>
      <c r="AP107" s="35">
        <v>184.41</v>
      </c>
      <c r="AQ107" s="35">
        <v>58.1</v>
      </c>
      <c r="AR107" s="35">
        <v>0</v>
      </c>
      <c r="AS107" s="35">
        <v>14.09</v>
      </c>
      <c r="AT107" s="33"/>
      <c r="AU107" s="35">
        <v>184.41</v>
      </c>
      <c r="AV107" s="35">
        <v>0.56999999999999995</v>
      </c>
      <c r="AW107" s="35">
        <v>57.54</v>
      </c>
      <c r="AX107" s="33"/>
      <c r="AY107" s="35">
        <v>0</v>
      </c>
      <c r="AZ107" s="35">
        <v>0</v>
      </c>
      <c r="BA107" s="35">
        <v>0</v>
      </c>
      <c r="BB107" s="35">
        <v>0</v>
      </c>
      <c r="BC107" s="35">
        <v>0</v>
      </c>
      <c r="BD107" s="33"/>
      <c r="BE107" s="35">
        <v>51.94</v>
      </c>
      <c r="BF107" s="35">
        <v>0.2</v>
      </c>
      <c r="BG107" s="35">
        <v>1.5</v>
      </c>
      <c r="BH107" s="35">
        <v>0.01</v>
      </c>
      <c r="BI107" s="35">
        <v>-39.56</v>
      </c>
      <c r="BJ107" s="33"/>
      <c r="BK107" s="30"/>
      <c r="BL107" s="33"/>
    </row>
    <row r="108" spans="2:64" ht="19.899999999999999" customHeight="1">
      <c r="B108" s="37" t="s">
        <v>603</v>
      </c>
      <c r="C108" s="37" t="s">
        <v>353</v>
      </c>
      <c r="D108" s="37" t="s">
        <v>375</v>
      </c>
      <c r="E108" s="33"/>
      <c r="F108" s="37" t="s">
        <v>604</v>
      </c>
      <c r="G108" s="38">
        <v>1</v>
      </c>
      <c r="H108" s="37" t="s">
        <v>118</v>
      </c>
      <c r="I108" s="39">
        <v>100</v>
      </c>
      <c r="J108" s="39">
        <v>50</v>
      </c>
      <c r="K108" s="38">
        <v>0</v>
      </c>
      <c r="L108" s="37" t="s">
        <v>606</v>
      </c>
      <c r="M108" s="38">
        <v>1.0487118115588758</v>
      </c>
      <c r="N108" s="38">
        <v>0.80670138610941988</v>
      </c>
      <c r="O108" s="38">
        <v>0.24201042544945586</v>
      </c>
      <c r="P108" s="38">
        <v>1.0487118115588758</v>
      </c>
      <c r="Q108" s="38">
        <v>7.7510802221200006</v>
      </c>
      <c r="R108" s="38">
        <v>2.3253241590360774</v>
      </c>
      <c r="S108" s="38">
        <v>10.076404381156078</v>
      </c>
      <c r="T108" s="33" t="s">
        <v>277</v>
      </c>
      <c r="U108" s="38">
        <v>0</v>
      </c>
      <c r="V108" s="38">
        <v>0.38478188192242263</v>
      </c>
      <c r="W108" s="38">
        <v>3.4368672737500001E-2</v>
      </c>
      <c r="X108" s="38">
        <v>0.38755083144949726</v>
      </c>
      <c r="Y108" s="33" t="s">
        <v>277</v>
      </c>
      <c r="Z108" s="38">
        <v>0</v>
      </c>
      <c r="AA108" s="38">
        <v>0.23806667869440501</v>
      </c>
      <c r="AB108" s="38">
        <v>0.14671520322801762</v>
      </c>
      <c r="AC108" s="33" t="s">
        <v>277</v>
      </c>
      <c r="AD108" s="38">
        <v>3.4368672737500001E-2</v>
      </c>
      <c r="AE108" s="38">
        <v>0</v>
      </c>
      <c r="AF108" s="38">
        <v>0</v>
      </c>
      <c r="AG108" s="38">
        <v>0</v>
      </c>
      <c r="AH108" s="38">
        <v>0</v>
      </c>
      <c r="AI108" s="33" t="s">
        <v>277</v>
      </c>
      <c r="AJ108" s="38">
        <v>0.14304732314731719</v>
      </c>
      <c r="AK108" s="38">
        <v>0.24049063033202076</v>
      </c>
      <c r="AL108" s="38">
        <v>0</v>
      </c>
      <c r="AM108" s="38">
        <v>4.0128779701592999E-3</v>
      </c>
      <c r="AN108" s="38">
        <v>0</v>
      </c>
      <c r="AO108" s="33" t="s">
        <v>277</v>
      </c>
      <c r="AP108" s="38">
        <v>0</v>
      </c>
      <c r="AQ108" s="38">
        <v>3.8660083250000001</v>
      </c>
      <c r="AR108" s="38">
        <v>0</v>
      </c>
      <c r="AS108" s="38">
        <v>3.88507189712</v>
      </c>
      <c r="AT108" s="33" t="s">
        <v>277</v>
      </c>
      <c r="AU108" s="38">
        <v>0</v>
      </c>
      <c r="AV108" s="38">
        <v>2.4810712850000001</v>
      </c>
      <c r="AW108" s="38">
        <v>1.3849370400000001</v>
      </c>
      <c r="AX108" s="33" t="s">
        <v>277</v>
      </c>
      <c r="AY108" s="38">
        <v>0</v>
      </c>
      <c r="AZ108" s="38">
        <v>0</v>
      </c>
      <c r="BA108" s="38">
        <v>0</v>
      </c>
      <c r="BB108" s="38">
        <v>0</v>
      </c>
      <c r="BC108" s="38">
        <v>0</v>
      </c>
      <c r="BD108" s="33" t="s">
        <v>277</v>
      </c>
      <c r="BE108" s="38">
        <v>1.3503136140000001</v>
      </c>
      <c r="BF108" s="38">
        <v>2.5063331017200001</v>
      </c>
      <c r="BG108" s="38">
        <v>0</v>
      </c>
      <c r="BH108" s="38">
        <v>2.8425181400000003E-2</v>
      </c>
      <c r="BI108" s="38">
        <v>0</v>
      </c>
      <c r="BJ108" s="33"/>
      <c r="BK108" s="37"/>
      <c r="BL108" s="33"/>
    </row>
    <row r="109" spans="2:64" ht="19.899999999999999" customHeight="1">
      <c r="B109" s="30" t="s">
        <v>603</v>
      </c>
      <c r="C109" s="30" t="s">
        <v>644</v>
      </c>
      <c r="D109" s="30" t="s">
        <v>512</v>
      </c>
      <c r="E109" s="33" t="s">
        <v>277</v>
      </c>
      <c r="F109" s="30" t="s">
        <v>604</v>
      </c>
      <c r="G109" s="35">
        <v>1</v>
      </c>
      <c r="H109" s="30" t="s">
        <v>608</v>
      </c>
      <c r="I109" s="36">
        <v>12</v>
      </c>
      <c r="J109" s="36">
        <v>12</v>
      </c>
      <c r="K109" s="35">
        <v>3.166666666666667</v>
      </c>
      <c r="L109" s="30" t="s">
        <v>606</v>
      </c>
      <c r="M109" s="35">
        <v>5.1247356751098003</v>
      </c>
      <c r="N109" s="35">
        <v>16.272206787368685</v>
      </c>
      <c r="O109" s="35">
        <v>5.080858525588817</v>
      </c>
      <c r="P109" s="35">
        <v>21.353065312957501</v>
      </c>
      <c r="Q109" s="35">
        <v>136.69789014247954</v>
      </c>
      <c r="R109" s="35">
        <v>42.218388447151831</v>
      </c>
      <c r="S109" s="35">
        <v>178.91627858963139</v>
      </c>
      <c r="T109" s="33" t="s">
        <v>277</v>
      </c>
      <c r="U109" s="35">
        <v>3.8346874689066639</v>
      </c>
      <c r="V109" s="35">
        <v>0.13472318333184841</v>
      </c>
      <c r="W109" s="35">
        <v>12.3668771584002</v>
      </c>
      <c r="X109" s="35">
        <v>-6.4081023270028403E-2</v>
      </c>
      <c r="Y109" s="33" t="s">
        <v>277</v>
      </c>
      <c r="Z109" s="35">
        <v>3.8346874689066639</v>
      </c>
      <c r="AA109" s="35">
        <v>1.6334251517627494E-2</v>
      </c>
      <c r="AB109" s="35">
        <v>0.1183889318142209</v>
      </c>
      <c r="AC109" s="33" t="s">
        <v>277</v>
      </c>
      <c r="AD109" s="35">
        <v>0</v>
      </c>
      <c r="AE109" s="35">
        <v>0</v>
      </c>
      <c r="AF109" s="35">
        <v>0</v>
      </c>
      <c r="AG109" s="35">
        <v>12.3668771584002</v>
      </c>
      <c r="AH109" s="35">
        <v>0</v>
      </c>
      <c r="AI109" s="33" t="s">
        <v>277</v>
      </c>
      <c r="AJ109" s="35">
        <v>0</v>
      </c>
      <c r="AK109" s="35">
        <v>6.8184786232602101E-3</v>
      </c>
      <c r="AL109" s="35">
        <v>8.8457528093144666E-2</v>
      </c>
      <c r="AM109" s="35">
        <v>0</v>
      </c>
      <c r="AN109" s="35">
        <v>-0.15935702998643328</v>
      </c>
      <c r="AO109" s="33" t="s">
        <v>277</v>
      </c>
      <c r="AP109" s="35">
        <v>30.990074882299997</v>
      </c>
      <c r="AQ109" s="35">
        <v>1.1192540300636908</v>
      </c>
      <c r="AR109" s="35">
        <v>103.89039650828444</v>
      </c>
      <c r="AS109" s="35">
        <v>0.69816472183139999</v>
      </c>
      <c r="AT109" s="33" t="s">
        <v>277</v>
      </c>
      <c r="AU109" s="35">
        <v>30.990074882299997</v>
      </c>
      <c r="AV109" s="35">
        <v>0.1355246296083</v>
      </c>
      <c r="AW109" s="35">
        <v>0.98372940045539092</v>
      </c>
      <c r="AX109" s="33" t="s">
        <v>277</v>
      </c>
      <c r="AY109" s="35">
        <v>0</v>
      </c>
      <c r="AZ109" s="35">
        <v>0</v>
      </c>
      <c r="BA109" s="35">
        <v>0</v>
      </c>
      <c r="BB109" s="35">
        <v>103.89039650828444</v>
      </c>
      <c r="BC109" s="35">
        <v>0</v>
      </c>
      <c r="BD109" s="33" t="s">
        <v>277</v>
      </c>
      <c r="BE109" s="35">
        <v>0</v>
      </c>
      <c r="BF109" s="35">
        <v>5.6572643620200001E-2</v>
      </c>
      <c r="BG109" s="35">
        <v>1.6088078596511999</v>
      </c>
      <c r="BH109" s="35">
        <v>0</v>
      </c>
      <c r="BI109" s="35">
        <v>-0.96721578143999998</v>
      </c>
      <c r="BJ109" s="33" t="s">
        <v>277</v>
      </c>
      <c r="BK109" s="30" t="s">
        <v>277</v>
      </c>
      <c r="BL109" s="33" t="s">
        <v>277</v>
      </c>
    </row>
    <row r="110" spans="2:64" ht="19.899999999999999" customHeight="1">
      <c r="B110" s="37" t="s">
        <v>603</v>
      </c>
      <c r="C110" s="37" t="s">
        <v>644</v>
      </c>
      <c r="D110" s="37" t="s">
        <v>105</v>
      </c>
      <c r="E110" s="33" t="s">
        <v>277</v>
      </c>
      <c r="F110" s="37" t="s">
        <v>627</v>
      </c>
      <c r="G110" s="38">
        <v>1</v>
      </c>
      <c r="H110" s="37" t="s">
        <v>613</v>
      </c>
      <c r="I110" s="39">
        <v>999</v>
      </c>
      <c r="J110" s="39">
        <v>50</v>
      </c>
      <c r="K110" s="38">
        <v>0</v>
      </c>
      <c r="L110" s="37" t="s">
        <v>606</v>
      </c>
      <c r="M110" s="38">
        <v>1.6700055940885286</v>
      </c>
      <c r="N110" s="38">
        <v>1.6700055940885286</v>
      </c>
      <c r="O110" s="38">
        <v>0</v>
      </c>
      <c r="P110" s="38">
        <v>1.6700055940885286</v>
      </c>
      <c r="Q110" s="38">
        <v>11.222864138303999</v>
      </c>
      <c r="R110" s="38">
        <v>0</v>
      </c>
      <c r="S110" s="38">
        <v>11.222864138303999</v>
      </c>
      <c r="T110" s="33" t="s">
        <v>277</v>
      </c>
      <c r="U110" s="38">
        <v>0</v>
      </c>
      <c r="V110" s="38">
        <v>1.6700055940885286</v>
      </c>
      <c r="W110" s="38">
        <v>0</v>
      </c>
      <c r="X110" s="38">
        <v>0</v>
      </c>
      <c r="Y110" s="33" t="s">
        <v>277</v>
      </c>
      <c r="Z110" s="38">
        <v>0</v>
      </c>
      <c r="AA110" s="38">
        <v>0</v>
      </c>
      <c r="AB110" s="38">
        <v>1.6700055940885286</v>
      </c>
      <c r="AC110" s="33" t="s">
        <v>277</v>
      </c>
      <c r="AD110" s="38">
        <v>0</v>
      </c>
      <c r="AE110" s="38">
        <v>0</v>
      </c>
      <c r="AF110" s="38">
        <v>0</v>
      </c>
      <c r="AG110" s="38">
        <v>0</v>
      </c>
      <c r="AH110" s="38">
        <v>0</v>
      </c>
      <c r="AI110" s="33" t="s">
        <v>277</v>
      </c>
      <c r="AJ110" s="38">
        <v>0</v>
      </c>
      <c r="AK110" s="38">
        <v>0</v>
      </c>
      <c r="AL110" s="38">
        <v>0</v>
      </c>
      <c r="AM110" s="38">
        <v>0</v>
      </c>
      <c r="AN110" s="38">
        <v>0</v>
      </c>
      <c r="AO110" s="33" t="s">
        <v>277</v>
      </c>
      <c r="AP110" s="38">
        <v>0</v>
      </c>
      <c r="AQ110" s="38">
        <v>11.222864138303999</v>
      </c>
      <c r="AR110" s="38">
        <v>0</v>
      </c>
      <c r="AS110" s="38">
        <v>0</v>
      </c>
      <c r="AT110" s="33" t="s">
        <v>277</v>
      </c>
      <c r="AU110" s="38">
        <v>0</v>
      </c>
      <c r="AV110" s="38">
        <v>0</v>
      </c>
      <c r="AW110" s="38">
        <v>11.222864138303999</v>
      </c>
      <c r="AX110" s="33" t="s">
        <v>277</v>
      </c>
      <c r="AY110" s="38">
        <v>0</v>
      </c>
      <c r="AZ110" s="38">
        <v>0</v>
      </c>
      <c r="BA110" s="38">
        <v>0</v>
      </c>
      <c r="BB110" s="38">
        <v>0</v>
      </c>
      <c r="BC110" s="38">
        <v>0</v>
      </c>
      <c r="BD110" s="33" t="s">
        <v>277</v>
      </c>
      <c r="BE110" s="38">
        <v>0</v>
      </c>
      <c r="BF110" s="38">
        <v>0</v>
      </c>
      <c r="BG110" s="38">
        <v>0</v>
      </c>
      <c r="BH110" s="38">
        <v>0</v>
      </c>
      <c r="BI110" s="38">
        <v>0</v>
      </c>
      <c r="BJ110" s="33" t="s">
        <v>277</v>
      </c>
      <c r="BK110" s="37" t="s">
        <v>277</v>
      </c>
      <c r="BL110" s="33" t="s">
        <v>277</v>
      </c>
    </row>
    <row r="111" spans="2:64" ht="19.899999999999999" customHeight="1">
      <c r="B111" s="30" t="s">
        <v>603</v>
      </c>
      <c r="C111" s="30" t="s">
        <v>216</v>
      </c>
      <c r="D111" s="30" t="s">
        <v>631</v>
      </c>
      <c r="E111" s="33" t="s">
        <v>277</v>
      </c>
      <c r="F111" s="30" t="s">
        <v>604</v>
      </c>
      <c r="G111" s="35">
        <v>1</v>
      </c>
      <c r="H111" s="30" t="s">
        <v>632</v>
      </c>
      <c r="I111" s="36">
        <v>999</v>
      </c>
      <c r="J111" s="36">
        <v>50</v>
      </c>
      <c r="K111" s="35">
        <v>0</v>
      </c>
      <c r="L111" s="30" t="s">
        <v>606</v>
      </c>
      <c r="M111" s="35">
        <v>0.42989128767247115</v>
      </c>
      <c r="N111" s="35">
        <v>0.33068560286953197</v>
      </c>
      <c r="O111" s="35">
        <v>9.9205684802939176E-2</v>
      </c>
      <c r="P111" s="35">
        <v>0.42989128767247115</v>
      </c>
      <c r="Q111" s="35">
        <v>3.4879264000000001</v>
      </c>
      <c r="R111" s="35">
        <v>1.0463779615793229</v>
      </c>
      <c r="S111" s="35">
        <v>4.5343043615793235</v>
      </c>
      <c r="T111" s="33" t="s">
        <v>277</v>
      </c>
      <c r="U111" s="35">
        <v>0</v>
      </c>
      <c r="V111" s="35">
        <v>0.33068560286953197</v>
      </c>
      <c r="W111" s="35">
        <v>0</v>
      </c>
      <c r="X111" s="35">
        <v>0</v>
      </c>
      <c r="Y111" s="33" t="s">
        <v>277</v>
      </c>
      <c r="Z111" s="35">
        <v>0</v>
      </c>
      <c r="AA111" s="35">
        <v>0</v>
      </c>
      <c r="AB111" s="35">
        <v>0.33068560286953197</v>
      </c>
      <c r="AC111" s="33" t="s">
        <v>277</v>
      </c>
      <c r="AD111" s="35">
        <v>0</v>
      </c>
      <c r="AE111" s="35">
        <v>0</v>
      </c>
      <c r="AF111" s="35">
        <v>0</v>
      </c>
      <c r="AG111" s="35">
        <v>0</v>
      </c>
      <c r="AH111" s="35">
        <v>0</v>
      </c>
      <c r="AI111" s="33" t="s">
        <v>277</v>
      </c>
      <c r="AJ111" s="35">
        <v>0</v>
      </c>
      <c r="AK111" s="35">
        <v>0</v>
      </c>
      <c r="AL111" s="35">
        <v>0</v>
      </c>
      <c r="AM111" s="35">
        <v>0</v>
      </c>
      <c r="AN111" s="35">
        <v>0</v>
      </c>
      <c r="AO111" s="33" t="s">
        <v>277</v>
      </c>
      <c r="AP111" s="35">
        <v>0</v>
      </c>
      <c r="AQ111" s="35">
        <v>3.4879264000000001</v>
      </c>
      <c r="AR111" s="35">
        <v>0</v>
      </c>
      <c r="AS111" s="35">
        <v>0</v>
      </c>
      <c r="AT111" s="33" t="s">
        <v>277</v>
      </c>
      <c r="AU111" s="35">
        <v>0</v>
      </c>
      <c r="AV111" s="35">
        <v>0</v>
      </c>
      <c r="AW111" s="35">
        <v>3.4879264000000001</v>
      </c>
      <c r="AX111" s="33" t="s">
        <v>277</v>
      </c>
      <c r="AY111" s="35">
        <v>0</v>
      </c>
      <c r="AZ111" s="35">
        <v>0</v>
      </c>
      <c r="BA111" s="35">
        <v>0</v>
      </c>
      <c r="BB111" s="35">
        <v>0</v>
      </c>
      <c r="BC111" s="35">
        <v>0</v>
      </c>
      <c r="BD111" s="33" t="s">
        <v>277</v>
      </c>
      <c r="BE111" s="35">
        <v>0</v>
      </c>
      <c r="BF111" s="35">
        <v>0</v>
      </c>
      <c r="BG111" s="35">
        <v>0</v>
      </c>
      <c r="BH111" s="35">
        <v>0</v>
      </c>
      <c r="BI111" s="35">
        <v>0</v>
      </c>
      <c r="BJ111" s="33" t="s">
        <v>277</v>
      </c>
      <c r="BK111" s="30" t="s">
        <v>277</v>
      </c>
      <c r="BL111" s="33" t="s">
        <v>277</v>
      </c>
    </row>
    <row r="112" spans="2:64" ht="19.899999999999999" customHeight="1">
      <c r="B112" s="37" t="s">
        <v>603</v>
      </c>
      <c r="C112" s="37" t="s">
        <v>216</v>
      </c>
      <c r="D112" s="37" t="s">
        <v>651</v>
      </c>
      <c r="E112" s="33" t="s">
        <v>277</v>
      </c>
      <c r="F112" s="37" t="s">
        <v>604</v>
      </c>
      <c r="G112" s="38">
        <v>1</v>
      </c>
      <c r="H112" s="37" t="s">
        <v>632</v>
      </c>
      <c r="I112" s="39">
        <v>999</v>
      </c>
      <c r="J112" s="39">
        <v>50</v>
      </c>
      <c r="K112" s="38">
        <v>0</v>
      </c>
      <c r="L112" s="37" t="s">
        <v>606</v>
      </c>
      <c r="M112" s="38">
        <v>0.46232819403058145</v>
      </c>
      <c r="N112" s="38">
        <v>0.355637069070044</v>
      </c>
      <c r="O112" s="38">
        <v>0.10669112496053744</v>
      </c>
      <c r="P112" s="38">
        <v>0.46232819403058145</v>
      </c>
      <c r="Q112" s="38">
        <v>3.4623425999999999</v>
      </c>
      <c r="R112" s="38">
        <v>1.0387028212743403</v>
      </c>
      <c r="S112" s="38">
        <v>4.5010454212743403</v>
      </c>
      <c r="T112" s="33" t="s">
        <v>277</v>
      </c>
      <c r="U112" s="38">
        <v>0</v>
      </c>
      <c r="V112" s="38">
        <v>0.355637069070044</v>
      </c>
      <c r="W112" s="38">
        <v>0</v>
      </c>
      <c r="X112" s="38">
        <v>0</v>
      </c>
      <c r="Y112" s="33" t="s">
        <v>277</v>
      </c>
      <c r="Z112" s="38">
        <v>0</v>
      </c>
      <c r="AA112" s="38">
        <v>0</v>
      </c>
      <c r="AB112" s="38">
        <v>0.355637069070044</v>
      </c>
      <c r="AC112" s="33" t="s">
        <v>277</v>
      </c>
      <c r="AD112" s="38">
        <v>0</v>
      </c>
      <c r="AE112" s="38">
        <v>0</v>
      </c>
      <c r="AF112" s="38">
        <v>0</v>
      </c>
      <c r="AG112" s="38">
        <v>0</v>
      </c>
      <c r="AH112" s="38">
        <v>0</v>
      </c>
      <c r="AI112" s="33" t="s">
        <v>277</v>
      </c>
      <c r="AJ112" s="38">
        <v>0</v>
      </c>
      <c r="AK112" s="38">
        <v>0</v>
      </c>
      <c r="AL112" s="38">
        <v>0</v>
      </c>
      <c r="AM112" s="38">
        <v>0</v>
      </c>
      <c r="AN112" s="38">
        <v>0</v>
      </c>
      <c r="AO112" s="33" t="s">
        <v>277</v>
      </c>
      <c r="AP112" s="38">
        <v>0</v>
      </c>
      <c r="AQ112" s="38">
        <v>3.4623425999999999</v>
      </c>
      <c r="AR112" s="38">
        <v>0</v>
      </c>
      <c r="AS112" s="38">
        <v>0</v>
      </c>
      <c r="AT112" s="33" t="s">
        <v>277</v>
      </c>
      <c r="AU112" s="38">
        <v>0</v>
      </c>
      <c r="AV112" s="38">
        <v>0</v>
      </c>
      <c r="AW112" s="38">
        <v>3.4623425999999999</v>
      </c>
      <c r="AX112" s="33" t="s">
        <v>277</v>
      </c>
      <c r="AY112" s="38">
        <v>0</v>
      </c>
      <c r="AZ112" s="38">
        <v>0</v>
      </c>
      <c r="BA112" s="38">
        <v>0</v>
      </c>
      <c r="BB112" s="38">
        <v>0</v>
      </c>
      <c r="BC112" s="38">
        <v>0</v>
      </c>
      <c r="BD112" s="33" t="s">
        <v>277</v>
      </c>
      <c r="BE112" s="38">
        <v>0</v>
      </c>
      <c r="BF112" s="38">
        <v>0</v>
      </c>
      <c r="BG112" s="38">
        <v>0</v>
      </c>
      <c r="BH112" s="38">
        <v>0</v>
      </c>
      <c r="BI112" s="38">
        <v>0</v>
      </c>
      <c r="BJ112" s="33" t="s">
        <v>277</v>
      </c>
      <c r="BK112" s="37" t="s">
        <v>277</v>
      </c>
      <c r="BL112" s="33" t="s">
        <v>277</v>
      </c>
    </row>
    <row r="113" spans="2:64" ht="19.899999999999999" customHeight="1">
      <c r="B113" s="37" t="s">
        <v>603</v>
      </c>
      <c r="C113" s="37" t="s">
        <v>353</v>
      </c>
      <c r="D113" s="37" t="s">
        <v>396</v>
      </c>
      <c r="E113" s="33"/>
      <c r="F113" s="37" t="s">
        <v>641</v>
      </c>
      <c r="G113" s="38">
        <v>1</v>
      </c>
      <c r="H113" s="37" t="s">
        <v>112</v>
      </c>
      <c r="I113" s="39">
        <v>25</v>
      </c>
      <c r="J113" s="39">
        <v>50</v>
      </c>
      <c r="K113" s="38">
        <v>1</v>
      </c>
      <c r="L113" s="37" t="s">
        <v>606</v>
      </c>
      <c r="M113" s="38"/>
      <c r="N113" s="38"/>
      <c r="O113" s="38"/>
      <c r="P113" s="38">
        <f>SUM(Z113:AN113)</f>
        <v>18.18094</v>
      </c>
      <c r="Q113" s="38"/>
      <c r="R113" s="38"/>
      <c r="S113" s="38"/>
      <c r="T113" s="33"/>
      <c r="U113" s="38"/>
      <c r="V113" s="38"/>
      <c r="W113" s="38"/>
      <c r="X113" s="38"/>
      <c r="Y113" s="33"/>
      <c r="Z113" s="38">
        <v>10.5</v>
      </c>
      <c r="AA113" s="38">
        <v>2.8119999999999998</v>
      </c>
      <c r="AB113" s="38">
        <v>3.5840000000000001</v>
      </c>
      <c r="AC113" s="33"/>
      <c r="AD113" s="38">
        <v>0</v>
      </c>
      <c r="AE113" s="38">
        <v>0</v>
      </c>
      <c r="AF113" s="38">
        <v>0</v>
      </c>
      <c r="AG113" s="38">
        <v>0</v>
      </c>
      <c r="AH113" s="38">
        <v>0</v>
      </c>
      <c r="AI113" s="33"/>
      <c r="AJ113" s="38">
        <v>0.71799999999999997</v>
      </c>
      <c r="AK113" s="38">
        <v>0.95620000000000005</v>
      </c>
      <c r="AL113" s="38">
        <v>0.38779999999999998</v>
      </c>
      <c r="AM113" s="38">
        <v>1.704E-2</v>
      </c>
      <c r="AN113" s="38">
        <v>-0.79410000000000003</v>
      </c>
      <c r="AO113" s="33"/>
      <c r="AP113" s="38"/>
      <c r="AQ113" s="38"/>
      <c r="AR113" s="38"/>
      <c r="AS113" s="38"/>
      <c r="AT113" s="33"/>
      <c r="AU113" s="38">
        <v>123.6</v>
      </c>
      <c r="AV113" s="38">
        <v>31.66</v>
      </c>
      <c r="AW113" s="38">
        <v>16.57</v>
      </c>
      <c r="AX113" s="33"/>
      <c r="AY113" s="38">
        <v>0</v>
      </c>
      <c r="AZ113" s="38">
        <v>0</v>
      </c>
      <c r="BA113" s="38">
        <v>0</v>
      </c>
      <c r="BB113" s="38">
        <v>0</v>
      </c>
      <c r="BC113" s="38">
        <v>0</v>
      </c>
      <c r="BD113" s="33"/>
      <c r="BE113" s="38">
        <v>5.36</v>
      </c>
      <c r="BF113" s="38">
        <v>10.76</v>
      </c>
      <c r="BG113" s="38">
        <v>3.7549999999999999</v>
      </c>
      <c r="BH113" s="38">
        <v>0.1207</v>
      </c>
      <c r="BI113" s="38">
        <v>-6.1719999999999997</v>
      </c>
      <c r="BJ113" s="33"/>
      <c r="BK113" s="37"/>
      <c r="BL113" s="33" t="s">
        <v>277</v>
      </c>
    </row>
    <row r="114" spans="2:64" ht="19.899999999999999" customHeight="1">
      <c r="B114" s="30" t="s">
        <v>603</v>
      </c>
      <c r="C114" s="30" t="s">
        <v>353</v>
      </c>
      <c r="D114" s="30" t="s">
        <v>454</v>
      </c>
      <c r="E114" s="33"/>
      <c r="F114" s="30" t="s">
        <v>641</v>
      </c>
      <c r="G114" s="35">
        <v>1</v>
      </c>
      <c r="H114" s="30" t="s">
        <v>112</v>
      </c>
      <c r="I114" s="36">
        <v>25</v>
      </c>
      <c r="J114" s="36">
        <v>50</v>
      </c>
      <c r="K114" s="35">
        <v>1</v>
      </c>
      <c r="L114" s="30" t="s">
        <v>606</v>
      </c>
      <c r="M114" s="35"/>
      <c r="N114" s="35"/>
      <c r="O114" s="35"/>
      <c r="P114" s="35">
        <f t="shared" ref="P114:P117" si="0">SUM(Z114:AN114)</f>
        <v>16.491889999999998</v>
      </c>
      <c r="Q114" s="35"/>
      <c r="R114" s="35"/>
      <c r="S114" s="35"/>
      <c r="T114" s="33"/>
      <c r="U114" s="35"/>
      <c r="V114" s="35"/>
      <c r="W114" s="35"/>
      <c r="X114" s="35"/>
      <c r="Y114" s="33"/>
      <c r="Z114" s="35">
        <v>10.5</v>
      </c>
      <c r="AA114" s="35">
        <v>2.8210000000000002</v>
      </c>
      <c r="AB114" s="35">
        <v>0.72889999999999999</v>
      </c>
      <c r="AC114" s="33"/>
      <c r="AD114" s="35">
        <v>0</v>
      </c>
      <c r="AE114" s="35">
        <v>0</v>
      </c>
      <c r="AF114" s="35">
        <v>0</v>
      </c>
      <c r="AG114" s="35">
        <v>0</v>
      </c>
      <c r="AH114" s="35">
        <v>0</v>
      </c>
      <c r="AI114" s="33"/>
      <c r="AJ114" s="35">
        <v>1.7949999999999999</v>
      </c>
      <c r="AK114" s="35">
        <v>0.95899999999999996</v>
      </c>
      <c r="AL114" s="35">
        <v>0.38900000000000001</v>
      </c>
      <c r="AM114" s="35">
        <v>1.7090000000000001E-2</v>
      </c>
      <c r="AN114" s="35">
        <v>-0.71809999999999996</v>
      </c>
      <c r="AO114" s="33"/>
      <c r="AP114" s="35"/>
      <c r="AQ114" s="35"/>
      <c r="AR114" s="35"/>
      <c r="AS114" s="35"/>
      <c r="AT114" s="33"/>
      <c r="AU114" s="35"/>
      <c r="AV114" s="35"/>
      <c r="AW114" s="35"/>
      <c r="AX114" s="33"/>
      <c r="AY114" s="35"/>
      <c r="AZ114" s="35"/>
      <c r="BA114" s="35"/>
      <c r="BB114" s="35"/>
      <c r="BC114" s="35"/>
      <c r="BD114" s="33"/>
      <c r="BE114" s="35"/>
      <c r="BF114" s="35"/>
      <c r="BG114" s="35"/>
      <c r="BH114" s="35"/>
      <c r="BI114" s="35"/>
      <c r="BJ114" s="33"/>
      <c r="BK114" s="30"/>
      <c r="BL114" s="33"/>
    </row>
    <row r="115" spans="2:64" ht="19.899999999999999" customHeight="1">
      <c r="B115" s="37" t="s">
        <v>603</v>
      </c>
      <c r="C115" s="37" t="s">
        <v>353</v>
      </c>
      <c r="D115" s="37" t="s">
        <v>458</v>
      </c>
      <c r="E115" s="33"/>
      <c r="F115" s="37" t="s">
        <v>641</v>
      </c>
      <c r="G115" s="38">
        <v>1</v>
      </c>
      <c r="H115" s="37" t="s">
        <v>112</v>
      </c>
      <c r="I115" s="39">
        <v>25</v>
      </c>
      <c r="J115" s="39">
        <v>50</v>
      </c>
      <c r="K115" s="38">
        <v>1</v>
      </c>
      <c r="L115" s="37" t="s">
        <v>606</v>
      </c>
      <c r="M115" s="38"/>
      <c r="N115" s="38"/>
      <c r="O115" s="38"/>
      <c r="P115" s="38">
        <f t="shared" si="0"/>
        <v>18.616550000000004</v>
      </c>
      <c r="Q115" s="38"/>
      <c r="R115" s="38"/>
      <c r="S115" s="38"/>
      <c r="T115" s="33"/>
      <c r="U115" s="38"/>
      <c r="V115" s="38"/>
      <c r="W115" s="38"/>
      <c r="X115" s="38"/>
      <c r="Y115" s="33"/>
      <c r="Z115" s="38">
        <v>11.5</v>
      </c>
      <c r="AA115" s="38">
        <v>2.782</v>
      </c>
      <c r="AB115" s="38">
        <v>0.80979999999999996</v>
      </c>
      <c r="AC115" s="33"/>
      <c r="AD115" s="38">
        <v>0</v>
      </c>
      <c r="AE115" s="38">
        <v>0</v>
      </c>
      <c r="AF115" s="38">
        <v>0</v>
      </c>
      <c r="AG115" s="38">
        <v>0</v>
      </c>
      <c r="AH115" s="38">
        <v>0</v>
      </c>
      <c r="AI115" s="33"/>
      <c r="AJ115" s="38">
        <v>2.8719999999999999</v>
      </c>
      <c r="AK115" s="38">
        <v>0.94599999999999995</v>
      </c>
      <c r="AL115" s="38">
        <v>0.3836</v>
      </c>
      <c r="AM115" s="38">
        <v>1.685E-2</v>
      </c>
      <c r="AN115" s="38">
        <v>-0.69369999999999998</v>
      </c>
      <c r="AO115" s="33"/>
      <c r="AP115" s="38"/>
      <c r="AQ115" s="38"/>
      <c r="AR115" s="38"/>
      <c r="AS115" s="38"/>
      <c r="AT115" s="33"/>
      <c r="AU115" s="38"/>
      <c r="AV115" s="38"/>
      <c r="AW115" s="38"/>
      <c r="AX115" s="33"/>
      <c r="AY115" s="38"/>
      <c r="AZ115" s="38"/>
      <c r="BA115" s="38"/>
      <c r="BB115" s="38"/>
      <c r="BC115" s="38"/>
      <c r="BD115" s="33"/>
      <c r="BE115" s="38"/>
      <c r="BF115" s="38"/>
      <c r="BG115" s="38"/>
      <c r="BH115" s="38"/>
      <c r="BI115" s="38"/>
      <c r="BJ115" s="33"/>
      <c r="BK115" s="37"/>
      <c r="BL115" s="33" t="s">
        <v>277</v>
      </c>
    </row>
    <row r="116" spans="2:64" ht="19.899999999999999" customHeight="1">
      <c r="B116" s="30" t="s">
        <v>603</v>
      </c>
      <c r="C116" s="30" t="s">
        <v>353</v>
      </c>
      <c r="D116" s="30" t="s">
        <v>652</v>
      </c>
      <c r="E116" s="33"/>
      <c r="F116" s="30" t="s">
        <v>641</v>
      </c>
      <c r="G116" s="35">
        <v>1</v>
      </c>
      <c r="H116" s="30" t="s">
        <v>112</v>
      </c>
      <c r="I116" s="36">
        <v>25</v>
      </c>
      <c r="J116" s="36">
        <v>50</v>
      </c>
      <c r="K116" s="35">
        <v>1</v>
      </c>
      <c r="L116" s="30" t="s">
        <v>606</v>
      </c>
      <c r="M116" s="35"/>
      <c r="N116" s="35"/>
      <c r="O116" s="35"/>
      <c r="P116" s="35">
        <f t="shared" si="0"/>
        <v>17.557010000000002</v>
      </c>
      <c r="Q116" s="35"/>
      <c r="R116" s="35"/>
      <c r="S116" s="35"/>
      <c r="T116" s="33"/>
      <c r="U116" s="35"/>
      <c r="V116" s="35"/>
      <c r="W116" s="35"/>
      <c r="X116" s="35"/>
      <c r="Y116" s="33"/>
      <c r="Z116" s="35">
        <v>11.5</v>
      </c>
      <c r="AA116" s="35">
        <v>2.8410000000000002</v>
      </c>
      <c r="AB116" s="35">
        <v>0.76180000000000003</v>
      </c>
      <c r="AC116" s="33"/>
      <c r="AD116" s="35">
        <v>0</v>
      </c>
      <c r="AE116" s="35">
        <v>0</v>
      </c>
      <c r="AF116" s="35">
        <v>0</v>
      </c>
      <c r="AG116" s="35">
        <v>0</v>
      </c>
      <c r="AH116" s="35">
        <v>0</v>
      </c>
      <c r="AI116" s="33"/>
      <c r="AJ116" s="35">
        <v>1.7949999999999999</v>
      </c>
      <c r="AK116" s="35">
        <v>0.96609999999999996</v>
      </c>
      <c r="AL116" s="35">
        <v>0.39179999999999998</v>
      </c>
      <c r="AM116" s="35">
        <v>1.721E-2</v>
      </c>
      <c r="AN116" s="35">
        <v>-0.71589999999999998</v>
      </c>
      <c r="AO116" s="33"/>
      <c r="AP116" s="35"/>
      <c r="AQ116" s="35"/>
      <c r="AR116" s="35"/>
      <c r="AS116" s="35"/>
      <c r="AT116" s="33"/>
      <c r="AU116" s="35"/>
      <c r="AV116" s="35"/>
      <c r="AW116" s="35"/>
      <c r="AX116" s="33"/>
      <c r="AY116" s="35"/>
      <c r="AZ116" s="35"/>
      <c r="BA116" s="35"/>
      <c r="BB116" s="35"/>
      <c r="BC116" s="35"/>
      <c r="BD116" s="33"/>
      <c r="BE116" s="35"/>
      <c r="BF116" s="35"/>
      <c r="BG116" s="35"/>
      <c r="BH116" s="35"/>
      <c r="BI116" s="35"/>
      <c r="BJ116" s="33"/>
      <c r="BK116" s="30"/>
      <c r="BL116" s="33"/>
    </row>
    <row r="117" spans="2:64" ht="19.899999999999999" customHeight="1">
      <c r="B117" s="37" t="s">
        <v>603</v>
      </c>
      <c r="C117" s="37" t="s">
        <v>353</v>
      </c>
      <c r="D117" s="37" t="s">
        <v>489</v>
      </c>
      <c r="E117" s="33"/>
      <c r="F117" s="37" t="s">
        <v>641</v>
      </c>
      <c r="G117" s="38">
        <v>1</v>
      </c>
      <c r="H117" s="37" t="s">
        <v>112</v>
      </c>
      <c r="I117" s="39">
        <v>25</v>
      </c>
      <c r="J117" s="39">
        <v>50</v>
      </c>
      <c r="K117" s="38">
        <v>1</v>
      </c>
      <c r="L117" s="37" t="s">
        <v>606</v>
      </c>
      <c r="M117" s="38"/>
      <c r="N117" s="38"/>
      <c r="O117" s="38"/>
      <c r="P117" s="38">
        <f>SUM(Z117:AN117)</f>
        <v>13.443949999999999</v>
      </c>
      <c r="Q117" s="38"/>
      <c r="R117" s="38"/>
      <c r="S117" s="38"/>
      <c r="T117" s="33"/>
      <c r="U117" s="38"/>
      <c r="V117" s="38"/>
      <c r="W117" s="38"/>
      <c r="X117" s="38"/>
      <c r="Y117" s="33"/>
      <c r="Z117" s="38">
        <v>8</v>
      </c>
      <c r="AA117" s="38">
        <v>2.831</v>
      </c>
      <c r="AB117" s="38">
        <v>0.62829999999999997</v>
      </c>
      <c r="AC117" s="33"/>
      <c r="AD117" s="38">
        <v>0</v>
      </c>
      <c r="AE117" s="38">
        <v>0</v>
      </c>
      <c r="AF117" s="38">
        <v>0</v>
      </c>
      <c r="AG117" s="38">
        <v>0</v>
      </c>
      <c r="AH117" s="38">
        <v>0</v>
      </c>
      <c r="AI117" s="33"/>
      <c r="AJ117" s="38">
        <v>1.1919999999999999</v>
      </c>
      <c r="AK117" s="38">
        <v>0.96240000000000003</v>
      </c>
      <c r="AL117" s="38">
        <v>0.39029999999999998</v>
      </c>
      <c r="AM117" s="38">
        <v>1.7149999999999999E-2</v>
      </c>
      <c r="AN117" s="38">
        <v>-0.57720000000000005</v>
      </c>
      <c r="AO117" s="33"/>
      <c r="AP117" s="38"/>
      <c r="AQ117" s="38"/>
      <c r="AR117" s="38"/>
      <c r="AS117" s="38"/>
      <c r="AT117" s="33"/>
      <c r="AU117" s="38"/>
      <c r="AV117" s="38"/>
      <c r="AW117" s="38"/>
      <c r="AX117" s="33"/>
      <c r="AY117" s="38"/>
      <c r="AZ117" s="38"/>
      <c r="BA117" s="38"/>
      <c r="BB117" s="38"/>
      <c r="BC117" s="38"/>
      <c r="BD117" s="33"/>
      <c r="BE117" s="38"/>
      <c r="BF117" s="38"/>
      <c r="BG117" s="38"/>
      <c r="BH117" s="38"/>
      <c r="BI117" s="38"/>
      <c r="BJ117" s="33"/>
      <c r="BK117" s="37"/>
      <c r="BL117" s="33" t="s">
        <v>277</v>
      </c>
    </row>
    <row r="118" spans="2:64" ht="19.899999999999999" customHeight="1">
      <c r="B118" s="40" t="s">
        <v>603</v>
      </c>
      <c r="C118" s="40" t="s">
        <v>277</v>
      </c>
      <c r="D118" s="40" t="s">
        <v>277</v>
      </c>
      <c r="E118" s="33" t="s">
        <v>277</v>
      </c>
      <c r="F118" s="40" t="s">
        <v>277</v>
      </c>
      <c r="G118" s="40" t="s">
        <v>277</v>
      </c>
      <c r="H118" s="40" t="s">
        <v>277</v>
      </c>
      <c r="I118" s="40" t="s">
        <v>277</v>
      </c>
      <c r="J118" s="40" t="s">
        <v>277</v>
      </c>
      <c r="K118" s="40" t="s">
        <v>277</v>
      </c>
      <c r="L118" s="40" t="s">
        <v>277</v>
      </c>
      <c r="M118" s="40" t="s">
        <v>277</v>
      </c>
      <c r="N118" s="41">
        <f t="shared" ref="N118:S118" si="1">SUM(N13:N110)</f>
        <v>1337.139359798352</v>
      </c>
      <c r="O118" s="41">
        <f t="shared" si="1"/>
        <v>430.05534641623797</v>
      </c>
      <c r="P118" s="41">
        <f t="shared" si="1"/>
        <v>1767.2047062145903</v>
      </c>
      <c r="Q118" s="41">
        <f t="shared" si="1"/>
        <v>8670.2411182771757</v>
      </c>
      <c r="R118" s="41">
        <f t="shared" si="1"/>
        <v>2802.5949590199407</v>
      </c>
      <c r="S118" s="41">
        <f t="shared" si="1"/>
        <v>11469.542685290024</v>
      </c>
      <c r="T118" s="33" t="s">
        <v>277</v>
      </c>
      <c r="U118" s="41">
        <f>SUM(U13:U110)</f>
        <v>846.6485765101304</v>
      </c>
      <c r="V118" s="41">
        <f>SUM(V13:V110)</f>
        <v>293.98583199416828</v>
      </c>
      <c r="W118" s="41">
        <f>SUM(W13:W110)</f>
        <v>175.79245182154452</v>
      </c>
      <c r="X118" s="41">
        <f>SUM(X13:X110)</f>
        <v>20.712499472509283</v>
      </c>
      <c r="Y118" s="33" t="s">
        <v>277</v>
      </c>
      <c r="Z118" s="41">
        <f>SUM(Z13:Z110)</f>
        <v>846.6485765101304</v>
      </c>
      <c r="AA118" s="41">
        <f>SUM(AA13:AA110)</f>
        <v>58.531965189581307</v>
      </c>
      <c r="AB118" s="41">
        <f>SUM(AB13:AB110)</f>
        <v>235.45386680458699</v>
      </c>
      <c r="AC118" s="33" t="s">
        <v>277</v>
      </c>
      <c r="AD118" s="41">
        <f>SUM(AD13:AD110)</f>
        <v>0.94225616019900293</v>
      </c>
      <c r="AE118" s="41">
        <f>SUM(AE13:AE110)</f>
        <v>0</v>
      </c>
      <c r="AF118" s="41">
        <f>SUM(AF13:AF110)</f>
        <v>0</v>
      </c>
      <c r="AG118" s="41">
        <f>SUM(AG13:AG110)</f>
        <v>174.85019566134557</v>
      </c>
      <c r="AH118" s="41">
        <f>SUM(AH13:AH110)</f>
        <v>0</v>
      </c>
      <c r="AI118" s="33" t="s">
        <v>277</v>
      </c>
      <c r="AJ118" s="41">
        <f>SUM(AJ13:AJ110)</f>
        <v>75.622380692877641</v>
      </c>
      <c r="AK118" s="41">
        <f>SUM(AK13:AK110)</f>
        <v>23.561667259954</v>
      </c>
      <c r="AL118" s="41">
        <f>SUM(AL13:AL110)</f>
        <v>22.333773231189451</v>
      </c>
      <c r="AM118" s="41">
        <f>SUM(AM13:AM110)</f>
        <v>0.56027703167928411</v>
      </c>
      <c r="AN118" s="41">
        <f>SUM(AN13:AN110)</f>
        <v>-101.36559874319113</v>
      </c>
      <c r="AO118" s="33" t="s">
        <v>277</v>
      </c>
      <c r="AP118" s="41">
        <f>SUM(AP13:AP110)</f>
        <v>4316.9997175714416</v>
      </c>
      <c r="AQ118" s="41">
        <f>SUM(AQ13:AQ110)</f>
        <v>2592.5000158688499</v>
      </c>
      <c r="AR118" s="41">
        <f>SUM(AR13:AR110)</f>
        <v>1427.6192324812425</v>
      </c>
      <c r="AS118" s="41">
        <f>SUM(AS13:AS110)</f>
        <v>333.11215235564003</v>
      </c>
      <c r="AT118" s="33" t="s">
        <v>277</v>
      </c>
      <c r="AU118" s="41">
        <f>SUM(AU13:AU110)</f>
        <v>4316.9997175714416</v>
      </c>
      <c r="AV118" s="41">
        <f>SUM(AV13:AV110)</f>
        <v>506.65760601794028</v>
      </c>
      <c r="AW118" s="41">
        <f>SUM(AW13:AW110)</f>
        <v>2085.8524098509106</v>
      </c>
      <c r="AX118" s="33" t="s">
        <v>277</v>
      </c>
      <c r="AY118" s="41">
        <f>SUM(AY13:AY110)</f>
        <v>0.61874130341</v>
      </c>
      <c r="AZ118" s="41">
        <f>SUM(AZ13:AZ110)</f>
        <v>0</v>
      </c>
      <c r="BA118" s="41">
        <f>SUM(BA13:BA110)</f>
        <v>0</v>
      </c>
      <c r="BB118" s="41">
        <f>SUM(BB13:BB110)</f>
        <v>1427.0004911778326</v>
      </c>
      <c r="BC118" s="41">
        <f>SUM(BC13:BC110)</f>
        <v>0</v>
      </c>
      <c r="BD118" s="33" t="s">
        <v>277</v>
      </c>
      <c r="BE118" s="41">
        <f>SUM(BE13:BE110)</f>
        <v>685.9198687576893</v>
      </c>
      <c r="BF118" s="41">
        <f>SUM(BF13:BF110)</f>
        <v>210.97970365152148</v>
      </c>
      <c r="BG118" s="41">
        <f>SUM(BG13:BG110)</f>
        <v>244.04148989165117</v>
      </c>
      <c r="BH118" s="41">
        <f>SUM(BH13:BH110)</f>
        <v>6.1501717363538058</v>
      </c>
      <c r="BI118" s="41">
        <f>SUM(BI13:BI110)</f>
        <v>-813.97908168157551</v>
      </c>
      <c r="BJ118" s="33" t="s">
        <v>277</v>
      </c>
      <c r="BK118" s="40" t="s">
        <v>277</v>
      </c>
    </row>
  </sheetData>
  <mergeCells count="10">
    <mergeCell ref="AJ11:AN11"/>
    <mergeCell ref="AP11:AS11"/>
    <mergeCell ref="AU11:AW11"/>
    <mergeCell ref="AY11:BC11"/>
    <mergeCell ref="BE11:BI11"/>
    <mergeCell ref="B11:D11"/>
    <mergeCell ref="F11:S11"/>
    <mergeCell ref="U11:X11"/>
    <mergeCell ref="Z11:AB11"/>
    <mergeCell ref="AD11:AH11"/>
  </mergeCells>
  <pageMargins left="0.70866141732283472" right="0.70866141732283472" top="0.74803149606299213" bottom="0.74803149606299213" header="0.31496062992125984" footer="0.31496062992125984"/>
  <pageSetup paperSize="8" scale="50" orientation="landscape" r:id="rId1"/>
  <colBreaks count="1" manualBreakCount="1">
    <brk id="14" max="9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Q D A A B Q S w M E F A A C A A g A v V J j W 0 n G M M e k A A A A 9 g A A A B I A H A B D b 2 5 m a W c v U G F j a 2 F n Z S 5 4 b W w g o h g A K K A U A A A A A A A A A A A A A A A A A A A A A A A A A A A A h Y 9 N D o I w G E S v Q r q n P 2 i U k I + y c A v G x M S 4 b W q F R i i G F s v d X H g k r y B G U X c u 5 8 1 b z N y v N 8 i G p g 4 u q r O 6 N S l i m K J A G d k e t C l T 1 L t j G K O M w 0 b I k y h V M M r G J o M 9 p K h y 7 p w Q 4 r 3 H f o b b r i Q R p Y z s i 3 w r K 9 U I 9 J H 1 f z n U x j p h p E I c d q 8 x P M J s v s B s G W M K Z I J Q a P M V o n H v s / 2 B s O p r 1 3 e K K x O u c y B T B P L + w B 9 Q S w M E F A A C A A g A v V J j 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1 S Y 1 s o i k e 4 D g A A A B E A A A A T A B w A R m 9 y b X V s Y X M v U 2 V j d G l v b j E u b S C i G A A o o B Q A A A A A A A A A A A A A A A A A A A A A A A A A A A A r T k 0 u y c z P U w i G 0 I b W A F B L A Q I t A B Q A A g A I A L 1 S Y 1 t J x j D H p A A A A P Y A A A A S A A A A A A A A A A A A A A A A A A A A A A B D b 2 5 m a W c v U G F j a 2 F n Z S 5 4 b W x Q S w E C L Q A U A A I A C A C 9 U m N b D 8 r p q 6 Q A A A D p A A A A E w A A A A A A A A A A A A A A A A D w A A A A W 0 N v b n R l b n R f V H l w Z X N d L n h t b F B L A Q I t A B Q A A g A I A L 1 S Y 1 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O T 1 X 7 w C e R 7 M w R E a b 4 T U x A A A A A A I A A A A A A B B m A A A A A Q A A I A A A A N 6 b F b / f r D v 5 G D b 5 L 4 J A B / s B e H o w n 8 C G 1 l d S I l E l D 5 3 N A A A A A A 6 A A A A A A g A A I A A A A I P 7 H 3 L M w M k L T J 1 W 0 q 6 e i f O C K L C d d 8 v c S I 2 7 D A q I i Y H q U A A A A P e 2 r m B Q J e 1 B t Q 1 9 U C F i L U T / + j l w X M M q X Y k c A m S 9 E m e N X V m B F m t i 4 d R z w r g k m W T 7 v C 9 u S a A w v y r J j m m K L 3 Q i C 7 5 K r x 6 t m 4 E M S N G g C m p q K 8 6 I Q A A A A F C T E 5 L P z s M u e s 7 a m j + x t C 5 W J Z I a 5 8 3 R M O 3 H i y N E U 4 E D O b q p k A a Y N Y + W m R y B d 6 + d K T F Y S b W W 0 a U Y P N s M q p w 7 V I 4 = < / 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b3f6a3-de3b-496a-a59b-659c460eb627">
      <Terms xmlns="http://schemas.microsoft.com/office/infopath/2007/PartnerControls"/>
    </lcf76f155ced4ddcb4097134ff3c332f>
    <TaxCatchAll xmlns="9ff3b0b9-a3f7-4742-a1e1-da54b039b41f" xsi:nil="true"/>
    <_Version xmlns="http://schemas.microsoft.com/sharepoint/v3/fields" xsi:nil="true"/>
    <Auteur xmlns="0cb3f6a3-de3b-496a-a59b-659c460eb627">
      <UserInfo>
        <DisplayName/>
        <AccountId xsi:nil="true"/>
        <AccountType/>
      </UserInfo>
    </Auteur>
    <Datum xmlns="0cb3f6a3-de3b-496a-a59b-659c460eb627" xsi:nil="true"/>
    <datum0 xmlns="0cb3f6a3-de3b-496a-a59b-659c460eb627" xsi:nil="true"/>
    <_dlc_DocId xmlns="9ff3b0b9-a3f7-4742-a1e1-da54b039b41f">XNDX6WDK37TM-1156481427-187105</_dlc_DocId>
    <_dlc_DocIdUrl xmlns="9ff3b0b9-a3f7-4742-a1e1-da54b039b41f">
      <Url>https://arcadiso365.sharepoint.com/teams/portfolio-PF-12073941/_layouts/15/DocIdRedir.aspx?ID=XNDX6WDK37TM-1156481427-187105</Url>
      <Description>XNDX6WDK37TM-1156481427-187105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0068DC66CAC1F44A8EA3F1FC4EA8E94" ma:contentTypeVersion="19" ma:contentTypeDescription="Create a new document." ma:contentTypeScope="" ma:versionID="dfddc07fe19289b8a173832d1db104d2">
  <xsd:schema xmlns:xsd="http://www.w3.org/2001/XMLSchema" xmlns:xs="http://www.w3.org/2001/XMLSchema" xmlns:p="http://schemas.microsoft.com/office/2006/metadata/properties" xmlns:ns2="9ff3b0b9-a3f7-4742-a1e1-da54b039b41f" xmlns:ns3="0cb3f6a3-de3b-496a-a59b-659c460eb627" xmlns:ns4="http://schemas.microsoft.com/sharepoint/v3/fields" targetNamespace="http://schemas.microsoft.com/office/2006/metadata/properties" ma:root="true" ma:fieldsID="48f4d721e553b32dedba23b1f25d5d02" ns2:_="" ns3:_="" ns4:_="">
    <xsd:import namespace="9ff3b0b9-a3f7-4742-a1e1-da54b039b41f"/>
    <xsd:import namespace="0cb3f6a3-de3b-496a-a59b-659c460eb627"/>
    <xsd:import namespace="http://schemas.microsoft.com/sharepoint/v3/fields"/>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Auteur" minOccurs="0"/>
                <xsd:element ref="ns3:Datum" minOccurs="0"/>
                <xsd:element ref="ns2:SharedWithUsers" minOccurs="0"/>
                <xsd:element ref="ns2:SharedWithDetails" minOccurs="0"/>
                <xsd:element ref="ns3:MediaServiceObjectDetectorVersions" minOccurs="0"/>
                <xsd:element ref="ns4:_Version" minOccurs="0"/>
                <xsd:element ref="ns3:MediaLengthInSeconds" minOccurs="0"/>
                <xsd:element ref="ns3:MediaServiceSearchProperties" minOccurs="0"/>
                <xsd:element ref="ns3:datum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3b0b9-a3f7-4742-a1e1-da54b039b41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9c9fdd2f-3445-4d68-a090-69c2c20fae30}" ma:internalName="TaxCatchAll" ma:showField="CatchAllData" ma:web="9ff3b0b9-a3f7-4742-a1e1-da54b039b41f">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b3f6a3-de3b-496a-a59b-659c460eb62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35aeea7-e848-442f-a6c3-04e7a31ee3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Auteur" ma:index="21" nillable="true" ma:displayName="Auteur" ma:format="Dropdown" ma:list="UserInfo" ma:SharePointGroup="0" ma:internalName="Auteu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um" ma:index="22" nillable="true" ma:displayName="Datum" ma:format="DateOnly" ma:internalName="Datum">
      <xsd:simpleType>
        <xsd:restriction base="dms:DateTim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um0" ma:index="29" nillable="true" ma:displayName="datum" ma:format="DateOnly" ma:internalName="datum0">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6"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8D481EE-9130-4165-ADBB-020E902A2459}"/>
</file>

<file path=customXml/itemProps2.xml><?xml version="1.0" encoding="utf-8"?>
<ds:datastoreItem xmlns:ds="http://schemas.openxmlformats.org/officeDocument/2006/customXml" ds:itemID="{0CE79435-F620-43DC-88C5-9B5D56987862}"/>
</file>

<file path=customXml/itemProps3.xml><?xml version="1.0" encoding="utf-8"?>
<ds:datastoreItem xmlns:ds="http://schemas.openxmlformats.org/officeDocument/2006/customXml" ds:itemID="{B841D8CC-2102-4F32-9BE9-316BC53B9A29}"/>
</file>

<file path=customXml/itemProps4.xml><?xml version="1.0" encoding="utf-8"?>
<ds:datastoreItem xmlns:ds="http://schemas.openxmlformats.org/officeDocument/2006/customXml" ds:itemID="{D6FB48BB-5CF6-4A43-9AB6-3706D7C7793B}"/>
</file>

<file path=customXml/itemProps5.xml><?xml version="1.0" encoding="utf-8"?>
<ds:datastoreItem xmlns:ds="http://schemas.openxmlformats.org/officeDocument/2006/customXml" ds:itemID="{C63581A4-D04C-48DD-8BAD-617FA26D48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Vidonis</dc:creator>
  <cp:keywords/>
  <dc:description/>
  <cp:lastModifiedBy>Willemijn Drok</cp:lastModifiedBy>
  <cp:revision/>
  <dcterms:created xsi:type="dcterms:W3CDTF">2016-08-11T12:21:56Z</dcterms:created>
  <dcterms:modified xsi:type="dcterms:W3CDTF">2026-01-08T11:57:15Z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0x01010010068DC66CAC1F44A8EA3F1FC4EA8E94</vt:lpwstr>
  </property>
  <property fmtid="{D5CDD505-2E9C-101B-9397-08002B2CF9AE}" pid="3" name="MediaServiceImageTags">
    <vt:lpwstr/>
  </property>
  <property fmtid="{D5CDD505-2E9C-101B-9397-08002B2CF9AE}" pid="4" name="_dlc_DocIdItemGuid">
    <vt:lpwstr>2064a442-9439-4aad-8021-6716ab706060</vt:lpwstr>
  </property>
</Properties>
</file>