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coppaconsultancy-my.sharepoint.com/personal/esra_van_der_velden_coppa_nl/Documents/WIJ Groningen/BJH/Oproep tot mededinging/"/>
    </mc:Choice>
  </mc:AlternateContent>
  <xr:revisionPtr revIDLastSave="2" documentId="8_{C2BAA1AC-BF90-4D3E-BE73-D53DDB32656F}" xr6:coauthVersionLast="47" xr6:coauthVersionMax="47" xr10:uidLastSave="{4A104F6A-5FE6-4556-9C42-F7305F897C43}"/>
  <bookViews>
    <workbookView xWindow="28680" yWindow="-45" windowWidth="29040" windowHeight="15720" activeTab="1" xr2:uid="{6CA80E3B-AD0C-4716-AE83-8CE349E1DC73}"/>
  </bookViews>
  <sheets>
    <sheet name="Uitgangspunten" sheetId="4" r:id="rId1"/>
    <sheet name="Kostprijsbereken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2" l="1"/>
  <c r="N4" i="2" l="1"/>
  <c r="N5" i="2" s="1"/>
  <c r="N6" i="2" s="1"/>
  <c r="C4" i="2"/>
  <c r="C5" i="2" s="1"/>
  <c r="C6" i="2" s="1"/>
  <c r="N7" i="2" l="1"/>
  <c r="N9" i="2"/>
  <c r="N8" i="2"/>
  <c r="C9" i="2"/>
  <c r="C8" i="2"/>
  <c r="C7" i="2"/>
  <c r="N10" i="2" l="1"/>
  <c r="C10" i="2"/>
  <c r="C11" i="2" s="1"/>
  <c r="N11" i="2" l="1"/>
  <c r="N12" i="2" s="1"/>
  <c r="C12" i="2"/>
  <c r="N13" i="2" l="1"/>
  <c r="C13" i="2"/>
  <c r="N14" i="2" l="1"/>
  <c r="N17" i="2" s="1"/>
  <c r="C14" i="2"/>
  <c r="P6" i="2" l="1"/>
  <c r="P8" i="2"/>
  <c r="P9" i="2"/>
  <c r="P7" i="2"/>
  <c r="P10" i="2"/>
  <c r="P11" i="2"/>
  <c r="P12" i="2"/>
  <c r="P13" i="2"/>
  <c r="M28" i="2"/>
  <c r="M29" i="2" s="1"/>
  <c r="N15" i="2"/>
  <c r="P14" i="2"/>
  <c r="B28" i="2"/>
  <c r="B29" i="2" s="1"/>
  <c r="C15" i="2"/>
  <c r="E14" i="2"/>
  <c r="E6" i="2"/>
  <c r="E10" i="2"/>
  <c r="E7" i="2"/>
  <c r="E9" i="2"/>
  <c r="E8" i="2"/>
  <c r="E11" i="2"/>
  <c r="E12" i="2"/>
  <c r="E13" i="2"/>
  <c r="B32" i="2" l="1"/>
</calcChain>
</file>

<file path=xl/sharedStrings.xml><?xml version="1.0" encoding="utf-8"?>
<sst xmlns="http://schemas.openxmlformats.org/spreadsheetml/2006/main" count="68" uniqueCount="44">
  <si>
    <t>Aantal maanden</t>
  </si>
  <si>
    <t>Vakantiegeld</t>
  </si>
  <si>
    <t>Overig</t>
  </si>
  <si>
    <t>x</t>
  </si>
  <si>
    <t>Totale salariskosten per jaar</t>
  </si>
  <si>
    <t>Werkgeverslasten</t>
  </si>
  <si>
    <t>Personeelskosten werkgever</t>
  </si>
  <si>
    <t>+</t>
  </si>
  <si>
    <t>Totale kosten per fte</t>
  </si>
  <si>
    <t>Prijs per werkbaar uur</t>
  </si>
  <si>
    <t>Verwachtte loonkostenstijging volgend jaar</t>
  </si>
  <si>
    <t>jaarsalaris 2025</t>
  </si>
  <si>
    <t>Eindejaarsuitkering</t>
  </si>
  <si>
    <r>
      <t>Schaal 6</t>
    </r>
    <r>
      <rPr>
        <sz val="11"/>
        <color theme="1"/>
        <rFont val="Calibri"/>
        <family val="2"/>
        <scheme val="minor"/>
      </rPr>
      <t>:</t>
    </r>
  </si>
  <si>
    <t>Start: ± € 2.618 bruto per maand</t>
  </si>
  <si>
    <t>Begeleider: Berekening kosten per productief uur</t>
  </si>
  <si>
    <t>Gedragswetenschapper: Berekening kosten per productief uur</t>
  </si>
  <si>
    <t>Schaal 11:</t>
  </si>
  <si>
    <t>Kosten per uur Gedragswetenschapper</t>
  </si>
  <si>
    <t>Verdeling 75/25</t>
  </si>
  <si>
    <t>Totaal uurtarief</t>
  </si>
  <si>
    <t>Berekend tarief</t>
  </si>
  <si>
    <t>Gehanteerd tarief (70% functieschaal)</t>
  </si>
  <si>
    <t xml:space="preserve">In de regio Groningen valt de jeugdhulp voor een groot deel onder de Open House overeenkomst van de RIGG. De tarieven die hier worden gehanteerd zijn vastgesteld op basis van kostprijsonderzoek van verschillende aanbieders. Wij hebben ons uurtarief vergeleken met de uurtarieven van vijf aanbieders in het laagste segment van het product Individuele begeleiding basis binnen de Open House overeenkomst omdat wij uit ervaring weten dat het werken met aankomende professionals leidt tot een lagere kostprijs. Het maximumtarief dat binnen de Open House wordt gehanteerd is € 81,75 per uur. De uurtarieven van alle zorgaanbieders die binnen de open house overeenkomst individuele begeleiding basis bieden liggen tussen de € 58,15 en € 81,75. De individuele begeleiding die moet worden geboden binnen deze opdracht is vergelijkbaar met het product individuele begeleiding basis, maar het gaat in deze opdracht alleen om zeer eenvoudige vormen van begeleiding die wordt uitgevoerd door aankomende professionals (studenten). Wij zijn daarom van mening dat het uurtarief dat wij stellen in deze opdracht een reëel tarief is. Informatie over de Open House overeenkomst in de regio Groningen is openbaar en terug te vinden op de website www.rigg.nl.  </t>
  </si>
  <si>
    <t xml:space="preserve">We gaan uit van een verdeling van 75/25 als we kijken naar de verhouding tussen de inzet van aankomende professionals en gedragswetenschappers. </t>
  </si>
  <si>
    <t>Kosten per uur Begeleider basis</t>
  </si>
  <si>
    <t>Eind: ± € 3.722 bruto per maand</t>
  </si>
  <si>
    <t>Start: ± € 3.972</t>
  </si>
  <si>
    <t>Eind: ± € 6.002</t>
  </si>
  <si>
    <t>Het aangehouden percentage voor de overhead is 28%. Hier is 2% opslagpercentage bij opgeteld voor risico en innovatie.</t>
  </si>
  <si>
    <t>Indicatie salarisschalen (CAO Jeugdzorg 1 maart 2025)</t>
  </si>
  <si>
    <t>Opslagpercentage *</t>
  </si>
  <si>
    <t>Opslagpercentage*</t>
  </si>
  <si>
    <t>Dekking overhead*</t>
  </si>
  <si>
    <t>Gehanteerd tarief (50% functieschaal)*</t>
  </si>
  <si>
    <t>Verdeling 75/25*</t>
  </si>
  <si>
    <t>Werkbare uren 1300 van 1872*</t>
  </si>
  <si>
    <t>Werkbare uren 1200 van 1872*</t>
  </si>
  <si>
    <t xml:space="preserve">We gaan bij aankomende professionals (studenten) uit van schaal 6 van de CAO Jeugdzorg en rekenen met 50% van de schaalnorm omdat het hier gaat om aankomende professionals die net starten met werken onder begeleiding van een gedragswetenschapper. Wij gaan bij gedragswetenschappers uit van schaal 11 van de cao Jeugdzorg en rekenen met 70% van de schaalnorm omdat het hier gaat om professionals waarvan je een mix in inschaling op de tredes van schaal 11 kan verwachten.  </t>
  </si>
  <si>
    <t>Het gestelde maximum uurtarief is in deze berekening nog niet geïndexeerd voor 2026</t>
  </si>
  <si>
    <t xml:space="preserve">ORT is niet verdisconteerd in de berekening omdat het in deze opdracht vooral gaat om minder complexe zorgvragen met veel begeleidingsuren die in principe binnen het tijdsbestek van 7.00 tot 19.00 uur plaatsvinden. Daarnaast geldt voor aankomende professionals (studenten) geen ORT-verplichting. Wanneer WIJ in een individuele casus besluit dat begeleiding in het weekend wel noodzakelijk is, dan kunnen we hierover nadere afspraken maken. Voor crisissituaties buiten kantooruren maken wij ook gebruik van Spoed voor Jeugd.   </t>
  </si>
  <si>
    <t>* zie toelichting bij uitgangspunten</t>
  </si>
  <si>
    <t>Uitgangspunten</t>
  </si>
  <si>
    <t>Wat betreft de productieve uren gaan we voor de aankomende professionals uit van 1300 werkbare uren en voor de gedragswetenschappers van 1200 werkbare uren. Reden voor dit verschil is dat de aankomende professionals (studenten) in deze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</si>
</sst>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3.5"/>
      <color theme="1"/>
      <name val="Calibri"/>
      <family val="2"/>
      <scheme val="minor"/>
    </font>
    <font>
      <sz val="14"/>
      <color theme="1"/>
      <name val="Calibri"/>
      <family val="2"/>
      <scheme val="minor"/>
    </font>
    <font>
      <b/>
      <sz val="14"/>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14999847407452621"/>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9">
    <xf numFmtId="0" fontId="0" fillId="0" borderId="0" xfId="0"/>
    <xf numFmtId="9" fontId="0" fillId="0" borderId="0" xfId="0" applyNumberFormat="1"/>
    <xf numFmtId="10" fontId="0" fillId="0" borderId="0" xfId="2" applyNumberFormat="1" applyFont="1"/>
    <xf numFmtId="164" fontId="0" fillId="0" borderId="0" xfId="1" applyNumberFormat="1" applyFont="1"/>
    <xf numFmtId="0" fontId="0" fillId="0" borderId="1" xfId="0" applyBorder="1"/>
    <xf numFmtId="164" fontId="0" fillId="0" borderId="1" xfId="1" applyNumberFormat="1" applyFont="1" applyBorder="1"/>
    <xf numFmtId="10" fontId="0" fillId="0" borderId="1" xfId="2" applyNumberFormat="1" applyFont="1" applyBorder="1"/>
    <xf numFmtId="44" fontId="0" fillId="0" borderId="0" xfId="1" applyFont="1"/>
    <xf numFmtId="10" fontId="0" fillId="2" borderId="0" xfId="2" applyNumberFormat="1" applyFont="1" applyFill="1"/>
    <xf numFmtId="44" fontId="0" fillId="0" borderId="0" xfId="0" applyNumberFormat="1"/>
    <xf numFmtId="0" fontId="3" fillId="4" borderId="0" xfId="0" applyFont="1" applyFill="1" applyAlignment="1">
      <alignment vertical="center"/>
    </xf>
    <xf numFmtId="0" fontId="0" fillId="4" borderId="0" xfId="0" applyFill="1"/>
    <xf numFmtId="0" fontId="0" fillId="4" borderId="0" xfId="0" applyFill="1" applyAlignment="1">
      <alignment horizontal="left" vertical="center" indent="1"/>
    </xf>
    <xf numFmtId="0" fontId="2" fillId="4" borderId="0" xfId="0" applyFont="1" applyFill="1" applyAlignment="1">
      <alignment horizontal="left" vertical="center" indent="1"/>
    </xf>
    <xf numFmtId="9" fontId="0" fillId="4" borderId="0" xfId="0" applyNumberFormat="1" applyFill="1"/>
    <xf numFmtId="0" fontId="0" fillId="4" borderId="0" xfId="0" applyFill="1" applyAlignment="1">
      <alignment horizontal="left" vertical="center" indent="2"/>
    </xf>
    <xf numFmtId="44" fontId="0" fillId="4" borderId="0" xfId="1" applyFont="1" applyFill="1"/>
    <xf numFmtId="0" fontId="4" fillId="0" borderId="0" xfId="0" applyFont="1"/>
    <xf numFmtId="164" fontId="4" fillId="0" borderId="0" xfId="1" applyNumberFormat="1" applyFont="1"/>
    <xf numFmtId="0" fontId="0" fillId="5" borderId="0" xfId="0" applyFill="1"/>
    <xf numFmtId="0" fontId="4" fillId="5" borderId="0" xfId="0" applyFont="1" applyFill="1"/>
    <xf numFmtId="0" fontId="5" fillId="3" borderId="0" xfId="0" applyFont="1" applyFill="1"/>
    <xf numFmtId="44" fontId="5" fillId="3" borderId="0" xfId="1" applyFont="1" applyFill="1"/>
    <xf numFmtId="0" fontId="2" fillId="3" borderId="0" xfId="0" applyFont="1" applyFill="1" applyAlignment="1">
      <alignment horizontal="center"/>
    </xf>
    <xf numFmtId="0" fontId="0" fillId="0" borderId="2" xfId="0" applyBorder="1" applyAlignment="1">
      <alignment horizontal="left" vertical="top" wrapText="1"/>
    </xf>
    <xf numFmtId="0" fontId="2" fillId="0" borderId="2" xfId="0" applyFont="1" applyBorder="1" applyAlignment="1">
      <alignment horizontal="center" vertical="center" wrapText="1"/>
    </xf>
    <xf numFmtId="0" fontId="5" fillId="6" borderId="3" xfId="0" applyFont="1" applyFill="1" applyBorder="1" applyAlignment="1">
      <alignment horizontal="center"/>
    </xf>
    <xf numFmtId="0" fontId="5" fillId="6" borderId="1" xfId="0" applyFont="1" applyFill="1" applyBorder="1" applyAlignment="1">
      <alignment horizontal="center"/>
    </xf>
    <xf numFmtId="0" fontId="2" fillId="0" borderId="0" xfId="0" applyFont="1" applyBorder="1" applyAlignment="1">
      <alignment horizontal="center"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33D75-7CD0-43F3-A809-F2B27E10821B}">
  <dimension ref="A1:F8"/>
  <sheetViews>
    <sheetView workbookViewId="0">
      <selection activeCell="M6" sqref="M6"/>
    </sheetView>
  </sheetViews>
  <sheetFormatPr defaultRowHeight="14.4" x14ac:dyDescent="0.3"/>
  <cols>
    <col min="1" max="1" width="4.88671875" style="28" customWidth="1"/>
    <col min="2" max="2" width="43.44140625" customWidth="1"/>
  </cols>
  <sheetData>
    <row r="1" spans="1:6" ht="18" x14ac:dyDescent="0.35">
      <c r="A1" s="26" t="s">
        <v>42</v>
      </c>
      <c r="B1" s="27"/>
      <c r="C1" s="27"/>
      <c r="D1" s="27"/>
      <c r="E1" s="27"/>
      <c r="F1" s="27"/>
    </row>
    <row r="2" spans="1:6" ht="34.799999999999997" customHeight="1" x14ac:dyDescent="0.3">
      <c r="A2" s="25">
        <v>1</v>
      </c>
      <c r="B2" s="24" t="s">
        <v>24</v>
      </c>
      <c r="C2" s="24"/>
      <c r="D2" s="24"/>
      <c r="E2" s="24"/>
      <c r="F2" s="24"/>
    </row>
    <row r="3" spans="1:6" ht="90.6" customHeight="1" x14ac:dyDescent="0.3">
      <c r="A3" s="25">
        <v>2</v>
      </c>
      <c r="B3" s="24" t="s">
        <v>38</v>
      </c>
      <c r="C3" s="24"/>
      <c r="D3" s="24"/>
      <c r="E3" s="24"/>
      <c r="F3" s="24"/>
    </row>
    <row r="4" spans="1:6" ht="20.399999999999999" customHeight="1" x14ac:dyDescent="0.3">
      <c r="A4" s="25">
        <v>3</v>
      </c>
      <c r="B4" s="24" t="s">
        <v>39</v>
      </c>
      <c r="C4" s="24"/>
      <c r="D4" s="24"/>
      <c r="E4" s="24"/>
      <c r="F4" s="24"/>
    </row>
    <row r="5" spans="1:6" ht="102.6" customHeight="1" x14ac:dyDescent="0.3">
      <c r="A5" s="25">
        <v>4</v>
      </c>
      <c r="B5" s="24" t="s">
        <v>40</v>
      </c>
      <c r="C5" s="24"/>
      <c r="D5" s="24"/>
      <c r="E5" s="24"/>
      <c r="F5" s="24"/>
    </row>
    <row r="6" spans="1:6" ht="219.6" customHeight="1" x14ac:dyDescent="0.3">
      <c r="A6" s="25">
        <v>5</v>
      </c>
      <c r="B6" s="24" t="s">
        <v>23</v>
      </c>
      <c r="C6" s="24"/>
      <c r="D6" s="24"/>
      <c r="E6" s="24"/>
      <c r="F6" s="24"/>
    </row>
    <row r="7" spans="1:6" ht="47.4" customHeight="1" x14ac:dyDescent="0.3">
      <c r="A7" s="25">
        <v>6</v>
      </c>
      <c r="B7" s="24" t="s">
        <v>43</v>
      </c>
      <c r="C7" s="24"/>
      <c r="D7" s="24"/>
      <c r="E7" s="24"/>
      <c r="F7" s="24"/>
    </row>
    <row r="8" spans="1:6" ht="31.2" customHeight="1" x14ac:dyDescent="0.3">
      <c r="A8" s="25">
        <v>7</v>
      </c>
      <c r="B8" s="24" t="s">
        <v>29</v>
      </c>
      <c r="C8" s="24"/>
      <c r="D8" s="24"/>
      <c r="E8" s="24"/>
      <c r="F8" s="24"/>
    </row>
  </sheetData>
  <sheetProtection algorithmName="SHA-512" hashValue="3MAbo2cgJlklPMbYDMmH+DEmca47oL6x4EM+r78nytuPWaCJ2QX0GAqDnsH0gxtKm9KqP7cgrMIFXUrdJMPLVg==" saltValue="Di4wBqHzxaa0oiNAY7AyUw==" spinCount="100000" sheet="1" objects="1" scenarios="1"/>
  <mergeCells count="8">
    <mergeCell ref="A1:F1"/>
    <mergeCell ref="B2:F2"/>
    <mergeCell ref="B3:F3"/>
    <mergeCell ref="B4:F4"/>
    <mergeCell ref="B5:F5"/>
    <mergeCell ref="B6:F6"/>
    <mergeCell ref="B7:F7"/>
    <mergeCell ref="B8:F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CE454-C8F3-4607-A730-7F28AC79C881}">
  <sheetPr>
    <tabColor theme="8"/>
  </sheetPr>
  <dimension ref="A1:S42"/>
  <sheetViews>
    <sheetView tabSelected="1" zoomScale="80" zoomScaleNormal="80" workbookViewId="0">
      <selection activeCell="N12" sqref="N12"/>
    </sheetView>
  </sheetViews>
  <sheetFormatPr defaultRowHeight="14.4" x14ac:dyDescent="0.3"/>
  <cols>
    <col min="1" max="1" width="49.44140625" bestFit="1" customWidth="1"/>
    <col min="2" max="2" width="11.88671875" bestFit="1" customWidth="1"/>
    <col min="3" max="3" width="11.44140625" style="3" bestFit="1" customWidth="1"/>
    <col min="4" max="4" width="2" bestFit="1" customWidth="1"/>
    <col min="6" max="6" width="2" bestFit="1" customWidth="1"/>
    <col min="8" max="8" width="14.44140625" customWidth="1"/>
    <col min="10" max="10" width="2.44140625" customWidth="1"/>
    <col min="12" max="12" width="39.44140625" bestFit="1" customWidth="1"/>
    <col min="13" max="13" width="13.44140625" customWidth="1"/>
    <col min="14" max="14" width="12.109375" customWidth="1"/>
    <col min="15" max="15" width="2.5546875" customWidth="1"/>
    <col min="19" max="19" width="16.44140625" customWidth="1"/>
  </cols>
  <sheetData>
    <row r="1" spans="1:17" x14ac:dyDescent="0.3">
      <c r="A1" s="23" t="s">
        <v>15</v>
      </c>
      <c r="B1" s="23"/>
      <c r="C1" s="23"/>
      <c r="D1" s="23"/>
      <c r="E1" s="23"/>
      <c r="F1" s="23"/>
      <c r="J1" s="19"/>
      <c r="L1" s="23" t="s">
        <v>16</v>
      </c>
      <c r="M1" s="23"/>
      <c r="N1" s="23"/>
      <c r="O1" s="23"/>
      <c r="P1" s="23"/>
      <c r="Q1" s="23"/>
    </row>
    <row r="2" spans="1:17" x14ac:dyDescent="0.3">
      <c r="A2" t="s">
        <v>34</v>
      </c>
      <c r="B2" s="3">
        <v>3170</v>
      </c>
      <c r="J2" s="19"/>
      <c r="L2" t="s">
        <v>22</v>
      </c>
      <c r="M2" s="3">
        <v>5393</v>
      </c>
      <c r="N2" s="3"/>
    </row>
    <row r="3" spans="1:17" x14ac:dyDescent="0.3">
      <c r="A3" t="s">
        <v>0</v>
      </c>
      <c r="B3" s="4">
        <v>12</v>
      </c>
      <c r="C3" s="3" t="s">
        <v>3</v>
      </c>
      <c r="J3" s="19"/>
      <c r="L3" t="s">
        <v>0</v>
      </c>
      <c r="M3" s="4">
        <v>12</v>
      </c>
      <c r="N3" s="3" t="s">
        <v>3</v>
      </c>
    </row>
    <row r="4" spans="1:17" x14ac:dyDescent="0.3">
      <c r="C4" s="3">
        <f>+B3*B2</f>
        <v>38040</v>
      </c>
      <c r="J4" s="19"/>
      <c r="N4" s="3">
        <f>+M3*M2</f>
        <v>64716</v>
      </c>
    </row>
    <row r="5" spans="1:17" x14ac:dyDescent="0.3">
      <c r="A5" t="s">
        <v>10</v>
      </c>
      <c r="B5" s="2"/>
      <c r="C5" s="5">
        <f>+C4*B5</f>
        <v>0</v>
      </c>
      <c r="J5" s="19"/>
      <c r="L5" t="s">
        <v>10</v>
      </c>
      <c r="M5" s="2"/>
      <c r="N5" s="5">
        <f>+N4*M5</f>
        <v>0</v>
      </c>
    </row>
    <row r="6" spans="1:17" x14ac:dyDescent="0.3">
      <c r="A6" t="s">
        <v>11</v>
      </c>
      <c r="C6" s="3">
        <f>C5+C4</f>
        <v>38040</v>
      </c>
      <c r="E6" s="2">
        <f>+C6/$C$14</f>
        <v>0.54200724143354839</v>
      </c>
      <c r="J6" s="19"/>
      <c r="L6" t="s">
        <v>11</v>
      </c>
      <c r="N6" s="3">
        <f>N5+N4</f>
        <v>64716</v>
      </c>
      <c r="P6" s="2">
        <f>+N6/$C$14</f>
        <v>0.92209623124641216</v>
      </c>
    </row>
    <row r="7" spans="1:17" x14ac:dyDescent="0.3">
      <c r="A7" t="s">
        <v>12</v>
      </c>
      <c r="B7" s="8">
        <v>8.3299999999999999E-2</v>
      </c>
      <c r="C7" s="3">
        <f>+C6*B7</f>
        <v>3168.732</v>
      </c>
      <c r="E7" s="2">
        <f t="shared" ref="E7:E14" si="0">+C7/$C$14</f>
        <v>4.5149203211414579E-2</v>
      </c>
      <c r="J7" s="19"/>
      <c r="L7" t="s">
        <v>12</v>
      </c>
      <c r="M7" s="8">
        <v>8.3299999999999999E-2</v>
      </c>
      <c r="N7" s="3">
        <f>+N6*M7</f>
        <v>5390.8428000000004</v>
      </c>
      <c r="P7" s="2">
        <f t="shared" ref="P7:P14" si="1">+N7/$C$14</f>
        <v>7.6810616062826131E-2</v>
      </c>
    </row>
    <row r="8" spans="1:17" x14ac:dyDescent="0.3">
      <c r="A8" t="s">
        <v>1</v>
      </c>
      <c r="B8" s="2">
        <v>0.08</v>
      </c>
      <c r="C8" s="3">
        <f>+C6*B8</f>
        <v>3043.2000000000003</v>
      </c>
      <c r="E8" s="2">
        <f t="shared" si="0"/>
        <v>4.3360579314683872E-2</v>
      </c>
      <c r="J8" s="19"/>
      <c r="L8" t="s">
        <v>1</v>
      </c>
      <c r="M8" s="2">
        <v>0.08</v>
      </c>
      <c r="N8" s="3">
        <f>+N6*M8</f>
        <v>5177.28</v>
      </c>
      <c r="P8" s="2">
        <f t="shared" si="1"/>
        <v>7.3767698499712972E-2</v>
      </c>
    </row>
    <row r="9" spans="1:17" x14ac:dyDescent="0.3">
      <c r="A9" t="s">
        <v>2</v>
      </c>
      <c r="B9" s="1">
        <v>0</v>
      </c>
      <c r="C9" s="5">
        <f>+B9*C6</f>
        <v>0</v>
      </c>
      <c r="D9" t="s">
        <v>7</v>
      </c>
      <c r="E9" s="6">
        <f t="shared" si="0"/>
        <v>0</v>
      </c>
      <c r="F9" t="s">
        <v>7</v>
      </c>
      <c r="J9" s="19"/>
      <c r="L9" t="s">
        <v>2</v>
      </c>
      <c r="M9" s="1">
        <v>0</v>
      </c>
      <c r="N9" s="5">
        <f>+M9*N6</f>
        <v>0</v>
      </c>
      <c r="O9" t="s">
        <v>7</v>
      </c>
      <c r="P9" s="6">
        <f t="shared" si="1"/>
        <v>0</v>
      </c>
      <c r="Q9" t="s">
        <v>7</v>
      </c>
    </row>
    <row r="10" spans="1:17" x14ac:dyDescent="0.3">
      <c r="A10" t="s">
        <v>4</v>
      </c>
      <c r="C10" s="3">
        <f>SUM(C6:C9)</f>
        <v>44251.932000000001</v>
      </c>
      <c r="E10" s="2">
        <f t="shared" si="0"/>
        <v>0.63051702395964682</v>
      </c>
      <c r="J10" s="19"/>
      <c r="L10" t="s">
        <v>4</v>
      </c>
      <c r="N10" s="3">
        <f>SUM(N6:N9)</f>
        <v>75284.122799999997</v>
      </c>
      <c r="P10" s="2">
        <f t="shared" si="1"/>
        <v>1.0726745458089513</v>
      </c>
    </row>
    <row r="11" spans="1:17" x14ac:dyDescent="0.3">
      <c r="A11" t="s">
        <v>5</v>
      </c>
      <c r="B11" s="1">
        <v>0.22</v>
      </c>
      <c r="C11" s="5">
        <f>B11*C10</f>
        <v>9735.4250400000001</v>
      </c>
      <c r="D11" t="s">
        <v>7</v>
      </c>
      <c r="E11" s="6">
        <f t="shared" si="0"/>
        <v>0.13871374527112232</v>
      </c>
      <c r="F11" t="s">
        <v>7</v>
      </c>
      <c r="J11" s="19"/>
      <c r="L11" t="s">
        <v>5</v>
      </c>
      <c r="M11" s="1">
        <v>0.22</v>
      </c>
      <c r="N11" s="5">
        <f>M11*N10</f>
        <v>16562.507016</v>
      </c>
      <c r="O11" t="s">
        <v>7</v>
      </c>
      <c r="P11" s="6">
        <f t="shared" si="1"/>
        <v>0.23598840007796926</v>
      </c>
      <c r="Q11" t="s">
        <v>7</v>
      </c>
    </row>
    <row r="12" spans="1:17" x14ac:dyDescent="0.3">
      <c r="A12" t="s">
        <v>6</v>
      </c>
      <c r="C12" s="3">
        <f>SUM(C10:C11)</f>
        <v>53987.357040000003</v>
      </c>
      <c r="E12" s="2">
        <f t="shared" si="0"/>
        <v>0.76923076923076916</v>
      </c>
      <c r="J12" s="19"/>
      <c r="L12" t="s">
        <v>6</v>
      </c>
      <c r="N12" s="3">
        <f>SUM(N10:N11)</f>
        <v>91846.629816000001</v>
      </c>
      <c r="P12" s="2">
        <f t="shared" si="1"/>
        <v>1.3086629458869206</v>
      </c>
    </row>
    <row r="13" spans="1:17" x14ac:dyDescent="0.3">
      <c r="A13" t="s">
        <v>33</v>
      </c>
      <c r="B13" s="1">
        <v>0.3</v>
      </c>
      <c r="C13" s="5">
        <f>+C12*B13</f>
        <v>16196.207112</v>
      </c>
      <c r="E13" s="6">
        <f t="shared" si="0"/>
        <v>0.23076923076923075</v>
      </c>
      <c r="F13" t="s">
        <v>7</v>
      </c>
      <c r="J13" s="19"/>
      <c r="L13" t="s">
        <v>33</v>
      </c>
      <c r="M13" s="1">
        <v>0.3</v>
      </c>
      <c r="N13" s="5">
        <f>+N12*M13</f>
        <v>27553.988944799999</v>
      </c>
      <c r="P13" s="6">
        <f t="shared" si="1"/>
        <v>0.39259888376607616</v>
      </c>
      <c r="Q13" t="s">
        <v>7</v>
      </c>
    </row>
    <row r="14" spans="1:17" x14ac:dyDescent="0.3">
      <c r="A14" t="s">
        <v>8</v>
      </c>
      <c r="C14" s="3">
        <f>SUM(C12:C13)</f>
        <v>70183.564152000006</v>
      </c>
      <c r="E14" s="2">
        <f t="shared" si="0"/>
        <v>1</v>
      </c>
      <c r="J14" s="19"/>
      <c r="L14" t="s">
        <v>8</v>
      </c>
      <c r="N14" s="3">
        <f>SUM(N12:N13)</f>
        <v>119400.6187608</v>
      </c>
      <c r="P14" s="2">
        <f t="shared" si="1"/>
        <v>1.7012618296529967</v>
      </c>
    </row>
    <row r="15" spans="1:17" x14ac:dyDescent="0.3">
      <c r="A15" t="s">
        <v>31</v>
      </c>
      <c r="B15" s="1">
        <v>0.02</v>
      </c>
      <c r="C15" s="3">
        <f>C14*B15</f>
        <v>1403.6712830400002</v>
      </c>
      <c r="J15" s="19"/>
      <c r="L15" t="s">
        <v>32</v>
      </c>
      <c r="M15" s="1">
        <v>0.02</v>
      </c>
      <c r="N15" s="3">
        <f>N14*M15</f>
        <v>2388.0123752160002</v>
      </c>
    </row>
    <row r="16" spans="1:17" x14ac:dyDescent="0.3">
      <c r="A16" t="s">
        <v>36</v>
      </c>
      <c r="J16" s="19"/>
      <c r="L16" t="s">
        <v>37</v>
      </c>
      <c r="N16" s="3"/>
    </row>
    <row r="17" spans="1:19" x14ac:dyDescent="0.3">
      <c r="A17" t="s">
        <v>9</v>
      </c>
      <c r="C17" s="7">
        <f>C14/1300</f>
        <v>53.987357040000006</v>
      </c>
      <c r="J17" s="19"/>
      <c r="L17" t="s">
        <v>9</v>
      </c>
      <c r="N17" s="7">
        <f>N14/1200</f>
        <v>99.50051563400001</v>
      </c>
    </row>
    <row r="18" spans="1:19" x14ac:dyDescent="0.3">
      <c r="J18" s="19"/>
    </row>
    <row r="19" spans="1:19" x14ac:dyDescent="0.3">
      <c r="J19" s="19"/>
    </row>
    <row r="20" spans="1:19" x14ac:dyDescent="0.3">
      <c r="J20" s="19"/>
    </row>
    <row r="21" spans="1:19" ht="18" x14ac:dyDescent="0.3">
      <c r="A21" s="10" t="s">
        <v>30</v>
      </c>
      <c r="B21" s="11"/>
      <c r="C21" s="11"/>
      <c r="D21" s="11"/>
      <c r="E21" s="11"/>
      <c r="F21" s="11"/>
      <c r="G21" s="11"/>
      <c r="H21" s="11"/>
      <c r="J21" s="19"/>
      <c r="L21" s="10" t="s">
        <v>30</v>
      </c>
      <c r="M21" s="11"/>
      <c r="N21" s="11"/>
      <c r="O21" s="11"/>
      <c r="P21" s="11"/>
      <c r="Q21" s="11"/>
      <c r="R21" s="11"/>
      <c r="S21" s="11"/>
    </row>
    <row r="22" spans="1:19" x14ac:dyDescent="0.3">
      <c r="A22" s="12"/>
      <c r="B22" s="11"/>
      <c r="C22" s="11"/>
      <c r="D22" s="11"/>
      <c r="E22" s="11"/>
      <c r="F22" s="11"/>
      <c r="G22" s="11"/>
      <c r="H22" s="11"/>
      <c r="J22" s="19"/>
      <c r="L22" s="12"/>
      <c r="M22" s="11"/>
      <c r="N22" s="11"/>
      <c r="O22" s="11"/>
      <c r="P22" s="11"/>
      <c r="Q22" s="11"/>
      <c r="R22" s="11"/>
      <c r="S22" s="11"/>
    </row>
    <row r="23" spans="1:19" x14ac:dyDescent="0.3">
      <c r="A23" s="13" t="s">
        <v>13</v>
      </c>
      <c r="B23" s="11"/>
      <c r="C23" s="11"/>
      <c r="D23" s="11"/>
      <c r="E23" s="11"/>
      <c r="F23" s="11"/>
      <c r="G23" s="14"/>
      <c r="H23" s="11" t="s">
        <v>21</v>
      </c>
      <c r="J23" s="19"/>
      <c r="L23" s="13" t="s">
        <v>17</v>
      </c>
      <c r="M23" s="11"/>
      <c r="N23" s="11"/>
      <c r="O23" s="11"/>
      <c r="P23" s="11"/>
      <c r="Q23" s="11"/>
      <c r="R23" s="14"/>
      <c r="S23" s="11" t="s">
        <v>21</v>
      </c>
    </row>
    <row r="24" spans="1:19" x14ac:dyDescent="0.3">
      <c r="A24" s="15" t="s">
        <v>14</v>
      </c>
      <c r="B24" s="11"/>
      <c r="C24" s="11"/>
      <c r="D24" s="11"/>
      <c r="E24" s="11"/>
      <c r="F24" s="11"/>
      <c r="G24" s="11"/>
      <c r="H24" s="16">
        <v>3170</v>
      </c>
      <c r="J24" s="19"/>
      <c r="L24" s="15" t="s">
        <v>27</v>
      </c>
      <c r="M24" s="11"/>
      <c r="N24" s="11"/>
      <c r="O24" s="11"/>
      <c r="P24" s="11"/>
      <c r="Q24" s="11"/>
      <c r="R24" s="11"/>
      <c r="S24" s="16">
        <v>5393</v>
      </c>
    </row>
    <row r="25" spans="1:19" x14ac:dyDescent="0.3">
      <c r="A25" s="15" t="s">
        <v>26</v>
      </c>
      <c r="B25" s="11"/>
      <c r="C25" s="11"/>
      <c r="D25" s="11"/>
      <c r="E25" s="11"/>
      <c r="F25" s="11"/>
      <c r="G25" s="11"/>
      <c r="H25" s="11"/>
      <c r="J25" s="19"/>
      <c r="L25" s="15" t="s">
        <v>28</v>
      </c>
      <c r="M25" s="11"/>
      <c r="N25" s="11"/>
      <c r="O25" s="11"/>
      <c r="P25" s="11"/>
      <c r="Q25" s="11"/>
      <c r="R25" s="11"/>
      <c r="S25" s="11"/>
    </row>
    <row r="26" spans="1:19" x14ac:dyDescent="0.3">
      <c r="J26" s="19"/>
    </row>
    <row r="27" spans="1:19" x14ac:dyDescent="0.3">
      <c r="J27" s="19"/>
    </row>
    <row r="28" spans="1:19" x14ac:dyDescent="0.3">
      <c r="A28" t="s">
        <v>25</v>
      </c>
      <c r="B28" s="9">
        <f>+C17</f>
        <v>53.987357040000006</v>
      </c>
      <c r="J28" s="19"/>
      <c r="L28" t="s">
        <v>18</v>
      </c>
      <c r="M28" s="9">
        <f>+N17</f>
        <v>99.50051563400001</v>
      </c>
    </row>
    <row r="29" spans="1:19" x14ac:dyDescent="0.3">
      <c r="A29" t="s">
        <v>35</v>
      </c>
      <c r="B29" s="9">
        <f>+B28*75</f>
        <v>4049.0517780000005</v>
      </c>
      <c r="J29" s="19"/>
      <c r="L29" t="s">
        <v>19</v>
      </c>
      <c r="M29" s="9">
        <f>+M28*25</f>
        <v>2487.5128908500001</v>
      </c>
    </row>
    <row r="30" spans="1:19" x14ac:dyDescent="0.3">
      <c r="J30" s="19"/>
    </row>
    <row r="31" spans="1:19" x14ac:dyDescent="0.3">
      <c r="B31" s="9"/>
      <c r="J31" s="19"/>
    </row>
    <row r="32" spans="1:19" s="17" customFormat="1" ht="18" x14ac:dyDescent="0.35">
      <c r="A32" s="21" t="s">
        <v>20</v>
      </c>
      <c r="B32" s="22">
        <f>+(B29+M29)/100</f>
        <v>65.365646688500007</v>
      </c>
      <c r="C32" s="18"/>
      <c r="J32" s="20"/>
    </row>
    <row r="37" spans="1:3" x14ac:dyDescent="0.3">
      <c r="A37" t="s">
        <v>41</v>
      </c>
    </row>
    <row r="42" spans="1:3" x14ac:dyDescent="0.3">
      <c r="C42" s="7"/>
    </row>
  </sheetData>
  <sheetProtection algorithmName="SHA-512" hashValue="EDULkxRp/ROSpMYOxUJ6mKILTUzaybZ3wXZASJz5mH/tYeNMkAKXgCnB4CMNYd5bC9DuMc1BhWHwghwB/+gxhA==" saltValue="cDDiRa923yQdlu8Oe38qqg==" spinCount="100000" sheet="1" objects="1" scenarios="1"/>
  <mergeCells count="2">
    <mergeCell ref="A1:F1"/>
    <mergeCell ref="L1:Q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Uitgangspunten</vt:lpstr>
      <vt:lpstr>Kostprijsberekening</vt:lpstr>
    </vt:vector>
  </TitlesOfParts>
  <Company>Gemeente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Ridder de Vries</dc:creator>
  <cp:lastModifiedBy>Esra van der Velden</cp:lastModifiedBy>
  <dcterms:created xsi:type="dcterms:W3CDTF">2025-01-30T10:40:08Z</dcterms:created>
  <dcterms:modified xsi:type="dcterms:W3CDTF">2025-11-21T14:50:40Z</dcterms:modified>
</cp:coreProperties>
</file>