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b\Desktop\"/>
    </mc:Choice>
  </mc:AlternateContent>
  <xr:revisionPtr revIDLastSave="0" documentId="13_ncr:1_{9DD2451F-5620-4589-9E40-A492953A85B4}" xr6:coauthVersionLast="47" xr6:coauthVersionMax="47" xr10:uidLastSave="{00000000-0000-0000-0000-000000000000}"/>
  <bookViews>
    <workbookView xWindow="38290" yWindow="-110" windowWidth="29020" windowHeight="15700" activeTab="1" xr2:uid="{800A2275-134D-494C-A33D-EC4FDDF7E8BB}"/>
  </bookViews>
  <sheets>
    <sheet name="Omreken" sheetId="1" r:id="rId1"/>
    <sheet name="Tariefopbouw" sheetId="2" r:id="rId2"/>
    <sheet name="Categorienormen" sheetId="3" r:id="rId3"/>
    <sheet name="Regulier werk" sheetId="4" r:id="rId4"/>
    <sheet name="Ruimten werkdag" sheetId="5" r:id="rId5"/>
    <sheet name="Ruimten werkdag vakantie" sheetId="6" r:id="rId6"/>
    <sheet name="Objectinformatie" sheetId="7" r:id="rId7"/>
    <sheet name="Objecten" sheetId="8" r:id="rId8"/>
    <sheet name="Niet-meewerkende objectleiding" sheetId="9" r:id="rId9"/>
    <sheet name="Totaalblad Objecten" sheetId="10" r:id="rId10"/>
    <sheet name="Additioneel werk" sheetId="11" r:id="rId11"/>
    <sheet name="Additioneel werk per locatie" sheetId="12" r:id="rId12"/>
    <sheet name="Afroep incidenteel" sheetId="13" r:id="rId13"/>
    <sheet name="Regiewerk" sheetId="14" r:id="rId14"/>
    <sheet name="Glas" sheetId="15" r:id="rId15"/>
    <sheet name="Totaal" sheetId="16" r:id="rId16"/>
  </sheets>
  <definedNames>
    <definedName name="_xlnm._FilterDatabase" localSheetId="4" hidden="1">'Ruimten werkdag'!$A$3:$U$1105</definedName>
    <definedName name="_xlnm._FilterDatabase" localSheetId="5" hidden="1">'Ruimten werkdag vakantie'!$A$3:$U$40</definedName>
    <definedName name="_xlnm.Print_Titles" localSheetId="10">'Additioneel werk'!$1:$3</definedName>
    <definedName name="_xlnm.Print_Titles" localSheetId="11">'Additioneel werk per locatie'!$1:$3</definedName>
    <definedName name="_xlnm.Print_Titles" localSheetId="12">'Afroep incidenteel'!$1:$3</definedName>
    <definedName name="_xlnm.Print_Titles" localSheetId="2">Categorienormen!$1:$3</definedName>
    <definedName name="_xlnm.Print_Titles" localSheetId="14">Glas!$1:$3</definedName>
    <definedName name="_xlnm.Print_Titles" localSheetId="8">'Niet-meewerkende objectleiding'!$1:$3</definedName>
    <definedName name="_xlnm.Print_Titles" localSheetId="7">Objecten!$1:$3</definedName>
    <definedName name="_xlnm.Print_Titles" localSheetId="6">Objectinformatie!$A:$D,Objectinformatie!$1:$4</definedName>
    <definedName name="_xlnm.Print_Titles" localSheetId="13">Regiewerk!$1:$3</definedName>
    <definedName name="_xlnm.Print_Titles" localSheetId="3">'Regulier werk'!$1:$3</definedName>
    <definedName name="_xlnm.Print_Titles" localSheetId="4">'Ruimten werkdag'!$1:$3</definedName>
    <definedName name="_xlnm.Print_Titles" localSheetId="5">'Ruimten werkdag vakantie'!$1:$3</definedName>
    <definedName name="_xlnm.Print_Titles" localSheetId="1">Tariefopbouw!$A:$A,Tariefopbouw!$1:$2</definedName>
    <definedName name="_xlnm.Print_Titles" localSheetId="15">Totaal!$1:$3</definedName>
    <definedName name="_xlnm.Print_Titles" localSheetId="9">'Totaalblad Objecten'!$1:$3</definedName>
    <definedName name="catdw_1_AHB_1">Categorienormen!$F$29</definedName>
    <definedName name="catdw_1_AHV_40">Categorienormen!$F$30</definedName>
    <definedName name="catdw_1_BHB_1">Categorienormen!$F$6</definedName>
    <definedName name="catdw_1_BHV_40">Categorienormen!$F$7</definedName>
    <definedName name="catdw_1_BHV_42">Categorienormen!$F$8</definedName>
    <definedName name="catdw_1_CHB_1">Categorienormen!$F$9</definedName>
    <definedName name="catdw_1_CHV_40">Categorienormen!$F$10</definedName>
    <definedName name="catdw_1_DHB_1">Categorienormen!$F$23</definedName>
    <definedName name="catdw_1_DHV_40">Categorienormen!$F$24</definedName>
    <definedName name="catdw_1_EHB_1">Categorienormen!$F$31</definedName>
    <definedName name="catdw_1_EHV_40">Categorienormen!$F$32</definedName>
    <definedName name="catdw_1_EZB_1">Categorienormen!$F$33</definedName>
    <definedName name="catdw_1_EZV_40">Categorienormen!$F$34</definedName>
    <definedName name="catdw_1_FZB_1">Categorienormen!$F$35</definedName>
    <definedName name="catdw_1_FZV_40">Categorienormen!$F$36</definedName>
    <definedName name="catdw_1_GHB_1">Categorienormen!$F$37</definedName>
    <definedName name="catdw_1_GHV_40">Categorienormen!$F$38</definedName>
    <definedName name="catdw_1_IHB_1">Categorienormen!$F$39</definedName>
    <definedName name="catdw_1_IHV_40">Categorienormen!$F$40</definedName>
    <definedName name="catdw_1_KHB_1">Categorienormen!$F$25</definedName>
    <definedName name="catdw_1_KHV_40">Categorienormen!$F$26</definedName>
    <definedName name="catdw_1_LHB_1">Categorienormen!$F$11</definedName>
    <definedName name="catdw_1_LHV_40">Categorienormen!$F$12</definedName>
    <definedName name="catdw_1_MHB_1">Categorienormen!$F$13</definedName>
    <definedName name="catdw_1_MHV_40">Categorienormen!$F$14</definedName>
    <definedName name="catdw_1_OHB_1">Categorienormen!$F$41</definedName>
    <definedName name="catdw_1_OHV_10">Categorienormen!$F$42</definedName>
    <definedName name="catdw_1_OHV_40">Categorienormen!$F$43</definedName>
    <definedName name="catdw_1_OLHB_1">Categorienormen!$F$15</definedName>
    <definedName name="catdw_1_OLHV_40">Categorienormen!$F$16</definedName>
    <definedName name="catdw_1_PHB_1">Categorienormen!$F$44</definedName>
    <definedName name="catdw_1_PHV_40">Categorienormen!$F$45</definedName>
    <definedName name="catdw_1_PMHB_1">Categorienormen!$F$17</definedName>
    <definedName name="catdw_1_PMHV_40">Categorienormen!$F$18</definedName>
    <definedName name="catdw_1_PSHB_1">Categorienormen!$F$19</definedName>
    <definedName name="catdw_1_PSHV_40">Categorienormen!$F$20</definedName>
    <definedName name="catdw_1_PUHB_1">Categorienormen!$F$21</definedName>
    <definedName name="catdw_1_PUHV_40">Categorienormen!$F$22</definedName>
    <definedName name="catdw_1_SHB_1">Categorienormen!$F$27</definedName>
    <definedName name="catdw_1_SHV_40">Categorienormen!$F$28</definedName>
    <definedName name="catdw_1_THB_1">Categorienormen!$F$46</definedName>
    <definedName name="catdw_1_THV_40">Categorienormen!$F$47</definedName>
    <definedName name="catdw_1_TOHB_1">Categorienormen!$F$48</definedName>
    <definedName name="catdw_1_TOHV_40">Categorienormen!$F$49</definedName>
    <definedName name="catdw_1_VHB_1">Categorienormen!$F$50</definedName>
    <definedName name="catdw_1_VHV_40">Categorienormen!$F$51</definedName>
    <definedName name="catdw_1_VZB_1">Categorienormen!$F$52</definedName>
    <definedName name="catdw_1_VZV_40">Categorienormen!$F$53</definedName>
    <definedName name="catdw_2_VBHB_1">Categorienormen!$F$56</definedName>
    <definedName name="catdw_2_VBHV_2">Categorienormen!$F$57</definedName>
    <definedName name="catdw_2_VSHB_1">Categorienormen!$F$58</definedName>
    <definedName name="catdw_2_VSHV_2">Categorienormen!$F$59</definedName>
    <definedName name="catdw_2_VVHB_1">Categorienormen!$F$60</definedName>
    <definedName name="catdw_2_VVHV_2">Categorienormen!$F$61</definedName>
    <definedName name="catfd_1_AHB_1">Categorienormen!$C$29</definedName>
    <definedName name="catfd_1_AHV_40">Categorienormen!$C$30</definedName>
    <definedName name="catfd_1_BHB_1">Categorienormen!$C$6</definedName>
    <definedName name="catfd_1_BHV_40">Categorienormen!$C$7</definedName>
    <definedName name="catfd_1_BHV_42">Categorienormen!$C$8</definedName>
    <definedName name="catfd_1_CHB_1">Categorienormen!$C$9</definedName>
    <definedName name="catfd_1_CHV_40">Categorienormen!$C$10</definedName>
    <definedName name="catfd_1_DHB_1">Categorienormen!$C$23</definedName>
    <definedName name="catfd_1_DHV_40">Categorienormen!$C$24</definedName>
    <definedName name="catfd_1_EHB_1">Categorienormen!$C$31</definedName>
    <definedName name="catfd_1_EHV_40">Categorienormen!$C$32</definedName>
    <definedName name="catfd_1_EZB_1">Categorienormen!$C$33</definedName>
    <definedName name="catfd_1_EZV_40">Categorienormen!$C$34</definedName>
    <definedName name="catfd_1_FZB_1">Categorienormen!$C$35</definedName>
    <definedName name="catfd_1_FZV_40">Categorienormen!$C$36</definedName>
    <definedName name="catfd_1_GHB_1">Categorienormen!$C$37</definedName>
    <definedName name="catfd_1_GHV_40">Categorienormen!$C$38</definedName>
    <definedName name="catfd_1_IHB_1">Categorienormen!$C$39</definedName>
    <definedName name="catfd_1_IHV_40">Categorienormen!$C$40</definedName>
    <definedName name="catfd_1_KHB_1">Categorienormen!$C$25</definedName>
    <definedName name="catfd_1_KHV_40">Categorienormen!$C$26</definedName>
    <definedName name="catfd_1_LHB_1">Categorienormen!$C$11</definedName>
    <definedName name="catfd_1_LHV_40">Categorienormen!$C$12</definedName>
    <definedName name="catfd_1_MHB_1">Categorienormen!$C$13</definedName>
    <definedName name="catfd_1_MHV_40">Categorienormen!$C$14</definedName>
    <definedName name="catfd_1_OHB_1">Categorienormen!$C$41</definedName>
    <definedName name="catfd_1_OHV_10">Categorienormen!$C$42</definedName>
    <definedName name="catfd_1_OHV_40">Categorienormen!$C$43</definedName>
    <definedName name="catfd_1_OLHB_1">Categorienormen!$C$15</definedName>
    <definedName name="catfd_1_OLHV_40">Categorienormen!$C$16</definedName>
    <definedName name="catfd_1_PHB_1">Categorienormen!$C$44</definedName>
    <definedName name="catfd_1_PHV_40">Categorienormen!$C$45</definedName>
    <definedName name="catfd_1_PMHB_1">Categorienormen!$C$17</definedName>
    <definedName name="catfd_1_PMHV_40">Categorienormen!$C$18</definedName>
    <definedName name="catfd_1_PSHB_1">Categorienormen!$C$19</definedName>
    <definedName name="catfd_1_PSHV_40">Categorienormen!$C$20</definedName>
    <definedName name="catfd_1_PUHB_1">Categorienormen!$C$21</definedName>
    <definedName name="catfd_1_PUHV_40">Categorienormen!$C$22</definedName>
    <definedName name="catfd_1_SHB_1">Categorienormen!$C$27</definedName>
    <definedName name="catfd_1_SHV_40">Categorienormen!$C$28</definedName>
    <definedName name="catfd_1_THB_1">Categorienormen!$C$46</definedName>
    <definedName name="catfd_1_THV_40">Categorienormen!$C$47</definedName>
    <definedName name="catfd_1_TOHB_1">Categorienormen!$C$48</definedName>
    <definedName name="catfd_1_TOHV_40">Categorienormen!$C$49</definedName>
    <definedName name="catfd_1_VHB_1">Categorienormen!$C$50</definedName>
    <definedName name="catfd_1_VHV_40">Categorienormen!$C$51</definedName>
    <definedName name="catfd_1_VZB_1">Categorienormen!$C$52</definedName>
    <definedName name="catfd_1_VZV_40">Categorienormen!$C$53</definedName>
    <definedName name="catfd_2_VBHB_1">Categorienormen!$C$56</definedName>
    <definedName name="catfd_2_VBHV_2">Categorienormen!$C$57</definedName>
    <definedName name="catfd_2_VSHB_1">Categorienormen!$C$58</definedName>
    <definedName name="catfd_2_VSHV_2">Categorienormen!$C$59</definedName>
    <definedName name="catfd_2_VVHB_1">Categorienormen!$C$60</definedName>
    <definedName name="catfd_2_VVHV_2">Categorienormen!$C$61</definedName>
    <definedName name="catpn_1_AHB_1">Categorienormen!$E$29</definedName>
    <definedName name="catpn_1_AHV_40">Categorienormen!$E$30</definedName>
    <definedName name="catpn_1_BHB_1">Categorienormen!$E$6</definedName>
    <definedName name="catpn_1_BHV_40">Categorienormen!$E$7</definedName>
    <definedName name="catpn_1_BHV_42">Categorienormen!$E$8</definedName>
    <definedName name="catpn_1_CHB_1">Categorienormen!$E$9</definedName>
    <definedName name="catpn_1_CHV_40">Categorienormen!$E$10</definedName>
    <definedName name="catpn_1_DHB_1">Categorienormen!$E$23</definedName>
    <definedName name="catpn_1_DHV_40">Categorienormen!$E$24</definedName>
    <definedName name="catpn_1_EHB_1">Categorienormen!$E$31</definedName>
    <definedName name="catpn_1_EHV_40">Categorienormen!$E$32</definedName>
    <definedName name="catpn_1_EZB_1">Categorienormen!$E$33</definedName>
    <definedName name="catpn_1_EZV_40">Categorienormen!$E$34</definedName>
    <definedName name="catpn_1_FZB_1">Categorienormen!$E$35</definedName>
    <definedName name="catpn_1_FZV_40">Categorienormen!$E$36</definedName>
    <definedName name="catpn_1_GHB_1">Categorienormen!$E$37</definedName>
    <definedName name="catpn_1_GHV_40">Categorienormen!$E$38</definedName>
    <definedName name="catpn_1_IHB_1">Categorienormen!$E$39</definedName>
    <definedName name="catpn_1_IHV_40">Categorienormen!$E$40</definedName>
    <definedName name="catpn_1_KHB_1">Categorienormen!$E$25</definedName>
    <definedName name="catpn_1_KHV_40">Categorienormen!$E$26</definedName>
    <definedName name="catpn_1_LHB_1">Categorienormen!$E$11</definedName>
    <definedName name="catpn_1_LHV_40">Categorienormen!$E$12</definedName>
    <definedName name="catpn_1_MHB_1">Categorienormen!$E$13</definedName>
    <definedName name="catpn_1_MHV_40">Categorienormen!$E$14</definedName>
    <definedName name="catpn_1_OHB_1">Categorienormen!$E$41</definedName>
    <definedName name="catpn_1_OHV_10">Categorienormen!$E$42</definedName>
    <definedName name="catpn_1_OHV_40">Categorienormen!$E$43</definedName>
    <definedName name="catpn_1_OLHB_1">Categorienormen!$E$15</definedName>
    <definedName name="catpn_1_OLHV_40">Categorienormen!$E$16</definedName>
    <definedName name="catpn_1_PHB_1">Categorienormen!$E$44</definedName>
    <definedName name="catpn_1_PHV_40">Categorienormen!$E$45</definedName>
    <definedName name="catpn_1_PMHB_1">Categorienormen!$E$17</definedName>
    <definedName name="catpn_1_PMHV_40">Categorienormen!$E$18</definedName>
    <definedName name="catpn_1_PSHB_1">Categorienormen!$E$19</definedName>
    <definedName name="catpn_1_PSHV_40">Categorienormen!$E$20</definedName>
    <definedName name="catpn_1_PUHB_1">Categorienormen!$E$21</definedName>
    <definedName name="catpn_1_PUHV_40">Categorienormen!$E$22</definedName>
    <definedName name="catpn_1_SHB_1">Categorienormen!$E$27</definedName>
    <definedName name="catpn_1_SHV_40">Categorienormen!$E$28</definedName>
    <definedName name="catpn_1_THB_1">Categorienormen!$E$46</definedName>
    <definedName name="catpn_1_THV_40">Categorienormen!$E$47</definedName>
    <definedName name="catpn_1_TOHB_1">Categorienormen!$E$48</definedName>
    <definedName name="catpn_1_TOHV_40">Categorienormen!$E$49</definedName>
    <definedName name="catpn_1_VHB_1">Categorienormen!$E$50</definedName>
    <definedName name="catpn_1_VHV_40">Categorienormen!$E$51</definedName>
    <definedName name="catpn_1_VZB_1">Categorienormen!$E$52</definedName>
    <definedName name="catpn_1_VZV_40">Categorienormen!$E$53</definedName>
    <definedName name="catpn_2_VBHB_1">Categorienormen!$E$56</definedName>
    <definedName name="catpn_2_VBHV_2">Categorienormen!$E$57</definedName>
    <definedName name="catpn_2_VSHB_1">Categorienormen!$E$58</definedName>
    <definedName name="catpn_2_VSHV_2">Categorienormen!$E$59</definedName>
    <definedName name="catpn_2_VVHB_1">Categorienormen!$E$60</definedName>
    <definedName name="catpn_2_VVHV_2">Categorienormen!$E$61</definedName>
    <definedName name="cattf_1_AHB_1">Categorienormen!$H$29</definedName>
    <definedName name="cattf_1_AHV_40">Categorienormen!$H$30</definedName>
    <definedName name="cattf_1_BHB_1">Categorienormen!$H$6</definedName>
    <definedName name="cattf_1_BHV_40">Categorienormen!$H$7</definedName>
    <definedName name="cattf_1_BHV_42">Categorienormen!$H$8</definedName>
    <definedName name="cattf_1_CHB_1">Categorienormen!$H$9</definedName>
    <definedName name="cattf_1_CHV_40">Categorienormen!$H$10</definedName>
    <definedName name="cattf_1_DHB_1">Categorienormen!$H$23</definedName>
    <definedName name="cattf_1_DHV_40">Categorienormen!$H$24</definedName>
    <definedName name="cattf_1_EHB_1">Categorienormen!$H$31</definedName>
    <definedName name="cattf_1_EHV_40">Categorienormen!$H$32</definedName>
    <definedName name="cattf_1_EZB_1">Categorienormen!$H$33</definedName>
    <definedName name="cattf_1_EZV_40">Categorienormen!$H$34</definedName>
    <definedName name="cattf_1_FZB_1">Categorienormen!$H$35</definedName>
    <definedName name="cattf_1_FZV_40">Categorienormen!$H$36</definedName>
    <definedName name="cattf_1_GHB_1">Categorienormen!$H$37</definedName>
    <definedName name="cattf_1_GHV_40">Categorienormen!$H$38</definedName>
    <definedName name="cattf_1_IHB_1">Categorienormen!$H$39</definedName>
    <definedName name="cattf_1_IHV_40">Categorienormen!$H$40</definedName>
    <definedName name="cattf_1_KHB_1">Categorienormen!$H$25</definedName>
    <definedName name="cattf_1_KHV_40">Categorienormen!$H$26</definedName>
    <definedName name="cattf_1_LHB_1">Categorienormen!$H$11</definedName>
    <definedName name="cattf_1_LHV_40">Categorienormen!$H$12</definedName>
    <definedName name="cattf_1_MHB_1">Categorienormen!$H$13</definedName>
    <definedName name="cattf_1_MHV_40">Categorienormen!$H$14</definedName>
    <definedName name="cattf_1_OHB_1">Categorienormen!$H$41</definedName>
    <definedName name="cattf_1_OHV_10">Categorienormen!$H$42</definedName>
    <definedName name="cattf_1_OHV_40">Categorienormen!$H$43</definedName>
    <definedName name="cattf_1_OLHB_1">Categorienormen!$H$15</definedName>
    <definedName name="cattf_1_OLHV_40">Categorienormen!$H$16</definedName>
    <definedName name="cattf_1_PHB_1">Categorienormen!$H$44</definedName>
    <definedName name="cattf_1_PHV_40">Categorienormen!$H$45</definedName>
    <definedName name="cattf_1_PMHB_1">Categorienormen!$H$17</definedName>
    <definedName name="cattf_1_PMHV_40">Categorienormen!$H$18</definedName>
    <definedName name="cattf_1_PSHB_1">Categorienormen!$H$19</definedName>
    <definedName name="cattf_1_PSHV_40">Categorienormen!$H$20</definedName>
    <definedName name="cattf_1_PUHB_1">Categorienormen!$H$21</definedName>
    <definedName name="cattf_1_PUHV_40">Categorienormen!$H$22</definedName>
    <definedName name="cattf_1_SHB_1">Categorienormen!$H$27</definedName>
    <definedName name="cattf_1_SHV_40">Categorienormen!$H$28</definedName>
    <definedName name="cattf_1_THB_1">Categorienormen!$H$46</definedName>
    <definedName name="cattf_1_THV_40">Categorienormen!$H$47</definedName>
    <definedName name="cattf_1_TOHB_1">Categorienormen!$H$48</definedName>
    <definedName name="cattf_1_TOHV_40">Categorienormen!$H$49</definedName>
    <definedName name="cattf_1_VHB_1">Categorienormen!$H$50</definedName>
    <definedName name="cattf_1_VHV_40">Categorienormen!$H$51</definedName>
    <definedName name="cattf_1_VZB_1">Categorienormen!$H$52</definedName>
    <definedName name="cattf_1_VZV_40">Categorienormen!$H$53</definedName>
    <definedName name="cattf_2_VBHB_1">Categorienormen!$H$56</definedName>
    <definedName name="cattf_2_VBHV_2">Categorienormen!$H$57</definedName>
    <definedName name="cattf_2_VSHB_1">Categorienormen!$H$58</definedName>
    <definedName name="cattf_2_VSHV_2">Categorienormen!$H$59</definedName>
    <definedName name="cattf_2_VVHB_1">Categorienormen!$H$60</definedName>
    <definedName name="cattf_2_VVHV_2">Categorienormen!$H$61</definedName>
    <definedName name="dagenperjaar1">Omreken!$B$9</definedName>
    <definedName name="dagenperweek1">Omreken!$B$10</definedName>
    <definedName name="dagsoorttabel1">Omreken!$A$13:$B$30</definedName>
    <definedName name="dagwerk10">'Regulier werk'!$H$11</definedName>
    <definedName name="dagwerk11">'Regulier werk'!$H$12</definedName>
    <definedName name="dagwerk12">'Regulier werk'!$H$13</definedName>
    <definedName name="dagwerk13">'Regulier werk'!$H$14</definedName>
    <definedName name="dagwerk14">'Regulier werk'!$H$15</definedName>
    <definedName name="dagwerk15">'Regulier werk'!$H$16</definedName>
    <definedName name="dagwerk16">'Regulier werk'!$H$17</definedName>
    <definedName name="dagwerk17">'Regulier werk'!$H$18</definedName>
    <definedName name="dagwerk18">'Regulier werk'!$H$19</definedName>
    <definedName name="dagwerk19">'Regulier werk'!$H$20</definedName>
    <definedName name="dagwerk20">'Regulier werk'!$H$21</definedName>
    <definedName name="dagwerk21">'Regulier werk'!$H$22</definedName>
    <definedName name="dagwerk22">'Regulier werk'!$H$23</definedName>
    <definedName name="dagwerk23">'Regulier werk'!$H$24</definedName>
    <definedName name="dagwerk24">'Regulier werk'!$H$25</definedName>
    <definedName name="dagwerk25">'Regulier werk'!$H$26</definedName>
    <definedName name="dagwerk26">'Regulier werk'!$H$27</definedName>
    <definedName name="dagwerk27">'Regulier werk'!$H$28</definedName>
    <definedName name="dagwerk28">'Regulier werk'!$H$29</definedName>
    <definedName name="dagwerk29">'Regulier werk'!$H$30</definedName>
    <definedName name="dagwerk30">'Regulier werk'!$H$31</definedName>
    <definedName name="dagwerk31">'Regulier werk'!$H$32</definedName>
    <definedName name="dagwerk32">'Regulier werk'!$H$33</definedName>
    <definedName name="dagwerk33">'Regulier werk'!$H$34</definedName>
    <definedName name="dagwerk34">'Regulier werk'!$H$35</definedName>
    <definedName name="dagwerk35">'Regulier werk'!$H$36</definedName>
    <definedName name="dagwerk36">'Regulier werk'!$H$43</definedName>
    <definedName name="dagwerk37">'Regulier werk'!$H$44</definedName>
    <definedName name="dagwerk38">'Regulier werk'!$H$45</definedName>
    <definedName name="dagwerk39">'Regulier werk'!$H$46</definedName>
    <definedName name="dagwerk40">'Regulier werk'!$H$47</definedName>
    <definedName name="dagwerk5">'Regulier werk'!$H$6</definedName>
    <definedName name="dagwerk6">'Regulier werk'!$H$7</definedName>
    <definedName name="dagwerk7">'Regulier werk'!$H$8</definedName>
    <definedName name="dagwerk8">'Regulier werk'!$H$9</definedName>
    <definedName name="dagwerk9">'Regulier werk'!$H$10</definedName>
    <definedName name="dagwerktabel1">Objectinformatie!$H$5:$H$35</definedName>
    <definedName name="dagwerktabel2">Objectinformatie!$H$38:$H$42</definedName>
    <definedName name="gemuurtarief1">'Regulier werk'!$J$39</definedName>
    <definedName name="gemuurtarief2">'Regulier werk'!$J$50</definedName>
    <definedName name="kengetaltabel1">Objectinformatie!$G$5:$G$35</definedName>
    <definedName name="kengetaltabel2">Objectinformatie!$G$38:$G$42</definedName>
    <definedName name="object1_gemuurtarief1">'Ruimten werkdag'!$P$252</definedName>
    <definedName name="object1_opptabel1">Objectinformatie!$J$5:$J$35</definedName>
    <definedName name="object1_opptabel2">Objectinformatie!$J$38:$J$42</definedName>
    <definedName name="object1_prijsdag1">'Ruimten werkdag'!$S$252</definedName>
    <definedName name="object1_prijsjaar1">'Ruimten werkdag'!$U$252</definedName>
    <definedName name="object1_urendag1">'Ruimten werkdag'!$Q$252</definedName>
    <definedName name="object1_urendaghf1">'Ruimten werkdag'!$R$252</definedName>
    <definedName name="object1_urenjaar1">'Ruimten werkdag'!$T$252</definedName>
    <definedName name="object2_gemuurtarief1">'Ruimten werkdag'!$P$338</definedName>
    <definedName name="object2_opptabel1">Objectinformatie!$K$5:$K$35</definedName>
    <definedName name="object2_opptabel2">Objectinformatie!$K$38:$K$42</definedName>
    <definedName name="object2_prijsdag1">'Ruimten werkdag'!$S$338</definedName>
    <definedName name="object2_prijsjaar1">'Ruimten werkdag'!$U$338</definedName>
    <definedName name="object2_urendag1">'Ruimten werkdag'!$Q$338</definedName>
    <definedName name="object2_urendaghf1">'Ruimten werkdag'!$R$338</definedName>
    <definedName name="object2_urenjaar1">'Ruimten werkdag'!$T$338</definedName>
    <definedName name="object3_gemuurtarief1">'Ruimten werkdag'!$P$532</definedName>
    <definedName name="object3_opptabel1">Objectinformatie!$L$5:$L$35</definedName>
    <definedName name="object3_opptabel2">Objectinformatie!$L$38:$L$42</definedName>
    <definedName name="object3_prijsdag1">'Ruimten werkdag'!$S$532</definedName>
    <definedName name="object3_prijsjaar1">'Ruimten werkdag'!$U$532</definedName>
    <definedName name="object3_urendag1">'Ruimten werkdag'!$Q$532</definedName>
    <definedName name="object3_urendaghf1">'Ruimten werkdag'!$R$532</definedName>
    <definedName name="object3_urenjaar1">'Ruimten werkdag'!$T$532</definedName>
    <definedName name="object4_gemuurtarief1">'Ruimten werkdag'!$P$634</definedName>
    <definedName name="object4_opptabel1">Objectinformatie!$M$5:$M$35</definedName>
    <definedName name="object4_opptabel2">Objectinformatie!$M$38:$M$42</definedName>
    <definedName name="object4_prijsdag1">'Ruimten werkdag'!$S$634</definedName>
    <definedName name="object4_prijsjaar1">'Ruimten werkdag'!$U$634</definedName>
    <definedName name="object4_urendag1">'Ruimten werkdag'!$Q$634</definedName>
    <definedName name="object4_urendaghf1">'Ruimten werkdag'!$R$634</definedName>
    <definedName name="object4_urenjaar1">'Ruimten werkdag'!$T$634</definedName>
    <definedName name="object5_gemuurtarief1">'Ruimten werkdag'!$P$802</definedName>
    <definedName name="object5_gemuurtarief2">'Ruimten werkdag vakantie'!$P$16</definedName>
    <definedName name="object5_opptabel1">Objectinformatie!$N$5:$N$35</definedName>
    <definedName name="object5_opptabel2">Objectinformatie!$N$38:$N$42</definedName>
    <definedName name="object5_prijsdag1">'Ruimten werkdag'!$S$802</definedName>
    <definedName name="object5_prijsdag2">'Ruimten werkdag vakantie'!$S$16</definedName>
    <definedName name="object5_prijsjaar1">'Ruimten werkdag'!$U$802</definedName>
    <definedName name="object5_prijsjaar2">'Ruimten werkdag vakantie'!$U$16</definedName>
    <definedName name="object5_urendag1">'Ruimten werkdag'!$Q$802</definedName>
    <definedName name="object5_urendag2">'Ruimten werkdag vakantie'!$Q$16</definedName>
    <definedName name="object5_urendaghf1">'Ruimten werkdag'!$R$802</definedName>
    <definedName name="object5_urendaghf2">'Ruimten werkdag vakantie'!$R$16</definedName>
    <definedName name="object5_urenjaar1">'Ruimten werkdag'!$T$802</definedName>
    <definedName name="object5_urenjaar2">'Ruimten werkdag vakantie'!$T$16</definedName>
    <definedName name="object6_gemuurtarief1">'Ruimten werkdag'!$P$988</definedName>
    <definedName name="object6_gemuurtarief2">'Ruimten werkdag vakantie'!$P$40</definedName>
    <definedName name="object6_opptabel1">Objectinformatie!$O$5:$O$35</definedName>
    <definedName name="object6_opptabel2">Objectinformatie!$O$38:$O$42</definedName>
    <definedName name="object6_prijsdag1">'Ruimten werkdag'!$S$988</definedName>
    <definedName name="object6_prijsdag2">'Ruimten werkdag vakantie'!$S$40</definedName>
    <definedName name="object6_prijsjaar1">'Ruimten werkdag'!$U$988</definedName>
    <definedName name="object6_prijsjaar2">'Ruimten werkdag vakantie'!$U$40</definedName>
    <definedName name="object6_urendag1">'Ruimten werkdag'!$Q$988</definedName>
    <definedName name="object6_urendag2">'Ruimten werkdag vakantie'!$Q$40</definedName>
    <definedName name="object6_urendaghf1">'Ruimten werkdag'!$R$988</definedName>
    <definedName name="object6_urendaghf2">'Ruimten werkdag vakantie'!$R$40</definedName>
    <definedName name="object6_urenjaar1">'Ruimten werkdag'!$T$988</definedName>
    <definedName name="object6_urenjaar2">'Ruimten werkdag vakantie'!$T$40</definedName>
    <definedName name="object7_gemuurtarief1">'Ruimten werkdag'!$P$1105</definedName>
    <definedName name="object7_opptabel1">Objectinformatie!$P$5:$P$35</definedName>
    <definedName name="object7_opptabel2">Objectinformatie!$P$38:$P$42</definedName>
    <definedName name="object7_prijsdag1">'Ruimten werkdag'!$S$1105</definedName>
    <definedName name="object7_prijsjaar1">'Ruimten werkdag'!$U$1105</definedName>
    <definedName name="object7_urendag1">'Ruimten werkdag'!$Q$1105</definedName>
    <definedName name="object7_urendaghf1">'Ruimten werkdag'!$R$1105</definedName>
    <definedName name="object7_urenjaar1">'Ruimten werkdag'!$T$1105</definedName>
    <definedName name="objectprijs1_1">Objecten!$Q$6</definedName>
    <definedName name="objectprijs2_1">Objecten!$Q$7</definedName>
    <definedName name="objectprijs3_1">Objecten!$Q$8</definedName>
    <definedName name="objectprijs4_1">Objecten!$Q$9</definedName>
    <definedName name="objectprijs5_1">Objecten!$Q$10</definedName>
    <definedName name="objectprijs5_2">Objecten!$Q$17</definedName>
    <definedName name="objectprijs6_1">Objecten!$Q$11</definedName>
    <definedName name="objectprijs6_2">Objecten!$Q$18</definedName>
    <definedName name="objectprijs7_1">Objecten!$Q$12</definedName>
    <definedName name="objecturen1_1">Objecten!$P$6</definedName>
    <definedName name="objecturen2_1">Objecten!$P$7</definedName>
    <definedName name="objecturen3_1">Objecten!$P$8</definedName>
    <definedName name="objecturen4_1">Objecten!$P$9</definedName>
    <definedName name="objecturen5_1">Objecten!$P$10</definedName>
    <definedName name="objecturen5_2">Objecten!$P$17</definedName>
    <definedName name="objecturen6_1">Objecten!$P$11</definedName>
    <definedName name="objecturen6_2">Objecten!$P$18</definedName>
    <definedName name="objecturen7_1">Objecten!$P$12</definedName>
    <definedName name="objecturenhf1_1">Objecten!$O$6</definedName>
    <definedName name="objecturenhf2_1">Objecten!$O$7</definedName>
    <definedName name="objecturenhf3_1">Objecten!$O$8</definedName>
    <definedName name="objecturenhf4_1">Objecten!$O$9</definedName>
    <definedName name="objecturenhf5_1">Objecten!$O$10</definedName>
    <definedName name="objecturenhf5_2">Objecten!$O$17</definedName>
    <definedName name="objecturenhf6_1">Objecten!$O$11</definedName>
    <definedName name="objecturenhf6_2">Objecten!$O$18</definedName>
    <definedName name="objecturenhf7_1">Objecten!$O$12</definedName>
    <definedName name="prijsdag1">'Regulier werk'!$L$37</definedName>
    <definedName name="prijsdag2">'Regulier werk'!$L$48</definedName>
    <definedName name="prijsjaar">'Regulier werk'!$N$53</definedName>
    <definedName name="prijsjaar1">'Regulier werk'!$N$37</definedName>
    <definedName name="prijsjaar2">'Regulier werk'!$N$48</definedName>
    <definedName name="prijsjaaradditioneel">'Additioneel werk'!$K$12</definedName>
    <definedName name="prijsjaaradditioneel1">'Additioneel werk'!$K$10</definedName>
    <definedName name="prijsjaarglas">Glas!$K$11</definedName>
    <definedName name="prijsjaarglas1">Glas!$K$9</definedName>
    <definedName name="prijsjaarnietmeewerkend">'Niet-meewerkende objectleiding'!$J$85</definedName>
    <definedName name="prijsjaarregie">Regiewerk!$K$13</definedName>
    <definedName name="prijsjaarregie1">Regiewerk!$K$11</definedName>
    <definedName name="prijsjaartotaal">Objecten!$Q$22</definedName>
    <definedName name="prijsjaartotaal1">Objecten!$Q$13</definedName>
    <definedName name="prijsjaartotaal2">Objecten!$Q$19</definedName>
    <definedName name="prijsjaartotaaloverzicht">'Totaalblad Objecten'!$G$12</definedName>
    <definedName name="prijsmaandtotaal1">Objecten!$R$13</definedName>
    <definedName name="prijsmaandtotaal2">Objecten!$R$19</definedName>
    <definedName name="prodnorm0">Glas!$H$8</definedName>
    <definedName name="prodnorm1">'Additioneel werk per locatie'!$I$29</definedName>
    <definedName name="prodnorm10">'Regulier werk'!$G$11</definedName>
    <definedName name="prodnorm11">'Regulier werk'!$G$12</definedName>
    <definedName name="prodnorm12">'Regulier werk'!$G$13</definedName>
    <definedName name="prodnorm13">'Regulier werk'!$G$14</definedName>
    <definedName name="prodnorm14">'Regulier werk'!$G$15</definedName>
    <definedName name="prodnorm15">'Regulier werk'!$G$16</definedName>
    <definedName name="prodnorm16">'Regulier werk'!$G$17</definedName>
    <definedName name="prodnorm17">'Regulier werk'!$G$18</definedName>
    <definedName name="prodnorm18">'Regulier werk'!$G$19</definedName>
    <definedName name="prodnorm19">'Regulier werk'!$G$20</definedName>
    <definedName name="prodnorm2">'Additioneel werk per locatie'!$I$34</definedName>
    <definedName name="prodnorm20">'Regulier werk'!$G$21</definedName>
    <definedName name="prodnorm21">'Regulier werk'!$G$22</definedName>
    <definedName name="prodnorm22">'Regulier werk'!$G$23</definedName>
    <definedName name="prodnorm23">'Regulier werk'!$G$24</definedName>
    <definedName name="prodnorm24">'Regulier werk'!$G$25</definedName>
    <definedName name="prodnorm25">'Regulier werk'!$G$26</definedName>
    <definedName name="prodnorm26">'Regulier werk'!$G$27</definedName>
    <definedName name="prodnorm27">'Regulier werk'!$G$28</definedName>
    <definedName name="prodnorm28">'Regulier werk'!$G$29</definedName>
    <definedName name="prodnorm29">'Regulier werk'!$G$30</definedName>
    <definedName name="prodnorm3">'Additioneel werk per locatie'!$I$24</definedName>
    <definedName name="prodnorm30">'Regulier werk'!$G$31</definedName>
    <definedName name="prodnorm31">'Regulier werk'!$G$32</definedName>
    <definedName name="prodnorm32">'Regulier werk'!$G$33</definedName>
    <definedName name="prodnorm33">'Regulier werk'!$G$34</definedName>
    <definedName name="prodnorm34">'Regulier werk'!$G$35</definedName>
    <definedName name="prodnorm35">'Regulier werk'!$G$36</definedName>
    <definedName name="prodnorm36">'Regulier werk'!$G$43</definedName>
    <definedName name="prodnorm37">'Regulier werk'!$G$44</definedName>
    <definedName name="prodnorm38">'Regulier werk'!$G$45</definedName>
    <definedName name="prodnorm39">'Regulier werk'!$G$46</definedName>
    <definedName name="prodnorm4">'Additioneel werk per locatie'!$I$25</definedName>
    <definedName name="prodnorm40">'Regulier werk'!$G$47</definedName>
    <definedName name="prodnorm5">'Regulier werk'!$G$6</definedName>
    <definedName name="prodnorm6">'Regulier werk'!$G$7</definedName>
    <definedName name="prodnorm7">'Regulier werk'!$G$8</definedName>
    <definedName name="prodnorm8">'Regulier werk'!$G$9</definedName>
    <definedName name="prodnorm9">'Regulier werk'!$G$10</definedName>
    <definedName name="taakfreqtabel1">Objectinformatie!$E$5:$E$35</definedName>
    <definedName name="taakfreqtabel2">Objectinformatie!$E$38:$E$42</definedName>
    <definedName name="tabeltype">Omreken!$B$5:$B$5</definedName>
    <definedName name="Tariefopbouw1">Tariefopbouw!$C$50</definedName>
    <definedName name="Tariefopbouw2">Tariefopbouw!$C$56</definedName>
    <definedName name="Tariefopbouw3">Tariefopbouw!$E$56</definedName>
    <definedName name="Tariefopbouw4">Tariefopbouw!$E$50</definedName>
    <definedName name="Tariefopbouw5">Tariefopbouw!$G$50</definedName>
    <definedName name="TariefOpbouwBasisloon1">Tariefopbouw!$B$9</definedName>
    <definedName name="TariefOpbouwBasisloon2">Tariefopbouw!$D$9</definedName>
    <definedName name="TariefOpbouwBasisloon3">Tariefopbouw!$F$9</definedName>
    <definedName name="TariefOpbouwBasisloon4">Tariefopbouw!$H$9</definedName>
    <definedName name="TariefOpbouwBasisloon5">Tariefopbouw!$J$9</definedName>
    <definedName name="TariefOpbouwBasisloon6">Tariefopbouw!$L$9</definedName>
    <definedName name="TariefOpbouwBasisloon7">Tariefopbouw!$N$9</definedName>
    <definedName name="TariefOpbouwBasisloon8">Tariefopbouw!$P$9</definedName>
    <definedName name="TariefOpbouwDirecteKosten1">Tariefopbouw!$B$26</definedName>
    <definedName name="TariefOpbouwDirecteKosten2">Tariefopbouw!$D$26</definedName>
    <definedName name="TariefOpbouwDirecteKosten3">Tariefopbouw!$F$26</definedName>
    <definedName name="TariefOpbouwDirecteKosten4">Tariefopbouw!$H$26</definedName>
    <definedName name="TariefOpbouwDirecteKosten5">Tariefopbouw!$J$26</definedName>
    <definedName name="TariefOpbouwDirecteKosten6">Tariefopbouw!$L$26</definedName>
    <definedName name="TariefOpbouwDirecteKosten7">Tariefopbouw!$N$26</definedName>
    <definedName name="TariefOpbouwDirecteKosten8">Tariefopbouw!$P$26</definedName>
    <definedName name="TariefOpbouwErvaring1">Tariefopbouw!$B$6</definedName>
    <definedName name="TariefOpbouwErvaring2">Tariefopbouw!$D$6</definedName>
    <definedName name="TariefOpbouwErvaring3">Tariefopbouw!$F$6</definedName>
    <definedName name="TariefOpbouwErvaring4">Tariefopbouw!$H$6</definedName>
    <definedName name="TariefOpbouwErvaring5">Tariefopbouw!$J$6</definedName>
    <definedName name="TariefOpbouwErvaring6">Tariefopbouw!$L$6</definedName>
    <definedName name="TariefOpbouwErvaring7">Tariefopbouw!$N$6</definedName>
    <definedName name="TariefOpbouwErvaring8">Tariefopbouw!$P$6</definedName>
    <definedName name="TariefOpbouwIndirecteKosten1">Tariefopbouw!$B$35</definedName>
    <definedName name="TariefOpbouwIndirecteKosten2">Tariefopbouw!$D$35</definedName>
    <definedName name="TariefOpbouwIndirecteKosten3">Tariefopbouw!$F$35</definedName>
    <definedName name="TariefOpbouwIndirecteKosten4">Tariefopbouw!$H$35</definedName>
    <definedName name="TariefOpbouwIndirecteKosten5">Tariefopbouw!$J$35</definedName>
    <definedName name="TariefOpbouwIndirecteKosten6">Tariefopbouw!$L$35</definedName>
    <definedName name="TariefOpbouwIndirecteKosten7">Tariefopbouw!$N$35</definedName>
    <definedName name="TariefOpbouwIndirecteKosten8">Tariefopbouw!$P$35</definedName>
    <definedName name="TariefOpbouwNaam1">Tariefopbouw!$B$5</definedName>
    <definedName name="TariefOpbouwNaam2">Tariefopbouw!$D$5</definedName>
    <definedName name="TariefOpbouwNaam3">Tariefopbouw!$F$5</definedName>
    <definedName name="TariefOpbouwNaam4">Tariefopbouw!$H$5</definedName>
    <definedName name="TariefOpbouwNaam5">Tariefopbouw!$J$5</definedName>
    <definedName name="TariefOpbouwNaam6">Tariefopbouw!$L$5</definedName>
    <definedName name="TariefOpbouwNaam7">Tariefopbouw!$N$5</definedName>
    <definedName name="TariefOpbouwNaam8">Tariefopbouw!$P$5</definedName>
    <definedName name="TariefOpbouwRisicoWinst1">Tariefopbouw!$C$37</definedName>
    <definedName name="TariefOpbouwRisicoWinst2">Tariefopbouw!$E$37</definedName>
    <definedName name="TariefOpbouwRisicoWinst3">Tariefopbouw!$G$37</definedName>
    <definedName name="TariefOpbouwRisicoWinst4">Tariefopbouw!$I$37</definedName>
    <definedName name="TariefOpbouwRisicoWinst5">Tariefopbouw!$K$37</definedName>
    <definedName name="TariefOpbouwRisicoWinst6">Tariefopbouw!$M$37</definedName>
    <definedName name="TariefOpbouwRisicoWinst7">Tariefopbouw!$O$37</definedName>
    <definedName name="TariefOpbouwRisicoWinst8">Tariefopbouw!$Q$37</definedName>
    <definedName name="TariefOpbouwRisicoWinstPercentage1">Tariefopbouw!$B$37</definedName>
    <definedName name="TariefOpbouwRisicoWinstPercentage2">Tariefopbouw!$D$37</definedName>
    <definedName name="TariefOpbouwRisicoWinstPercentage3">Tariefopbouw!$F$37</definedName>
    <definedName name="TariefOpbouwRisicoWinstPercentage4">Tariefopbouw!$H$37</definedName>
    <definedName name="TariefOpbouwRisicoWinstPercentage5">Tariefopbouw!$J$37</definedName>
    <definedName name="TariefOpbouwRisicoWinstPercentage6">Tariefopbouw!$L$37</definedName>
    <definedName name="TariefOpbouwRisicoWinstPercentage7">Tariefopbouw!$N$37</definedName>
    <definedName name="TariefOpbouwRisicoWinstPercentage8">Tariefopbouw!$P$37</definedName>
    <definedName name="TariefOpbouwTarief1">Tariefopbouw!$B$39</definedName>
    <definedName name="TariefOpbouwTarief1DN">Tariefopbouw!$C$41</definedName>
    <definedName name="TariefOpbouwTarief1W">Tariefopbouw!$C$42</definedName>
    <definedName name="TariefOpbouwTarief1X">Tariefopbouw!$C$43</definedName>
    <definedName name="TariefOpbouwTarief2">Tariefopbouw!$D$39</definedName>
    <definedName name="TariefOpbouwTarief2DN">Tariefopbouw!$E$41</definedName>
    <definedName name="TariefOpbouwTarief2W">Tariefopbouw!$E$42</definedName>
    <definedName name="TariefOpbouwTarief2X">Tariefopbouw!$E$43</definedName>
    <definedName name="TariefOpbouwTarief3">Tariefopbouw!$F$39</definedName>
    <definedName name="TariefOpbouwTarief3DN">Tariefopbouw!$G$41</definedName>
    <definedName name="TariefOpbouwTarief3W">Tariefopbouw!$G$42</definedName>
    <definedName name="TariefOpbouwTarief3X">Tariefopbouw!$G$43</definedName>
    <definedName name="TariefOpbouwTarief4">Tariefopbouw!$H$39</definedName>
    <definedName name="TariefOpbouwTarief4DN">Tariefopbouw!$I$41</definedName>
    <definedName name="TariefOpbouwTarief4W">Tariefopbouw!$I$42</definedName>
    <definedName name="TariefOpbouwTarief4X">Tariefopbouw!$I$43</definedName>
    <definedName name="TariefOpbouwTarief5">Tariefopbouw!$J$39</definedName>
    <definedName name="TariefOpbouwTarief5DN">Tariefopbouw!$K$41</definedName>
    <definedName name="TariefOpbouwTarief5W">Tariefopbouw!$K$42</definedName>
    <definedName name="TariefOpbouwTarief5X">Tariefopbouw!$K$43</definedName>
    <definedName name="TariefOpbouwTarief6">Tariefopbouw!$L$39</definedName>
    <definedName name="TariefOpbouwTarief6DN">Tariefopbouw!$M$41</definedName>
    <definedName name="TariefOpbouwTarief6W">Tariefopbouw!$M$42</definedName>
    <definedName name="TariefOpbouwTarief6X">Tariefopbouw!$M$43</definedName>
    <definedName name="TariefOpbouwTarief7">Tariefopbouw!$N$39</definedName>
    <definedName name="TariefOpbouwTarief7DN">Tariefopbouw!$O$41</definedName>
    <definedName name="TariefOpbouwTarief7W">Tariefopbouw!$O$42</definedName>
    <definedName name="TariefOpbouwTarief7X">Tariefopbouw!$O$43</definedName>
    <definedName name="TariefOpbouwTarief8">Tariefopbouw!$P$39</definedName>
    <definedName name="TariefOpbouwTarief8DN">Tariefopbouw!$Q$41</definedName>
    <definedName name="TariefOpbouwTarief8W">Tariefopbouw!$Q$42</definedName>
    <definedName name="TariefOpbouwTarief8X">Tariefopbouw!$Q$43</definedName>
    <definedName name="TariefOpbouwTotaalLoonkosten1">Tariefopbouw!$B$19</definedName>
    <definedName name="TariefOpbouwTotaalLoonkosten2">Tariefopbouw!$D$19</definedName>
    <definedName name="TariefOpbouwTotaalLoonkosten3">Tariefopbouw!$F$19</definedName>
    <definedName name="TariefOpbouwTotaalLoonkosten4">Tariefopbouw!$H$19</definedName>
    <definedName name="TariefOpbouwTotaalLoonkosten5">Tariefopbouw!$J$19</definedName>
    <definedName name="TariefOpbouwTotaalLoonkosten6">Tariefopbouw!$L$19</definedName>
    <definedName name="TariefOpbouwTotaalLoonkosten7">Tariefopbouw!$N$19</definedName>
    <definedName name="TariefOpbouwTotaalLoonkosten8">Tariefopbouw!$P$19</definedName>
    <definedName name="TariefOpbouwUurloon1">Tariefopbouw!$B$12</definedName>
    <definedName name="TariefOpbouwUurloon2">Tariefopbouw!$D$12</definedName>
    <definedName name="TariefOpbouwUurloon3">Tariefopbouw!$F$12</definedName>
    <definedName name="TariefOpbouwUurloon4">Tariefopbouw!$H$12</definedName>
    <definedName name="TariefOpbouwUurloon5">Tariefopbouw!$J$12</definedName>
    <definedName name="TariefOpbouwUurloon6">Tariefopbouw!$L$12</definedName>
    <definedName name="TariefOpbouwUurloon7">Tariefopbouw!$N$12</definedName>
    <definedName name="TariefOpbouwUurloon8">Tariefopbouw!$P$12</definedName>
    <definedName name="TariefOpbouwUurloonkosten1">Tariefopbouw!$B$14</definedName>
    <definedName name="TariefOpbouwUurloonkosten2">Tariefopbouw!$D$14</definedName>
    <definedName name="TariefOpbouwUurloonkosten3">Tariefopbouw!$F$14</definedName>
    <definedName name="TariefOpbouwUurloonkosten4">Tariefopbouw!$H$14</definedName>
    <definedName name="TariefOpbouwUurloonkosten5">Tariefopbouw!$J$14</definedName>
    <definedName name="TariefOpbouwUurloonkosten6">Tariefopbouw!$L$14</definedName>
    <definedName name="TariefOpbouwUurloonkosten7">Tariefopbouw!$N$14</definedName>
    <definedName name="TariefOpbouwUurloonkosten8">Tariefopbouw!$P$14</definedName>
    <definedName name="tarieftabel1">Objectinformatie!$I$5:$I$35</definedName>
    <definedName name="tarieftabel2">Objectinformatie!$I$38:$I$42</definedName>
    <definedName name="tzpjt1">'Niet-meewerkende objectleiding'!$J$62</definedName>
    <definedName name="tzpjt1_1">'Niet-meewerkende objectleiding'!$J$12</definedName>
    <definedName name="tzpjt2">'Niet-meewerkende objectleiding'!$J$82</definedName>
    <definedName name="tzpjt2_1">'Niet-meewerkende objectleiding'!$J$20</definedName>
    <definedName name="tzpjt3_1">'Niet-meewerkende objectleiding'!$J$28</definedName>
    <definedName name="tzpjt4_1">'Niet-meewerkende objectleiding'!$J$36</definedName>
    <definedName name="tzpjt5_1">'Niet-meewerkende objectleiding'!$J$44</definedName>
    <definedName name="tzpjt5_2">'Niet-meewerkende objectleiding'!$J$72</definedName>
    <definedName name="tzpjt6_1">'Niet-meewerkende objectleiding'!$J$52</definedName>
    <definedName name="tzpjt6_2">'Niet-meewerkende objectleiding'!$J$80</definedName>
    <definedName name="tzpjt7_1">'Niet-meewerkende objectleiding'!$J$60</definedName>
    <definedName name="tzpmt1">'Niet-meewerkende objectleiding'!$K$62</definedName>
    <definedName name="tzpmt1_1">'Niet-meewerkende objectleiding'!$K$12</definedName>
    <definedName name="tzpmt2">'Niet-meewerkende objectleiding'!$K$82</definedName>
    <definedName name="tzpmt2_1">'Niet-meewerkende objectleiding'!$K$20</definedName>
    <definedName name="tzpmt3_1">'Niet-meewerkende objectleiding'!$K$28</definedName>
    <definedName name="tzpmt4_1">'Niet-meewerkende objectleiding'!$K$36</definedName>
    <definedName name="tzpmt5_1">'Niet-meewerkende objectleiding'!$K$44</definedName>
    <definedName name="tzpmt5_2">'Niet-meewerkende objectleiding'!$K$72</definedName>
    <definedName name="tzpmt6_1">'Niet-meewerkende objectleiding'!$K$52</definedName>
    <definedName name="tzpmt6_2">'Niet-meewerkende objectleiding'!$K$80</definedName>
    <definedName name="tzpmt7_1">'Niet-meewerkende objectleiding'!$K$60</definedName>
    <definedName name="tzujt1">'Niet-meewerkende objectleiding'!$H$62</definedName>
    <definedName name="tzujt1_1">'Niet-meewerkende objectleiding'!$H$12</definedName>
    <definedName name="tzujt2">'Niet-meewerkende objectleiding'!$H$82</definedName>
    <definedName name="tzujt2_1">'Niet-meewerkende objectleiding'!$H$20</definedName>
    <definedName name="tzujt3_1">'Niet-meewerkende objectleiding'!$H$28</definedName>
    <definedName name="tzujt4_1">'Niet-meewerkende objectleiding'!$H$36</definedName>
    <definedName name="tzujt5_1">'Niet-meewerkende objectleiding'!$H$44</definedName>
    <definedName name="tzujt5_2">'Niet-meewerkende objectleiding'!$H$72</definedName>
    <definedName name="tzujt6_1">'Niet-meewerkende objectleiding'!$H$52</definedName>
    <definedName name="tzujt6_2">'Niet-meewerkende objectleiding'!$H$80</definedName>
    <definedName name="tzujt7_1">'Niet-meewerkende objectleiding'!$H$60</definedName>
    <definedName name="urendag1">'Regulier werk'!$K$37</definedName>
    <definedName name="urendag2">'Regulier werk'!$K$48</definedName>
    <definedName name="urenjaar">'Regulier werk'!$M$53</definedName>
    <definedName name="urenjaar1">'Regulier werk'!$M$37</definedName>
    <definedName name="urenjaar2">'Regulier werk'!$M$48</definedName>
    <definedName name="urenjaarnietmeewerkend">'Niet-meewerkende objectleiding'!$H$85</definedName>
    <definedName name="urenjaartotaal">Objecten!$P$22</definedName>
    <definedName name="urenjaartotaal1">Objecten!$P$13</definedName>
    <definedName name="urenjaartotaal2">Objecten!$P$19</definedName>
    <definedName name="urenjaartotaalhf">Objecten!$O$22</definedName>
    <definedName name="urenjaartotaalhf1">Objecten!$O$13</definedName>
    <definedName name="urenjaartotaalhf2">Objecten!$O$19</definedName>
    <definedName name="urenjaartotaaloverzicht">'Totaalblad Objecten'!$F$12</definedName>
    <definedName name="urenjaartotaaloverzichthf">'Totaalblad Objecten'!$E$12</definedName>
    <definedName name="uurfactortabel1">Objectinformatie!$F$5:$F$35</definedName>
    <definedName name="uurfactortabel2">Objectinformatie!$F$38:$F$42</definedName>
    <definedName name="uurtarief0">Glas!$I$8</definedName>
    <definedName name="uurtarief1">'Additioneel werk per locatie'!$H$29</definedName>
    <definedName name="uurtarief10">'Regulier werk'!$J$11</definedName>
    <definedName name="uurtarief11">'Regulier werk'!$J$12</definedName>
    <definedName name="uurtarief12">'Regulier werk'!$J$13</definedName>
    <definedName name="uurtarief13">'Regulier werk'!$J$14</definedName>
    <definedName name="uurtarief14">'Regulier werk'!$J$15</definedName>
    <definedName name="uurtarief15">'Regulier werk'!$J$16</definedName>
    <definedName name="uurtarief16">'Regulier werk'!$J$17</definedName>
    <definedName name="uurtarief17">'Regulier werk'!$J$18</definedName>
    <definedName name="uurtarief18">'Regulier werk'!$J$19</definedName>
    <definedName name="uurtarief19">'Regulier werk'!$J$20</definedName>
    <definedName name="uurtarief2">'Additioneel werk per locatie'!$H$34</definedName>
    <definedName name="uurtarief20">'Regulier werk'!$J$21</definedName>
    <definedName name="uurtarief21">'Regulier werk'!$J$22</definedName>
    <definedName name="uurtarief22">'Regulier werk'!$J$23</definedName>
    <definedName name="uurtarief23">'Regulier werk'!$J$24</definedName>
    <definedName name="uurtarief24">'Regulier werk'!$J$25</definedName>
    <definedName name="uurtarief25">'Regulier werk'!$J$26</definedName>
    <definedName name="uurtarief26">'Regulier werk'!$J$27</definedName>
    <definedName name="uurtarief27">'Regulier werk'!$J$28</definedName>
    <definedName name="uurtarief28">'Regulier werk'!$J$29</definedName>
    <definedName name="uurtarief29">'Regulier werk'!$J$30</definedName>
    <definedName name="uurtarief3">'Additioneel werk per locatie'!$H$24</definedName>
    <definedName name="uurtarief30">'Regulier werk'!$J$31</definedName>
    <definedName name="uurtarief31">'Regulier werk'!$J$32</definedName>
    <definedName name="uurtarief32">'Regulier werk'!$J$33</definedName>
    <definedName name="uurtarief33">'Regulier werk'!$J$34</definedName>
    <definedName name="uurtarief34">'Regulier werk'!$J$35</definedName>
    <definedName name="uurtarief35">'Regulier werk'!$J$36</definedName>
    <definedName name="uurtarief36">'Regulier werk'!$J$43</definedName>
    <definedName name="uurtarief37">'Regulier werk'!$J$44</definedName>
    <definedName name="uurtarief38">'Regulier werk'!$J$45</definedName>
    <definedName name="uurtarief39">'Regulier werk'!$J$46</definedName>
    <definedName name="uurtarief4">'Additioneel werk per locatie'!$H$25</definedName>
    <definedName name="uurtarief40">'Regulier werk'!$J$47</definedName>
    <definedName name="uurtarief5">'Regulier werk'!$J$6</definedName>
    <definedName name="uurtarief6">'Regulier werk'!$J$7</definedName>
    <definedName name="uurtarief7">'Regulier werk'!$J$8</definedName>
    <definedName name="uurtarief8">'Regulier werk'!$J$9</definedName>
    <definedName name="uurtarief9">'Regulier werk'!$J$10</definedName>
    <definedName name="vu_variant">Totaal!$B$10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6" i="2" l="1"/>
  <c r="B56" i="2"/>
  <c r="F50" i="2"/>
  <c r="D50" i="2"/>
  <c r="B50" i="2"/>
  <c r="C8" i="9" l="1"/>
  <c r="A1" i="16" l="1"/>
  <c r="J8" i="15"/>
  <c r="J7" i="15"/>
  <c r="J6" i="15"/>
  <c r="A1" i="15"/>
  <c r="J10" i="14"/>
  <c r="J9" i="14"/>
  <c r="I8" i="14"/>
  <c r="J8" i="14" s="1"/>
  <c r="A1" i="14"/>
  <c r="A1" i="13"/>
  <c r="I34" i="12"/>
  <c r="H34" i="12"/>
  <c r="I30" i="12"/>
  <c r="H30" i="12"/>
  <c r="I29" i="12"/>
  <c r="H29" i="12"/>
  <c r="I25" i="12"/>
  <c r="H25" i="12"/>
  <c r="I24" i="12"/>
  <c r="H24" i="12"/>
  <c r="I23" i="12"/>
  <c r="H23" i="12"/>
  <c r="I22" i="12"/>
  <c r="H22" i="12"/>
  <c r="I18" i="12"/>
  <c r="H18" i="12"/>
  <c r="I14" i="12"/>
  <c r="H14" i="12"/>
  <c r="I10" i="12"/>
  <c r="H10" i="12"/>
  <c r="I6" i="12"/>
  <c r="H6" i="12"/>
  <c r="A1" i="12"/>
  <c r="J9" i="11"/>
  <c r="J8" i="11"/>
  <c r="J7" i="11"/>
  <c r="J6" i="11"/>
  <c r="A1" i="11"/>
  <c r="A1" i="10"/>
  <c r="J79" i="9"/>
  <c r="K79" i="9" s="1"/>
  <c r="H79" i="9"/>
  <c r="C79" i="9"/>
  <c r="I79" i="9" s="1"/>
  <c r="J78" i="9"/>
  <c r="K78" i="9" s="1"/>
  <c r="H78" i="9"/>
  <c r="C78" i="9"/>
  <c r="I78" i="9" s="1"/>
  <c r="J77" i="9"/>
  <c r="K77" i="9" s="1"/>
  <c r="H77" i="9"/>
  <c r="C77" i="9"/>
  <c r="I77" i="9" s="1"/>
  <c r="J76" i="9"/>
  <c r="H76" i="9"/>
  <c r="H80" i="9" s="1"/>
  <c r="C76" i="9"/>
  <c r="I76" i="9" s="1"/>
  <c r="J71" i="9"/>
  <c r="K71" i="9" s="1"/>
  <c r="H71" i="9"/>
  <c r="C71" i="9"/>
  <c r="I71" i="9" s="1"/>
  <c r="J70" i="9"/>
  <c r="K70" i="9" s="1"/>
  <c r="H70" i="9"/>
  <c r="C70" i="9"/>
  <c r="I70" i="9" s="1"/>
  <c r="J69" i="9"/>
  <c r="K69" i="9" s="1"/>
  <c r="H69" i="9"/>
  <c r="C69" i="9"/>
  <c r="I69" i="9" s="1"/>
  <c r="J68" i="9"/>
  <c r="H68" i="9"/>
  <c r="H72" i="9" s="1"/>
  <c r="H82" i="9" s="1"/>
  <c r="C68" i="9"/>
  <c r="I68" i="9" s="1"/>
  <c r="J59" i="9"/>
  <c r="K59" i="9" s="1"/>
  <c r="H59" i="9"/>
  <c r="C59" i="9"/>
  <c r="I59" i="9" s="1"/>
  <c r="J58" i="9"/>
  <c r="K58" i="9" s="1"/>
  <c r="H58" i="9"/>
  <c r="C58" i="9"/>
  <c r="I58" i="9" s="1"/>
  <c r="J57" i="9"/>
  <c r="K57" i="9" s="1"/>
  <c r="H57" i="9"/>
  <c r="C57" i="9"/>
  <c r="I57" i="9" s="1"/>
  <c r="J56" i="9"/>
  <c r="H56" i="9"/>
  <c r="H60" i="9" s="1"/>
  <c r="H10" i="10" s="1"/>
  <c r="C56" i="9"/>
  <c r="I56" i="9" s="1"/>
  <c r="J51" i="9"/>
  <c r="K51" i="9" s="1"/>
  <c r="H51" i="9"/>
  <c r="C51" i="9"/>
  <c r="I51" i="9" s="1"/>
  <c r="J50" i="9"/>
  <c r="K50" i="9" s="1"/>
  <c r="H50" i="9"/>
  <c r="C50" i="9"/>
  <c r="I50" i="9" s="1"/>
  <c r="J49" i="9"/>
  <c r="K49" i="9" s="1"/>
  <c r="H49" i="9"/>
  <c r="C49" i="9"/>
  <c r="I49" i="9" s="1"/>
  <c r="J48" i="9"/>
  <c r="H48" i="9"/>
  <c r="H52" i="9" s="1"/>
  <c r="H9" i="10" s="1"/>
  <c r="C48" i="9"/>
  <c r="I48" i="9" s="1"/>
  <c r="J43" i="9"/>
  <c r="K43" i="9" s="1"/>
  <c r="H43" i="9"/>
  <c r="C43" i="9"/>
  <c r="I43" i="9" s="1"/>
  <c r="J42" i="9"/>
  <c r="K42" i="9" s="1"/>
  <c r="H42" i="9"/>
  <c r="C42" i="9"/>
  <c r="I42" i="9" s="1"/>
  <c r="J41" i="9"/>
  <c r="K41" i="9" s="1"/>
  <c r="H41" i="9"/>
  <c r="C41" i="9"/>
  <c r="I41" i="9" s="1"/>
  <c r="J40" i="9"/>
  <c r="H40" i="9"/>
  <c r="H44" i="9" s="1"/>
  <c r="H8" i="10" s="1"/>
  <c r="C40" i="9"/>
  <c r="I40" i="9" s="1"/>
  <c r="J35" i="9"/>
  <c r="K35" i="9" s="1"/>
  <c r="H35" i="9"/>
  <c r="C35" i="9"/>
  <c r="I35" i="9" s="1"/>
  <c r="J34" i="9"/>
  <c r="K34" i="9" s="1"/>
  <c r="H34" i="9"/>
  <c r="C34" i="9"/>
  <c r="I34" i="9" s="1"/>
  <c r="J33" i="9"/>
  <c r="K33" i="9" s="1"/>
  <c r="H33" i="9"/>
  <c r="C33" i="9"/>
  <c r="I33" i="9" s="1"/>
  <c r="J32" i="9"/>
  <c r="H32" i="9"/>
  <c r="H36" i="9" s="1"/>
  <c r="H7" i="10" s="1"/>
  <c r="C32" i="9"/>
  <c r="I32" i="9" s="1"/>
  <c r="J27" i="9"/>
  <c r="K27" i="9" s="1"/>
  <c r="H27" i="9"/>
  <c r="C27" i="9"/>
  <c r="I27" i="9" s="1"/>
  <c r="J26" i="9"/>
  <c r="K26" i="9" s="1"/>
  <c r="H26" i="9"/>
  <c r="C26" i="9"/>
  <c r="I26" i="9" s="1"/>
  <c r="J25" i="9"/>
  <c r="K25" i="9" s="1"/>
  <c r="H25" i="9"/>
  <c r="C25" i="9"/>
  <c r="I25" i="9" s="1"/>
  <c r="J24" i="9"/>
  <c r="H24" i="9"/>
  <c r="H28" i="9" s="1"/>
  <c r="H6" i="10" s="1"/>
  <c r="C24" i="9"/>
  <c r="I24" i="9" s="1"/>
  <c r="J19" i="9"/>
  <c r="K19" i="9" s="1"/>
  <c r="H19" i="9"/>
  <c r="C19" i="9"/>
  <c r="I19" i="9" s="1"/>
  <c r="J18" i="9"/>
  <c r="K18" i="9" s="1"/>
  <c r="H18" i="9"/>
  <c r="C18" i="9"/>
  <c r="I18" i="9" s="1"/>
  <c r="J17" i="9"/>
  <c r="K17" i="9" s="1"/>
  <c r="H17" i="9"/>
  <c r="C17" i="9"/>
  <c r="I17" i="9" s="1"/>
  <c r="J16" i="9"/>
  <c r="H16" i="9"/>
  <c r="H20" i="9" s="1"/>
  <c r="H5" i="10" s="1"/>
  <c r="C16" i="9"/>
  <c r="I16" i="9" s="1"/>
  <c r="J11" i="9"/>
  <c r="K11" i="9" s="1"/>
  <c r="H11" i="9"/>
  <c r="C11" i="9"/>
  <c r="I11" i="9" s="1"/>
  <c r="J10" i="9"/>
  <c r="K10" i="9" s="1"/>
  <c r="H10" i="9"/>
  <c r="C10" i="9"/>
  <c r="I10" i="9" s="1"/>
  <c r="J9" i="9"/>
  <c r="K9" i="9" s="1"/>
  <c r="H9" i="9"/>
  <c r="C9" i="9"/>
  <c r="I9" i="9" s="1"/>
  <c r="J8" i="9"/>
  <c r="H8" i="9"/>
  <c r="H12" i="9" s="1"/>
  <c r="I8" i="9"/>
  <c r="A1" i="9"/>
  <c r="A1" i="8"/>
  <c r="A1" i="6"/>
  <c r="A1" i="5"/>
  <c r="J47" i="4"/>
  <c r="H47" i="4"/>
  <c r="G47" i="4"/>
  <c r="J46" i="4"/>
  <c r="H46" i="4"/>
  <c r="G46" i="4"/>
  <c r="J45" i="4"/>
  <c r="H45" i="4"/>
  <c r="G45" i="4"/>
  <c r="J44" i="4"/>
  <c r="H44" i="4"/>
  <c r="G44" i="4"/>
  <c r="J43" i="4"/>
  <c r="H43" i="4"/>
  <c r="G43" i="4"/>
  <c r="J36" i="4"/>
  <c r="H36" i="4"/>
  <c r="G36" i="4"/>
  <c r="J35" i="4"/>
  <c r="H35" i="4"/>
  <c r="G35" i="4"/>
  <c r="J34" i="4"/>
  <c r="H34" i="4"/>
  <c r="G34" i="4"/>
  <c r="J33" i="4"/>
  <c r="H33" i="4"/>
  <c r="G33" i="4"/>
  <c r="J32" i="4"/>
  <c r="H32" i="4"/>
  <c r="G32" i="4"/>
  <c r="J31" i="4"/>
  <c r="H31" i="4"/>
  <c r="G31" i="4"/>
  <c r="J30" i="4"/>
  <c r="H30" i="4"/>
  <c r="G30" i="4"/>
  <c r="J29" i="4"/>
  <c r="H29" i="4"/>
  <c r="G29" i="4"/>
  <c r="J28" i="4"/>
  <c r="H28" i="4"/>
  <c r="G28" i="4"/>
  <c r="J27" i="4"/>
  <c r="H27" i="4"/>
  <c r="G27" i="4"/>
  <c r="J26" i="4"/>
  <c r="H26" i="4"/>
  <c r="G26" i="4"/>
  <c r="J25" i="4"/>
  <c r="H25" i="4"/>
  <c r="G25" i="4"/>
  <c r="J24" i="4"/>
  <c r="H24" i="4"/>
  <c r="G24" i="4"/>
  <c r="J23" i="4"/>
  <c r="H23" i="4"/>
  <c r="G23" i="4"/>
  <c r="J22" i="4"/>
  <c r="H22" i="4"/>
  <c r="G22" i="4"/>
  <c r="J21" i="4"/>
  <c r="H21" i="4"/>
  <c r="G21" i="4"/>
  <c r="J20" i="4"/>
  <c r="H20" i="4"/>
  <c r="G20" i="4"/>
  <c r="J19" i="4"/>
  <c r="H19" i="4"/>
  <c r="G19" i="4"/>
  <c r="J18" i="4"/>
  <c r="H18" i="4"/>
  <c r="G18" i="4"/>
  <c r="H17" i="4"/>
  <c r="G17" i="4"/>
  <c r="J16" i="4"/>
  <c r="H16" i="4"/>
  <c r="G16" i="4"/>
  <c r="J15" i="4"/>
  <c r="H15" i="4"/>
  <c r="G15" i="4"/>
  <c r="J14" i="4"/>
  <c r="H14" i="4"/>
  <c r="G14" i="4"/>
  <c r="J13" i="4"/>
  <c r="H13" i="4"/>
  <c r="G13" i="4"/>
  <c r="J12" i="4"/>
  <c r="H12" i="4"/>
  <c r="G12" i="4"/>
  <c r="J11" i="4"/>
  <c r="H11" i="4"/>
  <c r="G11" i="4"/>
  <c r="J10" i="4"/>
  <c r="H10" i="4"/>
  <c r="G10" i="4"/>
  <c r="J9" i="4"/>
  <c r="H9" i="4"/>
  <c r="G9" i="4"/>
  <c r="J8" i="4"/>
  <c r="H8" i="4"/>
  <c r="G8" i="4"/>
  <c r="J7" i="4"/>
  <c r="H7" i="4"/>
  <c r="G7" i="4"/>
  <c r="J6" i="4"/>
  <c r="H6" i="4"/>
  <c r="G6" i="4"/>
  <c r="A1" i="4"/>
  <c r="A1" i="3"/>
  <c r="A55" i="2"/>
  <c r="A54" i="2"/>
  <c r="A49" i="2"/>
  <c r="A48" i="2"/>
  <c r="A47" i="2"/>
  <c r="P9" i="2"/>
  <c r="N9" i="2"/>
  <c r="L9" i="2"/>
  <c r="J9" i="2"/>
  <c r="H9" i="2"/>
  <c r="F9" i="2"/>
  <c r="D9" i="2"/>
  <c r="B9" i="2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E35" i="7" l="1"/>
  <c r="E33" i="7"/>
  <c r="E32" i="7"/>
  <c r="E31" i="7"/>
  <c r="E30" i="7"/>
  <c r="E29" i="7"/>
  <c r="E28" i="7"/>
  <c r="E27" i="7"/>
  <c r="E26" i="7"/>
  <c r="E25" i="7"/>
  <c r="E22" i="7"/>
  <c r="E21" i="7"/>
  <c r="E19" i="7"/>
  <c r="E17" i="7"/>
  <c r="E15" i="7"/>
  <c r="E14" i="7"/>
  <c r="E13" i="7"/>
  <c r="E12" i="7"/>
  <c r="E11" i="7"/>
  <c r="E10" i="7"/>
  <c r="E6" i="7"/>
  <c r="E5" i="7"/>
  <c r="L1102" i="5"/>
  <c r="L1101" i="5"/>
  <c r="L1100" i="5"/>
  <c r="L1099" i="5"/>
  <c r="L1098" i="5"/>
  <c r="L1097" i="5"/>
  <c r="L1096" i="5"/>
  <c r="L1095" i="5"/>
  <c r="L1094" i="5"/>
  <c r="L1093" i="5"/>
  <c r="L1092" i="5"/>
  <c r="L1091" i="5"/>
  <c r="L1090" i="5"/>
  <c r="L1088" i="5"/>
  <c r="L1087" i="5"/>
  <c r="L1086" i="5"/>
  <c r="L1085" i="5"/>
  <c r="L1084" i="5"/>
  <c r="L1083" i="5"/>
  <c r="L1082" i="5"/>
  <c r="L1081" i="5"/>
  <c r="L1080" i="5"/>
  <c r="L1079" i="5"/>
  <c r="L1078" i="5"/>
  <c r="L1077" i="5"/>
  <c r="L1076" i="5"/>
  <c r="L1075" i="5"/>
  <c r="L1074" i="5"/>
  <c r="L1073" i="5"/>
  <c r="L1072" i="5"/>
  <c r="L1071" i="5"/>
  <c r="L1070" i="5"/>
  <c r="L1068" i="5"/>
  <c r="L1067" i="5"/>
  <c r="L1066" i="5"/>
  <c r="L1056" i="5"/>
  <c r="L1055" i="5"/>
  <c r="L1053" i="5"/>
  <c r="L1052" i="5"/>
  <c r="L1051" i="5"/>
  <c r="L1050" i="5"/>
  <c r="L1049" i="5"/>
  <c r="L1048" i="5"/>
  <c r="L1046" i="5"/>
  <c r="L1045" i="5"/>
  <c r="L1044" i="5"/>
  <c r="L1043" i="5"/>
  <c r="L1042" i="5"/>
  <c r="L1040" i="5"/>
  <c r="L1039" i="5"/>
  <c r="L1038" i="5"/>
  <c r="L1037" i="5"/>
  <c r="L1035" i="5"/>
  <c r="L1033" i="5"/>
  <c r="L1032" i="5"/>
  <c r="L1031" i="5"/>
  <c r="L1030" i="5"/>
  <c r="L1029" i="5"/>
  <c r="L1028" i="5"/>
  <c r="L1025" i="5"/>
  <c r="L1024" i="5"/>
  <c r="L1023" i="5"/>
  <c r="L1022" i="5"/>
  <c r="L1021" i="5"/>
  <c r="L1020" i="5"/>
  <c r="L1019" i="5"/>
  <c r="L1018" i="5"/>
  <c r="L1017" i="5"/>
  <c r="L1016" i="5"/>
  <c r="L1015" i="5"/>
  <c r="L1014" i="5"/>
  <c r="L1013" i="5"/>
  <c r="L1012" i="5"/>
  <c r="L1011" i="5"/>
  <c r="L1010" i="5"/>
  <c r="L1009" i="5"/>
  <c r="L1008" i="5"/>
  <c r="L1007" i="5"/>
  <c r="L1005" i="5"/>
  <c r="L1002" i="5"/>
  <c r="L1001" i="5"/>
  <c r="L1000" i="5"/>
  <c r="L999" i="5"/>
  <c r="L998" i="5"/>
  <c r="L997" i="5"/>
  <c r="L996" i="5"/>
  <c r="L987" i="5"/>
  <c r="L986" i="5"/>
  <c r="L985" i="5"/>
  <c r="L984" i="5"/>
  <c r="L983" i="5"/>
  <c r="L980" i="5"/>
  <c r="L978" i="5"/>
  <c r="L977" i="5"/>
  <c r="L976" i="5"/>
  <c r="L973" i="5"/>
  <c r="L972" i="5"/>
  <c r="L969" i="5"/>
  <c r="L967" i="5"/>
  <c r="L964" i="5"/>
  <c r="L963" i="5"/>
  <c r="L962" i="5"/>
  <c r="L960" i="5"/>
  <c r="L959" i="5"/>
  <c r="L958" i="5"/>
  <c r="L956" i="5"/>
  <c r="L955" i="5"/>
  <c r="L954" i="5"/>
  <c r="L953" i="5"/>
  <c r="L952" i="5"/>
  <c r="L951" i="5"/>
  <c r="L950" i="5"/>
  <c r="L947" i="5"/>
  <c r="L946" i="5"/>
  <c r="L945" i="5"/>
  <c r="L944" i="5"/>
  <c r="L943" i="5"/>
  <c r="L941" i="5"/>
  <c r="L940" i="5"/>
  <c r="L938" i="5"/>
  <c r="L937" i="5"/>
  <c r="L936" i="5"/>
  <c r="L935" i="5"/>
  <c r="L934" i="5"/>
  <c r="L933" i="5"/>
  <c r="L930" i="5"/>
  <c r="L929" i="5"/>
  <c r="L927" i="5"/>
  <c r="L926" i="5"/>
  <c r="L924" i="5"/>
  <c r="L923" i="5"/>
  <c r="L922" i="5"/>
  <c r="L921" i="5"/>
  <c r="L920" i="5"/>
  <c r="L919" i="5"/>
  <c r="L918" i="5"/>
  <c r="L915" i="5"/>
  <c r="L914" i="5"/>
  <c r="L913" i="5"/>
  <c r="L912" i="5"/>
  <c r="L911" i="5"/>
  <c r="L910" i="5"/>
  <c r="L909" i="5"/>
  <c r="L908" i="5"/>
  <c r="L903" i="5"/>
  <c r="L902" i="5"/>
  <c r="L901" i="5"/>
  <c r="L899" i="5"/>
  <c r="L898" i="5"/>
  <c r="L897" i="5"/>
  <c r="L895" i="5"/>
  <c r="L894" i="5"/>
  <c r="L893" i="5"/>
  <c r="L891" i="5"/>
  <c r="L889" i="5"/>
  <c r="L888" i="5"/>
  <c r="L887" i="5"/>
  <c r="L880" i="5"/>
  <c r="L879" i="5"/>
  <c r="L878" i="5"/>
  <c r="L877" i="5"/>
  <c r="L876" i="5"/>
  <c r="L874" i="5"/>
  <c r="L873" i="5"/>
  <c r="L872" i="5"/>
  <c r="L871" i="5"/>
  <c r="L869" i="5"/>
  <c r="L868" i="5"/>
  <c r="L863" i="5"/>
  <c r="L862" i="5"/>
  <c r="L860" i="5"/>
  <c r="L859" i="5"/>
  <c r="L854" i="5"/>
  <c r="L853" i="5"/>
  <c r="L852" i="5"/>
  <c r="L851" i="5"/>
  <c r="L850" i="5"/>
  <c r="L849" i="5"/>
  <c r="L848" i="5"/>
  <c r="L846" i="5"/>
  <c r="L845" i="5"/>
  <c r="L844" i="5"/>
  <c r="L843" i="5"/>
  <c r="L842" i="5"/>
  <c r="L841" i="5"/>
  <c r="L840" i="5"/>
  <c r="L838" i="5"/>
  <c r="L837" i="5"/>
  <c r="L836" i="5"/>
  <c r="L835" i="5"/>
  <c r="L834" i="5"/>
  <c r="L833" i="5"/>
  <c r="L832" i="5"/>
  <c r="L830" i="5"/>
  <c r="L829" i="5"/>
  <c r="L828" i="5"/>
  <c r="L827" i="5"/>
  <c r="L826" i="5"/>
  <c r="L825" i="5"/>
  <c r="L824" i="5"/>
  <c r="L821" i="5"/>
  <c r="L820" i="5"/>
  <c r="L819" i="5"/>
  <c r="L818" i="5"/>
  <c r="L816" i="5"/>
  <c r="L815" i="5"/>
  <c r="L814" i="5"/>
  <c r="L813" i="5"/>
  <c r="L811" i="5"/>
  <c r="L810" i="5"/>
  <c r="L809" i="5"/>
  <c r="L808" i="5"/>
  <c r="L807" i="5"/>
  <c r="L806" i="5"/>
  <c r="L804" i="5"/>
  <c r="L801" i="5"/>
  <c r="L800" i="5"/>
  <c r="L799" i="5"/>
  <c r="L798" i="5"/>
  <c r="L797" i="5"/>
  <c r="L796" i="5"/>
  <c r="L795" i="5"/>
  <c r="L792" i="5"/>
  <c r="L791" i="5"/>
  <c r="L790" i="5"/>
  <c r="L789" i="5"/>
  <c r="L788" i="5"/>
  <c r="L787" i="5"/>
  <c r="L786" i="5"/>
  <c r="L785" i="5"/>
  <c r="L784" i="5"/>
  <c r="L783" i="5"/>
  <c r="L782" i="5"/>
  <c r="L781" i="5"/>
  <c r="L780" i="5"/>
  <c r="L779" i="5"/>
  <c r="L778" i="5"/>
  <c r="L777" i="5"/>
  <c r="L776" i="5"/>
  <c r="L775" i="5"/>
  <c r="L774" i="5"/>
  <c r="L773" i="5"/>
  <c r="L772" i="5"/>
  <c r="L771" i="5"/>
  <c r="L770" i="5"/>
  <c r="L769" i="5"/>
  <c r="L768" i="5"/>
  <c r="L767" i="5"/>
  <c r="L766" i="5"/>
  <c r="L765" i="5"/>
  <c r="L764" i="5"/>
  <c r="L763" i="5"/>
  <c r="L762" i="5"/>
  <c r="L761" i="5"/>
  <c r="L760" i="5"/>
  <c r="L759" i="5"/>
  <c r="L758" i="5"/>
  <c r="L757" i="5"/>
  <c r="L754" i="5"/>
  <c r="L753" i="5"/>
  <c r="L752" i="5"/>
  <c r="L751" i="5"/>
  <c r="L749" i="5"/>
  <c r="L748" i="5"/>
  <c r="L747" i="5"/>
  <c r="L746" i="5"/>
  <c r="L745" i="5"/>
  <c r="L744" i="5"/>
  <c r="L743" i="5"/>
  <c r="L742" i="5"/>
  <c r="L741" i="5"/>
  <c r="L740" i="5"/>
  <c r="L739" i="5"/>
  <c r="L738" i="5"/>
  <c r="L737" i="5"/>
  <c r="L736" i="5"/>
  <c r="L735" i="5"/>
  <c r="L734" i="5"/>
  <c r="L733" i="5"/>
  <c r="L732" i="5"/>
  <c r="L731" i="5"/>
  <c r="L730" i="5"/>
  <c r="L729" i="5"/>
  <c r="L728" i="5"/>
  <c r="L727" i="5"/>
  <c r="L726" i="5"/>
  <c r="L725" i="5"/>
  <c r="L724" i="5"/>
  <c r="L723" i="5"/>
  <c r="L722" i="5"/>
  <c r="L721" i="5"/>
  <c r="L720" i="5"/>
  <c r="L719" i="5"/>
  <c r="L718" i="5"/>
  <c r="L717" i="5"/>
  <c r="L716" i="5"/>
  <c r="L715" i="5"/>
  <c r="L714" i="5"/>
  <c r="L713" i="5"/>
  <c r="L712" i="5"/>
  <c r="L711" i="5"/>
  <c r="L710" i="5"/>
  <c r="L709" i="5"/>
  <c r="L708" i="5"/>
  <c r="L707" i="5"/>
  <c r="L706" i="5"/>
  <c r="L705" i="5"/>
  <c r="L704" i="5"/>
  <c r="L703" i="5"/>
  <c r="L702" i="5"/>
  <c r="L701" i="5"/>
  <c r="L700" i="5"/>
  <c r="L699" i="5"/>
  <c r="L698" i="5"/>
  <c r="L697" i="5"/>
  <c r="L694" i="5"/>
  <c r="L693" i="5"/>
  <c r="L692" i="5"/>
  <c r="L691" i="5"/>
  <c r="L690" i="5"/>
  <c r="L689" i="5"/>
  <c r="L688" i="5"/>
  <c r="L687" i="5"/>
  <c r="L686" i="5"/>
  <c r="L685" i="5"/>
  <c r="L684" i="5"/>
  <c r="L683" i="5"/>
  <c r="L682" i="5"/>
  <c r="L681" i="5"/>
  <c r="L680" i="5"/>
  <c r="L679" i="5"/>
  <c r="L678" i="5"/>
  <c r="L677" i="5"/>
  <c r="L676" i="5"/>
  <c r="L675" i="5"/>
  <c r="L674" i="5"/>
  <c r="L673" i="5"/>
  <c r="L672" i="5"/>
  <c r="L671" i="5"/>
  <c r="L670" i="5"/>
  <c r="L669" i="5"/>
  <c r="L668" i="5"/>
  <c r="L667" i="5"/>
  <c r="L666" i="5"/>
  <c r="L665" i="5"/>
  <c r="L664" i="5"/>
  <c r="L663" i="5"/>
  <c r="L662" i="5"/>
  <c r="L661" i="5"/>
  <c r="L660" i="5"/>
  <c r="L659" i="5"/>
  <c r="L658" i="5"/>
  <c r="L657" i="5"/>
  <c r="L656" i="5"/>
  <c r="L655" i="5"/>
  <c r="L654" i="5"/>
  <c r="L653" i="5"/>
  <c r="L651" i="5"/>
  <c r="L650" i="5"/>
  <c r="L649" i="5"/>
  <c r="L648" i="5"/>
  <c r="L647" i="5"/>
  <c r="L646" i="5"/>
  <c r="L645" i="5"/>
  <c r="L644" i="5"/>
  <c r="L643" i="5"/>
  <c r="L642" i="5"/>
  <c r="L641" i="5"/>
  <c r="L640" i="5"/>
  <c r="L638" i="5"/>
  <c r="L637" i="5"/>
  <c r="L636" i="5"/>
  <c r="L633" i="5"/>
  <c r="L632" i="5"/>
  <c r="L631" i="5"/>
  <c r="L630" i="5"/>
  <c r="L629" i="5"/>
  <c r="L628" i="5"/>
  <c r="L627" i="5"/>
  <c r="L625" i="5"/>
  <c r="L624" i="5"/>
  <c r="L623" i="5"/>
  <c r="L622" i="5"/>
  <c r="L621" i="5"/>
  <c r="L620" i="5"/>
  <c r="L619" i="5"/>
  <c r="L618" i="5"/>
  <c r="L617" i="5"/>
  <c r="L615" i="5"/>
  <c r="L614" i="5"/>
  <c r="L613" i="5"/>
  <c r="L612" i="5"/>
  <c r="L609" i="5"/>
  <c r="L607" i="5"/>
  <c r="L605" i="5"/>
  <c r="L604" i="5"/>
  <c r="L603" i="5"/>
  <c r="L600" i="5"/>
  <c r="L599" i="5"/>
  <c r="L598" i="5"/>
  <c r="L597" i="5"/>
  <c r="L596" i="5"/>
  <c r="L595" i="5"/>
  <c r="L593" i="5"/>
  <c r="L590" i="5"/>
  <c r="L589" i="5"/>
  <c r="L587" i="5"/>
  <c r="L586" i="5"/>
  <c r="L585" i="5"/>
  <c r="L584" i="5"/>
  <c r="L582" i="5"/>
  <c r="L581" i="5"/>
  <c r="L576" i="5"/>
  <c r="L575" i="5"/>
  <c r="L574" i="5"/>
  <c r="L570" i="5"/>
  <c r="L567" i="5"/>
  <c r="L566" i="5"/>
  <c r="L565" i="5"/>
  <c r="L564" i="5"/>
  <c r="L563" i="5"/>
  <c r="L562" i="5"/>
  <c r="L561" i="5"/>
  <c r="L560" i="5"/>
  <c r="L559" i="5"/>
  <c r="L558" i="5"/>
  <c r="L557" i="5"/>
  <c r="L556" i="5"/>
  <c r="L555" i="5"/>
  <c r="L554" i="5"/>
  <c r="L551" i="5"/>
  <c r="L550" i="5"/>
  <c r="L549" i="5"/>
  <c r="L547" i="5"/>
  <c r="L546" i="5"/>
  <c r="L545" i="5"/>
  <c r="L544" i="5"/>
  <c r="L543" i="5"/>
  <c r="L542" i="5"/>
  <c r="L539" i="5"/>
  <c r="L536" i="5"/>
  <c r="L535" i="5"/>
  <c r="L534" i="5"/>
  <c r="L530" i="5"/>
  <c r="L528" i="5"/>
  <c r="L527" i="5"/>
  <c r="L525" i="5"/>
  <c r="L524" i="5"/>
  <c r="L523" i="5"/>
  <c r="L522" i="5"/>
  <c r="L521" i="5"/>
  <c r="L520" i="5"/>
  <c r="L519" i="5"/>
  <c r="L518" i="5"/>
  <c r="L517" i="5"/>
  <c r="L516" i="5"/>
  <c r="L515" i="5"/>
  <c r="L514" i="5"/>
  <c r="L513" i="5"/>
  <c r="L512" i="5"/>
  <c r="L511" i="5"/>
  <c r="L510" i="5"/>
  <c r="L509" i="5"/>
  <c r="L508" i="5"/>
  <c r="L507" i="5"/>
  <c r="L506" i="5"/>
  <c r="L505" i="5"/>
  <c r="L504" i="5"/>
  <c r="L502" i="5"/>
  <c r="L501" i="5"/>
  <c r="L500" i="5"/>
  <c r="L499" i="5"/>
  <c r="L498" i="5"/>
  <c r="L497" i="5"/>
  <c r="L496" i="5"/>
  <c r="L495" i="5"/>
  <c r="L494" i="5"/>
  <c r="L493" i="5"/>
  <c r="L492" i="5"/>
  <c r="L491" i="5"/>
  <c r="L490" i="5"/>
  <c r="L489" i="5"/>
  <c r="L488" i="5"/>
  <c r="L487" i="5"/>
  <c r="L486" i="5"/>
  <c r="L485" i="5"/>
  <c r="L484" i="5"/>
  <c r="L483" i="5"/>
  <c r="L482" i="5"/>
  <c r="L481" i="5"/>
  <c r="L480" i="5"/>
  <c r="L479" i="5"/>
  <c r="L477" i="5"/>
  <c r="L476" i="5"/>
  <c r="L475" i="5"/>
  <c r="L474" i="5"/>
  <c r="L473" i="5"/>
  <c r="L472" i="5"/>
  <c r="L470" i="5"/>
  <c r="L469" i="5"/>
  <c r="L468" i="5"/>
  <c r="L467" i="5"/>
  <c r="L465" i="5"/>
  <c r="L464" i="5"/>
  <c r="L463" i="5"/>
  <c r="L462" i="5"/>
  <c r="L461" i="5"/>
  <c r="L459" i="5"/>
  <c r="L458" i="5"/>
  <c r="L456" i="5"/>
  <c r="L455" i="5"/>
  <c r="L454" i="5"/>
  <c r="L453" i="5"/>
  <c r="L452" i="5"/>
  <c r="L451" i="5"/>
  <c r="L450" i="5"/>
  <c r="L449" i="5"/>
  <c r="L448" i="5"/>
  <c r="L447" i="5"/>
  <c r="L446" i="5"/>
  <c r="L441" i="5"/>
  <c r="L440" i="5"/>
  <c r="L439" i="5"/>
  <c r="L437" i="5"/>
  <c r="L436" i="5"/>
  <c r="L435" i="5"/>
  <c r="L434" i="5"/>
  <c r="L433" i="5"/>
  <c r="L432" i="5"/>
  <c r="L431" i="5"/>
  <c r="L430" i="5"/>
  <c r="L429" i="5"/>
  <c r="L428" i="5"/>
  <c r="L427" i="5"/>
  <c r="L425" i="5"/>
  <c r="L424" i="5"/>
  <c r="L423" i="5"/>
  <c r="L422" i="5"/>
  <c r="L421" i="5"/>
  <c r="L420" i="5"/>
  <c r="L419" i="5"/>
  <c r="L417" i="5"/>
  <c r="L416" i="5"/>
  <c r="L414" i="5"/>
  <c r="L413" i="5"/>
  <c r="L412" i="5"/>
  <c r="L411" i="5"/>
  <c r="L409" i="5"/>
  <c r="L408" i="5"/>
  <c r="L407" i="5"/>
  <c r="L406" i="5"/>
  <c r="L404" i="5"/>
  <c r="L403" i="5"/>
  <c r="L402" i="5"/>
  <c r="L401" i="5"/>
  <c r="L400" i="5"/>
  <c r="L399" i="5"/>
  <c r="L398" i="5"/>
  <c r="L397" i="5"/>
  <c r="L396" i="5"/>
  <c r="L395" i="5"/>
  <c r="L393" i="5"/>
  <c r="L392" i="5"/>
  <c r="L391" i="5"/>
  <c r="L390" i="5"/>
  <c r="L389" i="5"/>
  <c r="L388" i="5"/>
  <c r="L387" i="5"/>
  <c r="L385" i="5"/>
  <c r="L384" i="5"/>
  <c r="L383" i="5"/>
  <c r="L382" i="5"/>
  <c r="L381" i="5"/>
  <c r="L378" i="5"/>
  <c r="L377" i="5"/>
  <c r="L376" i="5"/>
  <c r="L375" i="5"/>
  <c r="L372" i="5"/>
  <c r="L371" i="5"/>
  <c r="L370" i="5"/>
  <c r="L369" i="5"/>
  <c r="L367" i="5"/>
  <c r="L366" i="5"/>
  <c r="L365" i="5"/>
  <c r="L364" i="5"/>
  <c r="L361" i="5"/>
  <c r="L360" i="5"/>
  <c r="L358" i="5"/>
  <c r="L357" i="5"/>
  <c r="L356" i="5"/>
  <c r="L355" i="5"/>
  <c r="L354" i="5"/>
  <c r="L352" i="5"/>
  <c r="L351" i="5"/>
  <c r="L350" i="5"/>
  <c r="L349" i="5"/>
  <c r="L348" i="5"/>
  <c r="L347" i="5"/>
  <c r="L346" i="5"/>
  <c r="L345" i="5"/>
  <c r="L344" i="5"/>
  <c r="L343" i="5"/>
  <c r="L342" i="5"/>
  <c r="L337" i="5"/>
  <c r="L336" i="5"/>
  <c r="L335" i="5"/>
  <c r="L334" i="5"/>
  <c r="L333" i="5"/>
  <c r="L332" i="5"/>
  <c r="L331" i="5"/>
  <c r="L329" i="5"/>
  <c r="L328" i="5"/>
  <c r="L326" i="5"/>
  <c r="L324" i="5"/>
  <c r="L323" i="5"/>
  <c r="L322" i="5"/>
  <c r="L321" i="5"/>
  <c r="L320" i="5"/>
  <c r="L319" i="5"/>
  <c r="L318" i="5"/>
  <c r="L317" i="5"/>
  <c r="L316" i="5"/>
  <c r="L315" i="5"/>
  <c r="L314" i="5"/>
  <c r="L312" i="5"/>
  <c r="L311" i="5"/>
  <c r="L310" i="5"/>
  <c r="L309" i="5"/>
  <c r="L308" i="5"/>
  <c r="L307" i="5"/>
  <c r="L306" i="5"/>
  <c r="L304" i="5"/>
  <c r="L303" i="5"/>
  <c r="L302" i="5"/>
  <c r="L301" i="5"/>
  <c r="L300" i="5"/>
  <c r="L299" i="5"/>
  <c r="L298" i="5"/>
  <c r="L297" i="5"/>
  <c r="L296" i="5"/>
  <c r="L295" i="5"/>
  <c r="L294" i="5"/>
  <c r="L293" i="5"/>
  <c r="L292" i="5"/>
  <c r="L290" i="5"/>
  <c r="L289" i="5"/>
  <c r="L288" i="5"/>
  <c r="L287" i="5"/>
  <c r="L286" i="5"/>
  <c r="L284" i="5"/>
  <c r="L283" i="5"/>
  <c r="L281" i="5"/>
  <c r="L280" i="5"/>
  <c r="L278" i="5"/>
  <c r="L277" i="5"/>
  <c r="L276" i="5"/>
  <c r="L275" i="5"/>
  <c r="L274" i="5"/>
  <c r="L272" i="5"/>
  <c r="L271" i="5"/>
  <c r="L265" i="5"/>
  <c r="L262" i="5"/>
  <c r="L261" i="5"/>
  <c r="L256" i="5"/>
  <c r="L255" i="5"/>
  <c r="L254" i="5"/>
  <c r="L251" i="5"/>
  <c r="L249" i="5"/>
  <c r="L248" i="5"/>
  <c r="L246" i="5"/>
  <c r="L245" i="5"/>
  <c r="L244" i="5"/>
  <c r="L243" i="5"/>
  <c r="L242" i="5"/>
  <c r="L239" i="5"/>
  <c r="L238" i="5"/>
  <c r="L236" i="5"/>
  <c r="L235" i="5"/>
  <c r="L233" i="5"/>
  <c r="L232" i="5"/>
  <c r="L230" i="5"/>
  <c r="L229" i="5"/>
  <c r="L228" i="5"/>
  <c r="L225" i="5"/>
  <c r="L224" i="5"/>
  <c r="L223" i="5"/>
  <c r="L222" i="5"/>
  <c r="L221" i="5"/>
  <c r="L218" i="5"/>
  <c r="L217" i="5"/>
  <c r="L216" i="5"/>
  <c r="L215" i="5"/>
  <c r="L214" i="5"/>
  <c r="L213" i="5"/>
  <c r="L212" i="5"/>
  <c r="L211" i="5"/>
  <c r="L210" i="5"/>
  <c r="L209" i="5"/>
  <c r="L208" i="5"/>
  <c r="L207" i="5"/>
  <c r="L206" i="5"/>
  <c r="L205" i="5"/>
  <c r="L204" i="5"/>
  <c r="L203" i="5"/>
  <c r="L202" i="5"/>
  <c r="L199" i="5"/>
  <c r="L198" i="5"/>
  <c r="L197" i="5"/>
  <c r="L196" i="5"/>
  <c r="L195" i="5"/>
  <c r="L194" i="5"/>
  <c r="L193" i="5"/>
  <c r="L192" i="5"/>
  <c r="L191" i="5"/>
  <c r="L190" i="5"/>
  <c r="L189" i="5"/>
  <c r="L184" i="5"/>
  <c r="L183" i="5"/>
  <c r="L182" i="5"/>
  <c r="L181" i="5"/>
  <c r="L180" i="5"/>
  <c r="L179" i="5"/>
  <c r="L178" i="5"/>
  <c r="L177" i="5"/>
  <c r="L176" i="5"/>
  <c r="L174" i="5"/>
  <c r="L173" i="5"/>
  <c r="L172" i="5"/>
  <c r="L171" i="5"/>
  <c r="L170" i="5"/>
  <c r="L169" i="5"/>
  <c r="L168" i="5"/>
  <c r="L167" i="5"/>
  <c r="L166" i="5"/>
  <c r="L165" i="5"/>
  <c r="L164" i="5"/>
  <c r="L163" i="5"/>
  <c r="L162" i="5"/>
  <c r="L161" i="5"/>
  <c r="L160" i="5"/>
  <c r="L155" i="5"/>
  <c r="L154" i="5"/>
  <c r="L153" i="5"/>
  <c r="L152" i="5"/>
  <c r="L147" i="5"/>
  <c r="L146" i="5"/>
  <c r="L145" i="5"/>
  <c r="L144" i="5"/>
  <c r="L143" i="5"/>
  <c r="L142" i="5"/>
  <c r="L141" i="5"/>
  <c r="L140" i="5"/>
  <c r="L136" i="5"/>
  <c r="L135" i="5"/>
  <c r="L134" i="5"/>
  <c r="L132" i="5"/>
  <c r="L131" i="5"/>
  <c r="L130" i="5"/>
  <c r="L129" i="5"/>
  <c r="L128" i="5"/>
  <c r="L127" i="5"/>
  <c r="L126" i="5"/>
  <c r="L125" i="5"/>
  <c r="L124" i="5"/>
  <c r="L123" i="5"/>
  <c r="L122" i="5"/>
  <c r="L121" i="5"/>
  <c r="L120" i="5"/>
  <c r="L119" i="5"/>
  <c r="L118" i="5"/>
  <c r="L117" i="5"/>
  <c r="L116" i="5"/>
  <c r="L115" i="5"/>
  <c r="L113" i="5"/>
  <c r="L112" i="5"/>
  <c r="L111" i="5"/>
  <c r="L110" i="5"/>
  <c r="L108" i="5"/>
  <c r="L107" i="5"/>
  <c r="L106" i="5"/>
  <c r="L105" i="5"/>
  <c r="L104" i="5"/>
  <c r="L103" i="5"/>
  <c r="L102" i="5"/>
  <c r="L101" i="5"/>
  <c r="L100" i="5"/>
  <c r="L99" i="5"/>
  <c r="L98" i="5"/>
  <c r="L97" i="5"/>
  <c r="L96" i="5"/>
  <c r="L95" i="5"/>
  <c r="L94" i="5"/>
  <c r="L93" i="5"/>
  <c r="L92" i="5"/>
  <c r="L91" i="5"/>
  <c r="L90" i="5"/>
  <c r="L89" i="5"/>
  <c r="L88" i="5"/>
  <c r="L87" i="5"/>
  <c r="L86" i="5"/>
  <c r="L84" i="5"/>
  <c r="L83" i="5"/>
  <c r="L82" i="5"/>
  <c r="L78" i="5"/>
  <c r="L75" i="5"/>
  <c r="L73" i="5"/>
  <c r="L72" i="5"/>
  <c r="L71" i="5"/>
  <c r="L70" i="5"/>
  <c r="L69" i="5"/>
  <c r="L68" i="5"/>
  <c r="L67" i="5"/>
  <c r="L66" i="5"/>
  <c r="L65" i="5"/>
  <c r="L64" i="5"/>
  <c r="L63" i="5"/>
  <c r="L62" i="5"/>
  <c r="L61" i="5"/>
  <c r="L60" i="5"/>
  <c r="L59" i="5"/>
  <c r="L58" i="5"/>
  <c r="L56" i="5"/>
  <c r="L55" i="5"/>
  <c r="L54" i="5"/>
  <c r="L53" i="5"/>
  <c r="L52" i="5"/>
  <c r="L48" i="5"/>
  <c r="L46" i="5"/>
  <c r="L45" i="5"/>
  <c r="L44" i="5"/>
  <c r="L43" i="5"/>
  <c r="L42" i="5"/>
  <c r="L41" i="5"/>
  <c r="L40" i="5"/>
  <c r="L39" i="5"/>
  <c r="L38" i="5"/>
  <c r="L37" i="5"/>
  <c r="L36" i="5"/>
  <c r="L35" i="5"/>
  <c r="L34" i="5"/>
  <c r="L33" i="5"/>
  <c r="L32" i="5"/>
  <c r="L31" i="5"/>
  <c r="L30" i="5"/>
  <c r="L29" i="5"/>
  <c r="L28" i="5"/>
  <c r="L27" i="5"/>
  <c r="L24" i="5"/>
  <c r="L23" i="5"/>
  <c r="L21" i="5"/>
  <c r="L18" i="5"/>
  <c r="L16" i="5"/>
  <c r="L15" i="5"/>
  <c r="L14" i="5"/>
  <c r="L12" i="5"/>
  <c r="L11" i="5"/>
  <c r="L10" i="5"/>
  <c r="L9" i="5"/>
  <c r="L8" i="5"/>
  <c r="L7" i="5"/>
  <c r="L6" i="5"/>
  <c r="L5" i="5"/>
  <c r="F36" i="4"/>
  <c r="F34" i="4"/>
  <c r="F33" i="4"/>
  <c r="F32" i="4"/>
  <c r="F31" i="4"/>
  <c r="F30" i="4"/>
  <c r="F29" i="4"/>
  <c r="F28" i="4"/>
  <c r="F27" i="4"/>
  <c r="F26" i="4"/>
  <c r="F23" i="4"/>
  <c r="F22" i="4"/>
  <c r="F20" i="4"/>
  <c r="F18" i="4"/>
  <c r="F16" i="4"/>
  <c r="F15" i="4"/>
  <c r="F14" i="4"/>
  <c r="F13" i="4"/>
  <c r="F12" i="4"/>
  <c r="F11" i="4"/>
  <c r="F7" i="4"/>
  <c r="F6" i="4"/>
  <c r="E20" i="7"/>
  <c r="L881" i="5"/>
  <c r="F21" i="4"/>
  <c r="E9" i="7"/>
  <c r="L916" i="5"/>
  <c r="F10" i="4"/>
  <c r="E34" i="7"/>
  <c r="E8" i="7"/>
  <c r="L982" i="5"/>
  <c r="L981" i="5"/>
  <c r="L975" i="5"/>
  <c r="L971" i="5"/>
  <c r="L970" i="5"/>
  <c r="L968" i="5"/>
  <c r="L949" i="5"/>
  <c r="L942" i="5"/>
  <c r="L925" i="5"/>
  <c r="L907" i="5"/>
  <c r="L905" i="5"/>
  <c r="L904" i="5"/>
  <c r="L890" i="5"/>
  <c r="L875" i="5"/>
  <c r="L865" i="5"/>
  <c r="L864" i="5"/>
  <c r="L861" i="5"/>
  <c r="L847" i="5"/>
  <c r="L822" i="5"/>
  <c r="L812" i="5"/>
  <c r="F35" i="4"/>
  <c r="F9" i="4"/>
  <c r="E24" i="7"/>
  <c r="E18" i="7"/>
  <c r="E16" i="7"/>
  <c r="E7" i="7"/>
  <c r="L1003" i="5"/>
  <c r="L866" i="5"/>
  <c r="L639" i="5"/>
  <c r="L478" i="5"/>
  <c r="L460" i="5"/>
  <c r="L442" i="5"/>
  <c r="L227" i="5"/>
  <c r="L226" i="5"/>
  <c r="L151" i="5"/>
  <c r="F25" i="4"/>
  <c r="F19" i="4"/>
  <c r="F17" i="4"/>
  <c r="F8" i="4"/>
  <c r="C8" i="14"/>
  <c r="K8" i="14" s="1"/>
  <c r="L8" i="14" s="1"/>
  <c r="C7" i="14"/>
  <c r="C6" i="14"/>
  <c r="C25" i="12"/>
  <c r="C24" i="12"/>
  <c r="C9" i="11"/>
  <c r="K9" i="11" s="1"/>
  <c r="L9" i="11" s="1"/>
  <c r="C8" i="11"/>
  <c r="K8" i="11" s="1"/>
  <c r="L8" i="11" s="1"/>
  <c r="E41" i="7"/>
  <c r="E40" i="7"/>
  <c r="E38" i="7"/>
  <c r="E23" i="7"/>
  <c r="L15" i="6"/>
  <c r="L14" i="6"/>
  <c r="L13" i="6"/>
  <c r="L12" i="6"/>
  <c r="L11" i="6"/>
  <c r="L10" i="6"/>
  <c r="L9" i="6"/>
  <c r="L8" i="6"/>
  <c r="L7" i="6"/>
  <c r="L6" i="6"/>
  <c r="L5" i="6"/>
  <c r="L974" i="5"/>
  <c r="L966" i="5"/>
  <c r="L965" i="5"/>
  <c r="L961" i="5"/>
  <c r="L948" i="5"/>
  <c r="L939" i="5"/>
  <c r="L932" i="5"/>
  <c r="L931" i="5"/>
  <c r="L928" i="5"/>
  <c r="L906" i="5"/>
  <c r="L900" i="5"/>
  <c r="L884" i="5"/>
  <c r="L883" i="5"/>
  <c r="L870" i="5"/>
  <c r="L867" i="5"/>
  <c r="L858" i="5"/>
  <c r="L856" i="5"/>
  <c r="L855" i="5"/>
  <c r="L823" i="5"/>
  <c r="L109" i="5"/>
  <c r="F46" i="4"/>
  <c r="F45" i="4"/>
  <c r="F43" i="4"/>
  <c r="F24" i="4"/>
  <c r="E42" i="7"/>
  <c r="E39" i="7"/>
  <c r="L39" i="6"/>
  <c r="L38" i="6"/>
  <c r="L37" i="6"/>
  <c r="L36" i="6"/>
  <c r="L35" i="6"/>
  <c r="L34" i="6"/>
  <c r="L33" i="6"/>
  <c r="L32" i="6"/>
  <c r="L31" i="6"/>
  <c r="L30" i="6"/>
  <c r="L29" i="6"/>
  <c r="L28" i="6"/>
  <c r="L27" i="6"/>
  <c r="L26" i="6"/>
  <c r="L25" i="6"/>
  <c r="L24" i="6"/>
  <c r="L23" i="6"/>
  <c r="L22" i="6"/>
  <c r="L21" i="6"/>
  <c r="L20" i="6"/>
  <c r="L19" i="6"/>
  <c r="L18" i="6"/>
  <c r="F47" i="4"/>
  <c r="F44" i="4"/>
  <c r="C8" i="15"/>
  <c r="K8" i="15" s="1"/>
  <c r="L8" i="15" s="1"/>
  <c r="C7" i="15"/>
  <c r="K7" i="15" s="1"/>
  <c r="L7" i="15" s="1"/>
  <c r="C6" i="15"/>
  <c r="K6" i="15" s="1"/>
  <c r="C34" i="12"/>
  <c r="C30" i="12"/>
  <c r="C23" i="12"/>
  <c r="C14" i="12"/>
  <c r="C6" i="12"/>
  <c r="C7" i="11"/>
  <c r="K7" i="11" s="1"/>
  <c r="L7" i="11" s="1"/>
  <c r="C10" i="14"/>
  <c r="K10" i="14" s="1"/>
  <c r="L10" i="14" s="1"/>
  <c r="C9" i="14"/>
  <c r="K9" i="14" s="1"/>
  <c r="L9" i="14" s="1"/>
  <c r="C29" i="12"/>
  <c r="C22" i="12"/>
  <c r="C18" i="12"/>
  <c r="C10" i="12"/>
  <c r="C6" i="11"/>
  <c r="K6" i="11" s="1"/>
  <c r="C11" i="2"/>
  <c r="C10" i="2"/>
  <c r="B12" i="2" s="1"/>
  <c r="E11" i="2"/>
  <c r="E10" i="2"/>
  <c r="D12" i="2" s="1"/>
  <c r="G11" i="2"/>
  <c r="G10" i="2"/>
  <c r="F12" i="2" s="1"/>
  <c r="I11" i="2"/>
  <c r="I10" i="2"/>
  <c r="H12" i="2" s="1"/>
  <c r="K11" i="2"/>
  <c r="K10" i="2"/>
  <c r="J12" i="2" s="1"/>
  <c r="M11" i="2"/>
  <c r="M10" i="2"/>
  <c r="L12" i="2" s="1"/>
  <c r="O11" i="2"/>
  <c r="O10" i="2"/>
  <c r="N12" i="2" s="1"/>
  <c r="Q11" i="2"/>
  <c r="Q10" i="2"/>
  <c r="P12" i="2" s="1"/>
  <c r="G5" i="7"/>
  <c r="M1077" i="5"/>
  <c r="M1076" i="5"/>
  <c r="M1075" i="5"/>
  <c r="M1074" i="5"/>
  <c r="M1073" i="5"/>
  <c r="M1072" i="5"/>
  <c r="M1014" i="5"/>
  <c r="M930" i="5"/>
  <c r="M710" i="5"/>
  <c r="M662" i="5"/>
  <c r="M613" i="5"/>
  <c r="M600" i="5"/>
  <c r="M550" i="5"/>
  <c r="M389" i="5"/>
  <c r="M388" i="5"/>
  <c r="M387" i="5"/>
  <c r="M261" i="5"/>
  <c r="M255" i="5"/>
  <c r="M254" i="5"/>
  <c r="M182" i="5"/>
  <c r="M164" i="5"/>
  <c r="M154" i="5"/>
  <c r="M153" i="5"/>
  <c r="M23" i="5"/>
  <c r="K6" i="4"/>
  <c r="H5" i="7"/>
  <c r="N1077" i="5"/>
  <c r="N1076" i="5"/>
  <c r="N1075" i="5"/>
  <c r="N1074" i="5"/>
  <c r="N1073" i="5"/>
  <c r="N1072" i="5"/>
  <c r="N1014" i="5"/>
  <c r="N930" i="5"/>
  <c r="N710" i="5"/>
  <c r="N662" i="5"/>
  <c r="N613" i="5"/>
  <c r="N600" i="5"/>
  <c r="N550" i="5"/>
  <c r="N389" i="5"/>
  <c r="N388" i="5"/>
  <c r="N387" i="5"/>
  <c r="N261" i="5"/>
  <c r="N255" i="5"/>
  <c r="N254" i="5"/>
  <c r="N182" i="5"/>
  <c r="N164" i="5"/>
  <c r="N154" i="5"/>
  <c r="N153" i="5"/>
  <c r="N23" i="5"/>
  <c r="I5" i="7"/>
  <c r="P1077" i="5"/>
  <c r="P1076" i="5"/>
  <c r="P1075" i="5"/>
  <c r="P1074" i="5"/>
  <c r="P1073" i="5"/>
  <c r="P1072" i="5"/>
  <c r="P1014" i="5"/>
  <c r="P930" i="5"/>
  <c r="P710" i="5"/>
  <c r="P662" i="5"/>
  <c r="P613" i="5"/>
  <c r="P600" i="5"/>
  <c r="P550" i="5"/>
  <c r="P389" i="5"/>
  <c r="P388" i="5"/>
  <c r="P387" i="5"/>
  <c r="P261" i="5"/>
  <c r="P255" i="5"/>
  <c r="P254" i="5"/>
  <c r="P182" i="5"/>
  <c r="P164" i="5"/>
  <c r="P154" i="5"/>
  <c r="P153" i="5"/>
  <c r="P23" i="5"/>
  <c r="L6" i="4"/>
  <c r="G6" i="7"/>
  <c r="M1088" i="5"/>
  <c r="M1087" i="5"/>
  <c r="M1086" i="5"/>
  <c r="M1085" i="5"/>
  <c r="M1084" i="5"/>
  <c r="M1083" i="5"/>
  <c r="M1079" i="5"/>
  <c r="M1078" i="5"/>
  <c r="M1056" i="5"/>
  <c r="M1055" i="5"/>
  <c r="M1048" i="5"/>
  <c r="M1042" i="5"/>
  <c r="M1040" i="5"/>
  <c r="M1039" i="5"/>
  <c r="M1037" i="5"/>
  <c r="M1030" i="5"/>
  <c r="M1025" i="5"/>
  <c r="M1024" i="5"/>
  <c r="M1023" i="5"/>
  <c r="M1022" i="5"/>
  <c r="M1020" i="5"/>
  <c r="M1019" i="5"/>
  <c r="M1018" i="5"/>
  <c r="M1013" i="5"/>
  <c r="M951" i="5"/>
  <c r="M924" i="5"/>
  <c r="M899" i="5"/>
  <c r="M898" i="5"/>
  <c r="M787" i="5"/>
  <c r="M786" i="5"/>
  <c r="M785" i="5"/>
  <c r="M781" i="5"/>
  <c r="M778" i="5"/>
  <c r="M775" i="5"/>
  <c r="M774" i="5"/>
  <c r="M769" i="5"/>
  <c r="M768" i="5"/>
  <c r="M767" i="5"/>
  <c r="M747" i="5"/>
  <c r="M742" i="5"/>
  <c r="M735" i="5"/>
  <c r="M730" i="5"/>
  <c r="M718" i="5"/>
  <c r="M717" i="5"/>
  <c r="M715" i="5"/>
  <c r="M687" i="5"/>
  <c r="M679" i="5"/>
  <c r="M678" i="5"/>
  <c r="M677" i="5"/>
  <c r="M676" i="5"/>
  <c r="M675" i="5"/>
  <c r="M673" i="5"/>
  <c r="M671" i="5"/>
  <c r="M666" i="5"/>
  <c r="M665" i="5"/>
  <c r="M642" i="5"/>
  <c r="M629" i="5"/>
  <c r="M628" i="5"/>
  <c r="M586" i="5"/>
  <c r="M585" i="5"/>
  <c r="M584" i="5"/>
  <c r="M574" i="5"/>
  <c r="M565" i="5"/>
  <c r="M563" i="5"/>
  <c r="M560" i="5"/>
  <c r="M559" i="5"/>
  <c r="M558" i="5"/>
  <c r="M549" i="5"/>
  <c r="M547" i="5"/>
  <c r="M546" i="5"/>
  <c r="M543" i="5"/>
  <c r="M524" i="5"/>
  <c r="M521" i="5"/>
  <c r="M519" i="5"/>
  <c r="M510" i="5"/>
  <c r="M508" i="5"/>
  <c r="M507" i="5"/>
  <c r="M502" i="5"/>
  <c r="M492" i="5"/>
  <c r="M489" i="5"/>
  <c r="M485" i="5"/>
  <c r="M484" i="5"/>
  <c r="M483" i="5"/>
  <c r="M482" i="5"/>
  <c r="M481" i="5"/>
  <c r="M479" i="5"/>
  <c r="M462" i="5"/>
  <c r="M459" i="5"/>
  <c r="M456" i="5"/>
  <c r="M451" i="5"/>
  <c r="M448" i="5"/>
  <c r="M440" i="5"/>
  <c r="M434" i="5"/>
  <c r="M433" i="5"/>
  <c r="M421" i="5"/>
  <c r="M420" i="5"/>
  <c r="M414" i="5"/>
  <c r="M407" i="5"/>
  <c r="M400" i="5"/>
  <c r="M397" i="5"/>
  <c r="M371" i="5"/>
  <c r="M366" i="5"/>
  <c r="M349" i="5"/>
  <c r="M346" i="5"/>
  <c r="M344" i="5"/>
  <c r="M326" i="5"/>
  <c r="M324" i="5"/>
  <c r="M314" i="5"/>
  <c r="M309" i="5"/>
  <c r="M308" i="5"/>
  <c r="M307" i="5"/>
  <c r="M306" i="5"/>
  <c r="M301" i="5"/>
  <c r="M299" i="5"/>
  <c r="M262" i="5"/>
  <c r="M232" i="5"/>
  <c r="M218" i="5"/>
  <c r="M217" i="5"/>
  <c r="M216" i="5"/>
  <c r="M215" i="5"/>
  <c r="M214" i="5"/>
  <c r="M213" i="5"/>
  <c r="M212" i="5"/>
  <c r="M208" i="5"/>
  <c r="M184" i="5"/>
  <c r="M183" i="5"/>
  <c r="M181" i="5"/>
  <c r="M178" i="5"/>
  <c r="M177" i="5"/>
  <c r="M174" i="5"/>
  <c r="M173" i="5"/>
  <c r="M172" i="5"/>
  <c r="M136" i="5"/>
  <c r="M132" i="5"/>
  <c r="M131" i="5"/>
  <c r="M126" i="5"/>
  <c r="M123" i="5"/>
  <c r="M122" i="5"/>
  <c r="M118" i="5"/>
  <c r="M107" i="5"/>
  <c r="M102" i="5"/>
  <c r="M101" i="5"/>
  <c r="M100" i="5"/>
  <c r="M98" i="5"/>
  <c r="M96" i="5"/>
  <c r="M90" i="5"/>
  <c r="M89" i="5"/>
  <c r="M78" i="5"/>
  <c r="M75" i="5"/>
  <c r="M71" i="5"/>
  <c r="M58" i="5"/>
  <c r="M54" i="5"/>
  <c r="M44" i="5"/>
  <c r="M33" i="5"/>
  <c r="M31" i="5"/>
  <c r="M28" i="5"/>
  <c r="M11" i="5"/>
  <c r="K7" i="4"/>
  <c r="M7" i="4" s="1"/>
  <c r="N7" i="4" s="1"/>
  <c r="H6" i="7"/>
  <c r="N1088" i="5"/>
  <c r="N1087" i="5"/>
  <c r="N1086" i="5"/>
  <c r="N1085" i="5"/>
  <c r="N1084" i="5"/>
  <c r="N1083" i="5"/>
  <c r="N1079" i="5"/>
  <c r="N1078" i="5"/>
  <c r="N1056" i="5"/>
  <c r="N1055" i="5"/>
  <c r="N1048" i="5"/>
  <c r="N1042" i="5"/>
  <c r="N1040" i="5"/>
  <c r="N1039" i="5"/>
  <c r="N1037" i="5"/>
  <c r="N1030" i="5"/>
  <c r="N1025" i="5"/>
  <c r="N1024" i="5"/>
  <c r="N1023" i="5"/>
  <c r="N1022" i="5"/>
  <c r="N1020" i="5"/>
  <c r="N1019" i="5"/>
  <c r="N1018" i="5"/>
  <c r="N1013" i="5"/>
  <c r="N951" i="5"/>
  <c r="N924" i="5"/>
  <c r="N899" i="5"/>
  <c r="N898" i="5"/>
  <c r="N787" i="5"/>
  <c r="N786" i="5"/>
  <c r="N785" i="5"/>
  <c r="N781" i="5"/>
  <c r="N778" i="5"/>
  <c r="N775" i="5"/>
  <c r="N774" i="5"/>
  <c r="N769" i="5"/>
  <c r="N768" i="5"/>
  <c r="N767" i="5"/>
  <c r="N747" i="5"/>
  <c r="N742" i="5"/>
  <c r="N735" i="5"/>
  <c r="N730" i="5"/>
  <c r="N718" i="5"/>
  <c r="N717" i="5"/>
  <c r="N715" i="5"/>
  <c r="N687" i="5"/>
  <c r="N679" i="5"/>
  <c r="N678" i="5"/>
  <c r="N677" i="5"/>
  <c r="N676" i="5"/>
  <c r="N675" i="5"/>
  <c r="N673" i="5"/>
  <c r="N671" i="5"/>
  <c r="N666" i="5"/>
  <c r="N665" i="5"/>
  <c r="N642" i="5"/>
  <c r="N629" i="5"/>
  <c r="N628" i="5"/>
  <c r="N586" i="5"/>
  <c r="N585" i="5"/>
  <c r="N584" i="5"/>
  <c r="N574" i="5"/>
  <c r="N565" i="5"/>
  <c r="N563" i="5"/>
  <c r="N560" i="5"/>
  <c r="N559" i="5"/>
  <c r="N558" i="5"/>
  <c r="N549" i="5"/>
  <c r="N547" i="5"/>
  <c r="N546" i="5"/>
  <c r="N543" i="5"/>
  <c r="N524" i="5"/>
  <c r="N521" i="5"/>
  <c r="N519" i="5"/>
  <c r="N510" i="5"/>
  <c r="N508" i="5"/>
  <c r="N507" i="5"/>
  <c r="N502" i="5"/>
  <c r="N492" i="5"/>
  <c r="N489" i="5"/>
  <c r="N485" i="5"/>
  <c r="N484" i="5"/>
  <c r="N483" i="5"/>
  <c r="N482" i="5"/>
  <c r="N481" i="5"/>
  <c r="N479" i="5"/>
  <c r="N462" i="5"/>
  <c r="N459" i="5"/>
  <c r="N456" i="5"/>
  <c r="N451" i="5"/>
  <c r="N448" i="5"/>
  <c r="N440" i="5"/>
  <c r="N434" i="5"/>
  <c r="N433" i="5"/>
  <c r="N421" i="5"/>
  <c r="N420" i="5"/>
  <c r="N414" i="5"/>
  <c r="N407" i="5"/>
  <c r="N400" i="5"/>
  <c r="N397" i="5"/>
  <c r="N371" i="5"/>
  <c r="N366" i="5"/>
  <c r="N349" i="5"/>
  <c r="N346" i="5"/>
  <c r="N344" i="5"/>
  <c r="N326" i="5"/>
  <c r="N324" i="5"/>
  <c r="N314" i="5"/>
  <c r="N309" i="5"/>
  <c r="N308" i="5"/>
  <c r="N307" i="5"/>
  <c r="N306" i="5"/>
  <c r="N301" i="5"/>
  <c r="N299" i="5"/>
  <c r="N262" i="5"/>
  <c r="N232" i="5"/>
  <c r="N218" i="5"/>
  <c r="N217" i="5"/>
  <c r="N216" i="5"/>
  <c r="N215" i="5"/>
  <c r="N214" i="5"/>
  <c r="N213" i="5"/>
  <c r="N212" i="5"/>
  <c r="N208" i="5"/>
  <c r="N184" i="5"/>
  <c r="N183" i="5"/>
  <c r="N181" i="5"/>
  <c r="N178" i="5"/>
  <c r="N177" i="5"/>
  <c r="N174" i="5"/>
  <c r="N173" i="5"/>
  <c r="N172" i="5"/>
  <c r="N136" i="5"/>
  <c r="N132" i="5"/>
  <c r="N131" i="5"/>
  <c r="N126" i="5"/>
  <c r="N123" i="5"/>
  <c r="N122" i="5"/>
  <c r="N118" i="5"/>
  <c r="N107" i="5"/>
  <c r="N102" i="5"/>
  <c r="N101" i="5"/>
  <c r="N100" i="5"/>
  <c r="N98" i="5"/>
  <c r="N96" i="5"/>
  <c r="N90" i="5"/>
  <c r="N89" i="5"/>
  <c r="N78" i="5"/>
  <c r="N75" i="5"/>
  <c r="N71" i="5"/>
  <c r="N58" i="5"/>
  <c r="N54" i="5"/>
  <c r="N44" i="5"/>
  <c r="N33" i="5"/>
  <c r="N31" i="5"/>
  <c r="N28" i="5"/>
  <c r="N11" i="5"/>
  <c r="I6" i="7"/>
  <c r="P1088" i="5"/>
  <c r="P1087" i="5"/>
  <c r="P1086" i="5"/>
  <c r="P1085" i="5"/>
  <c r="P1084" i="5"/>
  <c r="P1083" i="5"/>
  <c r="P1079" i="5"/>
  <c r="P1078" i="5"/>
  <c r="P1056" i="5"/>
  <c r="P1055" i="5"/>
  <c r="P1048" i="5"/>
  <c r="P1042" i="5"/>
  <c r="P1040" i="5"/>
  <c r="P1039" i="5"/>
  <c r="P1037" i="5"/>
  <c r="P1030" i="5"/>
  <c r="P1025" i="5"/>
  <c r="P1024" i="5"/>
  <c r="P1023" i="5"/>
  <c r="P1022" i="5"/>
  <c r="P1020" i="5"/>
  <c r="P1019" i="5"/>
  <c r="P1018" i="5"/>
  <c r="P1013" i="5"/>
  <c r="P951" i="5"/>
  <c r="P924" i="5"/>
  <c r="P899" i="5"/>
  <c r="P898" i="5"/>
  <c r="P787" i="5"/>
  <c r="P786" i="5"/>
  <c r="P785" i="5"/>
  <c r="P781" i="5"/>
  <c r="P778" i="5"/>
  <c r="P775" i="5"/>
  <c r="P774" i="5"/>
  <c r="P769" i="5"/>
  <c r="P768" i="5"/>
  <c r="P767" i="5"/>
  <c r="P747" i="5"/>
  <c r="P742" i="5"/>
  <c r="P735" i="5"/>
  <c r="P730" i="5"/>
  <c r="P718" i="5"/>
  <c r="P717" i="5"/>
  <c r="P715" i="5"/>
  <c r="P687" i="5"/>
  <c r="P679" i="5"/>
  <c r="P678" i="5"/>
  <c r="P677" i="5"/>
  <c r="P676" i="5"/>
  <c r="P675" i="5"/>
  <c r="P673" i="5"/>
  <c r="P671" i="5"/>
  <c r="P666" i="5"/>
  <c r="P665" i="5"/>
  <c r="P642" i="5"/>
  <c r="P629" i="5"/>
  <c r="P628" i="5"/>
  <c r="P586" i="5"/>
  <c r="P585" i="5"/>
  <c r="P584" i="5"/>
  <c r="P574" i="5"/>
  <c r="P565" i="5"/>
  <c r="P563" i="5"/>
  <c r="P560" i="5"/>
  <c r="P559" i="5"/>
  <c r="P558" i="5"/>
  <c r="P549" i="5"/>
  <c r="P547" i="5"/>
  <c r="P546" i="5"/>
  <c r="P543" i="5"/>
  <c r="P524" i="5"/>
  <c r="P521" i="5"/>
  <c r="P519" i="5"/>
  <c r="P510" i="5"/>
  <c r="P508" i="5"/>
  <c r="P507" i="5"/>
  <c r="P502" i="5"/>
  <c r="P492" i="5"/>
  <c r="P489" i="5"/>
  <c r="P485" i="5"/>
  <c r="P484" i="5"/>
  <c r="P483" i="5"/>
  <c r="P482" i="5"/>
  <c r="P481" i="5"/>
  <c r="P479" i="5"/>
  <c r="P462" i="5"/>
  <c r="P459" i="5"/>
  <c r="P456" i="5"/>
  <c r="P451" i="5"/>
  <c r="P448" i="5"/>
  <c r="P440" i="5"/>
  <c r="P434" i="5"/>
  <c r="P433" i="5"/>
  <c r="P421" i="5"/>
  <c r="P420" i="5"/>
  <c r="P414" i="5"/>
  <c r="P407" i="5"/>
  <c r="P400" i="5"/>
  <c r="P397" i="5"/>
  <c r="P371" i="5"/>
  <c r="P366" i="5"/>
  <c r="P349" i="5"/>
  <c r="P346" i="5"/>
  <c r="P344" i="5"/>
  <c r="P326" i="5"/>
  <c r="P324" i="5"/>
  <c r="P314" i="5"/>
  <c r="P309" i="5"/>
  <c r="P308" i="5"/>
  <c r="P307" i="5"/>
  <c r="P306" i="5"/>
  <c r="P301" i="5"/>
  <c r="P299" i="5"/>
  <c r="P262" i="5"/>
  <c r="P232" i="5"/>
  <c r="P218" i="5"/>
  <c r="P217" i="5"/>
  <c r="P216" i="5"/>
  <c r="P215" i="5"/>
  <c r="P214" i="5"/>
  <c r="P213" i="5"/>
  <c r="P212" i="5"/>
  <c r="P208" i="5"/>
  <c r="P184" i="5"/>
  <c r="P183" i="5"/>
  <c r="P181" i="5"/>
  <c r="P178" i="5"/>
  <c r="P177" i="5"/>
  <c r="P174" i="5"/>
  <c r="P173" i="5"/>
  <c r="P172" i="5"/>
  <c r="P136" i="5"/>
  <c r="P132" i="5"/>
  <c r="P131" i="5"/>
  <c r="P126" i="5"/>
  <c r="P123" i="5"/>
  <c r="P122" i="5"/>
  <c r="P118" i="5"/>
  <c r="P107" i="5"/>
  <c r="P102" i="5"/>
  <c r="P101" i="5"/>
  <c r="P100" i="5"/>
  <c r="P98" i="5"/>
  <c r="P96" i="5"/>
  <c r="P90" i="5"/>
  <c r="P89" i="5"/>
  <c r="P78" i="5"/>
  <c r="P75" i="5"/>
  <c r="P71" i="5"/>
  <c r="P58" i="5"/>
  <c r="P54" i="5"/>
  <c r="P44" i="5"/>
  <c r="P33" i="5"/>
  <c r="P31" i="5"/>
  <c r="P28" i="5"/>
  <c r="P11" i="5"/>
  <c r="L7" i="4"/>
  <c r="G7" i="7"/>
  <c r="M866" i="5"/>
  <c r="K8" i="4"/>
  <c r="M8" i="4" s="1"/>
  <c r="N8" i="4" s="1"/>
  <c r="H7" i="7"/>
  <c r="N866" i="5"/>
  <c r="I7" i="7"/>
  <c r="P866" i="5"/>
  <c r="L8" i="4"/>
  <c r="G8" i="7"/>
  <c r="M982" i="5"/>
  <c r="M975" i="5"/>
  <c r="M971" i="5"/>
  <c r="M970" i="5"/>
  <c r="M968" i="5"/>
  <c r="M949" i="5"/>
  <c r="M942" i="5"/>
  <c r="M925" i="5"/>
  <c r="M907" i="5"/>
  <c r="M905" i="5"/>
  <c r="M904" i="5"/>
  <c r="M890" i="5"/>
  <c r="M875" i="5"/>
  <c r="M865" i="5"/>
  <c r="M864" i="5"/>
  <c r="M861" i="5"/>
  <c r="M847" i="5"/>
  <c r="M822" i="5"/>
  <c r="M812" i="5"/>
  <c r="K9" i="4"/>
  <c r="M9" i="4" s="1"/>
  <c r="N9" i="4" s="1"/>
  <c r="H8" i="7"/>
  <c r="N982" i="5"/>
  <c r="N975" i="5"/>
  <c r="N971" i="5"/>
  <c r="N970" i="5"/>
  <c r="N968" i="5"/>
  <c r="N949" i="5"/>
  <c r="N942" i="5"/>
  <c r="N925" i="5"/>
  <c r="N907" i="5"/>
  <c r="N905" i="5"/>
  <c r="N904" i="5"/>
  <c r="N890" i="5"/>
  <c r="N875" i="5"/>
  <c r="N865" i="5"/>
  <c r="N864" i="5"/>
  <c r="N861" i="5"/>
  <c r="N847" i="5"/>
  <c r="N822" i="5"/>
  <c r="N812" i="5"/>
  <c r="I8" i="7"/>
  <c r="P982" i="5"/>
  <c r="P975" i="5"/>
  <c r="P971" i="5"/>
  <c r="P970" i="5"/>
  <c r="P968" i="5"/>
  <c r="P949" i="5"/>
  <c r="P942" i="5"/>
  <c r="P925" i="5"/>
  <c r="P907" i="5"/>
  <c r="P905" i="5"/>
  <c r="P904" i="5"/>
  <c r="P890" i="5"/>
  <c r="P875" i="5"/>
  <c r="P865" i="5"/>
  <c r="P864" i="5"/>
  <c r="P861" i="5"/>
  <c r="P847" i="5"/>
  <c r="P822" i="5"/>
  <c r="P812" i="5"/>
  <c r="L9" i="4"/>
  <c r="G9" i="7"/>
  <c r="M916" i="5"/>
  <c r="K10" i="4"/>
  <c r="M10" i="4" s="1"/>
  <c r="N10" i="4" s="1"/>
  <c r="H9" i="7"/>
  <c r="N916" i="5"/>
  <c r="I9" i="7"/>
  <c r="P916" i="5"/>
  <c r="L10" i="4"/>
  <c r="G10" i="7"/>
  <c r="M167" i="5"/>
  <c r="K11" i="4"/>
  <c r="M11" i="4" s="1"/>
  <c r="N11" i="4" s="1"/>
  <c r="H10" i="7"/>
  <c r="N167" i="5"/>
  <c r="I10" i="7"/>
  <c r="P167" i="5"/>
  <c r="L11" i="4"/>
  <c r="G11" i="7"/>
  <c r="M987" i="5"/>
  <c r="M986" i="5"/>
  <c r="M828" i="5"/>
  <c r="M825" i="5"/>
  <c r="M657" i="5"/>
  <c r="M653" i="5"/>
  <c r="M649" i="5"/>
  <c r="M648" i="5"/>
  <c r="M645" i="5"/>
  <c r="M243" i="5"/>
  <c r="M242" i="5"/>
  <c r="K12" i="4"/>
  <c r="M12" i="4" s="1"/>
  <c r="N12" i="4" s="1"/>
  <c r="H11" i="7"/>
  <c r="N987" i="5"/>
  <c r="N986" i="5"/>
  <c r="N828" i="5"/>
  <c r="N825" i="5"/>
  <c r="N657" i="5"/>
  <c r="N653" i="5"/>
  <c r="N649" i="5"/>
  <c r="N648" i="5"/>
  <c r="N645" i="5"/>
  <c r="N243" i="5"/>
  <c r="N242" i="5"/>
  <c r="I11" i="7"/>
  <c r="P987" i="5"/>
  <c r="P986" i="5"/>
  <c r="P828" i="5"/>
  <c r="P825" i="5"/>
  <c r="P657" i="5"/>
  <c r="P653" i="5"/>
  <c r="P649" i="5"/>
  <c r="P648" i="5"/>
  <c r="P645" i="5"/>
  <c r="P243" i="5"/>
  <c r="P242" i="5"/>
  <c r="L12" i="4"/>
  <c r="G12" i="7"/>
  <c r="M878" i="5"/>
  <c r="M698" i="5"/>
  <c r="M661" i="5"/>
  <c r="M180" i="5"/>
  <c r="M15" i="5"/>
  <c r="K13" i="4"/>
  <c r="M13" i="4" s="1"/>
  <c r="N13" i="4" s="1"/>
  <c r="H12" i="7"/>
  <c r="N878" i="5"/>
  <c r="N698" i="5"/>
  <c r="N661" i="5"/>
  <c r="N180" i="5"/>
  <c r="N15" i="5"/>
  <c r="I12" i="7"/>
  <c r="P878" i="5"/>
  <c r="P698" i="5"/>
  <c r="P661" i="5"/>
  <c r="P180" i="5"/>
  <c r="P15" i="5"/>
  <c r="L13" i="4"/>
  <c r="G13" i="7"/>
  <c r="M889" i="5"/>
  <c r="M567" i="5"/>
  <c r="M562" i="5"/>
  <c r="M551" i="5"/>
  <c r="M424" i="5"/>
  <c r="M408" i="5"/>
  <c r="M342" i="5"/>
  <c r="M289" i="5"/>
  <c r="M284" i="5"/>
  <c r="M278" i="5"/>
  <c r="M274" i="5"/>
  <c r="M110" i="5"/>
  <c r="K14" i="4"/>
  <c r="M14" i="4" s="1"/>
  <c r="N14" i="4" s="1"/>
  <c r="H13" i="7"/>
  <c r="N889" i="5"/>
  <c r="N567" i="5"/>
  <c r="N562" i="5"/>
  <c r="N551" i="5"/>
  <c r="N424" i="5"/>
  <c r="N408" i="5"/>
  <c r="N342" i="5"/>
  <c r="N289" i="5"/>
  <c r="N284" i="5"/>
  <c r="N278" i="5"/>
  <c r="N274" i="5"/>
  <c r="N110" i="5"/>
  <c r="I13" i="7"/>
  <c r="P889" i="5"/>
  <c r="P567" i="5"/>
  <c r="P562" i="5"/>
  <c r="P551" i="5"/>
  <c r="P424" i="5"/>
  <c r="P408" i="5"/>
  <c r="P342" i="5"/>
  <c r="P289" i="5"/>
  <c r="P284" i="5"/>
  <c r="P278" i="5"/>
  <c r="P274" i="5"/>
  <c r="P110" i="5"/>
  <c r="L14" i="4"/>
  <c r="G14" i="7"/>
  <c r="M811" i="5"/>
  <c r="K15" i="4"/>
  <c r="M15" i="4" s="1"/>
  <c r="N15" i="4" s="1"/>
  <c r="H14" i="7"/>
  <c r="N811" i="5"/>
  <c r="I14" i="7"/>
  <c r="P811" i="5"/>
  <c r="L15" i="4"/>
  <c r="G15" i="7"/>
  <c r="M1012" i="5"/>
  <c r="M1011" i="5"/>
  <c r="M985" i="5"/>
  <c r="M976" i="5"/>
  <c r="M830" i="5"/>
  <c r="M810" i="5"/>
  <c r="M809" i="5"/>
  <c r="M808" i="5"/>
  <c r="M807" i="5"/>
  <c r="M806" i="5"/>
  <c r="M804" i="5"/>
  <c r="M638" i="5"/>
  <c r="M477" i="5"/>
  <c r="M461" i="5"/>
  <c r="M458" i="5"/>
  <c r="M229" i="5"/>
  <c r="M228" i="5"/>
  <c r="K16" i="4"/>
  <c r="M16" i="4" s="1"/>
  <c r="N16" i="4" s="1"/>
  <c r="H15" i="7"/>
  <c r="N1012" i="5"/>
  <c r="N1011" i="5"/>
  <c r="N985" i="5"/>
  <c r="N976" i="5"/>
  <c r="N830" i="5"/>
  <c r="N810" i="5"/>
  <c r="N809" i="5"/>
  <c r="N808" i="5"/>
  <c r="N807" i="5"/>
  <c r="N806" i="5"/>
  <c r="N804" i="5"/>
  <c r="N638" i="5"/>
  <c r="N477" i="5"/>
  <c r="N461" i="5"/>
  <c r="N458" i="5"/>
  <c r="N229" i="5"/>
  <c r="N228" i="5"/>
  <c r="I15" i="7"/>
  <c r="P1012" i="5"/>
  <c r="P1011" i="5"/>
  <c r="P985" i="5"/>
  <c r="P976" i="5"/>
  <c r="P830" i="5"/>
  <c r="P810" i="5"/>
  <c r="P809" i="5"/>
  <c r="P808" i="5"/>
  <c r="P807" i="5"/>
  <c r="P806" i="5"/>
  <c r="P804" i="5"/>
  <c r="P638" i="5"/>
  <c r="P477" i="5"/>
  <c r="P461" i="5"/>
  <c r="P458" i="5"/>
  <c r="P229" i="5"/>
  <c r="P228" i="5"/>
  <c r="L16" i="4"/>
  <c r="G16" i="7"/>
  <c r="M1003" i="5"/>
  <c r="M639" i="5"/>
  <c r="M478" i="5"/>
  <c r="M460" i="5"/>
  <c r="M227" i="5"/>
  <c r="M226" i="5"/>
  <c r="K17" i="4"/>
  <c r="M17" i="4" s="1"/>
  <c r="H16" i="7"/>
  <c r="N1003" i="5"/>
  <c r="N639" i="5"/>
  <c r="N478" i="5"/>
  <c r="N460" i="5"/>
  <c r="N227" i="5"/>
  <c r="N226" i="5"/>
  <c r="G17" i="7"/>
  <c r="M1000" i="5"/>
  <c r="M841" i="5"/>
  <c r="M703" i="5"/>
  <c r="M641" i="5"/>
  <c r="M640" i="5"/>
  <c r="M605" i="5"/>
  <c r="K18" i="4"/>
  <c r="M18" i="4" s="1"/>
  <c r="N18" i="4" s="1"/>
  <c r="H17" i="7"/>
  <c r="N1000" i="5"/>
  <c r="N841" i="5"/>
  <c r="N703" i="5"/>
  <c r="N641" i="5"/>
  <c r="N640" i="5"/>
  <c r="N605" i="5"/>
  <c r="I17" i="7"/>
  <c r="P1000" i="5"/>
  <c r="P841" i="5"/>
  <c r="P703" i="5"/>
  <c r="P641" i="5"/>
  <c r="P640" i="5"/>
  <c r="P605" i="5"/>
  <c r="L18" i="4"/>
  <c r="G18" i="7"/>
  <c r="M442" i="5"/>
  <c r="K19" i="4"/>
  <c r="M19" i="4" s="1"/>
  <c r="N19" i="4" s="1"/>
  <c r="H18" i="7"/>
  <c r="N442" i="5"/>
  <c r="I18" i="7"/>
  <c r="P442" i="5"/>
  <c r="L19" i="4"/>
  <c r="G19" i="7"/>
  <c r="M1009" i="5"/>
  <c r="M1008" i="5"/>
  <c r="M984" i="5"/>
  <c r="M983" i="5"/>
  <c r="M826" i="5"/>
  <c r="M824" i="5"/>
  <c r="M818" i="5"/>
  <c r="M816" i="5"/>
  <c r="M656" i="5"/>
  <c r="M655" i="5"/>
  <c r="M651" i="5"/>
  <c r="M647" i="5"/>
  <c r="M644" i="5"/>
  <c r="M643" i="5"/>
  <c r="M476" i="5"/>
  <c r="M472" i="5"/>
  <c r="M467" i="5"/>
  <c r="M463" i="5"/>
  <c r="M249" i="5"/>
  <c r="M248" i="5"/>
  <c r="M246" i="5"/>
  <c r="M238" i="5"/>
  <c r="K20" i="4"/>
  <c r="M20" i="4" s="1"/>
  <c r="N20" i="4" s="1"/>
  <c r="H19" i="7"/>
  <c r="N1009" i="5"/>
  <c r="N1008" i="5"/>
  <c r="N984" i="5"/>
  <c r="N983" i="5"/>
  <c r="N826" i="5"/>
  <c r="N824" i="5"/>
  <c r="N818" i="5"/>
  <c r="N816" i="5"/>
  <c r="N656" i="5"/>
  <c r="N655" i="5"/>
  <c r="N651" i="5"/>
  <c r="N647" i="5"/>
  <c r="N644" i="5"/>
  <c r="N643" i="5"/>
  <c r="N476" i="5"/>
  <c r="N472" i="5"/>
  <c r="N467" i="5"/>
  <c r="N463" i="5"/>
  <c r="N249" i="5"/>
  <c r="N248" i="5"/>
  <c r="N246" i="5"/>
  <c r="N238" i="5"/>
  <c r="I19" i="7"/>
  <c r="P1009" i="5"/>
  <c r="P1008" i="5"/>
  <c r="P984" i="5"/>
  <c r="P983" i="5"/>
  <c r="P826" i="5"/>
  <c r="P824" i="5"/>
  <c r="P818" i="5"/>
  <c r="P816" i="5"/>
  <c r="P656" i="5"/>
  <c r="P655" i="5"/>
  <c r="P651" i="5"/>
  <c r="P647" i="5"/>
  <c r="P644" i="5"/>
  <c r="P643" i="5"/>
  <c r="P476" i="5"/>
  <c r="P472" i="5"/>
  <c r="P467" i="5"/>
  <c r="P463" i="5"/>
  <c r="P249" i="5"/>
  <c r="P248" i="5"/>
  <c r="P246" i="5"/>
  <c r="P238" i="5"/>
  <c r="L20" i="4"/>
  <c r="G20" i="7"/>
  <c r="M881" i="5"/>
  <c r="K21" i="4"/>
  <c r="M21" i="4" s="1"/>
  <c r="N21" i="4" s="1"/>
  <c r="H20" i="7"/>
  <c r="N881" i="5"/>
  <c r="I20" i="7"/>
  <c r="P881" i="5"/>
  <c r="L21" i="4"/>
  <c r="G21" i="7"/>
  <c r="M1101" i="5"/>
  <c r="M1100" i="5"/>
  <c r="M1099" i="5"/>
  <c r="M1098" i="5"/>
  <c r="M1096" i="5"/>
  <c r="M1095" i="5"/>
  <c r="M1094" i="5"/>
  <c r="M1093" i="5"/>
  <c r="M1092" i="5"/>
  <c r="M1045" i="5"/>
  <c r="M1032" i="5"/>
  <c r="M1031" i="5"/>
  <c r="M969" i="5"/>
  <c r="M962" i="5"/>
  <c r="M960" i="5"/>
  <c r="M959" i="5"/>
  <c r="M956" i="5"/>
  <c r="M955" i="5"/>
  <c r="M950" i="5"/>
  <c r="M947" i="5"/>
  <c r="M943" i="5"/>
  <c r="M941" i="5"/>
  <c r="M936" i="5"/>
  <c r="M935" i="5"/>
  <c r="M934" i="5"/>
  <c r="M933" i="5"/>
  <c r="M929" i="5"/>
  <c r="M923" i="5"/>
  <c r="M922" i="5"/>
  <c r="M921" i="5"/>
  <c r="M915" i="5"/>
  <c r="M914" i="5"/>
  <c r="M913" i="5"/>
  <c r="M912" i="5"/>
  <c r="M879" i="5"/>
  <c r="M871" i="5"/>
  <c r="M860" i="5"/>
  <c r="M859" i="5"/>
  <c r="M852" i="5"/>
  <c r="M851" i="5"/>
  <c r="M850" i="5"/>
  <c r="M849" i="5"/>
  <c r="M844" i="5"/>
  <c r="M843" i="5"/>
  <c r="M842" i="5"/>
  <c r="M836" i="5"/>
  <c r="M835" i="5"/>
  <c r="M834" i="5"/>
  <c r="M833" i="5"/>
  <c r="M788" i="5"/>
  <c r="M784" i="5"/>
  <c r="M783" i="5"/>
  <c r="M782" i="5"/>
  <c r="M780" i="5"/>
  <c r="M779" i="5"/>
  <c r="M777" i="5"/>
  <c r="M776" i="5"/>
  <c r="M749" i="5"/>
  <c r="M748" i="5"/>
  <c r="M745" i="5"/>
  <c r="M744" i="5"/>
  <c r="M743" i="5"/>
  <c r="M738" i="5"/>
  <c r="M737" i="5"/>
  <c r="M736" i="5"/>
  <c r="M734" i="5"/>
  <c r="M733" i="5"/>
  <c r="M732" i="5"/>
  <c r="M729" i="5"/>
  <c r="M728" i="5"/>
  <c r="M727" i="5"/>
  <c r="M726" i="5"/>
  <c r="M725" i="5"/>
  <c r="M724" i="5"/>
  <c r="M723" i="5"/>
  <c r="M722" i="5"/>
  <c r="M701" i="5"/>
  <c r="M697" i="5"/>
  <c r="M689" i="5"/>
  <c r="M688" i="5"/>
  <c r="M685" i="5"/>
  <c r="M684" i="5"/>
  <c r="M683" i="5"/>
  <c r="M680" i="5"/>
  <c r="M670" i="5"/>
  <c r="M669" i="5"/>
  <c r="M668" i="5"/>
  <c r="M667" i="5"/>
  <c r="M664" i="5"/>
  <c r="M663" i="5"/>
  <c r="M633" i="5"/>
  <c r="M632" i="5"/>
  <c r="M627" i="5"/>
  <c r="M620" i="5"/>
  <c r="M618" i="5"/>
  <c r="M617" i="5"/>
  <c r="M615" i="5"/>
  <c r="M614" i="5"/>
  <c r="M596" i="5"/>
  <c r="M595" i="5"/>
  <c r="M590" i="5"/>
  <c r="M589" i="5"/>
  <c r="M587" i="5"/>
  <c r="M518" i="5"/>
  <c r="M517" i="5"/>
  <c r="M515" i="5"/>
  <c r="M514" i="5"/>
  <c r="M513" i="5"/>
  <c r="M511" i="5"/>
  <c r="M501" i="5"/>
  <c r="M499" i="5"/>
  <c r="M498" i="5"/>
  <c r="M497" i="5"/>
  <c r="M496" i="5"/>
  <c r="M495" i="5"/>
  <c r="M493" i="5"/>
  <c r="M491" i="5"/>
  <c r="M488" i="5"/>
  <c r="M486" i="5"/>
  <c r="M455" i="5"/>
  <c r="M452" i="5"/>
  <c r="M450" i="5"/>
  <c r="M447" i="5"/>
  <c r="M446" i="5"/>
  <c r="M432" i="5"/>
  <c r="M431" i="5"/>
  <c r="M429" i="5"/>
  <c r="M428" i="5"/>
  <c r="M425" i="5"/>
  <c r="M413" i="5"/>
  <c r="M409" i="5"/>
  <c r="M406" i="5"/>
  <c r="M404" i="5"/>
  <c r="M403" i="5"/>
  <c r="M401" i="5"/>
  <c r="M399" i="5"/>
  <c r="M383" i="5"/>
  <c r="M381" i="5"/>
  <c r="M372" i="5"/>
  <c r="M369" i="5"/>
  <c r="M364" i="5"/>
  <c r="M358" i="5"/>
  <c r="M355" i="5"/>
  <c r="M350" i="5"/>
  <c r="M348" i="5"/>
  <c r="M345" i="5"/>
  <c r="M312" i="5"/>
  <c r="M311" i="5"/>
  <c r="M310" i="5"/>
  <c r="M303" i="5"/>
  <c r="M302" i="5"/>
  <c r="M300" i="5"/>
  <c r="M298" i="5"/>
  <c r="M297" i="5"/>
  <c r="M296" i="5"/>
  <c r="M209" i="5"/>
  <c r="M135" i="5"/>
  <c r="M129" i="5"/>
  <c r="M128" i="5"/>
  <c r="M127" i="5"/>
  <c r="M125" i="5"/>
  <c r="M124" i="5"/>
  <c r="M121" i="5"/>
  <c r="M119" i="5"/>
  <c r="M117" i="5"/>
  <c r="M116" i="5"/>
  <c r="M115" i="5"/>
  <c r="M108" i="5"/>
  <c r="M106" i="5"/>
  <c r="M99" i="5"/>
  <c r="M97" i="5"/>
  <c r="M95" i="5"/>
  <c r="M94" i="5"/>
  <c r="M92" i="5"/>
  <c r="M88" i="5"/>
  <c r="M87" i="5"/>
  <c r="M72" i="5"/>
  <c r="M70" i="5"/>
  <c r="M68" i="5"/>
  <c r="M65" i="5"/>
  <c r="M63" i="5"/>
  <c r="M62" i="5"/>
  <c r="M60" i="5"/>
  <c r="M53" i="5"/>
  <c r="M52" i="5"/>
  <c r="M42" i="5"/>
  <c r="M41" i="5"/>
  <c r="M38" i="5"/>
  <c r="M37" i="5"/>
  <c r="M34" i="5"/>
  <c r="M29" i="5"/>
  <c r="M9" i="5"/>
  <c r="M8" i="5"/>
  <c r="K22" i="4"/>
  <c r="M22" i="4" s="1"/>
  <c r="N22" i="4" s="1"/>
  <c r="H21" i="7"/>
  <c r="N1101" i="5"/>
  <c r="N1100" i="5"/>
  <c r="N1099" i="5"/>
  <c r="N1098" i="5"/>
  <c r="N1096" i="5"/>
  <c r="N1095" i="5"/>
  <c r="N1094" i="5"/>
  <c r="N1093" i="5"/>
  <c r="N1092" i="5"/>
  <c r="N1045" i="5"/>
  <c r="N1032" i="5"/>
  <c r="N1031" i="5"/>
  <c r="N969" i="5"/>
  <c r="N962" i="5"/>
  <c r="N960" i="5"/>
  <c r="N959" i="5"/>
  <c r="N956" i="5"/>
  <c r="N955" i="5"/>
  <c r="N950" i="5"/>
  <c r="N947" i="5"/>
  <c r="N943" i="5"/>
  <c r="N941" i="5"/>
  <c r="N936" i="5"/>
  <c r="N935" i="5"/>
  <c r="N934" i="5"/>
  <c r="N933" i="5"/>
  <c r="N929" i="5"/>
  <c r="N923" i="5"/>
  <c r="N922" i="5"/>
  <c r="N921" i="5"/>
  <c r="N915" i="5"/>
  <c r="N914" i="5"/>
  <c r="N913" i="5"/>
  <c r="N912" i="5"/>
  <c r="N879" i="5"/>
  <c r="N871" i="5"/>
  <c r="N860" i="5"/>
  <c r="N859" i="5"/>
  <c r="N852" i="5"/>
  <c r="N851" i="5"/>
  <c r="N850" i="5"/>
  <c r="N849" i="5"/>
  <c r="N844" i="5"/>
  <c r="N843" i="5"/>
  <c r="N842" i="5"/>
  <c r="N836" i="5"/>
  <c r="N835" i="5"/>
  <c r="N834" i="5"/>
  <c r="N833" i="5"/>
  <c r="N788" i="5"/>
  <c r="N784" i="5"/>
  <c r="N783" i="5"/>
  <c r="N782" i="5"/>
  <c r="N780" i="5"/>
  <c r="N779" i="5"/>
  <c r="N777" i="5"/>
  <c r="N776" i="5"/>
  <c r="N749" i="5"/>
  <c r="N748" i="5"/>
  <c r="N745" i="5"/>
  <c r="N744" i="5"/>
  <c r="N743" i="5"/>
  <c r="N738" i="5"/>
  <c r="N737" i="5"/>
  <c r="N736" i="5"/>
  <c r="N734" i="5"/>
  <c r="N733" i="5"/>
  <c r="N732" i="5"/>
  <c r="N729" i="5"/>
  <c r="N728" i="5"/>
  <c r="N727" i="5"/>
  <c r="N726" i="5"/>
  <c r="N725" i="5"/>
  <c r="N724" i="5"/>
  <c r="N723" i="5"/>
  <c r="N722" i="5"/>
  <c r="N701" i="5"/>
  <c r="N697" i="5"/>
  <c r="N689" i="5"/>
  <c r="N688" i="5"/>
  <c r="N685" i="5"/>
  <c r="N684" i="5"/>
  <c r="N683" i="5"/>
  <c r="N680" i="5"/>
  <c r="N670" i="5"/>
  <c r="N669" i="5"/>
  <c r="N668" i="5"/>
  <c r="N667" i="5"/>
  <c r="N664" i="5"/>
  <c r="N663" i="5"/>
  <c r="N633" i="5"/>
  <c r="N632" i="5"/>
  <c r="N627" i="5"/>
  <c r="N620" i="5"/>
  <c r="N618" i="5"/>
  <c r="N617" i="5"/>
  <c r="N615" i="5"/>
  <c r="N614" i="5"/>
  <c r="N596" i="5"/>
  <c r="N595" i="5"/>
  <c r="N590" i="5"/>
  <c r="N589" i="5"/>
  <c r="N587" i="5"/>
  <c r="N518" i="5"/>
  <c r="N517" i="5"/>
  <c r="N515" i="5"/>
  <c r="N514" i="5"/>
  <c r="N513" i="5"/>
  <c r="N511" i="5"/>
  <c r="N501" i="5"/>
  <c r="N499" i="5"/>
  <c r="N498" i="5"/>
  <c r="N497" i="5"/>
  <c r="N496" i="5"/>
  <c r="N495" i="5"/>
  <c r="N493" i="5"/>
  <c r="N491" i="5"/>
  <c r="N488" i="5"/>
  <c r="N486" i="5"/>
  <c r="N455" i="5"/>
  <c r="N452" i="5"/>
  <c r="N450" i="5"/>
  <c r="N447" i="5"/>
  <c r="N446" i="5"/>
  <c r="N432" i="5"/>
  <c r="N431" i="5"/>
  <c r="N429" i="5"/>
  <c r="N428" i="5"/>
  <c r="N425" i="5"/>
  <c r="N413" i="5"/>
  <c r="N409" i="5"/>
  <c r="N406" i="5"/>
  <c r="N404" i="5"/>
  <c r="N403" i="5"/>
  <c r="N401" i="5"/>
  <c r="N399" i="5"/>
  <c r="N383" i="5"/>
  <c r="N381" i="5"/>
  <c r="N372" i="5"/>
  <c r="N369" i="5"/>
  <c r="N364" i="5"/>
  <c r="N358" i="5"/>
  <c r="N355" i="5"/>
  <c r="N350" i="5"/>
  <c r="N348" i="5"/>
  <c r="N345" i="5"/>
  <c r="N312" i="5"/>
  <c r="N311" i="5"/>
  <c r="N310" i="5"/>
  <c r="N303" i="5"/>
  <c r="N302" i="5"/>
  <c r="N300" i="5"/>
  <c r="N298" i="5"/>
  <c r="N297" i="5"/>
  <c r="N296" i="5"/>
  <c r="N209" i="5"/>
  <c r="N135" i="5"/>
  <c r="N129" i="5"/>
  <c r="N128" i="5"/>
  <c r="N127" i="5"/>
  <c r="N125" i="5"/>
  <c r="N124" i="5"/>
  <c r="N121" i="5"/>
  <c r="N119" i="5"/>
  <c r="N117" i="5"/>
  <c r="N116" i="5"/>
  <c r="N115" i="5"/>
  <c r="N108" i="5"/>
  <c r="N106" i="5"/>
  <c r="N99" i="5"/>
  <c r="N97" i="5"/>
  <c r="N95" i="5"/>
  <c r="N94" i="5"/>
  <c r="N92" i="5"/>
  <c r="N88" i="5"/>
  <c r="N87" i="5"/>
  <c r="N72" i="5"/>
  <c r="N70" i="5"/>
  <c r="N68" i="5"/>
  <c r="N65" i="5"/>
  <c r="N63" i="5"/>
  <c r="N62" i="5"/>
  <c r="N60" i="5"/>
  <c r="N53" i="5"/>
  <c r="N52" i="5"/>
  <c r="N42" i="5"/>
  <c r="N41" i="5"/>
  <c r="N38" i="5"/>
  <c r="N37" i="5"/>
  <c r="N34" i="5"/>
  <c r="N29" i="5"/>
  <c r="N9" i="5"/>
  <c r="N8" i="5"/>
  <c r="I21" i="7"/>
  <c r="P1101" i="5"/>
  <c r="P1100" i="5"/>
  <c r="P1099" i="5"/>
  <c r="P1098" i="5"/>
  <c r="P1096" i="5"/>
  <c r="P1095" i="5"/>
  <c r="P1094" i="5"/>
  <c r="P1093" i="5"/>
  <c r="P1092" i="5"/>
  <c r="P1045" i="5"/>
  <c r="P1032" i="5"/>
  <c r="P1031" i="5"/>
  <c r="P969" i="5"/>
  <c r="P962" i="5"/>
  <c r="P960" i="5"/>
  <c r="P959" i="5"/>
  <c r="P956" i="5"/>
  <c r="P955" i="5"/>
  <c r="P950" i="5"/>
  <c r="P947" i="5"/>
  <c r="P943" i="5"/>
  <c r="P941" i="5"/>
  <c r="P936" i="5"/>
  <c r="P935" i="5"/>
  <c r="P934" i="5"/>
  <c r="P933" i="5"/>
  <c r="P929" i="5"/>
  <c r="P923" i="5"/>
  <c r="P922" i="5"/>
  <c r="P921" i="5"/>
  <c r="P915" i="5"/>
  <c r="P914" i="5"/>
  <c r="P913" i="5"/>
  <c r="P912" i="5"/>
  <c r="P879" i="5"/>
  <c r="P871" i="5"/>
  <c r="P860" i="5"/>
  <c r="P859" i="5"/>
  <c r="P852" i="5"/>
  <c r="P851" i="5"/>
  <c r="P850" i="5"/>
  <c r="P849" i="5"/>
  <c r="P844" i="5"/>
  <c r="P843" i="5"/>
  <c r="P842" i="5"/>
  <c r="P836" i="5"/>
  <c r="P835" i="5"/>
  <c r="P834" i="5"/>
  <c r="P833" i="5"/>
  <c r="P788" i="5"/>
  <c r="P784" i="5"/>
  <c r="P783" i="5"/>
  <c r="P782" i="5"/>
  <c r="P780" i="5"/>
  <c r="P779" i="5"/>
  <c r="P777" i="5"/>
  <c r="P776" i="5"/>
  <c r="P749" i="5"/>
  <c r="P748" i="5"/>
  <c r="P745" i="5"/>
  <c r="P744" i="5"/>
  <c r="P743" i="5"/>
  <c r="P738" i="5"/>
  <c r="P737" i="5"/>
  <c r="P736" i="5"/>
  <c r="P734" i="5"/>
  <c r="P733" i="5"/>
  <c r="P732" i="5"/>
  <c r="P729" i="5"/>
  <c r="P728" i="5"/>
  <c r="P727" i="5"/>
  <c r="P726" i="5"/>
  <c r="P725" i="5"/>
  <c r="P724" i="5"/>
  <c r="P723" i="5"/>
  <c r="P722" i="5"/>
  <c r="P701" i="5"/>
  <c r="P697" i="5"/>
  <c r="P689" i="5"/>
  <c r="P688" i="5"/>
  <c r="P685" i="5"/>
  <c r="P684" i="5"/>
  <c r="P683" i="5"/>
  <c r="P680" i="5"/>
  <c r="P670" i="5"/>
  <c r="P669" i="5"/>
  <c r="P668" i="5"/>
  <c r="P667" i="5"/>
  <c r="P664" i="5"/>
  <c r="P663" i="5"/>
  <c r="P633" i="5"/>
  <c r="P632" i="5"/>
  <c r="P627" i="5"/>
  <c r="P620" i="5"/>
  <c r="P618" i="5"/>
  <c r="P617" i="5"/>
  <c r="P615" i="5"/>
  <c r="P614" i="5"/>
  <c r="P596" i="5"/>
  <c r="P595" i="5"/>
  <c r="P590" i="5"/>
  <c r="P589" i="5"/>
  <c r="P587" i="5"/>
  <c r="P518" i="5"/>
  <c r="P517" i="5"/>
  <c r="P515" i="5"/>
  <c r="P514" i="5"/>
  <c r="P513" i="5"/>
  <c r="P511" i="5"/>
  <c r="P501" i="5"/>
  <c r="P499" i="5"/>
  <c r="P498" i="5"/>
  <c r="P497" i="5"/>
  <c r="P496" i="5"/>
  <c r="P495" i="5"/>
  <c r="P493" i="5"/>
  <c r="P491" i="5"/>
  <c r="P488" i="5"/>
  <c r="P486" i="5"/>
  <c r="P455" i="5"/>
  <c r="P452" i="5"/>
  <c r="P450" i="5"/>
  <c r="P447" i="5"/>
  <c r="P446" i="5"/>
  <c r="P432" i="5"/>
  <c r="P431" i="5"/>
  <c r="P429" i="5"/>
  <c r="P428" i="5"/>
  <c r="P425" i="5"/>
  <c r="P413" i="5"/>
  <c r="P409" i="5"/>
  <c r="P406" i="5"/>
  <c r="P404" i="5"/>
  <c r="P403" i="5"/>
  <c r="P401" i="5"/>
  <c r="P399" i="5"/>
  <c r="P383" i="5"/>
  <c r="P381" i="5"/>
  <c r="P372" i="5"/>
  <c r="P369" i="5"/>
  <c r="P364" i="5"/>
  <c r="P358" i="5"/>
  <c r="P355" i="5"/>
  <c r="P350" i="5"/>
  <c r="P348" i="5"/>
  <c r="P345" i="5"/>
  <c r="P312" i="5"/>
  <c r="P311" i="5"/>
  <c r="P310" i="5"/>
  <c r="P303" i="5"/>
  <c r="P302" i="5"/>
  <c r="P300" i="5"/>
  <c r="P298" i="5"/>
  <c r="P297" i="5"/>
  <c r="P296" i="5"/>
  <c r="P209" i="5"/>
  <c r="P135" i="5"/>
  <c r="P129" i="5"/>
  <c r="P128" i="5"/>
  <c r="P127" i="5"/>
  <c r="P125" i="5"/>
  <c r="P124" i="5"/>
  <c r="P121" i="5"/>
  <c r="P119" i="5"/>
  <c r="P117" i="5"/>
  <c r="P116" i="5"/>
  <c r="P115" i="5"/>
  <c r="P108" i="5"/>
  <c r="P106" i="5"/>
  <c r="P99" i="5"/>
  <c r="P97" i="5"/>
  <c r="P95" i="5"/>
  <c r="P94" i="5"/>
  <c r="P92" i="5"/>
  <c r="P88" i="5"/>
  <c r="P87" i="5"/>
  <c r="P72" i="5"/>
  <c r="P70" i="5"/>
  <c r="P68" i="5"/>
  <c r="P65" i="5"/>
  <c r="P63" i="5"/>
  <c r="P62" i="5"/>
  <c r="P60" i="5"/>
  <c r="P53" i="5"/>
  <c r="P52" i="5"/>
  <c r="P42" i="5"/>
  <c r="P41" i="5"/>
  <c r="P38" i="5"/>
  <c r="P37" i="5"/>
  <c r="P34" i="5"/>
  <c r="P29" i="5"/>
  <c r="P9" i="5"/>
  <c r="P8" i="5"/>
  <c r="L22" i="4"/>
  <c r="G22" i="7"/>
  <c r="M897" i="5"/>
  <c r="M838" i="5"/>
  <c r="M739" i="5"/>
  <c r="M566" i="5"/>
  <c r="M470" i="5"/>
  <c r="M5" i="5"/>
  <c r="K23" i="4"/>
  <c r="M23" i="4" s="1"/>
  <c r="N23" i="4" s="1"/>
  <c r="H22" i="7"/>
  <c r="N897" i="5"/>
  <c r="N838" i="5"/>
  <c r="N739" i="5"/>
  <c r="N566" i="5"/>
  <c r="N470" i="5"/>
  <c r="N5" i="5"/>
  <c r="I22" i="7"/>
  <c r="P897" i="5"/>
  <c r="P838" i="5"/>
  <c r="P739" i="5"/>
  <c r="P566" i="5"/>
  <c r="P470" i="5"/>
  <c r="P5" i="5"/>
  <c r="L23" i="4"/>
  <c r="G23" i="7"/>
  <c r="M974" i="5"/>
  <c r="M966" i="5"/>
  <c r="M965" i="5"/>
  <c r="M961" i="5"/>
  <c r="M948" i="5"/>
  <c r="M939" i="5"/>
  <c r="M932" i="5"/>
  <c r="M931" i="5"/>
  <c r="M928" i="5"/>
  <c r="M906" i="5"/>
  <c r="M900" i="5"/>
  <c r="M884" i="5"/>
  <c r="M883" i="5"/>
  <c r="M870" i="5"/>
  <c r="M867" i="5"/>
  <c r="M858" i="5"/>
  <c r="M856" i="5"/>
  <c r="M855" i="5"/>
  <c r="M823" i="5"/>
  <c r="M109" i="5"/>
  <c r="K24" i="4"/>
  <c r="M24" i="4" s="1"/>
  <c r="N24" i="4" s="1"/>
  <c r="H23" i="7"/>
  <c r="N974" i="5"/>
  <c r="N966" i="5"/>
  <c r="N965" i="5"/>
  <c r="N961" i="5"/>
  <c r="N948" i="5"/>
  <c r="N939" i="5"/>
  <c r="N932" i="5"/>
  <c r="N931" i="5"/>
  <c r="N928" i="5"/>
  <c r="N906" i="5"/>
  <c r="N900" i="5"/>
  <c r="N884" i="5"/>
  <c r="N883" i="5"/>
  <c r="N870" i="5"/>
  <c r="N867" i="5"/>
  <c r="N858" i="5"/>
  <c r="N856" i="5"/>
  <c r="N855" i="5"/>
  <c r="N823" i="5"/>
  <c r="N109" i="5"/>
  <c r="I23" i="7"/>
  <c r="P974" i="5"/>
  <c r="P966" i="5"/>
  <c r="P965" i="5"/>
  <c r="P961" i="5"/>
  <c r="P948" i="5"/>
  <c r="P939" i="5"/>
  <c r="P932" i="5"/>
  <c r="P931" i="5"/>
  <c r="P928" i="5"/>
  <c r="P906" i="5"/>
  <c r="P900" i="5"/>
  <c r="P884" i="5"/>
  <c r="P883" i="5"/>
  <c r="P870" i="5"/>
  <c r="P867" i="5"/>
  <c r="P858" i="5"/>
  <c r="P856" i="5"/>
  <c r="P855" i="5"/>
  <c r="P823" i="5"/>
  <c r="P109" i="5"/>
  <c r="L24" i="4"/>
  <c r="G24" i="7"/>
  <c r="M151" i="5"/>
  <c r="K25" i="4"/>
  <c r="M25" i="4" s="1"/>
  <c r="N25" i="4" s="1"/>
  <c r="H24" i="7"/>
  <c r="N151" i="5"/>
  <c r="I24" i="7"/>
  <c r="P151" i="5"/>
  <c r="L25" i="4"/>
  <c r="G25" i="7"/>
  <c r="M919" i="5"/>
  <c r="M853" i="5"/>
  <c r="M773" i="5"/>
  <c r="M721" i="5"/>
  <c r="M527" i="5"/>
  <c r="M516" i="5"/>
  <c r="M512" i="5"/>
  <c r="M500" i="5"/>
  <c r="M494" i="5"/>
  <c r="M490" i="5"/>
  <c r="M453" i="5"/>
  <c r="M449" i="5"/>
  <c r="M439" i="5"/>
  <c r="M430" i="5"/>
  <c r="M422" i="5"/>
  <c r="M419" i="5"/>
  <c r="M412" i="5"/>
  <c r="M402" i="5"/>
  <c r="M398" i="5"/>
  <c r="M357" i="5"/>
  <c r="M356" i="5"/>
  <c r="M347" i="5"/>
  <c r="M256" i="5"/>
  <c r="M61" i="5"/>
  <c r="M48" i="5"/>
  <c r="M32" i="5"/>
  <c r="K26" i="4"/>
  <c r="M26" i="4" s="1"/>
  <c r="N26" i="4" s="1"/>
  <c r="H25" i="7"/>
  <c r="N919" i="5"/>
  <c r="N853" i="5"/>
  <c r="N773" i="5"/>
  <c r="N721" i="5"/>
  <c r="N527" i="5"/>
  <c r="N516" i="5"/>
  <c r="N512" i="5"/>
  <c r="N500" i="5"/>
  <c r="N494" i="5"/>
  <c r="N490" i="5"/>
  <c r="N453" i="5"/>
  <c r="N449" i="5"/>
  <c r="N439" i="5"/>
  <c r="N430" i="5"/>
  <c r="N422" i="5"/>
  <c r="N419" i="5"/>
  <c r="N412" i="5"/>
  <c r="N402" i="5"/>
  <c r="N398" i="5"/>
  <c r="N357" i="5"/>
  <c r="N356" i="5"/>
  <c r="N347" i="5"/>
  <c r="N256" i="5"/>
  <c r="N61" i="5"/>
  <c r="N48" i="5"/>
  <c r="N32" i="5"/>
  <c r="I25" i="7"/>
  <c r="P919" i="5"/>
  <c r="P853" i="5"/>
  <c r="P773" i="5"/>
  <c r="P721" i="5"/>
  <c r="P527" i="5"/>
  <c r="P516" i="5"/>
  <c r="P512" i="5"/>
  <c r="P500" i="5"/>
  <c r="P494" i="5"/>
  <c r="P490" i="5"/>
  <c r="P453" i="5"/>
  <c r="P449" i="5"/>
  <c r="P439" i="5"/>
  <c r="P430" i="5"/>
  <c r="P422" i="5"/>
  <c r="P419" i="5"/>
  <c r="P412" i="5"/>
  <c r="P402" i="5"/>
  <c r="P398" i="5"/>
  <c r="P357" i="5"/>
  <c r="P356" i="5"/>
  <c r="P347" i="5"/>
  <c r="P256" i="5"/>
  <c r="P61" i="5"/>
  <c r="P48" i="5"/>
  <c r="P32" i="5"/>
  <c r="L26" i="4"/>
  <c r="G26" i="7"/>
  <c r="M1080" i="5"/>
  <c r="M926" i="5"/>
  <c r="M607" i="5"/>
  <c r="M598" i="5"/>
  <c r="M564" i="5"/>
  <c r="M392" i="5"/>
  <c r="M283" i="5"/>
  <c r="M155" i="5"/>
  <c r="K27" i="4"/>
  <c r="M27" i="4" s="1"/>
  <c r="N27" i="4" s="1"/>
  <c r="H26" i="7"/>
  <c r="N1080" i="5"/>
  <c r="N926" i="5"/>
  <c r="N607" i="5"/>
  <c r="N598" i="5"/>
  <c r="N564" i="5"/>
  <c r="N392" i="5"/>
  <c r="N283" i="5"/>
  <c r="N155" i="5"/>
  <c r="I26" i="7"/>
  <c r="P1080" i="5"/>
  <c r="P926" i="5"/>
  <c r="P607" i="5"/>
  <c r="P598" i="5"/>
  <c r="P564" i="5"/>
  <c r="P392" i="5"/>
  <c r="P283" i="5"/>
  <c r="P155" i="5"/>
  <c r="L27" i="4"/>
  <c r="G27" i="7"/>
  <c r="M1053" i="5"/>
  <c r="M1052" i="5"/>
  <c r="M1051" i="5"/>
  <c r="M1043" i="5"/>
  <c r="M877" i="5"/>
  <c r="M873" i="5"/>
  <c r="M741" i="5"/>
  <c r="M740" i="5"/>
  <c r="M575" i="5"/>
  <c r="M542" i="5"/>
  <c r="M539" i="5"/>
  <c r="M536" i="5"/>
  <c r="M396" i="5"/>
  <c r="M361" i="5"/>
  <c r="M199" i="5"/>
  <c r="M198" i="5"/>
  <c r="K28" i="4"/>
  <c r="M28" i="4" s="1"/>
  <c r="N28" i="4" s="1"/>
  <c r="H27" i="7"/>
  <c r="N1053" i="5"/>
  <c r="N1052" i="5"/>
  <c r="N1051" i="5"/>
  <c r="N1043" i="5"/>
  <c r="N877" i="5"/>
  <c r="N873" i="5"/>
  <c r="N741" i="5"/>
  <c r="N740" i="5"/>
  <c r="N575" i="5"/>
  <c r="N542" i="5"/>
  <c r="N539" i="5"/>
  <c r="N536" i="5"/>
  <c r="N396" i="5"/>
  <c r="N361" i="5"/>
  <c r="N199" i="5"/>
  <c r="N198" i="5"/>
  <c r="I27" i="7"/>
  <c r="P1053" i="5"/>
  <c r="P1052" i="5"/>
  <c r="P1051" i="5"/>
  <c r="P1043" i="5"/>
  <c r="P877" i="5"/>
  <c r="P873" i="5"/>
  <c r="P741" i="5"/>
  <c r="P740" i="5"/>
  <c r="P575" i="5"/>
  <c r="P542" i="5"/>
  <c r="P539" i="5"/>
  <c r="P536" i="5"/>
  <c r="P396" i="5"/>
  <c r="P361" i="5"/>
  <c r="P199" i="5"/>
  <c r="P198" i="5"/>
  <c r="L28" i="4"/>
  <c r="G28" i="7"/>
  <c r="M1035" i="5"/>
  <c r="M1033" i="5"/>
  <c r="M581" i="5"/>
  <c r="M385" i="5"/>
  <c r="K29" i="4"/>
  <c r="M29" i="4" s="1"/>
  <c r="N29" i="4" s="1"/>
  <c r="H28" i="7"/>
  <c r="N1035" i="5"/>
  <c r="N1033" i="5"/>
  <c r="N581" i="5"/>
  <c r="N385" i="5"/>
  <c r="I28" i="7"/>
  <c r="P1035" i="5"/>
  <c r="P1033" i="5"/>
  <c r="P581" i="5"/>
  <c r="P385" i="5"/>
  <c r="L29" i="4"/>
  <c r="G29" i="7"/>
  <c r="M1050" i="5"/>
  <c r="M1049" i="5"/>
  <c r="M1046" i="5"/>
  <c r="M1044" i="5"/>
  <c r="M958" i="5"/>
  <c r="M954" i="5"/>
  <c r="M880" i="5"/>
  <c r="M682" i="5"/>
  <c r="M681" i="5"/>
  <c r="M630" i="5"/>
  <c r="M576" i="5"/>
  <c r="M570" i="5"/>
  <c r="M393" i="5"/>
  <c r="M390" i="5"/>
  <c r="M384" i="5"/>
  <c r="M382" i="5"/>
  <c r="M370" i="5"/>
  <c r="M367" i="5"/>
  <c r="M365" i="5"/>
  <c r="M329" i="5"/>
  <c r="M328" i="5"/>
  <c r="M265" i="5"/>
  <c r="M210" i="5"/>
  <c r="M207" i="5"/>
  <c r="M206" i="5"/>
  <c r="M205" i="5"/>
  <c r="M204" i="5"/>
  <c r="M203" i="5"/>
  <c r="M202" i="5"/>
  <c r="M197" i="5"/>
  <c r="M196" i="5"/>
  <c r="M195" i="5"/>
  <c r="M194" i="5"/>
  <c r="M134" i="5"/>
  <c r="M86" i="5"/>
  <c r="M67" i="5"/>
  <c r="M66" i="5"/>
  <c r="M40" i="5"/>
  <c r="K30" i="4"/>
  <c r="M30" i="4" s="1"/>
  <c r="N30" i="4" s="1"/>
  <c r="H29" i="7"/>
  <c r="N1050" i="5"/>
  <c r="N1049" i="5"/>
  <c r="N1046" i="5"/>
  <c r="N1044" i="5"/>
  <c r="N958" i="5"/>
  <c r="N954" i="5"/>
  <c r="N880" i="5"/>
  <c r="N682" i="5"/>
  <c r="N681" i="5"/>
  <c r="N630" i="5"/>
  <c r="N576" i="5"/>
  <c r="N570" i="5"/>
  <c r="N393" i="5"/>
  <c r="N390" i="5"/>
  <c r="N384" i="5"/>
  <c r="N382" i="5"/>
  <c r="N370" i="5"/>
  <c r="N367" i="5"/>
  <c r="N365" i="5"/>
  <c r="N329" i="5"/>
  <c r="N328" i="5"/>
  <c r="N265" i="5"/>
  <c r="N210" i="5"/>
  <c r="N207" i="5"/>
  <c r="N206" i="5"/>
  <c r="N205" i="5"/>
  <c r="N204" i="5"/>
  <c r="N203" i="5"/>
  <c r="N202" i="5"/>
  <c r="N197" i="5"/>
  <c r="N196" i="5"/>
  <c r="N195" i="5"/>
  <c r="N194" i="5"/>
  <c r="N134" i="5"/>
  <c r="N86" i="5"/>
  <c r="N67" i="5"/>
  <c r="N66" i="5"/>
  <c r="N40" i="5"/>
  <c r="I29" i="7"/>
  <c r="P1050" i="5"/>
  <c r="P1049" i="5"/>
  <c r="P1046" i="5"/>
  <c r="P1044" i="5"/>
  <c r="P958" i="5"/>
  <c r="P954" i="5"/>
  <c r="P880" i="5"/>
  <c r="P682" i="5"/>
  <c r="P681" i="5"/>
  <c r="P630" i="5"/>
  <c r="P576" i="5"/>
  <c r="P570" i="5"/>
  <c r="P393" i="5"/>
  <c r="P390" i="5"/>
  <c r="P384" i="5"/>
  <c r="P382" i="5"/>
  <c r="P370" i="5"/>
  <c r="P367" i="5"/>
  <c r="P365" i="5"/>
  <c r="P329" i="5"/>
  <c r="P328" i="5"/>
  <c r="P265" i="5"/>
  <c r="P210" i="5"/>
  <c r="P207" i="5"/>
  <c r="P206" i="5"/>
  <c r="P205" i="5"/>
  <c r="P204" i="5"/>
  <c r="P203" i="5"/>
  <c r="P202" i="5"/>
  <c r="P197" i="5"/>
  <c r="P196" i="5"/>
  <c r="P195" i="5"/>
  <c r="P194" i="5"/>
  <c r="P134" i="5"/>
  <c r="P86" i="5"/>
  <c r="P67" i="5"/>
  <c r="P66" i="5"/>
  <c r="P40" i="5"/>
  <c r="L30" i="4"/>
  <c r="G30" i="7"/>
  <c r="M1091" i="5"/>
  <c r="M1090" i="5"/>
  <c r="M1082" i="5"/>
  <c r="M1029" i="5"/>
  <c r="M1028" i="5"/>
  <c r="M1021" i="5"/>
  <c r="M1017" i="5"/>
  <c r="M1010" i="5"/>
  <c r="M1007" i="5"/>
  <c r="M1005" i="5"/>
  <c r="M1002" i="5"/>
  <c r="M980" i="5"/>
  <c r="M978" i="5"/>
  <c r="M977" i="5"/>
  <c r="M973" i="5"/>
  <c r="M972" i="5"/>
  <c r="M945" i="5"/>
  <c r="M944" i="5"/>
  <c r="M910" i="5"/>
  <c r="M909" i="5"/>
  <c r="M894" i="5"/>
  <c r="M893" i="5"/>
  <c r="M891" i="5"/>
  <c r="M846" i="5"/>
  <c r="M845" i="5"/>
  <c r="M829" i="5"/>
  <c r="M821" i="5"/>
  <c r="M820" i="5"/>
  <c r="M819" i="5"/>
  <c r="M815" i="5"/>
  <c r="M814" i="5"/>
  <c r="M813" i="5"/>
  <c r="M792" i="5"/>
  <c r="M791" i="5"/>
  <c r="M790" i="5"/>
  <c r="M789" i="5"/>
  <c r="M754" i="5"/>
  <c r="M753" i="5"/>
  <c r="M752" i="5"/>
  <c r="M751" i="5"/>
  <c r="M746" i="5"/>
  <c r="M731" i="5"/>
  <c r="M694" i="5"/>
  <c r="M693" i="5"/>
  <c r="M692" i="5"/>
  <c r="M691" i="5"/>
  <c r="M690" i="5"/>
  <c r="M686" i="5"/>
  <c r="M672" i="5"/>
  <c r="M658" i="5"/>
  <c r="M654" i="5"/>
  <c r="M650" i="5"/>
  <c r="M646" i="5"/>
  <c r="M631" i="5"/>
  <c r="M625" i="5"/>
  <c r="M624" i="5"/>
  <c r="M623" i="5"/>
  <c r="M622" i="5"/>
  <c r="M604" i="5"/>
  <c r="M603" i="5"/>
  <c r="M597" i="5"/>
  <c r="M556" i="5"/>
  <c r="M555" i="5"/>
  <c r="M545" i="5"/>
  <c r="M544" i="5"/>
  <c r="M535" i="5"/>
  <c r="M534" i="5"/>
  <c r="M528" i="5"/>
  <c r="M523" i="5"/>
  <c r="M522" i="5"/>
  <c r="M520" i="5"/>
  <c r="M509" i="5"/>
  <c r="M506" i="5"/>
  <c r="M505" i="5"/>
  <c r="M487" i="5"/>
  <c r="M475" i="5"/>
  <c r="M474" i="5"/>
  <c r="M473" i="5"/>
  <c r="M465" i="5"/>
  <c r="M464" i="5"/>
  <c r="M437" i="5"/>
  <c r="M436" i="5"/>
  <c r="M435" i="5"/>
  <c r="M417" i="5"/>
  <c r="M416" i="5"/>
  <c r="M395" i="5"/>
  <c r="M378" i="5"/>
  <c r="M354" i="5"/>
  <c r="M333" i="5"/>
  <c r="M332" i="5"/>
  <c r="M318" i="5"/>
  <c r="M316" i="5"/>
  <c r="M295" i="5"/>
  <c r="M294" i="5"/>
  <c r="M290" i="5"/>
  <c r="M286" i="5"/>
  <c r="M277" i="5"/>
  <c r="M276" i="5"/>
  <c r="M275" i="5"/>
  <c r="M235" i="5"/>
  <c r="M230" i="5"/>
  <c r="M222" i="5"/>
  <c r="M221" i="5"/>
  <c r="M211" i="5"/>
  <c r="M171" i="5"/>
  <c r="M170" i="5"/>
  <c r="M169" i="5"/>
  <c r="M160" i="5"/>
  <c r="M147" i="5"/>
  <c r="M146" i="5"/>
  <c r="M120" i="5"/>
  <c r="M113" i="5"/>
  <c r="M112" i="5"/>
  <c r="M91" i="5"/>
  <c r="M82" i="5"/>
  <c r="M73" i="5"/>
  <c r="M55" i="5"/>
  <c r="M45" i="5"/>
  <c r="M27" i="5"/>
  <c r="M21" i="5"/>
  <c r="M14" i="5"/>
  <c r="K31" i="4"/>
  <c r="M31" i="4" s="1"/>
  <c r="N31" i="4" s="1"/>
  <c r="H30" i="7"/>
  <c r="N1091" i="5"/>
  <c r="N1090" i="5"/>
  <c r="N1082" i="5"/>
  <c r="N1029" i="5"/>
  <c r="N1028" i="5"/>
  <c r="N1021" i="5"/>
  <c r="N1017" i="5"/>
  <c r="N1010" i="5"/>
  <c r="N1007" i="5"/>
  <c r="N1005" i="5"/>
  <c r="N1002" i="5"/>
  <c r="N980" i="5"/>
  <c r="N978" i="5"/>
  <c r="N977" i="5"/>
  <c r="N973" i="5"/>
  <c r="N972" i="5"/>
  <c r="N945" i="5"/>
  <c r="N944" i="5"/>
  <c r="N910" i="5"/>
  <c r="N909" i="5"/>
  <c r="N894" i="5"/>
  <c r="N893" i="5"/>
  <c r="N891" i="5"/>
  <c r="N846" i="5"/>
  <c r="N845" i="5"/>
  <c r="N829" i="5"/>
  <c r="N821" i="5"/>
  <c r="N820" i="5"/>
  <c r="N819" i="5"/>
  <c r="N815" i="5"/>
  <c r="N814" i="5"/>
  <c r="N813" i="5"/>
  <c r="N792" i="5"/>
  <c r="N791" i="5"/>
  <c r="N790" i="5"/>
  <c r="N789" i="5"/>
  <c r="N754" i="5"/>
  <c r="N753" i="5"/>
  <c r="N752" i="5"/>
  <c r="N751" i="5"/>
  <c r="N746" i="5"/>
  <c r="N731" i="5"/>
  <c r="N694" i="5"/>
  <c r="N693" i="5"/>
  <c r="N692" i="5"/>
  <c r="N691" i="5"/>
  <c r="N690" i="5"/>
  <c r="N686" i="5"/>
  <c r="N672" i="5"/>
  <c r="N658" i="5"/>
  <c r="N654" i="5"/>
  <c r="N650" i="5"/>
  <c r="N646" i="5"/>
  <c r="N631" i="5"/>
  <c r="N625" i="5"/>
  <c r="N624" i="5"/>
  <c r="N623" i="5"/>
  <c r="N622" i="5"/>
  <c r="N604" i="5"/>
  <c r="N603" i="5"/>
  <c r="N597" i="5"/>
  <c r="N556" i="5"/>
  <c r="N555" i="5"/>
  <c r="N545" i="5"/>
  <c r="N544" i="5"/>
  <c r="N535" i="5"/>
  <c r="N534" i="5"/>
  <c r="N528" i="5"/>
  <c r="N523" i="5"/>
  <c r="N522" i="5"/>
  <c r="N520" i="5"/>
  <c r="N509" i="5"/>
  <c r="N506" i="5"/>
  <c r="N505" i="5"/>
  <c r="N487" i="5"/>
  <c r="N475" i="5"/>
  <c r="N474" i="5"/>
  <c r="N473" i="5"/>
  <c r="N465" i="5"/>
  <c r="N464" i="5"/>
  <c r="N437" i="5"/>
  <c r="N436" i="5"/>
  <c r="N435" i="5"/>
  <c r="N417" i="5"/>
  <c r="N416" i="5"/>
  <c r="N395" i="5"/>
  <c r="N378" i="5"/>
  <c r="N354" i="5"/>
  <c r="N333" i="5"/>
  <c r="N332" i="5"/>
  <c r="N318" i="5"/>
  <c r="N316" i="5"/>
  <c r="N295" i="5"/>
  <c r="N294" i="5"/>
  <c r="N290" i="5"/>
  <c r="N286" i="5"/>
  <c r="N277" i="5"/>
  <c r="N276" i="5"/>
  <c r="N275" i="5"/>
  <c r="N235" i="5"/>
  <c r="N230" i="5"/>
  <c r="N222" i="5"/>
  <c r="N221" i="5"/>
  <c r="N211" i="5"/>
  <c r="N171" i="5"/>
  <c r="N170" i="5"/>
  <c r="N169" i="5"/>
  <c r="N160" i="5"/>
  <c r="N147" i="5"/>
  <c r="N146" i="5"/>
  <c r="N120" i="5"/>
  <c r="N113" i="5"/>
  <c r="N112" i="5"/>
  <c r="N91" i="5"/>
  <c r="N82" i="5"/>
  <c r="N73" i="5"/>
  <c r="N55" i="5"/>
  <c r="N45" i="5"/>
  <c r="N27" i="5"/>
  <c r="N21" i="5"/>
  <c r="N14" i="5"/>
  <c r="I30" i="7"/>
  <c r="P1091" i="5"/>
  <c r="P1090" i="5"/>
  <c r="P1082" i="5"/>
  <c r="P1029" i="5"/>
  <c r="P1028" i="5"/>
  <c r="P1021" i="5"/>
  <c r="P1017" i="5"/>
  <c r="P1010" i="5"/>
  <c r="P1007" i="5"/>
  <c r="P1005" i="5"/>
  <c r="P1002" i="5"/>
  <c r="P980" i="5"/>
  <c r="P978" i="5"/>
  <c r="P977" i="5"/>
  <c r="P973" i="5"/>
  <c r="P972" i="5"/>
  <c r="P945" i="5"/>
  <c r="P944" i="5"/>
  <c r="P910" i="5"/>
  <c r="P909" i="5"/>
  <c r="P894" i="5"/>
  <c r="P893" i="5"/>
  <c r="P891" i="5"/>
  <c r="P846" i="5"/>
  <c r="P845" i="5"/>
  <c r="P829" i="5"/>
  <c r="P821" i="5"/>
  <c r="P820" i="5"/>
  <c r="P819" i="5"/>
  <c r="P815" i="5"/>
  <c r="P814" i="5"/>
  <c r="P813" i="5"/>
  <c r="P792" i="5"/>
  <c r="P791" i="5"/>
  <c r="P790" i="5"/>
  <c r="P789" i="5"/>
  <c r="P754" i="5"/>
  <c r="P753" i="5"/>
  <c r="P752" i="5"/>
  <c r="P751" i="5"/>
  <c r="P746" i="5"/>
  <c r="P731" i="5"/>
  <c r="P694" i="5"/>
  <c r="P693" i="5"/>
  <c r="P692" i="5"/>
  <c r="P691" i="5"/>
  <c r="P690" i="5"/>
  <c r="P686" i="5"/>
  <c r="P672" i="5"/>
  <c r="P658" i="5"/>
  <c r="P654" i="5"/>
  <c r="P650" i="5"/>
  <c r="P646" i="5"/>
  <c r="P631" i="5"/>
  <c r="P625" i="5"/>
  <c r="P624" i="5"/>
  <c r="P623" i="5"/>
  <c r="P622" i="5"/>
  <c r="P604" i="5"/>
  <c r="P603" i="5"/>
  <c r="P597" i="5"/>
  <c r="P556" i="5"/>
  <c r="P555" i="5"/>
  <c r="P545" i="5"/>
  <c r="P544" i="5"/>
  <c r="P535" i="5"/>
  <c r="P534" i="5"/>
  <c r="P528" i="5"/>
  <c r="P523" i="5"/>
  <c r="P522" i="5"/>
  <c r="P520" i="5"/>
  <c r="P509" i="5"/>
  <c r="P506" i="5"/>
  <c r="P505" i="5"/>
  <c r="P487" i="5"/>
  <c r="P475" i="5"/>
  <c r="P474" i="5"/>
  <c r="P473" i="5"/>
  <c r="P465" i="5"/>
  <c r="P464" i="5"/>
  <c r="P437" i="5"/>
  <c r="P436" i="5"/>
  <c r="P435" i="5"/>
  <c r="P417" i="5"/>
  <c r="P416" i="5"/>
  <c r="P395" i="5"/>
  <c r="P378" i="5"/>
  <c r="P354" i="5"/>
  <c r="P333" i="5"/>
  <c r="P332" i="5"/>
  <c r="P318" i="5"/>
  <c r="P316" i="5"/>
  <c r="P295" i="5"/>
  <c r="P294" i="5"/>
  <c r="P290" i="5"/>
  <c r="P286" i="5"/>
  <c r="P277" i="5"/>
  <c r="P276" i="5"/>
  <c r="P275" i="5"/>
  <c r="P235" i="5"/>
  <c r="P230" i="5"/>
  <c r="P222" i="5"/>
  <c r="P221" i="5"/>
  <c r="P211" i="5"/>
  <c r="P171" i="5"/>
  <c r="P170" i="5"/>
  <c r="P169" i="5"/>
  <c r="P160" i="5"/>
  <c r="P147" i="5"/>
  <c r="P146" i="5"/>
  <c r="P120" i="5"/>
  <c r="P113" i="5"/>
  <c r="P112" i="5"/>
  <c r="P91" i="5"/>
  <c r="P82" i="5"/>
  <c r="P73" i="5"/>
  <c r="P55" i="5"/>
  <c r="P45" i="5"/>
  <c r="P27" i="5"/>
  <c r="P21" i="5"/>
  <c r="P14" i="5"/>
  <c r="L31" i="4"/>
  <c r="G31" i="7"/>
  <c r="M1068" i="5"/>
  <c r="M999" i="5"/>
  <c r="M998" i="5"/>
  <c r="M963" i="5"/>
  <c r="M953" i="5"/>
  <c r="M940" i="5"/>
  <c r="M937" i="5"/>
  <c r="M927" i="5"/>
  <c r="M920" i="5"/>
  <c r="M901" i="5"/>
  <c r="M872" i="5"/>
  <c r="M862" i="5"/>
  <c r="M854" i="5"/>
  <c r="M840" i="5"/>
  <c r="M837" i="5"/>
  <c r="M801" i="5"/>
  <c r="M800" i="5"/>
  <c r="M799" i="5"/>
  <c r="M766" i="5"/>
  <c r="M765" i="5"/>
  <c r="M713" i="5"/>
  <c r="M711" i="5"/>
  <c r="M636" i="5"/>
  <c r="M621" i="5"/>
  <c r="M619" i="5"/>
  <c r="M593" i="5"/>
  <c r="M561" i="5"/>
  <c r="M530" i="5"/>
  <c r="M427" i="5"/>
  <c r="M411" i="5"/>
  <c r="M377" i="5"/>
  <c r="M360" i="5"/>
  <c r="M336" i="5"/>
  <c r="M323" i="5"/>
  <c r="M322" i="5"/>
  <c r="M288" i="5"/>
  <c r="M281" i="5"/>
  <c r="M272" i="5"/>
  <c r="M239" i="5"/>
  <c r="M233" i="5"/>
  <c r="M223" i="5"/>
  <c r="M192" i="5"/>
  <c r="M179" i="5"/>
  <c r="M166" i="5"/>
  <c r="M162" i="5"/>
  <c r="M144" i="5"/>
  <c r="M103" i="5"/>
  <c r="M93" i="5"/>
  <c r="M83" i="5"/>
  <c r="M35" i="5"/>
  <c r="M16" i="5"/>
  <c r="M7" i="5"/>
  <c r="M6" i="5"/>
  <c r="K32" i="4"/>
  <c r="M32" i="4" s="1"/>
  <c r="N32" i="4" s="1"/>
  <c r="H31" i="7"/>
  <c r="N1068" i="5"/>
  <c r="N999" i="5"/>
  <c r="N998" i="5"/>
  <c r="N963" i="5"/>
  <c r="N953" i="5"/>
  <c r="N940" i="5"/>
  <c r="N937" i="5"/>
  <c r="N927" i="5"/>
  <c r="N920" i="5"/>
  <c r="N901" i="5"/>
  <c r="N872" i="5"/>
  <c r="N862" i="5"/>
  <c r="N854" i="5"/>
  <c r="N840" i="5"/>
  <c r="N837" i="5"/>
  <c r="N801" i="5"/>
  <c r="N800" i="5"/>
  <c r="N799" i="5"/>
  <c r="N766" i="5"/>
  <c r="N765" i="5"/>
  <c r="N713" i="5"/>
  <c r="N711" i="5"/>
  <c r="N636" i="5"/>
  <c r="N621" i="5"/>
  <c r="N619" i="5"/>
  <c r="N593" i="5"/>
  <c r="N561" i="5"/>
  <c r="N530" i="5"/>
  <c r="N427" i="5"/>
  <c r="N411" i="5"/>
  <c r="N377" i="5"/>
  <c r="N360" i="5"/>
  <c r="N336" i="5"/>
  <c r="N323" i="5"/>
  <c r="N322" i="5"/>
  <c r="N288" i="5"/>
  <c r="N281" i="5"/>
  <c r="N272" i="5"/>
  <c r="N239" i="5"/>
  <c r="N233" i="5"/>
  <c r="N223" i="5"/>
  <c r="N192" i="5"/>
  <c r="N179" i="5"/>
  <c r="N166" i="5"/>
  <c r="N162" i="5"/>
  <c r="N144" i="5"/>
  <c r="N103" i="5"/>
  <c r="N93" i="5"/>
  <c r="N83" i="5"/>
  <c r="N35" i="5"/>
  <c r="N16" i="5"/>
  <c r="N7" i="5"/>
  <c r="N6" i="5"/>
  <c r="I31" i="7"/>
  <c r="P1068" i="5"/>
  <c r="P999" i="5"/>
  <c r="P998" i="5"/>
  <c r="P963" i="5"/>
  <c r="P953" i="5"/>
  <c r="P940" i="5"/>
  <c r="P937" i="5"/>
  <c r="P927" i="5"/>
  <c r="P920" i="5"/>
  <c r="P901" i="5"/>
  <c r="P872" i="5"/>
  <c r="P862" i="5"/>
  <c r="P854" i="5"/>
  <c r="P840" i="5"/>
  <c r="P837" i="5"/>
  <c r="P801" i="5"/>
  <c r="P800" i="5"/>
  <c r="P799" i="5"/>
  <c r="P766" i="5"/>
  <c r="P765" i="5"/>
  <c r="P713" i="5"/>
  <c r="P711" i="5"/>
  <c r="P636" i="5"/>
  <c r="P621" i="5"/>
  <c r="P619" i="5"/>
  <c r="P593" i="5"/>
  <c r="P561" i="5"/>
  <c r="P530" i="5"/>
  <c r="P427" i="5"/>
  <c r="P411" i="5"/>
  <c r="P377" i="5"/>
  <c r="P360" i="5"/>
  <c r="P336" i="5"/>
  <c r="P323" i="5"/>
  <c r="P322" i="5"/>
  <c r="P288" i="5"/>
  <c r="P281" i="5"/>
  <c r="P272" i="5"/>
  <c r="P239" i="5"/>
  <c r="P233" i="5"/>
  <c r="P223" i="5"/>
  <c r="P192" i="5"/>
  <c r="P179" i="5"/>
  <c r="P166" i="5"/>
  <c r="P162" i="5"/>
  <c r="P144" i="5"/>
  <c r="P103" i="5"/>
  <c r="P93" i="5"/>
  <c r="P83" i="5"/>
  <c r="P35" i="5"/>
  <c r="P16" i="5"/>
  <c r="P7" i="5"/>
  <c r="P6" i="5"/>
  <c r="L32" i="4"/>
  <c r="G32" i="7"/>
  <c r="M168" i="5"/>
  <c r="K33" i="4"/>
  <c r="M33" i="4" s="1"/>
  <c r="N33" i="4" s="1"/>
  <c r="H32" i="7"/>
  <c r="N168" i="5"/>
  <c r="I32" i="7"/>
  <c r="P168" i="5"/>
  <c r="L33" i="4"/>
  <c r="G33" i="7"/>
  <c r="M1102" i="5"/>
  <c r="M1097" i="5"/>
  <c r="M1081" i="5"/>
  <c r="M1071" i="5"/>
  <c r="M1070" i="5"/>
  <c r="M1067" i="5"/>
  <c r="M1066" i="5"/>
  <c r="M1038" i="5"/>
  <c r="M1016" i="5"/>
  <c r="M1015" i="5"/>
  <c r="M1001" i="5"/>
  <c r="M997" i="5"/>
  <c r="M996" i="5"/>
  <c r="M967" i="5"/>
  <c r="M964" i="5"/>
  <c r="M952" i="5"/>
  <c r="M946" i="5"/>
  <c r="M938" i="5"/>
  <c r="M918" i="5"/>
  <c r="M911" i="5"/>
  <c r="M908" i="5"/>
  <c r="M903" i="5"/>
  <c r="M902" i="5"/>
  <c r="M895" i="5"/>
  <c r="M888" i="5"/>
  <c r="M887" i="5"/>
  <c r="M876" i="5"/>
  <c r="M874" i="5"/>
  <c r="M869" i="5"/>
  <c r="M868" i="5"/>
  <c r="M863" i="5"/>
  <c r="M848" i="5"/>
  <c r="M832" i="5"/>
  <c r="M827" i="5"/>
  <c r="M798" i="5"/>
  <c r="M797" i="5"/>
  <c r="M796" i="5"/>
  <c r="M795" i="5"/>
  <c r="M772" i="5"/>
  <c r="M771" i="5"/>
  <c r="M770" i="5"/>
  <c r="M764" i="5"/>
  <c r="M763" i="5"/>
  <c r="M762" i="5"/>
  <c r="M761" i="5"/>
  <c r="M760" i="5"/>
  <c r="M759" i="5"/>
  <c r="M758" i="5"/>
  <c r="M757" i="5"/>
  <c r="M720" i="5"/>
  <c r="M719" i="5"/>
  <c r="M716" i="5"/>
  <c r="M714" i="5"/>
  <c r="M712" i="5"/>
  <c r="M709" i="5"/>
  <c r="M708" i="5"/>
  <c r="M707" i="5"/>
  <c r="M706" i="5"/>
  <c r="M705" i="5"/>
  <c r="M704" i="5"/>
  <c r="M702" i="5"/>
  <c r="M700" i="5"/>
  <c r="M699" i="5"/>
  <c r="M674" i="5"/>
  <c r="M660" i="5"/>
  <c r="M659" i="5"/>
  <c r="M637" i="5"/>
  <c r="M612" i="5"/>
  <c r="M609" i="5"/>
  <c r="M599" i="5"/>
  <c r="M582" i="5"/>
  <c r="M557" i="5"/>
  <c r="M554" i="5"/>
  <c r="M525" i="5"/>
  <c r="M504" i="5"/>
  <c r="M480" i="5"/>
  <c r="M469" i="5"/>
  <c r="M468" i="5"/>
  <c r="M454" i="5"/>
  <c r="M441" i="5"/>
  <c r="M423" i="5"/>
  <c r="M391" i="5"/>
  <c r="M376" i="5"/>
  <c r="M375" i="5"/>
  <c r="M352" i="5"/>
  <c r="M351" i="5"/>
  <c r="M343" i="5"/>
  <c r="M337" i="5"/>
  <c r="M335" i="5"/>
  <c r="M334" i="5"/>
  <c r="M331" i="5"/>
  <c r="M321" i="5"/>
  <c r="M320" i="5"/>
  <c r="M319" i="5"/>
  <c r="M317" i="5"/>
  <c r="M315" i="5"/>
  <c r="M304" i="5"/>
  <c r="M293" i="5"/>
  <c r="M292" i="5"/>
  <c r="M287" i="5"/>
  <c r="M280" i="5"/>
  <c r="M271" i="5"/>
  <c r="M251" i="5"/>
  <c r="M245" i="5"/>
  <c r="M244" i="5"/>
  <c r="M236" i="5"/>
  <c r="M225" i="5"/>
  <c r="M224" i="5"/>
  <c r="M193" i="5"/>
  <c r="M191" i="5"/>
  <c r="M176" i="5"/>
  <c r="M165" i="5"/>
  <c r="M163" i="5"/>
  <c r="M161" i="5"/>
  <c r="M152" i="5"/>
  <c r="M145" i="5"/>
  <c r="M143" i="5"/>
  <c r="M142" i="5"/>
  <c r="M141" i="5"/>
  <c r="M140" i="5"/>
  <c r="M130" i="5"/>
  <c r="M111" i="5"/>
  <c r="M105" i="5"/>
  <c r="M104" i="5"/>
  <c r="M84" i="5"/>
  <c r="M69" i="5"/>
  <c r="M64" i="5"/>
  <c r="M59" i="5"/>
  <c r="M56" i="5"/>
  <c r="M46" i="5"/>
  <c r="M43" i="5"/>
  <c r="M39" i="5"/>
  <c r="M36" i="5"/>
  <c r="M30" i="5"/>
  <c r="M24" i="5"/>
  <c r="M18" i="5"/>
  <c r="M12" i="5"/>
  <c r="M10" i="5"/>
  <c r="K34" i="4"/>
  <c r="M34" i="4" s="1"/>
  <c r="N34" i="4" s="1"/>
  <c r="H33" i="7"/>
  <c r="N1102" i="5"/>
  <c r="N1097" i="5"/>
  <c r="N1081" i="5"/>
  <c r="N1071" i="5"/>
  <c r="N1070" i="5"/>
  <c r="N1067" i="5"/>
  <c r="N1066" i="5"/>
  <c r="N1038" i="5"/>
  <c r="N1016" i="5"/>
  <c r="N1015" i="5"/>
  <c r="N1001" i="5"/>
  <c r="N997" i="5"/>
  <c r="N996" i="5"/>
  <c r="N967" i="5"/>
  <c r="N964" i="5"/>
  <c r="N952" i="5"/>
  <c r="N946" i="5"/>
  <c r="N938" i="5"/>
  <c r="N918" i="5"/>
  <c r="N911" i="5"/>
  <c r="N908" i="5"/>
  <c r="N903" i="5"/>
  <c r="N902" i="5"/>
  <c r="N895" i="5"/>
  <c r="N888" i="5"/>
  <c r="N887" i="5"/>
  <c r="N876" i="5"/>
  <c r="N874" i="5"/>
  <c r="N869" i="5"/>
  <c r="N868" i="5"/>
  <c r="N863" i="5"/>
  <c r="N848" i="5"/>
  <c r="N832" i="5"/>
  <c r="N827" i="5"/>
  <c r="N798" i="5"/>
  <c r="N797" i="5"/>
  <c r="N796" i="5"/>
  <c r="N795" i="5"/>
  <c r="N772" i="5"/>
  <c r="N771" i="5"/>
  <c r="N770" i="5"/>
  <c r="N764" i="5"/>
  <c r="N763" i="5"/>
  <c r="N762" i="5"/>
  <c r="N761" i="5"/>
  <c r="N760" i="5"/>
  <c r="N759" i="5"/>
  <c r="N758" i="5"/>
  <c r="N757" i="5"/>
  <c r="N720" i="5"/>
  <c r="N719" i="5"/>
  <c r="N716" i="5"/>
  <c r="N714" i="5"/>
  <c r="N712" i="5"/>
  <c r="N709" i="5"/>
  <c r="N708" i="5"/>
  <c r="N707" i="5"/>
  <c r="N706" i="5"/>
  <c r="N705" i="5"/>
  <c r="N704" i="5"/>
  <c r="N702" i="5"/>
  <c r="N700" i="5"/>
  <c r="N699" i="5"/>
  <c r="N674" i="5"/>
  <c r="N660" i="5"/>
  <c r="N659" i="5"/>
  <c r="N637" i="5"/>
  <c r="N612" i="5"/>
  <c r="N609" i="5"/>
  <c r="N599" i="5"/>
  <c r="N582" i="5"/>
  <c r="N557" i="5"/>
  <c r="N554" i="5"/>
  <c r="N525" i="5"/>
  <c r="N504" i="5"/>
  <c r="N480" i="5"/>
  <c r="N469" i="5"/>
  <c r="N468" i="5"/>
  <c r="N454" i="5"/>
  <c r="N441" i="5"/>
  <c r="N423" i="5"/>
  <c r="N391" i="5"/>
  <c r="N376" i="5"/>
  <c r="N375" i="5"/>
  <c r="N352" i="5"/>
  <c r="N351" i="5"/>
  <c r="N343" i="5"/>
  <c r="N337" i="5"/>
  <c r="N335" i="5"/>
  <c r="N334" i="5"/>
  <c r="N331" i="5"/>
  <c r="N321" i="5"/>
  <c r="N320" i="5"/>
  <c r="N319" i="5"/>
  <c r="N317" i="5"/>
  <c r="N315" i="5"/>
  <c r="N304" i="5"/>
  <c r="N293" i="5"/>
  <c r="N292" i="5"/>
  <c r="N287" i="5"/>
  <c r="N280" i="5"/>
  <c r="N271" i="5"/>
  <c r="N251" i="5"/>
  <c r="N245" i="5"/>
  <c r="N244" i="5"/>
  <c r="N236" i="5"/>
  <c r="N225" i="5"/>
  <c r="N224" i="5"/>
  <c r="N193" i="5"/>
  <c r="N191" i="5"/>
  <c r="N176" i="5"/>
  <c r="N165" i="5"/>
  <c r="N163" i="5"/>
  <c r="N161" i="5"/>
  <c r="N152" i="5"/>
  <c r="N145" i="5"/>
  <c r="N143" i="5"/>
  <c r="N142" i="5"/>
  <c r="N141" i="5"/>
  <c r="N140" i="5"/>
  <c r="N130" i="5"/>
  <c r="N111" i="5"/>
  <c r="N105" i="5"/>
  <c r="N104" i="5"/>
  <c r="N84" i="5"/>
  <c r="N69" i="5"/>
  <c r="N64" i="5"/>
  <c r="N59" i="5"/>
  <c r="N56" i="5"/>
  <c r="N46" i="5"/>
  <c r="N43" i="5"/>
  <c r="N39" i="5"/>
  <c r="N36" i="5"/>
  <c r="N30" i="5"/>
  <c r="N24" i="5"/>
  <c r="N18" i="5"/>
  <c r="N12" i="5"/>
  <c r="N10" i="5"/>
  <c r="I33" i="7"/>
  <c r="P1102" i="5"/>
  <c r="P1097" i="5"/>
  <c r="P1081" i="5"/>
  <c r="P1071" i="5"/>
  <c r="P1070" i="5"/>
  <c r="P1067" i="5"/>
  <c r="P1066" i="5"/>
  <c r="P1038" i="5"/>
  <c r="P1016" i="5"/>
  <c r="P1015" i="5"/>
  <c r="P1001" i="5"/>
  <c r="P997" i="5"/>
  <c r="P996" i="5"/>
  <c r="P967" i="5"/>
  <c r="P964" i="5"/>
  <c r="P952" i="5"/>
  <c r="P946" i="5"/>
  <c r="P938" i="5"/>
  <c r="P918" i="5"/>
  <c r="P911" i="5"/>
  <c r="P908" i="5"/>
  <c r="P903" i="5"/>
  <c r="P902" i="5"/>
  <c r="P895" i="5"/>
  <c r="P888" i="5"/>
  <c r="P887" i="5"/>
  <c r="P876" i="5"/>
  <c r="P874" i="5"/>
  <c r="P869" i="5"/>
  <c r="P868" i="5"/>
  <c r="P863" i="5"/>
  <c r="P848" i="5"/>
  <c r="P832" i="5"/>
  <c r="P827" i="5"/>
  <c r="P798" i="5"/>
  <c r="P797" i="5"/>
  <c r="P796" i="5"/>
  <c r="P795" i="5"/>
  <c r="P772" i="5"/>
  <c r="P771" i="5"/>
  <c r="P770" i="5"/>
  <c r="P764" i="5"/>
  <c r="P763" i="5"/>
  <c r="P762" i="5"/>
  <c r="P761" i="5"/>
  <c r="P760" i="5"/>
  <c r="P759" i="5"/>
  <c r="P758" i="5"/>
  <c r="P757" i="5"/>
  <c r="P720" i="5"/>
  <c r="P719" i="5"/>
  <c r="P716" i="5"/>
  <c r="P714" i="5"/>
  <c r="P712" i="5"/>
  <c r="P709" i="5"/>
  <c r="P708" i="5"/>
  <c r="P707" i="5"/>
  <c r="P706" i="5"/>
  <c r="P705" i="5"/>
  <c r="P704" i="5"/>
  <c r="P702" i="5"/>
  <c r="P700" i="5"/>
  <c r="P699" i="5"/>
  <c r="P674" i="5"/>
  <c r="P660" i="5"/>
  <c r="P659" i="5"/>
  <c r="P637" i="5"/>
  <c r="P612" i="5"/>
  <c r="P609" i="5"/>
  <c r="P599" i="5"/>
  <c r="P582" i="5"/>
  <c r="P557" i="5"/>
  <c r="P554" i="5"/>
  <c r="P525" i="5"/>
  <c r="P504" i="5"/>
  <c r="P480" i="5"/>
  <c r="P469" i="5"/>
  <c r="P468" i="5"/>
  <c r="P454" i="5"/>
  <c r="P441" i="5"/>
  <c r="P423" i="5"/>
  <c r="P391" i="5"/>
  <c r="P376" i="5"/>
  <c r="P375" i="5"/>
  <c r="P352" i="5"/>
  <c r="P351" i="5"/>
  <c r="P343" i="5"/>
  <c r="P337" i="5"/>
  <c r="P335" i="5"/>
  <c r="P334" i="5"/>
  <c r="P331" i="5"/>
  <c r="P321" i="5"/>
  <c r="P320" i="5"/>
  <c r="P319" i="5"/>
  <c r="P317" i="5"/>
  <c r="P315" i="5"/>
  <c r="P304" i="5"/>
  <c r="P293" i="5"/>
  <c r="P292" i="5"/>
  <c r="P287" i="5"/>
  <c r="P280" i="5"/>
  <c r="P271" i="5"/>
  <c r="P251" i="5"/>
  <c r="P245" i="5"/>
  <c r="P244" i="5"/>
  <c r="P236" i="5"/>
  <c r="P225" i="5"/>
  <c r="P224" i="5"/>
  <c r="P193" i="5"/>
  <c r="P191" i="5"/>
  <c r="P176" i="5"/>
  <c r="P165" i="5"/>
  <c r="P163" i="5"/>
  <c r="P161" i="5"/>
  <c r="P152" i="5"/>
  <c r="P145" i="5"/>
  <c r="P143" i="5"/>
  <c r="P142" i="5"/>
  <c r="P141" i="5"/>
  <c r="P140" i="5"/>
  <c r="P130" i="5"/>
  <c r="P111" i="5"/>
  <c r="P105" i="5"/>
  <c r="P104" i="5"/>
  <c r="P84" i="5"/>
  <c r="P69" i="5"/>
  <c r="P64" i="5"/>
  <c r="P59" i="5"/>
  <c r="P56" i="5"/>
  <c r="P46" i="5"/>
  <c r="P43" i="5"/>
  <c r="P39" i="5"/>
  <c r="P36" i="5"/>
  <c r="P30" i="5"/>
  <c r="P24" i="5"/>
  <c r="P18" i="5"/>
  <c r="P12" i="5"/>
  <c r="P10" i="5"/>
  <c r="L34" i="4"/>
  <c r="G34" i="7"/>
  <c r="M981" i="5"/>
  <c r="K35" i="4"/>
  <c r="M35" i="4" s="1"/>
  <c r="N35" i="4" s="1"/>
  <c r="H34" i="7"/>
  <c r="N981" i="5"/>
  <c r="I34" i="7"/>
  <c r="P981" i="5"/>
  <c r="L35" i="4"/>
  <c r="G35" i="7"/>
  <c r="M190" i="5"/>
  <c r="M189" i="5"/>
  <c r="K36" i="4"/>
  <c r="M36" i="4" s="1"/>
  <c r="N36" i="4" s="1"/>
  <c r="H35" i="7"/>
  <c r="N190" i="5"/>
  <c r="N189" i="5"/>
  <c r="I35" i="7"/>
  <c r="P190" i="5"/>
  <c r="P189" i="5"/>
  <c r="L36" i="4"/>
  <c r="G38" i="7"/>
  <c r="M15" i="6"/>
  <c r="M12" i="6"/>
  <c r="M11" i="6"/>
  <c r="M10" i="6"/>
  <c r="M9" i="6"/>
  <c r="M7" i="6"/>
  <c r="M5" i="6"/>
  <c r="K43" i="4"/>
  <c r="H38" i="7"/>
  <c r="N15" i="6"/>
  <c r="N12" i="6"/>
  <c r="N11" i="6"/>
  <c r="N10" i="6"/>
  <c r="N9" i="6"/>
  <c r="N7" i="6"/>
  <c r="N5" i="6"/>
  <c r="I38" i="7"/>
  <c r="P15" i="6"/>
  <c r="P12" i="6"/>
  <c r="P11" i="6"/>
  <c r="P10" i="6"/>
  <c r="P9" i="6"/>
  <c r="P7" i="6"/>
  <c r="P5" i="6"/>
  <c r="L43" i="4"/>
  <c r="G39" i="7"/>
  <c r="M39" i="6"/>
  <c r="M37" i="6"/>
  <c r="M36" i="6"/>
  <c r="M35" i="6"/>
  <c r="M33" i="6"/>
  <c r="M32" i="6"/>
  <c r="M31" i="6"/>
  <c r="M29" i="6"/>
  <c r="M28" i="6"/>
  <c r="M26" i="6"/>
  <c r="M24" i="6"/>
  <c r="M23" i="6"/>
  <c r="M22" i="6"/>
  <c r="M21" i="6"/>
  <c r="M20" i="6"/>
  <c r="M19" i="6"/>
  <c r="K44" i="4"/>
  <c r="M44" i="4" s="1"/>
  <c r="N44" i="4" s="1"/>
  <c r="H39" i="7"/>
  <c r="N39" i="6"/>
  <c r="N37" i="6"/>
  <c r="N36" i="6"/>
  <c r="N35" i="6"/>
  <c r="N33" i="6"/>
  <c r="N32" i="6"/>
  <c r="N31" i="6"/>
  <c r="N29" i="6"/>
  <c r="N28" i="6"/>
  <c r="N26" i="6"/>
  <c r="N24" i="6"/>
  <c r="N23" i="6"/>
  <c r="N22" i="6"/>
  <c r="N21" i="6"/>
  <c r="N20" i="6"/>
  <c r="N19" i="6"/>
  <c r="I39" i="7"/>
  <c r="P39" i="6"/>
  <c r="P37" i="6"/>
  <c r="P36" i="6"/>
  <c r="P35" i="6"/>
  <c r="P33" i="6"/>
  <c r="P32" i="6"/>
  <c r="P31" i="6"/>
  <c r="P29" i="6"/>
  <c r="P28" i="6"/>
  <c r="P26" i="6"/>
  <c r="P24" i="6"/>
  <c r="P23" i="6"/>
  <c r="P22" i="6"/>
  <c r="P21" i="6"/>
  <c r="P20" i="6"/>
  <c r="P19" i="6"/>
  <c r="L44" i="4"/>
  <c r="G40" i="7"/>
  <c r="M14" i="6"/>
  <c r="M13" i="6"/>
  <c r="M6" i="6"/>
  <c r="K45" i="4"/>
  <c r="M45" i="4" s="1"/>
  <c r="N45" i="4" s="1"/>
  <c r="H40" i="7"/>
  <c r="N14" i="6"/>
  <c r="N13" i="6"/>
  <c r="N6" i="6"/>
  <c r="I40" i="7"/>
  <c r="P14" i="6"/>
  <c r="P13" i="6"/>
  <c r="P6" i="6"/>
  <c r="L45" i="4"/>
  <c r="G41" i="7"/>
  <c r="M8" i="6"/>
  <c r="K46" i="4"/>
  <c r="M46" i="4" s="1"/>
  <c r="N46" i="4" s="1"/>
  <c r="H41" i="7"/>
  <c r="N8" i="6"/>
  <c r="I41" i="7"/>
  <c r="P8" i="6"/>
  <c r="L46" i="4"/>
  <c r="G42" i="7"/>
  <c r="M38" i="6"/>
  <c r="M34" i="6"/>
  <c r="M30" i="6"/>
  <c r="M27" i="6"/>
  <c r="M25" i="6"/>
  <c r="M18" i="6"/>
  <c r="K47" i="4"/>
  <c r="M47" i="4" s="1"/>
  <c r="N47" i="4" s="1"/>
  <c r="H42" i="7"/>
  <c r="N38" i="6"/>
  <c r="N34" i="6"/>
  <c r="N30" i="6"/>
  <c r="N27" i="6"/>
  <c r="N25" i="6"/>
  <c r="N18" i="6"/>
  <c r="I42" i="7"/>
  <c r="P38" i="6"/>
  <c r="P34" i="6"/>
  <c r="P30" i="6"/>
  <c r="P27" i="6"/>
  <c r="P25" i="6"/>
  <c r="P18" i="6"/>
  <c r="L47" i="4"/>
  <c r="H4" i="10"/>
  <c r="H12" i="10" s="1"/>
  <c r="H62" i="9"/>
  <c r="H85" i="9" s="1"/>
  <c r="D5" i="16" s="1"/>
  <c r="D10" i="16" s="1"/>
  <c r="J12" i="9"/>
  <c r="K8" i="9"/>
  <c r="K12" i="9" s="1"/>
  <c r="J20" i="9"/>
  <c r="I5" i="10" s="1"/>
  <c r="K16" i="9"/>
  <c r="K20" i="9" s="1"/>
  <c r="J28" i="9"/>
  <c r="I6" i="10" s="1"/>
  <c r="K24" i="9"/>
  <c r="K28" i="9" s="1"/>
  <c r="J36" i="9"/>
  <c r="I7" i="10" s="1"/>
  <c r="K32" i="9"/>
  <c r="K36" i="9" s="1"/>
  <c r="J44" i="9"/>
  <c r="K40" i="9"/>
  <c r="K44" i="9" s="1"/>
  <c r="J52" i="9"/>
  <c r="K48" i="9"/>
  <c r="K52" i="9" s="1"/>
  <c r="J60" i="9"/>
  <c r="I10" i="10" s="1"/>
  <c r="K56" i="9"/>
  <c r="K60" i="9" s="1"/>
  <c r="J72" i="9"/>
  <c r="K68" i="9"/>
  <c r="K72" i="9" s="1"/>
  <c r="J80" i="9"/>
  <c r="K76" i="9"/>
  <c r="K80" i="9" s="1"/>
  <c r="K6" i="12"/>
  <c r="K7" i="12" s="1"/>
  <c r="K10" i="12"/>
  <c r="K11" i="12" s="1"/>
  <c r="K14" i="12"/>
  <c r="K15" i="12" s="1"/>
  <c r="K18" i="12"/>
  <c r="K19" i="12" s="1"/>
  <c r="K22" i="12"/>
  <c r="K26" i="12" s="1"/>
  <c r="K23" i="12"/>
  <c r="K24" i="12"/>
  <c r="K25" i="12"/>
  <c r="K29" i="12"/>
  <c r="K31" i="12" s="1"/>
  <c r="K30" i="12"/>
  <c r="K34" i="12"/>
  <c r="K35" i="12" s="1"/>
  <c r="K82" i="9" l="1"/>
  <c r="J82" i="9"/>
  <c r="I9" i="10"/>
  <c r="I8" i="10"/>
  <c r="K62" i="9"/>
  <c r="K85" i="9" s="1"/>
  <c r="K87" i="9" s="1"/>
  <c r="I4" i="10"/>
  <c r="I12" i="10" s="1"/>
  <c r="J62" i="9"/>
  <c r="J85" i="9" s="1"/>
  <c r="Q18" i="6"/>
  <c r="Q25" i="6"/>
  <c r="Q27" i="6"/>
  <c r="Q30" i="6"/>
  <c r="Q34" i="6"/>
  <c r="Q38" i="6"/>
  <c r="Q8" i="6"/>
  <c r="Q6" i="6"/>
  <c r="Q13" i="6"/>
  <c r="Q14" i="6"/>
  <c r="Q19" i="6"/>
  <c r="Q20" i="6"/>
  <c r="Q21" i="6"/>
  <c r="Q22" i="6"/>
  <c r="Q23" i="6"/>
  <c r="Q24" i="6"/>
  <c r="Q26" i="6"/>
  <c r="Q28" i="6"/>
  <c r="Q29" i="6"/>
  <c r="Q31" i="6"/>
  <c r="Q32" i="6"/>
  <c r="Q33" i="6"/>
  <c r="Q35" i="6"/>
  <c r="Q36" i="6"/>
  <c r="Q37" i="6"/>
  <c r="Q39" i="6"/>
  <c r="L48" i="4"/>
  <c r="K48" i="4"/>
  <c r="M43" i="4"/>
  <c r="Q5" i="6"/>
  <c r="Q7" i="6"/>
  <c r="Q9" i="6"/>
  <c r="Q10" i="6"/>
  <c r="Q11" i="6"/>
  <c r="Q12" i="6"/>
  <c r="Q15" i="6"/>
  <c r="Q189" i="5"/>
  <c r="Q190" i="5"/>
  <c r="Q981" i="5"/>
  <c r="Q10" i="5"/>
  <c r="Q12" i="5"/>
  <c r="Q18" i="5"/>
  <c r="Q24" i="5"/>
  <c r="Q30" i="5"/>
  <c r="Q36" i="5"/>
  <c r="Q39" i="5"/>
  <c r="Q43" i="5"/>
  <c r="Q46" i="5"/>
  <c r="Q56" i="5"/>
  <c r="Q59" i="5"/>
  <c r="Q64" i="5"/>
  <c r="Q69" i="5"/>
  <c r="Q84" i="5"/>
  <c r="Q104" i="5"/>
  <c r="Q105" i="5"/>
  <c r="Q111" i="5"/>
  <c r="Q130" i="5"/>
  <c r="Q140" i="5"/>
  <c r="Q141" i="5"/>
  <c r="Q142" i="5"/>
  <c r="Q143" i="5"/>
  <c r="Q145" i="5"/>
  <c r="Q152" i="5"/>
  <c r="Q161" i="5"/>
  <c r="Q163" i="5"/>
  <c r="Q165" i="5"/>
  <c r="Q176" i="5"/>
  <c r="Q191" i="5"/>
  <c r="Q193" i="5"/>
  <c r="Q224" i="5"/>
  <c r="Q225" i="5"/>
  <c r="Q236" i="5"/>
  <c r="Q244" i="5"/>
  <c r="Q245" i="5"/>
  <c r="Q251" i="5"/>
  <c r="Q271" i="5"/>
  <c r="Q280" i="5"/>
  <c r="Q287" i="5"/>
  <c r="Q292" i="5"/>
  <c r="Q293" i="5"/>
  <c r="Q304" i="5"/>
  <c r="Q315" i="5"/>
  <c r="Q317" i="5"/>
  <c r="Q319" i="5"/>
  <c r="Q320" i="5"/>
  <c r="Q321" i="5"/>
  <c r="Q331" i="5"/>
  <c r="Q334" i="5"/>
  <c r="Q335" i="5"/>
  <c r="Q337" i="5"/>
  <c r="Q343" i="5"/>
  <c r="Q351" i="5"/>
  <c r="Q352" i="5"/>
  <c r="Q375" i="5"/>
  <c r="Q376" i="5"/>
  <c r="Q391" i="5"/>
  <c r="Q423" i="5"/>
  <c r="Q441" i="5"/>
  <c r="Q454" i="5"/>
  <c r="Q468" i="5"/>
  <c r="Q469" i="5"/>
  <c r="Q480" i="5"/>
  <c r="Q504" i="5"/>
  <c r="Q525" i="5"/>
  <c r="Q554" i="5"/>
  <c r="Q557" i="5"/>
  <c r="Q582" i="5"/>
  <c r="Q599" i="5"/>
  <c r="Q609" i="5"/>
  <c r="Q612" i="5"/>
  <c r="Q637" i="5"/>
  <c r="Q659" i="5"/>
  <c r="Q660" i="5"/>
  <c r="Q674" i="5"/>
  <c r="Q699" i="5"/>
  <c r="Q700" i="5"/>
  <c r="Q702" i="5"/>
  <c r="Q704" i="5"/>
  <c r="Q705" i="5"/>
  <c r="Q706" i="5"/>
  <c r="Q707" i="5"/>
  <c r="Q708" i="5"/>
  <c r="Q709" i="5"/>
  <c r="Q712" i="5"/>
  <c r="Q714" i="5"/>
  <c r="Q716" i="5"/>
  <c r="Q719" i="5"/>
  <c r="Q720" i="5"/>
  <c r="Q757" i="5"/>
  <c r="Q758" i="5"/>
  <c r="Q759" i="5"/>
  <c r="Q760" i="5"/>
  <c r="Q761" i="5"/>
  <c r="Q762" i="5"/>
  <c r="Q763" i="5"/>
  <c r="Q764" i="5"/>
  <c r="Q770" i="5"/>
  <c r="Q771" i="5"/>
  <c r="Q772" i="5"/>
  <c r="Q795" i="5"/>
  <c r="Q796" i="5"/>
  <c r="Q797" i="5"/>
  <c r="Q798" i="5"/>
  <c r="Q827" i="5"/>
  <c r="Q832" i="5"/>
  <c r="Q848" i="5"/>
  <c r="Q863" i="5"/>
  <c r="Q868" i="5"/>
  <c r="Q869" i="5"/>
  <c r="Q874" i="5"/>
  <c r="Q876" i="5"/>
  <c r="Q887" i="5"/>
  <c r="Q888" i="5"/>
  <c r="Q895" i="5"/>
  <c r="Q902" i="5"/>
  <c r="Q903" i="5"/>
  <c r="Q908" i="5"/>
  <c r="Q911" i="5"/>
  <c r="Q918" i="5"/>
  <c r="Q938" i="5"/>
  <c r="Q946" i="5"/>
  <c r="Q952" i="5"/>
  <c r="Q964" i="5"/>
  <c r="Q967" i="5"/>
  <c r="Q996" i="5"/>
  <c r="Q997" i="5"/>
  <c r="Q1001" i="5"/>
  <c r="Q1015" i="5"/>
  <c r="Q1016" i="5"/>
  <c r="Q1038" i="5"/>
  <c r="Q1066" i="5"/>
  <c r="Q1067" i="5"/>
  <c r="Q1070" i="5"/>
  <c r="Q1071" i="5"/>
  <c r="Q1081" i="5"/>
  <c r="Q1097" i="5"/>
  <c r="Q1102" i="5"/>
  <c r="Q168" i="5"/>
  <c r="Q6" i="5"/>
  <c r="Q7" i="5"/>
  <c r="Q16" i="5"/>
  <c r="Q35" i="5"/>
  <c r="Q83" i="5"/>
  <c r="Q93" i="5"/>
  <c r="Q103" i="5"/>
  <c r="Q144" i="5"/>
  <c r="Q162" i="5"/>
  <c r="Q166" i="5"/>
  <c r="Q179" i="5"/>
  <c r="Q192" i="5"/>
  <c r="Q223" i="5"/>
  <c r="Q233" i="5"/>
  <c r="Q239" i="5"/>
  <c r="Q272" i="5"/>
  <c r="Q281" i="5"/>
  <c r="Q288" i="5"/>
  <c r="Q322" i="5"/>
  <c r="Q323" i="5"/>
  <c r="Q336" i="5"/>
  <c r="Q360" i="5"/>
  <c r="Q377" i="5"/>
  <c r="Q411" i="5"/>
  <c r="Q427" i="5"/>
  <c r="Q530" i="5"/>
  <c r="Q561" i="5"/>
  <c r="Q593" i="5"/>
  <c r="Q619" i="5"/>
  <c r="Q621" i="5"/>
  <c r="Q636" i="5"/>
  <c r="Q711" i="5"/>
  <c r="Q713" i="5"/>
  <c r="Q765" i="5"/>
  <c r="Q766" i="5"/>
  <c r="Q799" i="5"/>
  <c r="Q800" i="5"/>
  <c r="Q801" i="5"/>
  <c r="Q837" i="5"/>
  <c r="Q840" i="5"/>
  <c r="Q854" i="5"/>
  <c r="Q862" i="5"/>
  <c r="Q872" i="5"/>
  <c r="Q901" i="5"/>
  <c r="Q920" i="5"/>
  <c r="Q927" i="5"/>
  <c r="Q937" i="5"/>
  <c r="Q940" i="5"/>
  <c r="Q953" i="5"/>
  <c r="Q963" i="5"/>
  <c r="Q998" i="5"/>
  <c r="Q999" i="5"/>
  <c r="Q1068" i="5"/>
  <c r="Q14" i="5"/>
  <c r="Q21" i="5"/>
  <c r="Q27" i="5"/>
  <c r="Q45" i="5"/>
  <c r="Q55" i="5"/>
  <c r="Q73" i="5"/>
  <c r="Q82" i="5"/>
  <c r="Q91" i="5"/>
  <c r="Q112" i="5"/>
  <c r="Q113" i="5"/>
  <c r="Q120" i="5"/>
  <c r="Q146" i="5"/>
  <c r="Q147" i="5"/>
  <c r="Q160" i="5"/>
  <c r="Q169" i="5"/>
  <c r="Q170" i="5"/>
  <c r="Q171" i="5"/>
  <c r="Q211" i="5"/>
  <c r="Q221" i="5"/>
  <c r="Q222" i="5"/>
  <c r="Q230" i="5"/>
  <c r="Q235" i="5"/>
  <c r="Q275" i="5"/>
  <c r="Q276" i="5"/>
  <c r="Q277" i="5"/>
  <c r="Q286" i="5"/>
  <c r="Q290" i="5"/>
  <c r="Q294" i="5"/>
  <c r="Q295" i="5"/>
  <c r="Q316" i="5"/>
  <c r="Q318" i="5"/>
  <c r="Q332" i="5"/>
  <c r="Q333" i="5"/>
  <c r="Q354" i="5"/>
  <c r="Q378" i="5"/>
  <c r="Q395" i="5"/>
  <c r="Q416" i="5"/>
  <c r="Q417" i="5"/>
  <c r="Q435" i="5"/>
  <c r="Q436" i="5"/>
  <c r="Q437" i="5"/>
  <c r="Q464" i="5"/>
  <c r="Q465" i="5"/>
  <c r="Q473" i="5"/>
  <c r="Q474" i="5"/>
  <c r="Q475" i="5"/>
  <c r="Q487" i="5"/>
  <c r="Q505" i="5"/>
  <c r="Q506" i="5"/>
  <c r="Q509" i="5"/>
  <c r="Q520" i="5"/>
  <c r="Q522" i="5"/>
  <c r="Q523" i="5"/>
  <c r="Q528" i="5"/>
  <c r="Q534" i="5"/>
  <c r="Q535" i="5"/>
  <c r="Q544" i="5"/>
  <c r="Q545" i="5"/>
  <c r="Q555" i="5"/>
  <c r="Q556" i="5"/>
  <c r="Q597" i="5"/>
  <c r="Q603" i="5"/>
  <c r="Q604" i="5"/>
  <c r="Q622" i="5"/>
  <c r="Q623" i="5"/>
  <c r="Q624" i="5"/>
  <c r="Q625" i="5"/>
  <c r="Q631" i="5"/>
  <c r="Q646" i="5"/>
  <c r="Q650" i="5"/>
  <c r="Q654" i="5"/>
  <c r="Q658" i="5"/>
  <c r="Q672" i="5"/>
  <c r="Q686" i="5"/>
  <c r="Q690" i="5"/>
  <c r="Q691" i="5"/>
  <c r="Q692" i="5"/>
  <c r="Q693" i="5"/>
  <c r="Q694" i="5"/>
  <c r="Q731" i="5"/>
  <c r="Q746" i="5"/>
  <c r="Q751" i="5"/>
  <c r="Q752" i="5"/>
  <c r="Q753" i="5"/>
  <c r="Q754" i="5"/>
  <c r="Q789" i="5"/>
  <c r="Q790" i="5"/>
  <c r="Q791" i="5"/>
  <c r="Q792" i="5"/>
  <c r="Q813" i="5"/>
  <c r="Q814" i="5"/>
  <c r="Q815" i="5"/>
  <c r="Q819" i="5"/>
  <c r="Q820" i="5"/>
  <c r="Q821" i="5"/>
  <c r="Q829" i="5"/>
  <c r="Q845" i="5"/>
  <c r="Q846" i="5"/>
  <c r="Q891" i="5"/>
  <c r="Q893" i="5"/>
  <c r="Q894" i="5"/>
  <c r="Q909" i="5"/>
  <c r="Q910" i="5"/>
  <c r="Q944" i="5"/>
  <c r="Q945" i="5"/>
  <c r="Q972" i="5"/>
  <c r="Q973" i="5"/>
  <c r="Q977" i="5"/>
  <c r="Q978" i="5"/>
  <c r="Q980" i="5"/>
  <c r="Q1002" i="5"/>
  <c r="Q1005" i="5"/>
  <c r="Q1007" i="5"/>
  <c r="Q1010" i="5"/>
  <c r="Q1017" i="5"/>
  <c r="Q1021" i="5"/>
  <c r="Q1028" i="5"/>
  <c r="Q1029" i="5"/>
  <c r="Q1082" i="5"/>
  <c r="Q1090" i="5"/>
  <c r="Q1091" i="5"/>
  <c r="Q40" i="5"/>
  <c r="Q66" i="5"/>
  <c r="Q67" i="5"/>
  <c r="Q86" i="5"/>
  <c r="Q134" i="5"/>
  <c r="Q194" i="5"/>
  <c r="Q195" i="5"/>
  <c r="Q196" i="5"/>
  <c r="Q197" i="5"/>
  <c r="Q202" i="5"/>
  <c r="Q203" i="5"/>
  <c r="Q204" i="5"/>
  <c r="Q205" i="5"/>
  <c r="Q206" i="5"/>
  <c r="Q207" i="5"/>
  <c r="Q210" i="5"/>
  <c r="Q265" i="5"/>
  <c r="Q328" i="5"/>
  <c r="Q329" i="5"/>
  <c r="Q365" i="5"/>
  <c r="Q367" i="5"/>
  <c r="Q370" i="5"/>
  <c r="Q382" i="5"/>
  <c r="Q384" i="5"/>
  <c r="Q390" i="5"/>
  <c r="Q393" i="5"/>
  <c r="Q570" i="5"/>
  <c r="Q576" i="5"/>
  <c r="Q630" i="5"/>
  <c r="Q681" i="5"/>
  <c r="Q682" i="5"/>
  <c r="Q880" i="5"/>
  <c r="Q954" i="5"/>
  <c r="Q958" i="5"/>
  <c r="Q1044" i="5"/>
  <c r="Q1046" i="5"/>
  <c r="Q1049" i="5"/>
  <c r="Q1050" i="5"/>
  <c r="Q385" i="5"/>
  <c r="Q581" i="5"/>
  <c r="Q1033" i="5"/>
  <c r="Q1035" i="5"/>
  <c r="Q198" i="5"/>
  <c r="Q199" i="5"/>
  <c r="Q361" i="5"/>
  <c r="Q396" i="5"/>
  <c r="Q536" i="5"/>
  <c r="Q539" i="5"/>
  <c r="Q542" i="5"/>
  <c r="Q575" i="5"/>
  <c r="Q740" i="5"/>
  <c r="Q741" i="5"/>
  <c r="Q873" i="5"/>
  <c r="Q877" i="5"/>
  <c r="Q1043" i="5"/>
  <c r="Q1051" i="5"/>
  <c r="Q1052" i="5"/>
  <c r="Q1053" i="5"/>
  <c r="Q155" i="5"/>
  <c r="Q283" i="5"/>
  <c r="Q392" i="5"/>
  <c r="Q564" i="5"/>
  <c r="Q598" i="5"/>
  <c r="Q607" i="5"/>
  <c r="Q926" i="5"/>
  <c r="Q1080" i="5"/>
  <c r="Q32" i="5"/>
  <c r="Q48" i="5"/>
  <c r="Q61" i="5"/>
  <c r="Q256" i="5"/>
  <c r="Q347" i="5"/>
  <c r="Q356" i="5"/>
  <c r="Q357" i="5"/>
  <c r="Q398" i="5"/>
  <c r="Q402" i="5"/>
  <c r="Q412" i="5"/>
  <c r="Q419" i="5"/>
  <c r="Q422" i="5"/>
  <c r="Q430" i="5"/>
  <c r="Q439" i="5"/>
  <c r="Q449" i="5"/>
  <c r="Q453" i="5"/>
  <c r="Q490" i="5"/>
  <c r="Q494" i="5"/>
  <c r="Q500" i="5"/>
  <c r="Q512" i="5"/>
  <c r="Q516" i="5"/>
  <c r="Q527" i="5"/>
  <c r="Q721" i="5"/>
  <c r="Q773" i="5"/>
  <c r="Q853" i="5"/>
  <c r="Q919" i="5"/>
  <c r="Q151" i="5"/>
  <c r="Q109" i="5"/>
  <c r="Q823" i="5"/>
  <c r="Q855" i="5"/>
  <c r="Q856" i="5"/>
  <c r="Q858" i="5"/>
  <c r="Q867" i="5"/>
  <c r="Q870" i="5"/>
  <c r="Q883" i="5"/>
  <c r="Q884" i="5"/>
  <c r="Q900" i="5"/>
  <c r="Q906" i="5"/>
  <c r="Q928" i="5"/>
  <c r="Q931" i="5"/>
  <c r="Q932" i="5"/>
  <c r="Q939" i="5"/>
  <c r="Q948" i="5"/>
  <c r="Q961" i="5"/>
  <c r="Q965" i="5"/>
  <c r="Q966" i="5"/>
  <c r="Q974" i="5"/>
  <c r="Q5" i="5"/>
  <c r="Q470" i="5"/>
  <c r="Q566" i="5"/>
  <c r="Q739" i="5"/>
  <c r="Q838" i="5"/>
  <c r="Q897" i="5"/>
  <c r="Q8" i="5"/>
  <c r="Q9" i="5"/>
  <c r="Q29" i="5"/>
  <c r="Q34" i="5"/>
  <c r="Q37" i="5"/>
  <c r="Q38" i="5"/>
  <c r="Q41" i="5"/>
  <c r="Q42" i="5"/>
  <c r="Q52" i="5"/>
  <c r="Q53" i="5"/>
  <c r="Q60" i="5"/>
  <c r="Q62" i="5"/>
  <c r="Q63" i="5"/>
  <c r="Q65" i="5"/>
  <c r="Q68" i="5"/>
  <c r="Q70" i="5"/>
  <c r="Q72" i="5"/>
  <c r="Q87" i="5"/>
  <c r="Q88" i="5"/>
  <c r="Q92" i="5"/>
  <c r="Q94" i="5"/>
  <c r="Q95" i="5"/>
  <c r="Q97" i="5"/>
  <c r="Q99" i="5"/>
  <c r="Q106" i="5"/>
  <c r="Q108" i="5"/>
  <c r="Q115" i="5"/>
  <c r="Q116" i="5"/>
  <c r="Q117" i="5"/>
  <c r="Q119" i="5"/>
  <c r="Q121" i="5"/>
  <c r="Q124" i="5"/>
  <c r="Q125" i="5"/>
  <c r="Q127" i="5"/>
  <c r="Q128" i="5"/>
  <c r="Q129" i="5"/>
  <c r="Q135" i="5"/>
  <c r="Q209" i="5"/>
  <c r="Q296" i="5"/>
  <c r="Q297" i="5"/>
  <c r="Q298" i="5"/>
  <c r="Q300" i="5"/>
  <c r="Q302" i="5"/>
  <c r="Q303" i="5"/>
  <c r="Q310" i="5"/>
  <c r="Q311" i="5"/>
  <c r="Q312" i="5"/>
  <c r="Q345" i="5"/>
  <c r="Q348" i="5"/>
  <c r="Q350" i="5"/>
  <c r="Q355" i="5"/>
  <c r="Q358" i="5"/>
  <c r="Q364" i="5"/>
  <c r="Q369" i="5"/>
  <c r="Q372" i="5"/>
  <c r="Q381" i="5"/>
  <c r="Q383" i="5"/>
  <c r="Q399" i="5"/>
  <c r="Q401" i="5"/>
  <c r="Q403" i="5"/>
  <c r="Q404" i="5"/>
  <c r="Q406" i="5"/>
  <c r="Q409" i="5"/>
  <c r="Q413" i="5"/>
  <c r="Q425" i="5"/>
  <c r="Q428" i="5"/>
  <c r="Q429" i="5"/>
  <c r="Q431" i="5"/>
  <c r="Q432" i="5"/>
  <c r="Q446" i="5"/>
  <c r="Q447" i="5"/>
  <c r="Q450" i="5"/>
  <c r="Q452" i="5"/>
  <c r="Q455" i="5"/>
  <c r="Q486" i="5"/>
  <c r="Q488" i="5"/>
  <c r="Q491" i="5"/>
  <c r="Q493" i="5"/>
  <c r="Q495" i="5"/>
  <c r="Q496" i="5"/>
  <c r="Q497" i="5"/>
  <c r="Q498" i="5"/>
  <c r="Q499" i="5"/>
  <c r="Q501" i="5"/>
  <c r="Q511" i="5"/>
  <c r="Q513" i="5"/>
  <c r="Q514" i="5"/>
  <c r="Q515" i="5"/>
  <c r="Q517" i="5"/>
  <c r="Q518" i="5"/>
  <c r="Q587" i="5"/>
  <c r="Q589" i="5"/>
  <c r="Q590" i="5"/>
  <c r="Q595" i="5"/>
  <c r="Q596" i="5"/>
  <c r="Q614" i="5"/>
  <c r="Q615" i="5"/>
  <c r="Q617" i="5"/>
  <c r="Q618" i="5"/>
  <c r="Q620" i="5"/>
  <c r="Q627" i="5"/>
  <c r="Q632" i="5"/>
  <c r="Q633" i="5"/>
  <c r="Q663" i="5"/>
  <c r="Q664" i="5"/>
  <c r="Q667" i="5"/>
  <c r="Q668" i="5"/>
  <c r="Q669" i="5"/>
  <c r="Q670" i="5"/>
  <c r="Q680" i="5"/>
  <c r="Q683" i="5"/>
  <c r="Q684" i="5"/>
  <c r="Q685" i="5"/>
  <c r="Q688" i="5"/>
  <c r="Q689" i="5"/>
  <c r="Q697" i="5"/>
  <c r="Q701" i="5"/>
  <c r="Q722" i="5"/>
  <c r="Q723" i="5"/>
  <c r="Q724" i="5"/>
  <c r="Q725" i="5"/>
  <c r="Q726" i="5"/>
  <c r="Q727" i="5"/>
  <c r="Q728" i="5"/>
  <c r="Q729" i="5"/>
  <c r="Q732" i="5"/>
  <c r="Q733" i="5"/>
  <c r="Q734" i="5"/>
  <c r="Q736" i="5"/>
  <c r="Q737" i="5"/>
  <c r="Q738" i="5"/>
  <c r="Q743" i="5"/>
  <c r="Q744" i="5"/>
  <c r="Q745" i="5"/>
  <c r="Q748" i="5"/>
  <c r="Q749" i="5"/>
  <c r="Q776" i="5"/>
  <c r="Q777" i="5"/>
  <c r="Q779" i="5"/>
  <c r="Q780" i="5"/>
  <c r="Q782" i="5"/>
  <c r="Q783" i="5"/>
  <c r="Q784" i="5"/>
  <c r="Q788" i="5"/>
  <c r="Q833" i="5"/>
  <c r="Q834" i="5"/>
  <c r="Q835" i="5"/>
  <c r="Q836" i="5"/>
  <c r="Q842" i="5"/>
  <c r="Q843" i="5"/>
  <c r="Q844" i="5"/>
  <c r="Q849" i="5"/>
  <c r="Q850" i="5"/>
  <c r="Q851" i="5"/>
  <c r="Q852" i="5"/>
  <c r="Q859" i="5"/>
  <c r="Q860" i="5"/>
  <c r="Q871" i="5"/>
  <c r="Q879" i="5"/>
  <c r="Q912" i="5"/>
  <c r="Q913" i="5"/>
  <c r="Q914" i="5"/>
  <c r="Q915" i="5"/>
  <c r="Q921" i="5"/>
  <c r="Q922" i="5"/>
  <c r="Q923" i="5"/>
  <c r="Q929" i="5"/>
  <c r="Q933" i="5"/>
  <c r="Q934" i="5"/>
  <c r="Q935" i="5"/>
  <c r="Q936" i="5"/>
  <c r="Q941" i="5"/>
  <c r="Q943" i="5"/>
  <c r="Q947" i="5"/>
  <c r="Q950" i="5"/>
  <c r="Q955" i="5"/>
  <c r="Q956" i="5"/>
  <c r="Q959" i="5"/>
  <c r="Q960" i="5"/>
  <c r="Q962" i="5"/>
  <c r="Q969" i="5"/>
  <c r="Q1031" i="5"/>
  <c r="Q1032" i="5"/>
  <c r="Q1045" i="5"/>
  <c r="Q1092" i="5"/>
  <c r="Q1093" i="5"/>
  <c r="Q1094" i="5"/>
  <c r="Q1095" i="5"/>
  <c r="Q1096" i="5"/>
  <c r="Q1098" i="5"/>
  <c r="Q1099" i="5"/>
  <c r="Q1100" i="5"/>
  <c r="Q1101" i="5"/>
  <c r="Q881" i="5"/>
  <c r="Q238" i="5"/>
  <c r="Q246" i="5"/>
  <c r="Q248" i="5"/>
  <c r="Q249" i="5"/>
  <c r="Q463" i="5"/>
  <c r="Q467" i="5"/>
  <c r="Q472" i="5"/>
  <c r="Q476" i="5"/>
  <c r="Q643" i="5"/>
  <c r="Q644" i="5"/>
  <c r="Q647" i="5"/>
  <c r="Q651" i="5"/>
  <c r="Q655" i="5"/>
  <c r="Q656" i="5"/>
  <c r="Q816" i="5"/>
  <c r="Q818" i="5"/>
  <c r="Q824" i="5"/>
  <c r="Q826" i="5"/>
  <c r="Q983" i="5"/>
  <c r="Q984" i="5"/>
  <c r="Q1008" i="5"/>
  <c r="Q1009" i="5"/>
  <c r="Q442" i="5"/>
  <c r="Q605" i="5"/>
  <c r="Q640" i="5"/>
  <c r="Q641" i="5"/>
  <c r="Q703" i="5"/>
  <c r="Q841" i="5"/>
  <c r="Q1000" i="5"/>
  <c r="Q226" i="5"/>
  <c r="Q227" i="5"/>
  <c r="Q460" i="5"/>
  <c r="Q478" i="5"/>
  <c r="Q639" i="5"/>
  <c r="Q1003" i="5"/>
  <c r="Q228" i="5"/>
  <c r="Q229" i="5"/>
  <c r="Q458" i="5"/>
  <c r="Q461" i="5"/>
  <c r="Q477" i="5"/>
  <c r="Q638" i="5"/>
  <c r="Q804" i="5"/>
  <c r="Q806" i="5"/>
  <c r="Q807" i="5"/>
  <c r="Q808" i="5"/>
  <c r="Q809" i="5"/>
  <c r="Q810" i="5"/>
  <c r="Q830" i="5"/>
  <c r="Q976" i="5"/>
  <c r="Q985" i="5"/>
  <c r="Q1011" i="5"/>
  <c r="Q1012" i="5"/>
  <c r="Q811" i="5"/>
  <c r="Q110" i="5"/>
  <c r="Q274" i="5"/>
  <c r="Q278" i="5"/>
  <c r="Q284" i="5"/>
  <c r="Q289" i="5"/>
  <c r="Q342" i="5"/>
  <c r="Q408" i="5"/>
  <c r="Q424" i="5"/>
  <c r="Q551" i="5"/>
  <c r="Q562" i="5"/>
  <c r="Q567" i="5"/>
  <c r="Q889" i="5"/>
  <c r="Q15" i="5"/>
  <c r="Q180" i="5"/>
  <c r="Q661" i="5"/>
  <c r="Q698" i="5"/>
  <c r="Q878" i="5"/>
  <c r="Q242" i="5"/>
  <c r="Q243" i="5"/>
  <c r="Q645" i="5"/>
  <c r="Q648" i="5"/>
  <c r="Q649" i="5"/>
  <c r="Q653" i="5"/>
  <c r="Q657" i="5"/>
  <c r="Q825" i="5"/>
  <c r="Q828" i="5"/>
  <c r="Q986" i="5"/>
  <c r="Q987" i="5"/>
  <c r="Q167" i="5"/>
  <c r="Q916" i="5"/>
  <c r="Q812" i="5"/>
  <c r="Q822" i="5"/>
  <c r="Q847" i="5"/>
  <c r="Q861" i="5"/>
  <c r="Q864" i="5"/>
  <c r="Q865" i="5"/>
  <c r="Q875" i="5"/>
  <c r="Q890" i="5"/>
  <c r="Q904" i="5"/>
  <c r="Q905" i="5"/>
  <c r="Q907" i="5"/>
  <c r="Q925" i="5"/>
  <c r="Q942" i="5"/>
  <c r="Q949" i="5"/>
  <c r="Q968" i="5"/>
  <c r="Q970" i="5"/>
  <c r="Q971" i="5"/>
  <c r="Q975" i="5"/>
  <c r="Q982" i="5"/>
  <c r="Q866" i="5"/>
  <c r="Q11" i="5"/>
  <c r="Q28" i="5"/>
  <c r="Q31" i="5"/>
  <c r="Q33" i="5"/>
  <c r="Q44" i="5"/>
  <c r="Q54" i="5"/>
  <c r="Q58" i="5"/>
  <c r="Q71" i="5"/>
  <c r="Q75" i="5"/>
  <c r="Q78" i="5"/>
  <c r="Q89" i="5"/>
  <c r="Q90" i="5"/>
  <c r="Q96" i="5"/>
  <c r="Q98" i="5"/>
  <c r="Q100" i="5"/>
  <c r="Q101" i="5"/>
  <c r="Q102" i="5"/>
  <c r="Q107" i="5"/>
  <c r="Q118" i="5"/>
  <c r="Q122" i="5"/>
  <c r="Q123" i="5"/>
  <c r="Q126" i="5"/>
  <c r="Q131" i="5"/>
  <c r="Q132" i="5"/>
  <c r="Q136" i="5"/>
  <c r="Q172" i="5"/>
  <c r="Q173" i="5"/>
  <c r="Q174" i="5"/>
  <c r="Q177" i="5"/>
  <c r="Q178" i="5"/>
  <c r="Q181" i="5"/>
  <c r="Q183" i="5"/>
  <c r="Q184" i="5"/>
  <c r="Q208" i="5"/>
  <c r="Q212" i="5"/>
  <c r="Q213" i="5"/>
  <c r="Q214" i="5"/>
  <c r="Q215" i="5"/>
  <c r="Q216" i="5"/>
  <c r="Q217" i="5"/>
  <c r="Q218" i="5"/>
  <c r="Q232" i="5"/>
  <c r="Q262" i="5"/>
  <c r="Q299" i="5"/>
  <c r="Q301" i="5"/>
  <c r="Q306" i="5"/>
  <c r="Q307" i="5"/>
  <c r="Q308" i="5"/>
  <c r="Q309" i="5"/>
  <c r="Q314" i="5"/>
  <c r="Q324" i="5"/>
  <c r="Q326" i="5"/>
  <c r="Q344" i="5"/>
  <c r="Q346" i="5"/>
  <c r="Q349" i="5"/>
  <c r="Q366" i="5"/>
  <c r="Q371" i="5"/>
  <c r="Q397" i="5"/>
  <c r="Q400" i="5"/>
  <c r="Q407" i="5"/>
  <c r="Q414" i="5"/>
  <c r="Q420" i="5"/>
  <c r="Q421" i="5"/>
  <c r="Q433" i="5"/>
  <c r="Q434" i="5"/>
  <c r="Q440" i="5"/>
  <c r="Q448" i="5"/>
  <c r="Q451" i="5"/>
  <c r="Q456" i="5"/>
  <c r="Q459" i="5"/>
  <c r="Q462" i="5"/>
  <c r="Q479" i="5"/>
  <c r="Q481" i="5"/>
  <c r="Q482" i="5"/>
  <c r="Q483" i="5"/>
  <c r="Q484" i="5"/>
  <c r="Q485" i="5"/>
  <c r="Q489" i="5"/>
  <c r="Q492" i="5"/>
  <c r="Q502" i="5"/>
  <c r="Q507" i="5"/>
  <c r="Q508" i="5"/>
  <c r="Q510" i="5"/>
  <c r="Q519" i="5"/>
  <c r="Q521" i="5"/>
  <c r="Q524" i="5"/>
  <c r="Q543" i="5"/>
  <c r="Q546" i="5"/>
  <c r="Q547" i="5"/>
  <c r="Q549" i="5"/>
  <c r="Q558" i="5"/>
  <c r="Q559" i="5"/>
  <c r="Q560" i="5"/>
  <c r="Q563" i="5"/>
  <c r="Q565" i="5"/>
  <c r="Q574" i="5"/>
  <c r="Q584" i="5"/>
  <c r="Q585" i="5"/>
  <c r="Q586" i="5"/>
  <c r="Q628" i="5"/>
  <c r="Q629" i="5"/>
  <c r="Q642" i="5"/>
  <c r="Q665" i="5"/>
  <c r="Q666" i="5"/>
  <c r="Q671" i="5"/>
  <c r="Q673" i="5"/>
  <c r="Q675" i="5"/>
  <c r="Q676" i="5"/>
  <c r="Q677" i="5"/>
  <c r="Q678" i="5"/>
  <c r="Q679" i="5"/>
  <c r="Q687" i="5"/>
  <c r="Q715" i="5"/>
  <c r="Q717" i="5"/>
  <c r="Q718" i="5"/>
  <c r="Q730" i="5"/>
  <c r="Q735" i="5"/>
  <c r="Q742" i="5"/>
  <c r="Q747" i="5"/>
  <c r="Q767" i="5"/>
  <c r="Q768" i="5"/>
  <c r="Q769" i="5"/>
  <c r="Q774" i="5"/>
  <c r="Q775" i="5"/>
  <c r="Q778" i="5"/>
  <c r="Q781" i="5"/>
  <c r="Q785" i="5"/>
  <c r="Q786" i="5"/>
  <c r="Q787" i="5"/>
  <c r="Q898" i="5"/>
  <c r="Q899" i="5"/>
  <c r="Q924" i="5"/>
  <c r="Q951" i="5"/>
  <c r="Q1013" i="5"/>
  <c r="Q1018" i="5"/>
  <c r="Q1019" i="5"/>
  <c r="Q1020" i="5"/>
  <c r="Q1022" i="5"/>
  <c r="Q1023" i="5"/>
  <c r="Q1024" i="5"/>
  <c r="Q1025" i="5"/>
  <c r="Q1030" i="5"/>
  <c r="Q1037" i="5"/>
  <c r="Q1039" i="5"/>
  <c r="Q1040" i="5"/>
  <c r="Q1042" i="5"/>
  <c r="Q1048" i="5"/>
  <c r="Q1055" i="5"/>
  <c r="Q1056" i="5"/>
  <c r="Q1078" i="5"/>
  <c r="Q1079" i="5"/>
  <c r="Q1083" i="5"/>
  <c r="Q1084" i="5"/>
  <c r="Q1085" i="5"/>
  <c r="Q1086" i="5"/>
  <c r="Q1087" i="5"/>
  <c r="Q1088" i="5"/>
  <c r="K37" i="4"/>
  <c r="M6" i="4"/>
  <c r="Q23" i="5"/>
  <c r="Q153" i="5"/>
  <c r="Q154" i="5"/>
  <c r="Q164" i="5"/>
  <c r="Q182" i="5"/>
  <c r="Q254" i="5"/>
  <c r="Q255" i="5"/>
  <c r="Q261" i="5"/>
  <c r="Q387" i="5"/>
  <c r="Q388" i="5"/>
  <c r="Q389" i="5"/>
  <c r="Q550" i="5"/>
  <c r="Q600" i="5"/>
  <c r="Q613" i="5"/>
  <c r="Q662" i="5"/>
  <c r="Q710" i="5"/>
  <c r="Q930" i="5"/>
  <c r="Q1014" i="5"/>
  <c r="Q1072" i="5"/>
  <c r="Q1073" i="5"/>
  <c r="Q1074" i="5"/>
  <c r="Q1075" i="5"/>
  <c r="Q1076" i="5"/>
  <c r="Q1077" i="5"/>
  <c r="Q13" i="2"/>
  <c r="P14" i="2" s="1"/>
  <c r="O13" i="2"/>
  <c r="N14" i="2" s="1"/>
  <c r="M13" i="2"/>
  <c r="L14" i="2" s="1"/>
  <c r="K13" i="2"/>
  <c r="J14" i="2" s="1"/>
  <c r="I13" i="2"/>
  <c r="H14" i="2" s="1"/>
  <c r="G13" i="2"/>
  <c r="F14" i="2" s="1"/>
  <c r="E13" i="2"/>
  <c r="D14" i="2" s="1"/>
  <c r="C13" i="2"/>
  <c r="B14" i="2" s="1"/>
  <c r="K10" i="11"/>
  <c r="L6" i="11"/>
  <c r="L10" i="12"/>
  <c r="L18" i="12"/>
  <c r="L22" i="12"/>
  <c r="L29" i="12"/>
  <c r="L6" i="12"/>
  <c r="L14" i="12"/>
  <c r="L23" i="12"/>
  <c r="M23" i="12" s="1"/>
  <c r="L30" i="12"/>
  <c r="M30" i="12" s="1"/>
  <c r="L34" i="12"/>
  <c r="K9" i="15"/>
  <c r="L6" i="15"/>
  <c r="L24" i="12"/>
  <c r="M24" i="12" s="1"/>
  <c r="L25" i="12"/>
  <c r="M25" i="12" s="1"/>
  <c r="K11" i="15" l="1"/>
  <c r="L9" i="15"/>
  <c r="L35" i="12"/>
  <c r="M35" i="12" s="1"/>
  <c r="M34" i="12"/>
  <c r="L15" i="12"/>
  <c r="M15" i="12" s="1"/>
  <c r="M14" i="12"/>
  <c r="L7" i="12"/>
  <c r="M7" i="12" s="1"/>
  <c r="M6" i="12"/>
  <c r="L31" i="12"/>
  <c r="M31" i="12" s="1"/>
  <c r="M29" i="12"/>
  <c r="L26" i="12"/>
  <c r="M26" i="12" s="1"/>
  <c r="M22" i="12"/>
  <c r="L19" i="12"/>
  <c r="M19" i="12" s="1"/>
  <c r="M18" i="12"/>
  <c r="L11" i="12"/>
  <c r="M11" i="12" s="1"/>
  <c r="M10" i="12"/>
  <c r="K12" i="11"/>
  <c r="L10" i="11"/>
  <c r="C18" i="2"/>
  <c r="C17" i="2"/>
  <c r="C16" i="2"/>
  <c r="C15" i="2"/>
  <c r="B19" i="2" s="1"/>
  <c r="E18" i="2"/>
  <c r="E17" i="2"/>
  <c r="E16" i="2"/>
  <c r="E15" i="2"/>
  <c r="D19" i="2" s="1"/>
  <c r="G18" i="2"/>
  <c r="G17" i="2"/>
  <c r="G16" i="2"/>
  <c r="G15" i="2"/>
  <c r="F19" i="2" s="1"/>
  <c r="I18" i="2"/>
  <c r="I17" i="2"/>
  <c r="I16" i="2"/>
  <c r="I15" i="2"/>
  <c r="H19" i="2" s="1"/>
  <c r="K18" i="2"/>
  <c r="K17" i="2"/>
  <c r="K16" i="2"/>
  <c r="K15" i="2"/>
  <c r="J19" i="2" s="1"/>
  <c r="M18" i="2"/>
  <c r="M17" i="2"/>
  <c r="M16" i="2"/>
  <c r="M15" i="2"/>
  <c r="L19" i="2" s="1"/>
  <c r="O18" i="2"/>
  <c r="O17" i="2"/>
  <c r="O16" i="2"/>
  <c r="O15" i="2"/>
  <c r="N19" i="2" s="1"/>
  <c r="Q18" i="2"/>
  <c r="Q17" i="2"/>
  <c r="Q16" i="2"/>
  <c r="Q15" i="2"/>
  <c r="P19" i="2" s="1"/>
  <c r="T1077" i="5"/>
  <c r="U1077" i="5" s="1"/>
  <c r="S1077" i="5"/>
  <c r="R1077" i="5"/>
  <c r="T1076" i="5"/>
  <c r="U1076" i="5" s="1"/>
  <c r="S1076" i="5"/>
  <c r="R1076" i="5"/>
  <c r="T1075" i="5"/>
  <c r="U1075" i="5" s="1"/>
  <c r="S1075" i="5"/>
  <c r="R1075" i="5"/>
  <c r="T1074" i="5"/>
  <c r="U1074" i="5" s="1"/>
  <c r="S1074" i="5"/>
  <c r="R1074" i="5"/>
  <c r="T1073" i="5"/>
  <c r="U1073" i="5" s="1"/>
  <c r="S1073" i="5"/>
  <c r="R1073" i="5"/>
  <c r="T1072" i="5"/>
  <c r="U1072" i="5" s="1"/>
  <c r="S1072" i="5"/>
  <c r="R1072" i="5"/>
  <c r="T1014" i="5"/>
  <c r="U1014" i="5" s="1"/>
  <c r="S1014" i="5"/>
  <c r="R1014" i="5"/>
  <c r="T930" i="5"/>
  <c r="U930" i="5" s="1"/>
  <c r="S930" i="5"/>
  <c r="R930" i="5"/>
  <c r="T710" i="5"/>
  <c r="U710" i="5" s="1"/>
  <c r="S710" i="5"/>
  <c r="R710" i="5"/>
  <c r="T662" i="5"/>
  <c r="U662" i="5" s="1"/>
  <c r="S662" i="5"/>
  <c r="R662" i="5"/>
  <c r="T613" i="5"/>
  <c r="U613" i="5" s="1"/>
  <c r="S613" i="5"/>
  <c r="R613" i="5"/>
  <c r="T600" i="5"/>
  <c r="U600" i="5" s="1"/>
  <c r="S600" i="5"/>
  <c r="R600" i="5"/>
  <c r="T550" i="5"/>
  <c r="U550" i="5" s="1"/>
  <c r="S550" i="5"/>
  <c r="R550" i="5"/>
  <c r="T389" i="5"/>
  <c r="U389" i="5" s="1"/>
  <c r="S389" i="5"/>
  <c r="R389" i="5"/>
  <c r="T388" i="5"/>
  <c r="U388" i="5" s="1"/>
  <c r="S388" i="5"/>
  <c r="R388" i="5"/>
  <c r="T387" i="5"/>
  <c r="U387" i="5" s="1"/>
  <c r="S387" i="5"/>
  <c r="R387" i="5"/>
  <c r="T261" i="5"/>
  <c r="U261" i="5" s="1"/>
  <c r="S261" i="5"/>
  <c r="R261" i="5"/>
  <c r="T255" i="5"/>
  <c r="U255" i="5" s="1"/>
  <c r="S255" i="5"/>
  <c r="R255" i="5"/>
  <c r="Q338" i="5"/>
  <c r="T254" i="5"/>
  <c r="S254" i="5"/>
  <c r="S338" i="5" s="1"/>
  <c r="R254" i="5"/>
  <c r="R338" i="5" s="1"/>
  <c r="T182" i="5"/>
  <c r="U182" i="5" s="1"/>
  <c r="S182" i="5"/>
  <c r="R182" i="5"/>
  <c r="T164" i="5"/>
  <c r="U164" i="5" s="1"/>
  <c r="S164" i="5"/>
  <c r="R164" i="5"/>
  <c r="T154" i="5"/>
  <c r="U154" i="5" s="1"/>
  <c r="S154" i="5"/>
  <c r="R154" i="5"/>
  <c r="T153" i="5"/>
  <c r="U153" i="5" s="1"/>
  <c r="S153" i="5"/>
  <c r="R153" i="5"/>
  <c r="T23" i="5"/>
  <c r="U23" i="5" s="1"/>
  <c r="S23" i="5"/>
  <c r="R23" i="5"/>
  <c r="M37" i="4"/>
  <c r="N6" i="4"/>
  <c r="T1088" i="5"/>
  <c r="U1088" i="5" s="1"/>
  <c r="S1088" i="5"/>
  <c r="R1088" i="5"/>
  <c r="T1087" i="5"/>
  <c r="U1087" i="5" s="1"/>
  <c r="S1087" i="5"/>
  <c r="R1087" i="5"/>
  <c r="T1086" i="5"/>
  <c r="U1086" i="5" s="1"/>
  <c r="S1086" i="5"/>
  <c r="R1086" i="5"/>
  <c r="T1085" i="5"/>
  <c r="U1085" i="5" s="1"/>
  <c r="S1085" i="5"/>
  <c r="R1085" i="5"/>
  <c r="T1084" i="5"/>
  <c r="U1084" i="5" s="1"/>
  <c r="S1084" i="5"/>
  <c r="R1084" i="5"/>
  <c r="T1083" i="5"/>
  <c r="U1083" i="5" s="1"/>
  <c r="S1083" i="5"/>
  <c r="R1083" i="5"/>
  <c r="T1079" i="5"/>
  <c r="U1079" i="5" s="1"/>
  <c r="S1079" i="5"/>
  <c r="R1079" i="5"/>
  <c r="T1078" i="5"/>
  <c r="U1078" i="5" s="1"/>
  <c r="S1078" i="5"/>
  <c r="R1078" i="5"/>
  <c r="T1056" i="5"/>
  <c r="U1056" i="5" s="1"/>
  <c r="S1056" i="5"/>
  <c r="R1056" i="5"/>
  <c r="T1055" i="5"/>
  <c r="U1055" i="5" s="1"/>
  <c r="S1055" i="5"/>
  <c r="R1055" i="5"/>
  <c r="T1048" i="5"/>
  <c r="U1048" i="5" s="1"/>
  <c r="S1048" i="5"/>
  <c r="R1048" i="5"/>
  <c r="T1042" i="5"/>
  <c r="U1042" i="5" s="1"/>
  <c r="S1042" i="5"/>
  <c r="R1042" i="5"/>
  <c r="T1040" i="5"/>
  <c r="U1040" i="5" s="1"/>
  <c r="S1040" i="5"/>
  <c r="R1040" i="5"/>
  <c r="T1039" i="5"/>
  <c r="U1039" i="5" s="1"/>
  <c r="S1039" i="5"/>
  <c r="R1039" i="5"/>
  <c r="T1037" i="5"/>
  <c r="U1037" i="5" s="1"/>
  <c r="S1037" i="5"/>
  <c r="R1037" i="5"/>
  <c r="T1030" i="5"/>
  <c r="U1030" i="5" s="1"/>
  <c r="S1030" i="5"/>
  <c r="R1030" i="5"/>
  <c r="T1025" i="5"/>
  <c r="U1025" i="5" s="1"/>
  <c r="S1025" i="5"/>
  <c r="R1025" i="5"/>
  <c r="T1024" i="5"/>
  <c r="U1024" i="5" s="1"/>
  <c r="S1024" i="5"/>
  <c r="R1024" i="5"/>
  <c r="T1023" i="5"/>
  <c r="U1023" i="5" s="1"/>
  <c r="S1023" i="5"/>
  <c r="R1023" i="5"/>
  <c r="T1022" i="5"/>
  <c r="U1022" i="5" s="1"/>
  <c r="S1022" i="5"/>
  <c r="R1022" i="5"/>
  <c r="T1020" i="5"/>
  <c r="U1020" i="5" s="1"/>
  <c r="S1020" i="5"/>
  <c r="R1020" i="5"/>
  <c r="T1019" i="5"/>
  <c r="U1019" i="5" s="1"/>
  <c r="S1019" i="5"/>
  <c r="R1019" i="5"/>
  <c r="T1018" i="5"/>
  <c r="U1018" i="5" s="1"/>
  <c r="S1018" i="5"/>
  <c r="R1018" i="5"/>
  <c r="T1013" i="5"/>
  <c r="U1013" i="5" s="1"/>
  <c r="S1013" i="5"/>
  <c r="R1013" i="5"/>
  <c r="T951" i="5"/>
  <c r="U951" i="5" s="1"/>
  <c r="S951" i="5"/>
  <c r="R951" i="5"/>
  <c r="T924" i="5"/>
  <c r="U924" i="5" s="1"/>
  <c r="S924" i="5"/>
  <c r="R924" i="5"/>
  <c r="T899" i="5"/>
  <c r="U899" i="5" s="1"/>
  <c r="S899" i="5"/>
  <c r="R899" i="5"/>
  <c r="T898" i="5"/>
  <c r="U898" i="5" s="1"/>
  <c r="S898" i="5"/>
  <c r="R898" i="5"/>
  <c r="T787" i="5"/>
  <c r="U787" i="5" s="1"/>
  <c r="S787" i="5"/>
  <c r="R787" i="5"/>
  <c r="T786" i="5"/>
  <c r="U786" i="5" s="1"/>
  <c r="S786" i="5"/>
  <c r="R786" i="5"/>
  <c r="T785" i="5"/>
  <c r="U785" i="5" s="1"/>
  <c r="S785" i="5"/>
  <c r="R785" i="5"/>
  <c r="T781" i="5"/>
  <c r="U781" i="5" s="1"/>
  <c r="S781" i="5"/>
  <c r="R781" i="5"/>
  <c r="T778" i="5"/>
  <c r="U778" i="5" s="1"/>
  <c r="S778" i="5"/>
  <c r="R778" i="5"/>
  <c r="T775" i="5"/>
  <c r="U775" i="5" s="1"/>
  <c r="S775" i="5"/>
  <c r="R775" i="5"/>
  <c r="T774" i="5"/>
  <c r="U774" i="5" s="1"/>
  <c r="S774" i="5"/>
  <c r="R774" i="5"/>
  <c r="T769" i="5"/>
  <c r="U769" i="5" s="1"/>
  <c r="S769" i="5"/>
  <c r="R769" i="5"/>
  <c r="T768" i="5"/>
  <c r="U768" i="5" s="1"/>
  <c r="S768" i="5"/>
  <c r="R768" i="5"/>
  <c r="T767" i="5"/>
  <c r="U767" i="5" s="1"/>
  <c r="S767" i="5"/>
  <c r="R767" i="5"/>
  <c r="T747" i="5"/>
  <c r="U747" i="5" s="1"/>
  <c r="S747" i="5"/>
  <c r="R747" i="5"/>
  <c r="T742" i="5"/>
  <c r="U742" i="5" s="1"/>
  <c r="S742" i="5"/>
  <c r="R742" i="5"/>
  <c r="T735" i="5"/>
  <c r="U735" i="5" s="1"/>
  <c r="S735" i="5"/>
  <c r="R735" i="5"/>
  <c r="T730" i="5"/>
  <c r="U730" i="5" s="1"/>
  <c r="S730" i="5"/>
  <c r="R730" i="5"/>
  <c r="T718" i="5"/>
  <c r="U718" i="5" s="1"/>
  <c r="S718" i="5"/>
  <c r="R718" i="5"/>
  <c r="T717" i="5"/>
  <c r="U717" i="5" s="1"/>
  <c r="S717" i="5"/>
  <c r="R717" i="5"/>
  <c r="T715" i="5"/>
  <c r="U715" i="5" s="1"/>
  <c r="S715" i="5"/>
  <c r="R715" i="5"/>
  <c r="T687" i="5"/>
  <c r="U687" i="5" s="1"/>
  <c r="S687" i="5"/>
  <c r="R687" i="5"/>
  <c r="T679" i="5"/>
  <c r="U679" i="5" s="1"/>
  <c r="S679" i="5"/>
  <c r="R679" i="5"/>
  <c r="T678" i="5"/>
  <c r="U678" i="5" s="1"/>
  <c r="S678" i="5"/>
  <c r="R678" i="5"/>
  <c r="T677" i="5"/>
  <c r="U677" i="5" s="1"/>
  <c r="S677" i="5"/>
  <c r="R677" i="5"/>
  <c r="T676" i="5"/>
  <c r="U676" i="5" s="1"/>
  <c r="S676" i="5"/>
  <c r="R676" i="5"/>
  <c r="T675" i="5"/>
  <c r="U675" i="5" s="1"/>
  <c r="S675" i="5"/>
  <c r="R675" i="5"/>
  <c r="T673" i="5"/>
  <c r="U673" i="5" s="1"/>
  <c r="S673" i="5"/>
  <c r="R673" i="5"/>
  <c r="T671" i="5"/>
  <c r="U671" i="5" s="1"/>
  <c r="S671" i="5"/>
  <c r="R671" i="5"/>
  <c r="T666" i="5"/>
  <c r="U666" i="5" s="1"/>
  <c r="S666" i="5"/>
  <c r="R666" i="5"/>
  <c r="T665" i="5"/>
  <c r="U665" i="5" s="1"/>
  <c r="S665" i="5"/>
  <c r="R665" i="5"/>
  <c r="T642" i="5"/>
  <c r="U642" i="5" s="1"/>
  <c r="S642" i="5"/>
  <c r="R642" i="5"/>
  <c r="T629" i="5"/>
  <c r="U629" i="5" s="1"/>
  <c r="S629" i="5"/>
  <c r="R629" i="5"/>
  <c r="T628" i="5"/>
  <c r="U628" i="5" s="1"/>
  <c r="S628" i="5"/>
  <c r="R628" i="5"/>
  <c r="T586" i="5"/>
  <c r="U586" i="5" s="1"/>
  <c r="S586" i="5"/>
  <c r="R586" i="5"/>
  <c r="T585" i="5"/>
  <c r="U585" i="5" s="1"/>
  <c r="S585" i="5"/>
  <c r="R585" i="5"/>
  <c r="T584" i="5"/>
  <c r="U584" i="5" s="1"/>
  <c r="S584" i="5"/>
  <c r="R584" i="5"/>
  <c r="T574" i="5"/>
  <c r="U574" i="5" s="1"/>
  <c r="S574" i="5"/>
  <c r="R574" i="5"/>
  <c r="T565" i="5"/>
  <c r="U565" i="5" s="1"/>
  <c r="S565" i="5"/>
  <c r="R565" i="5"/>
  <c r="T563" i="5"/>
  <c r="U563" i="5" s="1"/>
  <c r="S563" i="5"/>
  <c r="R563" i="5"/>
  <c r="T560" i="5"/>
  <c r="U560" i="5" s="1"/>
  <c r="S560" i="5"/>
  <c r="R560" i="5"/>
  <c r="T559" i="5"/>
  <c r="U559" i="5" s="1"/>
  <c r="S559" i="5"/>
  <c r="R559" i="5"/>
  <c r="T558" i="5"/>
  <c r="U558" i="5" s="1"/>
  <c r="S558" i="5"/>
  <c r="R558" i="5"/>
  <c r="T549" i="5"/>
  <c r="U549" i="5" s="1"/>
  <c r="S549" i="5"/>
  <c r="R549" i="5"/>
  <c r="T547" i="5"/>
  <c r="U547" i="5" s="1"/>
  <c r="S547" i="5"/>
  <c r="R547" i="5"/>
  <c r="T546" i="5"/>
  <c r="U546" i="5" s="1"/>
  <c r="S546" i="5"/>
  <c r="R546" i="5"/>
  <c r="T543" i="5"/>
  <c r="U543" i="5" s="1"/>
  <c r="S543" i="5"/>
  <c r="R543" i="5"/>
  <c r="T524" i="5"/>
  <c r="U524" i="5" s="1"/>
  <c r="S524" i="5"/>
  <c r="R524" i="5"/>
  <c r="T521" i="5"/>
  <c r="U521" i="5" s="1"/>
  <c r="S521" i="5"/>
  <c r="R521" i="5"/>
  <c r="T519" i="5"/>
  <c r="U519" i="5" s="1"/>
  <c r="S519" i="5"/>
  <c r="R519" i="5"/>
  <c r="T510" i="5"/>
  <c r="U510" i="5" s="1"/>
  <c r="S510" i="5"/>
  <c r="R510" i="5"/>
  <c r="T508" i="5"/>
  <c r="U508" i="5" s="1"/>
  <c r="S508" i="5"/>
  <c r="R508" i="5"/>
  <c r="T507" i="5"/>
  <c r="U507" i="5" s="1"/>
  <c r="S507" i="5"/>
  <c r="R507" i="5"/>
  <c r="T502" i="5"/>
  <c r="U502" i="5" s="1"/>
  <c r="S502" i="5"/>
  <c r="R502" i="5"/>
  <c r="T492" i="5"/>
  <c r="U492" i="5" s="1"/>
  <c r="S492" i="5"/>
  <c r="R492" i="5"/>
  <c r="T489" i="5"/>
  <c r="U489" i="5" s="1"/>
  <c r="S489" i="5"/>
  <c r="R489" i="5"/>
  <c r="T485" i="5"/>
  <c r="U485" i="5" s="1"/>
  <c r="S485" i="5"/>
  <c r="R485" i="5"/>
  <c r="T484" i="5"/>
  <c r="U484" i="5" s="1"/>
  <c r="S484" i="5"/>
  <c r="R484" i="5"/>
  <c r="T483" i="5"/>
  <c r="U483" i="5" s="1"/>
  <c r="S483" i="5"/>
  <c r="R483" i="5"/>
  <c r="T482" i="5"/>
  <c r="U482" i="5" s="1"/>
  <c r="S482" i="5"/>
  <c r="R482" i="5"/>
  <c r="T481" i="5"/>
  <c r="U481" i="5" s="1"/>
  <c r="S481" i="5"/>
  <c r="R481" i="5"/>
  <c r="T479" i="5"/>
  <c r="U479" i="5" s="1"/>
  <c r="S479" i="5"/>
  <c r="R479" i="5"/>
  <c r="T462" i="5"/>
  <c r="U462" i="5" s="1"/>
  <c r="S462" i="5"/>
  <c r="R462" i="5"/>
  <c r="T459" i="5"/>
  <c r="U459" i="5" s="1"/>
  <c r="S459" i="5"/>
  <c r="R459" i="5"/>
  <c r="T456" i="5"/>
  <c r="U456" i="5" s="1"/>
  <c r="S456" i="5"/>
  <c r="R456" i="5"/>
  <c r="T451" i="5"/>
  <c r="U451" i="5" s="1"/>
  <c r="S451" i="5"/>
  <c r="R451" i="5"/>
  <c r="T448" i="5"/>
  <c r="U448" i="5" s="1"/>
  <c r="S448" i="5"/>
  <c r="R448" i="5"/>
  <c r="T440" i="5"/>
  <c r="U440" i="5" s="1"/>
  <c r="S440" i="5"/>
  <c r="R440" i="5"/>
  <c r="T434" i="5"/>
  <c r="U434" i="5" s="1"/>
  <c r="S434" i="5"/>
  <c r="R434" i="5"/>
  <c r="T433" i="5"/>
  <c r="U433" i="5" s="1"/>
  <c r="S433" i="5"/>
  <c r="R433" i="5"/>
  <c r="T421" i="5"/>
  <c r="U421" i="5" s="1"/>
  <c r="S421" i="5"/>
  <c r="R421" i="5"/>
  <c r="T420" i="5"/>
  <c r="U420" i="5" s="1"/>
  <c r="S420" i="5"/>
  <c r="R420" i="5"/>
  <c r="T414" i="5"/>
  <c r="U414" i="5" s="1"/>
  <c r="S414" i="5"/>
  <c r="R414" i="5"/>
  <c r="T407" i="5"/>
  <c r="U407" i="5" s="1"/>
  <c r="S407" i="5"/>
  <c r="R407" i="5"/>
  <c r="T400" i="5"/>
  <c r="U400" i="5" s="1"/>
  <c r="S400" i="5"/>
  <c r="R400" i="5"/>
  <c r="T397" i="5"/>
  <c r="U397" i="5" s="1"/>
  <c r="S397" i="5"/>
  <c r="R397" i="5"/>
  <c r="T371" i="5"/>
  <c r="U371" i="5" s="1"/>
  <c r="S371" i="5"/>
  <c r="R371" i="5"/>
  <c r="T366" i="5"/>
  <c r="U366" i="5" s="1"/>
  <c r="S366" i="5"/>
  <c r="R366" i="5"/>
  <c r="T349" i="5"/>
  <c r="U349" i="5" s="1"/>
  <c r="S349" i="5"/>
  <c r="R349" i="5"/>
  <c r="T346" i="5"/>
  <c r="U346" i="5" s="1"/>
  <c r="S346" i="5"/>
  <c r="R346" i="5"/>
  <c r="T344" i="5"/>
  <c r="U344" i="5" s="1"/>
  <c r="S344" i="5"/>
  <c r="R344" i="5"/>
  <c r="T326" i="5"/>
  <c r="U326" i="5" s="1"/>
  <c r="S326" i="5"/>
  <c r="R326" i="5"/>
  <c r="T324" i="5"/>
  <c r="U324" i="5" s="1"/>
  <c r="S324" i="5"/>
  <c r="R324" i="5"/>
  <c r="T314" i="5"/>
  <c r="U314" i="5" s="1"/>
  <c r="S314" i="5"/>
  <c r="R314" i="5"/>
  <c r="T309" i="5"/>
  <c r="U309" i="5" s="1"/>
  <c r="S309" i="5"/>
  <c r="R309" i="5"/>
  <c r="T308" i="5"/>
  <c r="U308" i="5" s="1"/>
  <c r="S308" i="5"/>
  <c r="R308" i="5"/>
  <c r="T307" i="5"/>
  <c r="U307" i="5" s="1"/>
  <c r="S307" i="5"/>
  <c r="R307" i="5"/>
  <c r="T306" i="5"/>
  <c r="U306" i="5" s="1"/>
  <c r="S306" i="5"/>
  <c r="R306" i="5"/>
  <c r="T301" i="5"/>
  <c r="U301" i="5" s="1"/>
  <c r="S301" i="5"/>
  <c r="R301" i="5"/>
  <c r="T299" i="5"/>
  <c r="U299" i="5" s="1"/>
  <c r="S299" i="5"/>
  <c r="R299" i="5"/>
  <c r="T262" i="5"/>
  <c r="U262" i="5" s="1"/>
  <c r="S262" i="5"/>
  <c r="R262" i="5"/>
  <c r="T232" i="5"/>
  <c r="U232" i="5" s="1"/>
  <c r="S232" i="5"/>
  <c r="R232" i="5"/>
  <c r="T218" i="5"/>
  <c r="U218" i="5" s="1"/>
  <c r="S218" i="5"/>
  <c r="R218" i="5"/>
  <c r="T217" i="5"/>
  <c r="U217" i="5" s="1"/>
  <c r="S217" i="5"/>
  <c r="R217" i="5"/>
  <c r="T216" i="5"/>
  <c r="U216" i="5" s="1"/>
  <c r="S216" i="5"/>
  <c r="R216" i="5"/>
  <c r="T215" i="5"/>
  <c r="U215" i="5" s="1"/>
  <c r="S215" i="5"/>
  <c r="R215" i="5"/>
  <c r="T214" i="5"/>
  <c r="U214" i="5" s="1"/>
  <c r="S214" i="5"/>
  <c r="R214" i="5"/>
  <c r="T213" i="5"/>
  <c r="U213" i="5" s="1"/>
  <c r="S213" i="5"/>
  <c r="R213" i="5"/>
  <c r="T212" i="5"/>
  <c r="U212" i="5" s="1"/>
  <c r="S212" i="5"/>
  <c r="R212" i="5"/>
  <c r="T208" i="5"/>
  <c r="U208" i="5" s="1"/>
  <c r="S208" i="5"/>
  <c r="R208" i="5"/>
  <c r="T184" i="5"/>
  <c r="U184" i="5" s="1"/>
  <c r="S184" i="5"/>
  <c r="R184" i="5"/>
  <c r="T183" i="5"/>
  <c r="U183" i="5" s="1"/>
  <c r="S183" i="5"/>
  <c r="R183" i="5"/>
  <c r="T181" i="5"/>
  <c r="U181" i="5" s="1"/>
  <c r="S181" i="5"/>
  <c r="R181" i="5"/>
  <c r="T178" i="5"/>
  <c r="U178" i="5" s="1"/>
  <c r="S178" i="5"/>
  <c r="R178" i="5"/>
  <c r="T177" i="5"/>
  <c r="U177" i="5" s="1"/>
  <c r="S177" i="5"/>
  <c r="R177" i="5"/>
  <c r="T174" i="5"/>
  <c r="U174" i="5" s="1"/>
  <c r="S174" i="5"/>
  <c r="R174" i="5"/>
  <c r="T173" i="5"/>
  <c r="U173" i="5" s="1"/>
  <c r="S173" i="5"/>
  <c r="R173" i="5"/>
  <c r="T172" i="5"/>
  <c r="U172" i="5" s="1"/>
  <c r="S172" i="5"/>
  <c r="R172" i="5"/>
  <c r="T136" i="5"/>
  <c r="U136" i="5" s="1"/>
  <c r="S136" i="5"/>
  <c r="R136" i="5"/>
  <c r="T132" i="5"/>
  <c r="U132" i="5" s="1"/>
  <c r="S132" i="5"/>
  <c r="R132" i="5"/>
  <c r="T131" i="5"/>
  <c r="U131" i="5" s="1"/>
  <c r="S131" i="5"/>
  <c r="R131" i="5"/>
  <c r="T126" i="5"/>
  <c r="U126" i="5" s="1"/>
  <c r="S126" i="5"/>
  <c r="R126" i="5"/>
  <c r="T123" i="5"/>
  <c r="U123" i="5" s="1"/>
  <c r="S123" i="5"/>
  <c r="R123" i="5"/>
  <c r="T122" i="5"/>
  <c r="U122" i="5" s="1"/>
  <c r="S122" i="5"/>
  <c r="R122" i="5"/>
  <c r="T118" i="5"/>
  <c r="U118" i="5" s="1"/>
  <c r="S118" i="5"/>
  <c r="R118" i="5"/>
  <c r="T107" i="5"/>
  <c r="U107" i="5" s="1"/>
  <c r="S107" i="5"/>
  <c r="R107" i="5"/>
  <c r="T102" i="5"/>
  <c r="U102" i="5" s="1"/>
  <c r="S102" i="5"/>
  <c r="R102" i="5"/>
  <c r="T101" i="5"/>
  <c r="U101" i="5" s="1"/>
  <c r="S101" i="5"/>
  <c r="R101" i="5"/>
  <c r="T100" i="5"/>
  <c r="U100" i="5" s="1"/>
  <c r="S100" i="5"/>
  <c r="R100" i="5"/>
  <c r="T98" i="5"/>
  <c r="U98" i="5" s="1"/>
  <c r="S98" i="5"/>
  <c r="R98" i="5"/>
  <c r="T96" i="5"/>
  <c r="U96" i="5" s="1"/>
  <c r="S96" i="5"/>
  <c r="R96" i="5"/>
  <c r="T90" i="5"/>
  <c r="U90" i="5" s="1"/>
  <c r="S90" i="5"/>
  <c r="R90" i="5"/>
  <c r="T89" i="5"/>
  <c r="U89" i="5" s="1"/>
  <c r="S89" i="5"/>
  <c r="R89" i="5"/>
  <c r="T78" i="5"/>
  <c r="U78" i="5" s="1"/>
  <c r="S78" i="5"/>
  <c r="R78" i="5"/>
  <c r="T75" i="5"/>
  <c r="U75" i="5" s="1"/>
  <c r="S75" i="5"/>
  <c r="R75" i="5"/>
  <c r="T71" i="5"/>
  <c r="U71" i="5" s="1"/>
  <c r="S71" i="5"/>
  <c r="R71" i="5"/>
  <c r="T58" i="5"/>
  <c r="U58" i="5" s="1"/>
  <c r="S58" i="5"/>
  <c r="R58" i="5"/>
  <c r="T54" i="5"/>
  <c r="U54" i="5" s="1"/>
  <c r="S54" i="5"/>
  <c r="R54" i="5"/>
  <c r="T44" i="5"/>
  <c r="U44" i="5" s="1"/>
  <c r="S44" i="5"/>
  <c r="R44" i="5"/>
  <c r="T33" i="5"/>
  <c r="U33" i="5" s="1"/>
  <c r="S33" i="5"/>
  <c r="R33" i="5"/>
  <c r="T31" i="5"/>
  <c r="U31" i="5" s="1"/>
  <c r="S31" i="5"/>
  <c r="R31" i="5"/>
  <c r="T28" i="5"/>
  <c r="U28" i="5" s="1"/>
  <c r="S28" i="5"/>
  <c r="R28" i="5"/>
  <c r="T11" i="5"/>
  <c r="U11" i="5" s="1"/>
  <c r="S11" i="5"/>
  <c r="R11" i="5"/>
  <c r="T866" i="5"/>
  <c r="U866" i="5" s="1"/>
  <c r="S866" i="5"/>
  <c r="R866" i="5"/>
  <c r="T982" i="5"/>
  <c r="U982" i="5" s="1"/>
  <c r="S982" i="5"/>
  <c r="R982" i="5"/>
  <c r="T975" i="5"/>
  <c r="U975" i="5" s="1"/>
  <c r="S975" i="5"/>
  <c r="R975" i="5"/>
  <c r="T971" i="5"/>
  <c r="U971" i="5" s="1"/>
  <c r="S971" i="5"/>
  <c r="R971" i="5"/>
  <c r="T970" i="5"/>
  <c r="U970" i="5" s="1"/>
  <c r="S970" i="5"/>
  <c r="R970" i="5"/>
  <c r="T968" i="5"/>
  <c r="U968" i="5" s="1"/>
  <c r="S968" i="5"/>
  <c r="R968" i="5"/>
  <c r="T949" i="5"/>
  <c r="U949" i="5" s="1"/>
  <c r="S949" i="5"/>
  <c r="R949" i="5"/>
  <c r="T942" i="5"/>
  <c r="U942" i="5" s="1"/>
  <c r="S942" i="5"/>
  <c r="R942" i="5"/>
  <c r="T925" i="5"/>
  <c r="U925" i="5" s="1"/>
  <c r="S925" i="5"/>
  <c r="R925" i="5"/>
  <c r="T907" i="5"/>
  <c r="U907" i="5" s="1"/>
  <c r="S907" i="5"/>
  <c r="R907" i="5"/>
  <c r="T905" i="5"/>
  <c r="U905" i="5" s="1"/>
  <c r="S905" i="5"/>
  <c r="R905" i="5"/>
  <c r="T904" i="5"/>
  <c r="U904" i="5" s="1"/>
  <c r="S904" i="5"/>
  <c r="R904" i="5"/>
  <c r="T890" i="5"/>
  <c r="U890" i="5" s="1"/>
  <c r="S890" i="5"/>
  <c r="R890" i="5"/>
  <c r="T875" i="5"/>
  <c r="U875" i="5" s="1"/>
  <c r="S875" i="5"/>
  <c r="R875" i="5"/>
  <c r="T865" i="5"/>
  <c r="U865" i="5" s="1"/>
  <c r="S865" i="5"/>
  <c r="R865" i="5"/>
  <c r="T864" i="5"/>
  <c r="U864" i="5" s="1"/>
  <c r="S864" i="5"/>
  <c r="R864" i="5"/>
  <c r="T861" i="5"/>
  <c r="U861" i="5" s="1"/>
  <c r="S861" i="5"/>
  <c r="R861" i="5"/>
  <c r="T847" i="5"/>
  <c r="U847" i="5" s="1"/>
  <c r="S847" i="5"/>
  <c r="R847" i="5"/>
  <c r="T822" i="5"/>
  <c r="U822" i="5" s="1"/>
  <c r="S822" i="5"/>
  <c r="R822" i="5"/>
  <c r="T812" i="5"/>
  <c r="U812" i="5" s="1"/>
  <c r="S812" i="5"/>
  <c r="R812" i="5"/>
  <c r="T916" i="5"/>
  <c r="U916" i="5" s="1"/>
  <c r="S916" i="5"/>
  <c r="R916" i="5"/>
  <c r="T167" i="5"/>
  <c r="U167" i="5" s="1"/>
  <c r="S167" i="5"/>
  <c r="R167" i="5"/>
  <c r="T987" i="5"/>
  <c r="U987" i="5" s="1"/>
  <c r="S987" i="5"/>
  <c r="R987" i="5"/>
  <c r="T986" i="5"/>
  <c r="U986" i="5" s="1"/>
  <c r="S986" i="5"/>
  <c r="R986" i="5"/>
  <c r="T828" i="5"/>
  <c r="U828" i="5" s="1"/>
  <c r="S828" i="5"/>
  <c r="R828" i="5"/>
  <c r="T825" i="5"/>
  <c r="U825" i="5" s="1"/>
  <c r="S825" i="5"/>
  <c r="R825" i="5"/>
  <c r="T657" i="5"/>
  <c r="U657" i="5" s="1"/>
  <c r="S657" i="5"/>
  <c r="R657" i="5"/>
  <c r="T653" i="5"/>
  <c r="U653" i="5" s="1"/>
  <c r="S653" i="5"/>
  <c r="R653" i="5"/>
  <c r="T649" i="5"/>
  <c r="U649" i="5" s="1"/>
  <c r="S649" i="5"/>
  <c r="R649" i="5"/>
  <c r="T648" i="5"/>
  <c r="U648" i="5" s="1"/>
  <c r="S648" i="5"/>
  <c r="R648" i="5"/>
  <c r="T645" i="5"/>
  <c r="U645" i="5" s="1"/>
  <c r="S645" i="5"/>
  <c r="R645" i="5"/>
  <c r="T243" i="5"/>
  <c r="U243" i="5" s="1"/>
  <c r="S243" i="5"/>
  <c r="R243" i="5"/>
  <c r="T242" i="5"/>
  <c r="U242" i="5" s="1"/>
  <c r="S242" i="5"/>
  <c r="R242" i="5"/>
  <c r="T878" i="5"/>
  <c r="U878" i="5" s="1"/>
  <c r="S878" i="5"/>
  <c r="R878" i="5"/>
  <c r="T698" i="5"/>
  <c r="U698" i="5" s="1"/>
  <c r="S698" i="5"/>
  <c r="R698" i="5"/>
  <c r="T661" i="5"/>
  <c r="U661" i="5" s="1"/>
  <c r="S661" i="5"/>
  <c r="R661" i="5"/>
  <c r="T180" i="5"/>
  <c r="U180" i="5" s="1"/>
  <c r="S180" i="5"/>
  <c r="R180" i="5"/>
  <c r="T15" i="5"/>
  <c r="U15" i="5" s="1"/>
  <c r="S15" i="5"/>
  <c r="R15" i="5"/>
  <c r="T889" i="5"/>
  <c r="U889" i="5" s="1"/>
  <c r="S889" i="5"/>
  <c r="R889" i="5"/>
  <c r="T567" i="5"/>
  <c r="U567" i="5" s="1"/>
  <c r="S567" i="5"/>
  <c r="R567" i="5"/>
  <c r="T562" i="5"/>
  <c r="U562" i="5" s="1"/>
  <c r="S562" i="5"/>
  <c r="R562" i="5"/>
  <c r="T551" i="5"/>
  <c r="U551" i="5" s="1"/>
  <c r="S551" i="5"/>
  <c r="R551" i="5"/>
  <c r="T424" i="5"/>
  <c r="U424" i="5" s="1"/>
  <c r="S424" i="5"/>
  <c r="R424" i="5"/>
  <c r="T408" i="5"/>
  <c r="U408" i="5" s="1"/>
  <c r="S408" i="5"/>
  <c r="R408" i="5"/>
  <c r="Q532" i="5"/>
  <c r="T342" i="5"/>
  <c r="S342" i="5"/>
  <c r="S532" i="5" s="1"/>
  <c r="R342" i="5"/>
  <c r="R532" i="5" s="1"/>
  <c r="T289" i="5"/>
  <c r="U289" i="5" s="1"/>
  <c r="S289" i="5"/>
  <c r="R289" i="5"/>
  <c r="T284" i="5"/>
  <c r="U284" i="5" s="1"/>
  <c r="S284" i="5"/>
  <c r="R284" i="5"/>
  <c r="T278" i="5"/>
  <c r="U278" i="5" s="1"/>
  <c r="S278" i="5"/>
  <c r="R278" i="5"/>
  <c r="T274" i="5"/>
  <c r="U274" i="5" s="1"/>
  <c r="S274" i="5"/>
  <c r="R274" i="5"/>
  <c r="T110" i="5"/>
  <c r="U110" i="5" s="1"/>
  <c r="S110" i="5"/>
  <c r="R110" i="5"/>
  <c r="T811" i="5"/>
  <c r="U811" i="5" s="1"/>
  <c r="S811" i="5"/>
  <c r="R811" i="5"/>
  <c r="T1012" i="5"/>
  <c r="U1012" i="5" s="1"/>
  <c r="S1012" i="5"/>
  <c r="R1012" i="5"/>
  <c r="T1011" i="5"/>
  <c r="U1011" i="5" s="1"/>
  <c r="S1011" i="5"/>
  <c r="R1011" i="5"/>
  <c r="T985" i="5"/>
  <c r="U985" i="5" s="1"/>
  <c r="S985" i="5"/>
  <c r="R985" i="5"/>
  <c r="T976" i="5"/>
  <c r="U976" i="5" s="1"/>
  <c r="S976" i="5"/>
  <c r="R976" i="5"/>
  <c r="T830" i="5"/>
  <c r="U830" i="5" s="1"/>
  <c r="S830" i="5"/>
  <c r="R830" i="5"/>
  <c r="T810" i="5"/>
  <c r="U810" i="5" s="1"/>
  <c r="S810" i="5"/>
  <c r="R810" i="5"/>
  <c r="T809" i="5"/>
  <c r="U809" i="5" s="1"/>
  <c r="S809" i="5"/>
  <c r="R809" i="5"/>
  <c r="T808" i="5"/>
  <c r="U808" i="5" s="1"/>
  <c r="S808" i="5"/>
  <c r="R808" i="5"/>
  <c r="T807" i="5"/>
  <c r="U807" i="5" s="1"/>
  <c r="S807" i="5"/>
  <c r="R807" i="5"/>
  <c r="T806" i="5"/>
  <c r="U806" i="5" s="1"/>
  <c r="S806" i="5"/>
  <c r="R806" i="5"/>
  <c r="Q988" i="5"/>
  <c r="T804" i="5"/>
  <c r="S804" i="5"/>
  <c r="S988" i="5" s="1"/>
  <c r="R804" i="5"/>
  <c r="R988" i="5" s="1"/>
  <c r="T638" i="5"/>
  <c r="U638" i="5" s="1"/>
  <c r="S638" i="5"/>
  <c r="R638" i="5"/>
  <c r="T477" i="5"/>
  <c r="U477" i="5" s="1"/>
  <c r="S477" i="5"/>
  <c r="R477" i="5"/>
  <c r="T461" i="5"/>
  <c r="U461" i="5" s="1"/>
  <c r="S461" i="5"/>
  <c r="R461" i="5"/>
  <c r="T458" i="5"/>
  <c r="U458" i="5" s="1"/>
  <c r="S458" i="5"/>
  <c r="R458" i="5"/>
  <c r="T229" i="5"/>
  <c r="U229" i="5" s="1"/>
  <c r="S229" i="5"/>
  <c r="R229" i="5"/>
  <c r="T228" i="5"/>
  <c r="U228" i="5" s="1"/>
  <c r="S228" i="5"/>
  <c r="R228" i="5"/>
  <c r="T1003" i="5"/>
  <c r="R1003" i="5"/>
  <c r="T639" i="5"/>
  <c r="R639" i="5"/>
  <c r="T478" i="5"/>
  <c r="R478" i="5"/>
  <c r="T460" i="5"/>
  <c r="R460" i="5"/>
  <c r="T227" i="5"/>
  <c r="R227" i="5"/>
  <c r="T226" i="5"/>
  <c r="R226" i="5"/>
  <c r="T1000" i="5"/>
  <c r="U1000" i="5" s="1"/>
  <c r="S1000" i="5"/>
  <c r="R1000" i="5"/>
  <c r="T841" i="5"/>
  <c r="U841" i="5" s="1"/>
  <c r="S841" i="5"/>
  <c r="R841" i="5"/>
  <c r="T703" i="5"/>
  <c r="U703" i="5" s="1"/>
  <c r="S703" i="5"/>
  <c r="R703" i="5"/>
  <c r="T641" i="5"/>
  <c r="U641" i="5" s="1"/>
  <c r="S641" i="5"/>
  <c r="R641" i="5"/>
  <c r="T640" i="5"/>
  <c r="U640" i="5" s="1"/>
  <c r="S640" i="5"/>
  <c r="R640" i="5"/>
  <c r="T605" i="5"/>
  <c r="U605" i="5" s="1"/>
  <c r="S605" i="5"/>
  <c r="R605" i="5"/>
  <c r="T442" i="5"/>
  <c r="U442" i="5" s="1"/>
  <c r="S442" i="5"/>
  <c r="R442" i="5"/>
  <c r="T1009" i="5"/>
  <c r="U1009" i="5" s="1"/>
  <c r="S1009" i="5"/>
  <c r="R1009" i="5"/>
  <c r="T1008" i="5"/>
  <c r="U1008" i="5" s="1"/>
  <c r="S1008" i="5"/>
  <c r="R1008" i="5"/>
  <c r="T984" i="5"/>
  <c r="U984" i="5" s="1"/>
  <c r="S984" i="5"/>
  <c r="R984" i="5"/>
  <c r="T983" i="5"/>
  <c r="U983" i="5" s="1"/>
  <c r="S983" i="5"/>
  <c r="R983" i="5"/>
  <c r="T826" i="5"/>
  <c r="U826" i="5" s="1"/>
  <c r="S826" i="5"/>
  <c r="R826" i="5"/>
  <c r="T824" i="5"/>
  <c r="U824" i="5" s="1"/>
  <c r="S824" i="5"/>
  <c r="R824" i="5"/>
  <c r="T818" i="5"/>
  <c r="U818" i="5" s="1"/>
  <c r="S818" i="5"/>
  <c r="R818" i="5"/>
  <c r="T816" i="5"/>
  <c r="U816" i="5" s="1"/>
  <c r="S816" i="5"/>
  <c r="R816" i="5"/>
  <c r="T656" i="5"/>
  <c r="U656" i="5" s="1"/>
  <c r="S656" i="5"/>
  <c r="R656" i="5"/>
  <c r="T655" i="5"/>
  <c r="U655" i="5" s="1"/>
  <c r="S655" i="5"/>
  <c r="R655" i="5"/>
  <c r="T651" i="5"/>
  <c r="U651" i="5" s="1"/>
  <c r="S651" i="5"/>
  <c r="R651" i="5"/>
  <c r="T647" i="5"/>
  <c r="U647" i="5" s="1"/>
  <c r="S647" i="5"/>
  <c r="R647" i="5"/>
  <c r="T644" i="5"/>
  <c r="U644" i="5" s="1"/>
  <c r="S644" i="5"/>
  <c r="R644" i="5"/>
  <c r="T643" i="5"/>
  <c r="U643" i="5" s="1"/>
  <c r="S643" i="5"/>
  <c r="R643" i="5"/>
  <c r="T476" i="5"/>
  <c r="U476" i="5" s="1"/>
  <c r="S476" i="5"/>
  <c r="R476" i="5"/>
  <c r="T472" i="5"/>
  <c r="U472" i="5" s="1"/>
  <c r="S472" i="5"/>
  <c r="R472" i="5"/>
  <c r="T467" i="5"/>
  <c r="U467" i="5" s="1"/>
  <c r="S467" i="5"/>
  <c r="R467" i="5"/>
  <c r="T463" i="5"/>
  <c r="U463" i="5" s="1"/>
  <c r="S463" i="5"/>
  <c r="R463" i="5"/>
  <c r="T249" i="5"/>
  <c r="U249" i="5" s="1"/>
  <c r="S249" i="5"/>
  <c r="R249" i="5"/>
  <c r="T248" i="5"/>
  <c r="U248" i="5" s="1"/>
  <c r="S248" i="5"/>
  <c r="R248" i="5"/>
  <c r="T246" i="5"/>
  <c r="U246" i="5" s="1"/>
  <c r="S246" i="5"/>
  <c r="R246" i="5"/>
  <c r="T238" i="5"/>
  <c r="U238" i="5" s="1"/>
  <c r="S238" i="5"/>
  <c r="R238" i="5"/>
  <c r="T881" i="5"/>
  <c r="U881" i="5" s="1"/>
  <c r="S881" i="5"/>
  <c r="R881" i="5"/>
  <c r="T1101" i="5"/>
  <c r="U1101" i="5" s="1"/>
  <c r="S1101" i="5"/>
  <c r="R1101" i="5"/>
  <c r="T1100" i="5"/>
  <c r="U1100" i="5" s="1"/>
  <c r="S1100" i="5"/>
  <c r="R1100" i="5"/>
  <c r="T1099" i="5"/>
  <c r="U1099" i="5" s="1"/>
  <c r="S1099" i="5"/>
  <c r="R1099" i="5"/>
  <c r="T1098" i="5"/>
  <c r="U1098" i="5" s="1"/>
  <c r="S1098" i="5"/>
  <c r="R1098" i="5"/>
  <c r="T1096" i="5"/>
  <c r="U1096" i="5" s="1"/>
  <c r="S1096" i="5"/>
  <c r="R1096" i="5"/>
  <c r="T1095" i="5"/>
  <c r="U1095" i="5" s="1"/>
  <c r="S1095" i="5"/>
  <c r="R1095" i="5"/>
  <c r="T1094" i="5"/>
  <c r="U1094" i="5" s="1"/>
  <c r="S1094" i="5"/>
  <c r="R1094" i="5"/>
  <c r="T1093" i="5"/>
  <c r="U1093" i="5" s="1"/>
  <c r="S1093" i="5"/>
  <c r="R1093" i="5"/>
  <c r="T1092" i="5"/>
  <c r="U1092" i="5" s="1"/>
  <c r="S1092" i="5"/>
  <c r="R1092" i="5"/>
  <c r="T1045" i="5"/>
  <c r="U1045" i="5" s="1"/>
  <c r="S1045" i="5"/>
  <c r="R1045" i="5"/>
  <c r="T1032" i="5"/>
  <c r="U1032" i="5" s="1"/>
  <c r="S1032" i="5"/>
  <c r="R1032" i="5"/>
  <c r="T1031" i="5"/>
  <c r="U1031" i="5" s="1"/>
  <c r="S1031" i="5"/>
  <c r="R1031" i="5"/>
  <c r="T969" i="5"/>
  <c r="U969" i="5" s="1"/>
  <c r="S969" i="5"/>
  <c r="R969" i="5"/>
  <c r="T962" i="5"/>
  <c r="U962" i="5" s="1"/>
  <c r="S962" i="5"/>
  <c r="R962" i="5"/>
  <c r="T960" i="5"/>
  <c r="U960" i="5" s="1"/>
  <c r="S960" i="5"/>
  <c r="R960" i="5"/>
  <c r="T959" i="5"/>
  <c r="U959" i="5" s="1"/>
  <c r="S959" i="5"/>
  <c r="R959" i="5"/>
  <c r="T956" i="5"/>
  <c r="U956" i="5" s="1"/>
  <c r="S956" i="5"/>
  <c r="R956" i="5"/>
  <c r="T955" i="5"/>
  <c r="U955" i="5" s="1"/>
  <c r="S955" i="5"/>
  <c r="R955" i="5"/>
  <c r="T950" i="5"/>
  <c r="U950" i="5" s="1"/>
  <c r="S950" i="5"/>
  <c r="R950" i="5"/>
  <c r="T947" i="5"/>
  <c r="U947" i="5" s="1"/>
  <c r="S947" i="5"/>
  <c r="R947" i="5"/>
  <c r="T943" i="5"/>
  <c r="U943" i="5" s="1"/>
  <c r="S943" i="5"/>
  <c r="R943" i="5"/>
  <c r="T941" i="5"/>
  <c r="U941" i="5" s="1"/>
  <c r="S941" i="5"/>
  <c r="R941" i="5"/>
  <c r="T936" i="5"/>
  <c r="U936" i="5" s="1"/>
  <c r="S936" i="5"/>
  <c r="R936" i="5"/>
  <c r="T935" i="5"/>
  <c r="U935" i="5" s="1"/>
  <c r="S935" i="5"/>
  <c r="R935" i="5"/>
  <c r="T934" i="5"/>
  <c r="U934" i="5" s="1"/>
  <c r="S934" i="5"/>
  <c r="R934" i="5"/>
  <c r="T933" i="5"/>
  <c r="U933" i="5" s="1"/>
  <c r="S933" i="5"/>
  <c r="R933" i="5"/>
  <c r="T929" i="5"/>
  <c r="U929" i="5" s="1"/>
  <c r="S929" i="5"/>
  <c r="R929" i="5"/>
  <c r="T923" i="5"/>
  <c r="U923" i="5" s="1"/>
  <c r="S923" i="5"/>
  <c r="R923" i="5"/>
  <c r="T922" i="5"/>
  <c r="U922" i="5" s="1"/>
  <c r="S922" i="5"/>
  <c r="R922" i="5"/>
  <c r="T921" i="5"/>
  <c r="U921" i="5" s="1"/>
  <c r="S921" i="5"/>
  <c r="R921" i="5"/>
  <c r="T915" i="5"/>
  <c r="U915" i="5" s="1"/>
  <c r="S915" i="5"/>
  <c r="R915" i="5"/>
  <c r="T914" i="5"/>
  <c r="U914" i="5" s="1"/>
  <c r="S914" i="5"/>
  <c r="R914" i="5"/>
  <c r="T913" i="5"/>
  <c r="U913" i="5" s="1"/>
  <c r="S913" i="5"/>
  <c r="R913" i="5"/>
  <c r="T912" i="5"/>
  <c r="U912" i="5" s="1"/>
  <c r="S912" i="5"/>
  <c r="R912" i="5"/>
  <c r="T879" i="5"/>
  <c r="U879" i="5" s="1"/>
  <c r="S879" i="5"/>
  <c r="R879" i="5"/>
  <c r="T871" i="5"/>
  <c r="U871" i="5" s="1"/>
  <c r="S871" i="5"/>
  <c r="R871" i="5"/>
  <c r="T860" i="5"/>
  <c r="U860" i="5" s="1"/>
  <c r="S860" i="5"/>
  <c r="R860" i="5"/>
  <c r="T859" i="5"/>
  <c r="U859" i="5" s="1"/>
  <c r="S859" i="5"/>
  <c r="R859" i="5"/>
  <c r="T852" i="5"/>
  <c r="U852" i="5" s="1"/>
  <c r="S852" i="5"/>
  <c r="R852" i="5"/>
  <c r="T851" i="5"/>
  <c r="U851" i="5" s="1"/>
  <c r="S851" i="5"/>
  <c r="R851" i="5"/>
  <c r="T850" i="5"/>
  <c r="U850" i="5" s="1"/>
  <c r="S850" i="5"/>
  <c r="R850" i="5"/>
  <c r="T849" i="5"/>
  <c r="U849" i="5" s="1"/>
  <c r="S849" i="5"/>
  <c r="R849" i="5"/>
  <c r="T844" i="5"/>
  <c r="U844" i="5" s="1"/>
  <c r="S844" i="5"/>
  <c r="R844" i="5"/>
  <c r="T843" i="5"/>
  <c r="U843" i="5" s="1"/>
  <c r="S843" i="5"/>
  <c r="R843" i="5"/>
  <c r="T842" i="5"/>
  <c r="U842" i="5" s="1"/>
  <c r="S842" i="5"/>
  <c r="R842" i="5"/>
  <c r="T836" i="5"/>
  <c r="U836" i="5" s="1"/>
  <c r="S836" i="5"/>
  <c r="R836" i="5"/>
  <c r="T835" i="5"/>
  <c r="U835" i="5" s="1"/>
  <c r="S835" i="5"/>
  <c r="R835" i="5"/>
  <c r="T834" i="5"/>
  <c r="U834" i="5" s="1"/>
  <c r="S834" i="5"/>
  <c r="R834" i="5"/>
  <c r="T833" i="5"/>
  <c r="U833" i="5" s="1"/>
  <c r="S833" i="5"/>
  <c r="R833" i="5"/>
  <c r="T788" i="5"/>
  <c r="U788" i="5" s="1"/>
  <c r="S788" i="5"/>
  <c r="R788" i="5"/>
  <c r="T784" i="5"/>
  <c r="U784" i="5" s="1"/>
  <c r="S784" i="5"/>
  <c r="R784" i="5"/>
  <c r="T783" i="5"/>
  <c r="U783" i="5" s="1"/>
  <c r="S783" i="5"/>
  <c r="R783" i="5"/>
  <c r="T782" i="5"/>
  <c r="U782" i="5" s="1"/>
  <c r="S782" i="5"/>
  <c r="R782" i="5"/>
  <c r="T780" i="5"/>
  <c r="U780" i="5" s="1"/>
  <c r="S780" i="5"/>
  <c r="R780" i="5"/>
  <c r="T779" i="5"/>
  <c r="U779" i="5" s="1"/>
  <c r="S779" i="5"/>
  <c r="R779" i="5"/>
  <c r="T777" i="5"/>
  <c r="U777" i="5" s="1"/>
  <c r="S777" i="5"/>
  <c r="R777" i="5"/>
  <c r="T776" i="5"/>
  <c r="U776" i="5" s="1"/>
  <c r="S776" i="5"/>
  <c r="R776" i="5"/>
  <c r="T749" i="5"/>
  <c r="U749" i="5" s="1"/>
  <c r="S749" i="5"/>
  <c r="R749" i="5"/>
  <c r="T748" i="5"/>
  <c r="U748" i="5" s="1"/>
  <c r="S748" i="5"/>
  <c r="R748" i="5"/>
  <c r="T745" i="5"/>
  <c r="U745" i="5" s="1"/>
  <c r="S745" i="5"/>
  <c r="R745" i="5"/>
  <c r="T744" i="5"/>
  <c r="U744" i="5" s="1"/>
  <c r="S744" i="5"/>
  <c r="R744" i="5"/>
  <c r="T743" i="5"/>
  <c r="U743" i="5" s="1"/>
  <c r="S743" i="5"/>
  <c r="R743" i="5"/>
  <c r="T738" i="5"/>
  <c r="U738" i="5" s="1"/>
  <c r="S738" i="5"/>
  <c r="R738" i="5"/>
  <c r="T737" i="5"/>
  <c r="U737" i="5" s="1"/>
  <c r="S737" i="5"/>
  <c r="R737" i="5"/>
  <c r="T736" i="5"/>
  <c r="U736" i="5" s="1"/>
  <c r="S736" i="5"/>
  <c r="R736" i="5"/>
  <c r="T734" i="5"/>
  <c r="U734" i="5" s="1"/>
  <c r="S734" i="5"/>
  <c r="R734" i="5"/>
  <c r="T733" i="5"/>
  <c r="U733" i="5" s="1"/>
  <c r="S733" i="5"/>
  <c r="R733" i="5"/>
  <c r="T732" i="5"/>
  <c r="U732" i="5" s="1"/>
  <c r="S732" i="5"/>
  <c r="R732" i="5"/>
  <c r="T729" i="5"/>
  <c r="U729" i="5" s="1"/>
  <c r="S729" i="5"/>
  <c r="R729" i="5"/>
  <c r="T728" i="5"/>
  <c r="U728" i="5" s="1"/>
  <c r="S728" i="5"/>
  <c r="R728" i="5"/>
  <c r="T727" i="5"/>
  <c r="U727" i="5" s="1"/>
  <c r="S727" i="5"/>
  <c r="R727" i="5"/>
  <c r="T726" i="5"/>
  <c r="U726" i="5" s="1"/>
  <c r="S726" i="5"/>
  <c r="R726" i="5"/>
  <c r="T725" i="5"/>
  <c r="U725" i="5" s="1"/>
  <c r="S725" i="5"/>
  <c r="R725" i="5"/>
  <c r="T724" i="5"/>
  <c r="U724" i="5" s="1"/>
  <c r="S724" i="5"/>
  <c r="R724" i="5"/>
  <c r="T723" i="5"/>
  <c r="U723" i="5" s="1"/>
  <c r="S723" i="5"/>
  <c r="R723" i="5"/>
  <c r="T722" i="5"/>
  <c r="U722" i="5" s="1"/>
  <c r="S722" i="5"/>
  <c r="R722" i="5"/>
  <c r="T701" i="5"/>
  <c r="U701" i="5" s="1"/>
  <c r="S701" i="5"/>
  <c r="R701" i="5"/>
  <c r="T697" i="5"/>
  <c r="U697" i="5" s="1"/>
  <c r="S697" i="5"/>
  <c r="R697" i="5"/>
  <c r="T689" i="5"/>
  <c r="U689" i="5" s="1"/>
  <c r="S689" i="5"/>
  <c r="R689" i="5"/>
  <c r="T688" i="5"/>
  <c r="U688" i="5" s="1"/>
  <c r="S688" i="5"/>
  <c r="R688" i="5"/>
  <c r="T685" i="5"/>
  <c r="U685" i="5" s="1"/>
  <c r="S685" i="5"/>
  <c r="R685" i="5"/>
  <c r="T684" i="5"/>
  <c r="U684" i="5" s="1"/>
  <c r="S684" i="5"/>
  <c r="R684" i="5"/>
  <c r="T683" i="5"/>
  <c r="U683" i="5" s="1"/>
  <c r="S683" i="5"/>
  <c r="R683" i="5"/>
  <c r="T680" i="5"/>
  <c r="U680" i="5" s="1"/>
  <c r="S680" i="5"/>
  <c r="R680" i="5"/>
  <c r="T670" i="5"/>
  <c r="U670" i="5" s="1"/>
  <c r="S670" i="5"/>
  <c r="R670" i="5"/>
  <c r="T669" i="5"/>
  <c r="U669" i="5" s="1"/>
  <c r="S669" i="5"/>
  <c r="R669" i="5"/>
  <c r="T668" i="5"/>
  <c r="U668" i="5" s="1"/>
  <c r="S668" i="5"/>
  <c r="R668" i="5"/>
  <c r="T667" i="5"/>
  <c r="U667" i="5" s="1"/>
  <c r="S667" i="5"/>
  <c r="R667" i="5"/>
  <c r="T664" i="5"/>
  <c r="U664" i="5" s="1"/>
  <c r="S664" i="5"/>
  <c r="R664" i="5"/>
  <c r="T663" i="5"/>
  <c r="U663" i="5" s="1"/>
  <c r="S663" i="5"/>
  <c r="R663" i="5"/>
  <c r="T633" i="5"/>
  <c r="U633" i="5" s="1"/>
  <c r="S633" i="5"/>
  <c r="R633" i="5"/>
  <c r="T632" i="5"/>
  <c r="U632" i="5" s="1"/>
  <c r="S632" i="5"/>
  <c r="R632" i="5"/>
  <c r="T627" i="5"/>
  <c r="U627" i="5" s="1"/>
  <c r="S627" i="5"/>
  <c r="R627" i="5"/>
  <c r="T620" i="5"/>
  <c r="U620" i="5" s="1"/>
  <c r="S620" i="5"/>
  <c r="R620" i="5"/>
  <c r="T618" i="5"/>
  <c r="U618" i="5" s="1"/>
  <c r="S618" i="5"/>
  <c r="R618" i="5"/>
  <c r="T617" i="5"/>
  <c r="U617" i="5" s="1"/>
  <c r="S617" i="5"/>
  <c r="R617" i="5"/>
  <c r="T615" i="5"/>
  <c r="U615" i="5" s="1"/>
  <c r="S615" i="5"/>
  <c r="R615" i="5"/>
  <c r="T614" i="5"/>
  <c r="U614" i="5" s="1"/>
  <c r="S614" i="5"/>
  <c r="R614" i="5"/>
  <c r="T596" i="5"/>
  <c r="U596" i="5" s="1"/>
  <c r="S596" i="5"/>
  <c r="R596" i="5"/>
  <c r="T595" i="5"/>
  <c r="U595" i="5" s="1"/>
  <c r="S595" i="5"/>
  <c r="R595" i="5"/>
  <c r="T590" i="5"/>
  <c r="U590" i="5" s="1"/>
  <c r="S590" i="5"/>
  <c r="R590" i="5"/>
  <c r="T589" i="5"/>
  <c r="U589" i="5" s="1"/>
  <c r="S589" i="5"/>
  <c r="R589" i="5"/>
  <c r="T587" i="5"/>
  <c r="U587" i="5" s="1"/>
  <c r="S587" i="5"/>
  <c r="R587" i="5"/>
  <c r="T518" i="5"/>
  <c r="U518" i="5" s="1"/>
  <c r="S518" i="5"/>
  <c r="R518" i="5"/>
  <c r="T517" i="5"/>
  <c r="U517" i="5" s="1"/>
  <c r="S517" i="5"/>
  <c r="R517" i="5"/>
  <c r="T515" i="5"/>
  <c r="U515" i="5" s="1"/>
  <c r="S515" i="5"/>
  <c r="R515" i="5"/>
  <c r="T514" i="5"/>
  <c r="U514" i="5" s="1"/>
  <c r="S514" i="5"/>
  <c r="R514" i="5"/>
  <c r="T513" i="5"/>
  <c r="U513" i="5" s="1"/>
  <c r="S513" i="5"/>
  <c r="R513" i="5"/>
  <c r="T511" i="5"/>
  <c r="U511" i="5" s="1"/>
  <c r="S511" i="5"/>
  <c r="R511" i="5"/>
  <c r="T501" i="5"/>
  <c r="U501" i="5" s="1"/>
  <c r="S501" i="5"/>
  <c r="R501" i="5"/>
  <c r="T499" i="5"/>
  <c r="U499" i="5" s="1"/>
  <c r="S499" i="5"/>
  <c r="R499" i="5"/>
  <c r="T498" i="5"/>
  <c r="U498" i="5" s="1"/>
  <c r="S498" i="5"/>
  <c r="R498" i="5"/>
  <c r="T497" i="5"/>
  <c r="U497" i="5" s="1"/>
  <c r="S497" i="5"/>
  <c r="R497" i="5"/>
  <c r="T496" i="5"/>
  <c r="U496" i="5" s="1"/>
  <c r="S496" i="5"/>
  <c r="R496" i="5"/>
  <c r="T495" i="5"/>
  <c r="U495" i="5" s="1"/>
  <c r="S495" i="5"/>
  <c r="R495" i="5"/>
  <c r="T493" i="5"/>
  <c r="U493" i="5" s="1"/>
  <c r="S493" i="5"/>
  <c r="R493" i="5"/>
  <c r="T491" i="5"/>
  <c r="U491" i="5" s="1"/>
  <c r="S491" i="5"/>
  <c r="R491" i="5"/>
  <c r="T488" i="5"/>
  <c r="U488" i="5" s="1"/>
  <c r="S488" i="5"/>
  <c r="R488" i="5"/>
  <c r="T486" i="5"/>
  <c r="U486" i="5" s="1"/>
  <c r="S486" i="5"/>
  <c r="R486" i="5"/>
  <c r="T455" i="5"/>
  <c r="U455" i="5" s="1"/>
  <c r="S455" i="5"/>
  <c r="R455" i="5"/>
  <c r="T452" i="5"/>
  <c r="U452" i="5" s="1"/>
  <c r="S452" i="5"/>
  <c r="R452" i="5"/>
  <c r="T450" i="5"/>
  <c r="U450" i="5" s="1"/>
  <c r="S450" i="5"/>
  <c r="R450" i="5"/>
  <c r="T447" i="5"/>
  <c r="U447" i="5" s="1"/>
  <c r="S447" i="5"/>
  <c r="R447" i="5"/>
  <c r="T446" i="5"/>
  <c r="U446" i="5" s="1"/>
  <c r="S446" i="5"/>
  <c r="R446" i="5"/>
  <c r="T432" i="5"/>
  <c r="U432" i="5" s="1"/>
  <c r="S432" i="5"/>
  <c r="R432" i="5"/>
  <c r="T431" i="5"/>
  <c r="U431" i="5" s="1"/>
  <c r="S431" i="5"/>
  <c r="R431" i="5"/>
  <c r="T429" i="5"/>
  <c r="U429" i="5" s="1"/>
  <c r="S429" i="5"/>
  <c r="R429" i="5"/>
  <c r="T428" i="5"/>
  <c r="U428" i="5" s="1"/>
  <c r="S428" i="5"/>
  <c r="R428" i="5"/>
  <c r="T425" i="5"/>
  <c r="U425" i="5" s="1"/>
  <c r="S425" i="5"/>
  <c r="R425" i="5"/>
  <c r="T413" i="5"/>
  <c r="U413" i="5" s="1"/>
  <c r="S413" i="5"/>
  <c r="R413" i="5"/>
  <c r="T409" i="5"/>
  <c r="U409" i="5" s="1"/>
  <c r="S409" i="5"/>
  <c r="R409" i="5"/>
  <c r="T406" i="5"/>
  <c r="U406" i="5" s="1"/>
  <c r="S406" i="5"/>
  <c r="R406" i="5"/>
  <c r="T404" i="5"/>
  <c r="U404" i="5" s="1"/>
  <c r="S404" i="5"/>
  <c r="R404" i="5"/>
  <c r="T403" i="5"/>
  <c r="U403" i="5" s="1"/>
  <c r="S403" i="5"/>
  <c r="R403" i="5"/>
  <c r="T401" i="5"/>
  <c r="U401" i="5" s="1"/>
  <c r="S401" i="5"/>
  <c r="R401" i="5"/>
  <c r="T399" i="5"/>
  <c r="U399" i="5" s="1"/>
  <c r="S399" i="5"/>
  <c r="R399" i="5"/>
  <c r="T383" i="5"/>
  <c r="U383" i="5" s="1"/>
  <c r="S383" i="5"/>
  <c r="R383" i="5"/>
  <c r="T381" i="5"/>
  <c r="U381" i="5" s="1"/>
  <c r="S381" i="5"/>
  <c r="R381" i="5"/>
  <c r="T372" i="5"/>
  <c r="U372" i="5" s="1"/>
  <c r="S372" i="5"/>
  <c r="R372" i="5"/>
  <c r="T369" i="5"/>
  <c r="U369" i="5" s="1"/>
  <c r="S369" i="5"/>
  <c r="R369" i="5"/>
  <c r="T364" i="5"/>
  <c r="U364" i="5" s="1"/>
  <c r="S364" i="5"/>
  <c r="R364" i="5"/>
  <c r="T358" i="5"/>
  <c r="U358" i="5" s="1"/>
  <c r="S358" i="5"/>
  <c r="R358" i="5"/>
  <c r="T355" i="5"/>
  <c r="U355" i="5" s="1"/>
  <c r="S355" i="5"/>
  <c r="R355" i="5"/>
  <c r="T350" i="5"/>
  <c r="U350" i="5" s="1"/>
  <c r="S350" i="5"/>
  <c r="R350" i="5"/>
  <c r="T348" i="5"/>
  <c r="U348" i="5" s="1"/>
  <c r="S348" i="5"/>
  <c r="R348" i="5"/>
  <c r="T345" i="5"/>
  <c r="U345" i="5" s="1"/>
  <c r="S345" i="5"/>
  <c r="R345" i="5"/>
  <c r="T312" i="5"/>
  <c r="U312" i="5" s="1"/>
  <c r="S312" i="5"/>
  <c r="R312" i="5"/>
  <c r="T311" i="5"/>
  <c r="U311" i="5" s="1"/>
  <c r="S311" i="5"/>
  <c r="R311" i="5"/>
  <c r="T310" i="5"/>
  <c r="U310" i="5" s="1"/>
  <c r="S310" i="5"/>
  <c r="R310" i="5"/>
  <c r="T303" i="5"/>
  <c r="U303" i="5" s="1"/>
  <c r="S303" i="5"/>
  <c r="R303" i="5"/>
  <c r="T302" i="5"/>
  <c r="U302" i="5" s="1"/>
  <c r="S302" i="5"/>
  <c r="R302" i="5"/>
  <c r="T300" i="5"/>
  <c r="U300" i="5" s="1"/>
  <c r="S300" i="5"/>
  <c r="R300" i="5"/>
  <c r="T298" i="5"/>
  <c r="U298" i="5" s="1"/>
  <c r="S298" i="5"/>
  <c r="R298" i="5"/>
  <c r="T297" i="5"/>
  <c r="U297" i="5" s="1"/>
  <c r="S297" i="5"/>
  <c r="R297" i="5"/>
  <c r="T296" i="5"/>
  <c r="U296" i="5" s="1"/>
  <c r="S296" i="5"/>
  <c r="R296" i="5"/>
  <c r="T209" i="5"/>
  <c r="U209" i="5" s="1"/>
  <c r="S209" i="5"/>
  <c r="R209" i="5"/>
  <c r="T135" i="5"/>
  <c r="U135" i="5" s="1"/>
  <c r="S135" i="5"/>
  <c r="R135" i="5"/>
  <c r="T129" i="5"/>
  <c r="U129" i="5" s="1"/>
  <c r="S129" i="5"/>
  <c r="R129" i="5"/>
  <c r="T128" i="5"/>
  <c r="U128" i="5" s="1"/>
  <c r="S128" i="5"/>
  <c r="R128" i="5"/>
  <c r="T127" i="5"/>
  <c r="U127" i="5" s="1"/>
  <c r="S127" i="5"/>
  <c r="R127" i="5"/>
  <c r="T125" i="5"/>
  <c r="U125" i="5" s="1"/>
  <c r="S125" i="5"/>
  <c r="R125" i="5"/>
  <c r="T124" i="5"/>
  <c r="U124" i="5" s="1"/>
  <c r="S124" i="5"/>
  <c r="R124" i="5"/>
  <c r="T121" i="5"/>
  <c r="U121" i="5" s="1"/>
  <c r="S121" i="5"/>
  <c r="R121" i="5"/>
  <c r="T119" i="5"/>
  <c r="U119" i="5" s="1"/>
  <c r="S119" i="5"/>
  <c r="R119" i="5"/>
  <c r="T117" i="5"/>
  <c r="U117" i="5" s="1"/>
  <c r="S117" i="5"/>
  <c r="R117" i="5"/>
  <c r="T116" i="5"/>
  <c r="U116" i="5" s="1"/>
  <c r="S116" i="5"/>
  <c r="R116" i="5"/>
  <c r="T115" i="5"/>
  <c r="U115" i="5" s="1"/>
  <c r="S115" i="5"/>
  <c r="R115" i="5"/>
  <c r="T108" i="5"/>
  <c r="U108" i="5" s="1"/>
  <c r="S108" i="5"/>
  <c r="R108" i="5"/>
  <c r="T106" i="5"/>
  <c r="U106" i="5" s="1"/>
  <c r="S106" i="5"/>
  <c r="R106" i="5"/>
  <c r="T99" i="5"/>
  <c r="U99" i="5" s="1"/>
  <c r="S99" i="5"/>
  <c r="R99" i="5"/>
  <c r="T97" i="5"/>
  <c r="U97" i="5" s="1"/>
  <c r="S97" i="5"/>
  <c r="R97" i="5"/>
  <c r="T95" i="5"/>
  <c r="U95" i="5" s="1"/>
  <c r="S95" i="5"/>
  <c r="R95" i="5"/>
  <c r="T94" i="5"/>
  <c r="U94" i="5" s="1"/>
  <c r="S94" i="5"/>
  <c r="R94" i="5"/>
  <c r="T92" i="5"/>
  <c r="U92" i="5" s="1"/>
  <c r="S92" i="5"/>
  <c r="R92" i="5"/>
  <c r="T88" i="5"/>
  <c r="U88" i="5" s="1"/>
  <c r="S88" i="5"/>
  <c r="R88" i="5"/>
  <c r="T87" i="5"/>
  <c r="U87" i="5" s="1"/>
  <c r="S87" i="5"/>
  <c r="R87" i="5"/>
  <c r="T72" i="5"/>
  <c r="U72" i="5" s="1"/>
  <c r="S72" i="5"/>
  <c r="R72" i="5"/>
  <c r="T70" i="5"/>
  <c r="U70" i="5" s="1"/>
  <c r="S70" i="5"/>
  <c r="R70" i="5"/>
  <c r="T68" i="5"/>
  <c r="U68" i="5" s="1"/>
  <c r="S68" i="5"/>
  <c r="R68" i="5"/>
  <c r="T65" i="5"/>
  <c r="U65" i="5" s="1"/>
  <c r="S65" i="5"/>
  <c r="R65" i="5"/>
  <c r="T63" i="5"/>
  <c r="U63" i="5" s="1"/>
  <c r="S63" i="5"/>
  <c r="R63" i="5"/>
  <c r="T62" i="5"/>
  <c r="U62" i="5" s="1"/>
  <c r="S62" i="5"/>
  <c r="R62" i="5"/>
  <c r="T60" i="5"/>
  <c r="U60" i="5" s="1"/>
  <c r="S60" i="5"/>
  <c r="R60" i="5"/>
  <c r="T53" i="5"/>
  <c r="U53" i="5" s="1"/>
  <c r="S53" i="5"/>
  <c r="R53" i="5"/>
  <c r="T52" i="5"/>
  <c r="U52" i="5" s="1"/>
  <c r="S52" i="5"/>
  <c r="R52" i="5"/>
  <c r="T42" i="5"/>
  <c r="U42" i="5" s="1"/>
  <c r="S42" i="5"/>
  <c r="R42" i="5"/>
  <c r="T41" i="5"/>
  <c r="U41" i="5" s="1"/>
  <c r="S41" i="5"/>
  <c r="R41" i="5"/>
  <c r="T38" i="5"/>
  <c r="U38" i="5" s="1"/>
  <c r="S38" i="5"/>
  <c r="R38" i="5"/>
  <c r="T37" i="5"/>
  <c r="U37" i="5" s="1"/>
  <c r="S37" i="5"/>
  <c r="R37" i="5"/>
  <c r="T34" i="5"/>
  <c r="U34" i="5" s="1"/>
  <c r="S34" i="5"/>
  <c r="R34" i="5"/>
  <c r="T29" i="5"/>
  <c r="U29" i="5" s="1"/>
  <c r="S29" i="5"/>
  <c r="R29" i="5"/>
  <c r="T9" i="5"/>
  <c r="U9" i="5" s="1"/>
  <c r="S9" i="5"/>
  <c r="R9" i="5"/>
  <c r="T8" i="5"/>
  <c r="U8" i="5" s="1"/>
  <c r="S8" i="5"/>
  <c r="R8" i="5"/>
  <c r="T897" i="5"/>
  <c r="U897" i="5" s="1"/>
  <c r="S897" i="5"/>
  <c r="R897" i="5"/>
  <c r="T838" i="5"/>
  <c r="U838" i="5" s="1"/>
  <c r="S838" i="5"/>
  <c r="R838" i="5"/>
  <c r="T739" i="5"/>
  <c r="U739" i="5" s="1"/>
  <c r="S739" i="5"/>
  <c r="R739" i="5"/>
  <c r="T566" i="5"/>
  <c r="U566" i="5" s="1"/>
  <c r="S566" i="5"/>
  <c r="R566" i="5"/>
  <c r="T470" i="5"/>
  <c r="U470" i="5" s="1"/>
  <c r="S470" i="5"/>
  <c r="R470" i="5"/>
  <c r="Q252" i="5"/>
  <c r="T5" i="5"/>
  <c r="S5" i="5"/>
  <c r="S252" i="5" s="1"/>
  <c r="R5" i="5"/>
  <c r="R252" i="5" s="1"/>
  <c r="T974" i="5"/>
  <c r="U974" i="5" s="1"/>
  <c r="S974" i="5"/>
  <c r="R974" i="5"/>
  <c r="T966" i="5"/>
  <c r="U966" i="5" s="1"/>
  <c r="S966" i="5"/>
  <c r="R966" i="5"/>
  <c r="T965" i="5"/>
  <c r="U965" i="5" s="1"/>
  <c r="S965" i="5"/>
  <c r="R965" i="5"/>
  <c r="T961" i="5"/>
  <c r="U961" i="5" s="1"/>
  <c r="S961" i="5"/>
  <c r="R961" i="5"/>
  <c r="T948" i="5"/>
  <c r="U948" i="5" s="1"/>
  <c r="S948" i="5"/>
  <c r="R948" i="5"/>
  <c r="T939" i="5"/>
  <c r="U939" i="5" s="1"/>
  <c r="S939" i="5"/>
  <c r="R939" i="5"/>
  <c r="T932" i="5"/>
  <c r="U932" i="5" s="1"/>
  <c r="S932" i="5"/>
  <c r="R932" i="5"/>
  <c r="T931" i="5"/>
  <c r="U931" i="5" s="1"/>
  <c r="S931" i="5"/>
  <c r="R931" i="5"/>
  <c r="T928" i="5"/>
  <c r="U928" i="5" s="1"/>
  <c r="S928" i="5"/>
  <c r="R928" i="5"/>
  <c r="T906" i="5"/>
  <c r="U906" i="5" s="1"/>
  <c r="S906" i="5"/>
  <c r="R906" i="5"/>
  <c r="T900" i="5"/>
  <c r="U900" i="5" s="1"/>
  <c r="S900" i="5"/>
  <c r="R900" i="5"/>
  <c r="T884" i="5"/>
  <c r="U884" i="5" s="1"/>
  <c r="S884" i="5"/>
  <c r="R884" i="5"/>
  <c r="T883" i="5"/>
  <c r="U883" i="5" s="1"/>
  <c r="S883" i="5"/>
  <c r="R883" i="5"/>
  <c r="T870" i="5"/>
  <c r="U870" i="5" s="1"/>
  <c r="S870" i="5"/>
  <c r="R870" i="5"/>
  <c r="T867" i="5"/>
  <c r="U867" i="5" s="1"/>
  <c r="S867" i="5"/>
  <c r="R867" i="5"/>
  <c r="T858" i="5"/>
  <c r="U858" i="5" s="1"/>
  <c r="S858" i="5"/>
  <c r="R858" i="5"/>
  <c r="T856" i="5"/>
  <c r="U856" i="5" s="1"/>
  <c r="S856" i="5"/>
  <c r="R856" i="5"/>
  <c r="T855" i="5"/>
  <c r="U855" i="5" s="1"/>
  <c r="S855" i="5"/>
  <c r="R855" i="5"/>
  <c r="T823" i="5"/>
  <c r="U823" i="5" s="1"/>
  <c r="S823" i="5"/>
  <c r="R823" i="5"/>
  <c r="T109" i="5"/>
  <c r="U109" i="5" s="1"/>
  <c r="S109" i="5"/>
  <c r="R109" i="5"/>
  <c r="T151" i="5"/>
  <c r="U151" i="5" s="1"/>
  <c r="S151" i="5"/>
  <c r="R151" i="5"/>
  <c r="T919" i="5"/>
  <c r="U919" i="5" s="1"/>
  <c r="S919" i="5"/>
  <c r="R919" i="5"/>
  <c r="T853" i="5"/>
  <c r="U853" i="5" s="1"/>
  <c r="S853" i="5"/>
  <c r="R853" i="5"/>
  <c r="T773" i="5"/>
  <c r="U773" i="5" s="1"/>
  <c r="S773" i="5"/>
  <c r="R773" i="5"/>
  <c r="T721" i="5"/>
  <c r="U721" i="5" s="1"/>
  <c r="S721" i="5"/>
  <c r="R721" i="5"/>
  <c r="T527" i="5"/>
  <c r="U527" i="5" s="1"/>
  <c r="S527" i="5"/>
  <c r="R527" i="5"/>
  <c r="T516" i="5"/>
  <c r="U516" i="5" s="1"/>
  <c r="S516" i="5"/>
  <c r="R516" i="5"/>
  <c r="T512" i="5"/>
  <c r="U512" i="5" s="1"/>
  <c r="S512" i="5"/>
  <c r="R512" i="5"/>
  <c r="T500" i="5"/>
  <c r="U500" i="5" s="1"/>
  <c r="S500" i="5"/>
  <c r="R500" i="5"/>
  <c r="T494" i="5"/>
  <c r="U494" i="5" s="1"/>
  <c r="S494" i="5"/>
  <c r="R494" i="5"/>
  <c r="T490" i="5"/>
  <c r="U490" i="5" s="1"/>
  <c r="S490" i="5"/>
  <c r="R490" i="5"/>
  <c r="T453" i="5"/>
  <c r="U453" i="5" s="1"/>
  <c r="S453" i="5"/>
  <c r="R453" i="5"/>
  <c r="T449" i="5"/>
  <c r="U449" i="5" s="1"/>
  <c r="S449" i="5"/>
  <c r="R449" i="5"/>
  <c r="T439" i="5"/>
  <c r="U439" i="5" s="1"/>
  <c r="S439" i="5"/>
  <c r="R439" i="5"/>
  <c r="T430" i="5"/>
  <c r="U430" i="5" s="1"/>
  <c r="S430" i="5"/>
  <c r="R430" i="5"/>
  <c r="T422" i="5"/>
  <c r="U422" i="5" s="1"/>
  <c r="S422" i="5"/>
  <c r="R422" i="5"/>
  <c r="T419" i="5"/>
  <c r="U419" i="5" s="1"/>
  <c r="S419" i="5"/>
  <c r="R419" i="5"/>
  <c r="T412" i="5"/>
  <c r="U412" i="5" s="1"/>
  <c r="S412" i="5"/>
  <c r="R412" i="5"/>
  <c r="T402" i="5"/>
  <c r="U402" i="5" s="1"/>
  <c r="S402" i="5"/>
  <c r="R402" i="5"/>
  <c r="T398" i="5"/>
  <c r="U398" i="5" s="1"/>
  <c r="S398" i="5"/>
  <c r="R398" i="5"/>
  <c r="T357" i="5"/>
  <c r="U357" i="5" s="1"/>
  <c r="S357" i="5"/>
  <c r="R357" i="5"/>
  <c r="T356" i="5"/>
  <c r="U356" i="5" s="1"/>
  <c r="S356" i="5"/>
  <c r="R356" i="5"/>
  <c r="T347" i="5"/>
  <c r="U347" i="5" s="1"/>
  <c r="S347" i="5"/>
  <c r="R347" i="5"/>
  <c r="T256" i="5"/>
  <c r="U256" i="5" s="1"/>
  <c r="S256" i="5"/>
  <c r="R256" i="5"/>
  <c r="T61" i="5"/>
  <c r="U61" i="5" s="1"/>
  <c r="S61" i="5"/>
  <c r="R61" i="5"/>
  <c r="T48" i="5"/>
  <c r="U48" i="5" s="1"/>
  <c r="S48" i="5"/>
  <c r="R48" i="5"/>
  <c r="T32" i="5"/>
  <c r="U32" i="5" s="1"/>
  <c r="S32" i="5"/>
  <c r="R32" i="5"/>
  <c r="T1080" i="5"/>
  <c r="U1080" i="5" s="1"/>
  <c r="S1080" i="5"/>
  <c r="R1080" i="5"/>
  <c r="T926" i="5"/>
  <c r="U926" i="5" s="1"/>
  <c r="S926" i="5"/>
  <c r="R926" i="5"/>
  <c r="T607" i="5"/>
  <c r="U607" i="5" s="1"/>
  <c r="S607" i="5"/>
  <c r="R607" i="5"/>
  <c r="T598" i="5"/>
  <c r="U598" i="5" s="1"/>
  <c r="S598" i="5"/>
  <c r="R598" i="5"/>
  <c r="T564" i="5"/>
  <c r="U564" i="5" s="1"/>
  <c r="S564" i="5"/>
  <c r="R564" i="5"/>
  <c r="T392" i="5"/>
  <c r="U392" i="5" s="1"/>
  <c r="S392" i="5"/>
  <c r="R392" i="5"/>
  <c r="T283" i="5"/>
  <c r="U283" i="5" s="1"/>
  <c r="S283" i="5"/>
  <c r="R283" i="5"/>
  <c r="T155" i="5"/>
  <c r="U155" i="5" s="1"/>
  <c r="S155" i="5"/>
  <c r="R155" i="5"/>
  <c r="T1053" i="5"/>
  <c r="U1053" i="5" s="1"/>
  <c r="S1053" i="5"/>
  <c r="R1053" i="5"/>
  <c r="T1052" i="5"/>
  <c r="U1052" i="5" s="1"/>
  <c r="S1052" i="5"/>
  <c r="R1052" i="5"/>
  <c r="T1051" i="5"/>
  <c r="U1051" i="5" s="1"/>
  <c r="S1051" i="5"/>
  <c r="R1051" i="5"/>
  <c r="T1043" i="5"/>
  <c r="U1043" i="5" s="1"/>
  <c r="S1043" i="5"/>
  <c r="R1043" i="5"/>
  <c r="T877" i="5"/>
  <c r="U877" i="5" s="1"/>
  <c r="S877" i="5"/>
  <c r="R877" i="5"/>
  <c r="T873" i="5"/>
  <c r="U873" i="5" s="1"/>
  <c r="S873" i="5"/>
  <c r="R873" i="5"/>
  <c r="T741" i="5"/>
  <c r="U741" i="5" s="1"/>
  <c r="S741" i="5"/>
  <c r="R741" i="5"/>
  <c r="T740" i="5"/>
  <c r="U740" i="5" s="1"/>
  <c r="S740" i="5"/>
  <c r="R740" i="5"/>
  <c r="T575" i="5"/>
  <c r="U575" i="5" s="1"/>
  <c r="S575" i="5"/>
  <c r="R575" i="5"/>
  <c r="T542" i="5"/>
  <c r="U542" i="5" s="1"/>
  <c r="S542" i="5"/>
  <c r="R542" i="5"/>
  <c r="T539" i="5"/>
  <c r="U539" i="5" s="1"/>
  <c r="S539" i="5"/>
  <c r="R539" i="5"/>
  <c r="T536" i="5"/>
  <c r="U536" i="5" s="1"/>
  <c r="S536" i="5"/>
  <c r="R536" i="5"/>
  <c r="T396" i="5"/>
  <c r="U396" i="5" s="1"/>
  <c r="S396" i="5"/>
  <c r="R396" i="5"/>
  <c r="T361" i="5"/>
  <c r="U361" i="5" s="1"/>
  <c r="S361" i="5"/>
  <c r="R361" i="5"/>
  <c r="T199" i="5"/>
  <c r="U199" i="5" s="1"/>
  <c r="S199" i="5"/>
  <c r="R199" i="5"/>
  <c r="T198" i="5"/>
  <c r="U198" i="5" s="1"/>
  <c r="S198" i="5"/>
  <c r="R198" i="5"/>
  <c r="T1035" i="5"/>
  <c r="U1035" i="5" s="1"/>
  <c r="S1035" i="5"/>
  <c r="R1035" i="5"/>
  <c r="T1033" i="5"/>
  <c r="U1033" i="5" s="1"/>
  <c r="S1033" i="5"/>
  <c r="R1033" i="5"/>
  <c r="T581" i="5"/>
  <c r="U581" i="5" s="1"/>
  <c r="S581" i="5"/>
  <c r="R581" i="5"/>
  <c r="T385" i="5"/>
  <c r="U385" i="5" s="1"/>
  <c r="S385" i="5"/>
  <c r="R385" i="5"/>
  <c r="T1050" i="5"/>
  <c r="U1050" i="5" s="1"/>
  <c r="S1050" i="5"/>
  <c r="R1050" i="5"/>
  <c r="T1049" i="5"/>
  <c r="U1049" i="5" s="1"/>
  <c r="S1049" i="5"/>
  <c r="R1049" i="5"/>
  <c r="T1046" i="5"/>
  <c r="U1046" i="5" s="1"/>
  <c r="S1046" i="5"/>
  <c r="R1046" i="5"/>
  <c r="T1044" i="5"/>
  <c r="U1044" i="5" s="1"/>
  <c r="S1044" i="5"/>
  <c r="R1044" i="5"/>
  <c r="T958" i="5"/>
  <c r="U958" i="5" s="1"/>
  <c r="S958" i="5"/>
  <c r="R958" i="5"/>
  <c r="T954" i="5"/>
  <c r="U954" i="5" s="1"/>
  <c r="S954" i="5"/>
  <c r="R954" i="5"/>
  <c r="T880" i="5"/>
  <c r="U880" i="5" s="1"/>
  <c r="S880" i="5"/>
  <c r="R880" i="5"/>
  <c r="T682" i="5"/>
  <c r="U682" i="5" s="1"/>
  <c r="S682" i="5"/>
  <c r="R682" i="5"/>
  <c r="T681" i="5"/>
  <c r="U681" i="5" s="1"/>
  <c r="S681" i="5"/>
  <c r="R681" i="5"/>
  <c r="T630" i="5"/>
  <c r="U630" i="5" s="1"/>
  <c r="S630" i="5"/>
  <c r="R630" i="5"/>
  <c r="T576" i="5"/>
  <c r="U576" i="5" s="1"/>
  <c r="S576" i="5"/>
  <c r="R576" i="5"/>
  <c r="T570" i="5"/>
  <c r="U570" i="5" s="1"/>
  <c r="S570" i="5"/>
  <c r="R570" i="5"/>
  <c r="T393" i="5"/>
  <c r="U393" i="5" s="1"/>
  <c r="S393" i="5"/>
  <c r="R393" i="5"/>
  <c r="T390" i="5"/>
  <c r="U390" i="5" s="1"/>
  <c r="S390" i="5"/>
  <c r="R390" i="5"/>
  <c r="T384" i="5"/>
  <c r="U384" i="5" s="1"/>
  <c r="S384" i="5"/>
  <c r="R384" i="5"/>
  <c r="T382" i="5"/>
  <c r="U382" i="5" s="1"/>
  <c r="S382" i="5"/>
  <c r="R382" i="5"/>
  <c r="T370" i="5"/>
  <c r="U370" i="5" s="1"/>
  <c r="S370" i="5"/>
  <c r="R370" i="5"/>
  <c r="T367" i="5"/>
  <c r="U367" i="5" s="1"/>
  <c r="S367" i="5"/>
  <c r="R367" i="5"/>
  <c r="T365" i="5"/>
  <c r="U365" i="5" s="1"/>
  <c r="S365" i="5"/>
  <c r="R365" i="5"/>
  <c r="T329" i="5"/>
  <c r="U329" i="5" s="1"/>
  <c r="S329" i="5"/>
  <c r="R329" i="5"/>
  <c r="T328" i="5"/>
  <c r="U328" i="5" s="1"/>
  <c r="S328" i="5"/>
  <c r="R328" i="5"/>
  <c r="T265" i="5"/>
  <c r="U265" i="5" s="1"/>
  <c r="S265" i="5"/>
  <c r="R265" i="5"/>
  <c r="T210" i="5"/>
  <c r="U210" i="5" s="1"/>
  <c r="S210" i="5"/>
  <c r="R210" i="5"/>
  <c r="T207" i="5"/>
  <c r="U207" i="5" s="1"/>
  <c r="S207" i="5"/>
  <c r="R207" i="5"/>
  <c r="T206" i="5"/>
  <c r="U206" i="5" s="1"/>
  <c r="S206" i="5"/>
  <c r="R206" i="5"/>
  <c r="T205" i="5"/>
  <c r="U205" i="5" s="1"/>
  <c r="S205" i="5"/>
  <c r="R205" i="5"/>
  <c r="T204" i="5"/>
  <c r="U204" i="5" s="1"/>
  <c r="S204" i="5"/>
  <c r="R204" i="5"/>
  <c r="T203" i="5"/>
  <c r="U203" i="5" s="1"/>
  <c r="S203" i="5"/>
  <c r="R203" i="5"/>
  <c r="T202" i="5"/>
  <c r="U202" i="5" s="1"/>
  <c r="S202" i="5"/>
  <c r="R202" i="5"/>
  <c r="T197" i="5"/>
  <c r="U197" i="5" s="1"/>
  <c r="S197" i="5"/>
  <c r="R197" i="5"/>
  <c r="T196" i="5"/>
  <c r="U196" i="5" s="1"/>
  <c r="S196" i="5"/>
  <c r="R196" i="5"/>
  <c r="T195" i="5"/>
  <c r="U195" i="5" s="1"/>
  <c r="S195" i="5"/>
  <c r="R195" i="5"/>
  <c r="T194" i="5"/>
  <c r="U194" i="5" s="1"/>
  <c r="S194" i="5"/>
  <c r="R194" i="5"/>
  <c r="T134" i="5"/>
  <c r="U134" i="5" s="1"/>
  <c r="S134" i="5"/>
  <c r="R134" i="5"/>
  <c r="T86" i="5"/>
  <c r="U86" i="5" s="1"/>
  <c r="S86" i="5"/>
  <c r="R86" i="5"/>
  <c r="T67" i="5"/>
  <c r="U67" i="5" s="1"/>
  <c r="S67" i="5"/>
  <c r="R67" i="5"/>
  <c r="T66" i="5"/>
  <c r="U66" i="5" s="1"/>
  <c r="S66" i="5"/>
  <c r="R66" i="5"/>
  <c r="T40" i="5"/>
  <c r="U40" i="5" s="1"/>
  <c r="S40" i="5"/>
  <c r="R40" i="5"/>
  <c r="T1091" i="5"/>
  <c r="U1091" i="5" s="1"/>
  <c r="S1091" i="5"/>
  <c r="R1091" i="5"/>
  <c r="T1090" i="5"/>
  <c r="U1090" i="5" s="1"/>
  <c r="S1090" i="5"/>
  <c r="R1090" i="5"/>
  <c r="T1082" i="5"/>
  <c r="U1082" i="5" s="1"/>
  <c r="S1082" i="5"/>
  <c r="R1082" i="5"/>
  <c r="T1029" i="5"/>
  <c r="U1029" i="5" s="1"/>
  <c r="S1029" i="5"/>
  <c r="R1029" i="5"/>
  <c r="T1028" i="5"/>
  <c r="U1028" i="5" s="1"/>
  <c r="S1028" i="5"/>
  <c r="R1028" i="5"/>
  <c r="T1021" i="5"/>
  <c r="U1021" i="5" s="1"/>
  <c r="S1021" i="5"/>
  <c r="R1021" i="5"/>
  <c r="T1017" i="5"/>
  <c r="U1017" i="5" s="1"/>
  <c r="S1017" i="5"/>
  <c r="R1017" i="5"/>
  <c r="T1010" i="5"/>
  <c r="U1010" i="5" s="1"/>
  <c r="S1010" i="5"/>
  <c r="R1010" i="5"/>
  <c r="T1007" i="5"/>
  <c r="U1007" i="5" s="1"/>
  <c r="S1007" i="5"/>
  <c r="R1007" i="5"/>
  <c r="T1005" i="5"/>
  <c r="U1005" i="5" s="1"/>
  <c r="S1005" i="5"/>
  <c r="R1005" i="5"/>
  <c r="T1002" i="5"/>
  <c r="U1002" i="5" s="1"/>
  <c r="S1002" i="5"/>
  <c r="R1002" i="5"/>
  <c r="T980" i="5"/>
  <c r="U980" i="5" s="1"/>
  <c r="S980" i="5"/>
  <c r="R980" i="5"/>
  <c r="T978" i="5"/>
  <c r="U978" i="5" s="1"/>
  <c r="S978" i="5"/>
  <c r="R978" i="5"/>
  <c r="T977" i="5"/>
  <c r="U977" i="5" s="1"/>
  <c r="S977" i="5"/>
  <c r="R977" i="5"/>
  <c r="T973" i="5"/>
  <c r="U973" i="5" s="1"/>
  <c r="S973" i="5"/>
  <c r="R973" i="5"/>
  <c r="T972" i="5"/>
  <c r="U972" i="5" s="1"/>
  <c r="S972" i="5"/>
  <c r="R972" i="5"/>
  <c r="T945" i="5"/>
  <c r="U945" i="5" s="1"/>
  <c r="S945" i="5"/>
  <c r="R945" i="5"/>
  <c r="T944" i="5"/>
  <c r="U944" i="5" s="1"/>
  <c r="S944" i="5"/>
  <c r="R944" i="5"/>
  <c r="T910" i="5"/>
  <c r="U910" i="5" s="1"/>
  <c r="S910" i="5"/>
  <c r="R910" i="5"/>
  <c r="T909" i="5"/>
  <c r="U909" i="5" s="1"/>
  <c r="S909" i="5"/>
  <c r="R909" i="5"/>
  <c r="T894" i="5"/>
  <c r="U894" i="5" s="1"/>
  <c r="S894" i="5"/>
  <c r="R894" i="5"/>
  <c r="T893" i="5"/>
  <c r="U893" i="5" s="1"/>
  <c r="S893" i="5"/>
  <c r="R893" i="5"/>
  <c r="T891" i="5"/>
  <c r="U891" i="5" s="1"/>
  <c r="S891" i="5"/>
  <c r="R891" i="5"/>
  <c r="T846" i="5"/>
  <c r="U846" i="5" s="1"/>
  <c r="S846" i="5"/>
  <c r="R846" i="5"/>
  <c r="T845" i="5"/>
  <c r="U845" i="5" s="1"/>
  <c r="S845" i="5"/>
  <c r="R845" i="5"/>
  <c r="T829" i="5"/>
  <c r="U829" i="5" s="1"/>
  <c r="S829" i="5"/>
  <c r="R829" i="5"/>
  <c r="T821" i="5"/>
  <c r="U821" i="5" s="1"/>
  <c r="S821" i="5"/>
  <c r="R821" i="5"/>
  <c r="T820" i="5"/>
  <c r="U820" i="5" s="1"/>
  <c r="S820" i="5"/>
  <c r="R820" i="5"/>
  <c r="T819" i="5"/>
  <c r="U819" i="5" s="1"/>
  <c r="S819" i="5"/>
  <c r="R819" i="5"/>
  <c r="T815" i="5"/>
  <c r="U815" i="5" s="1"/>
  <c r="S815" i="5"/>
  <c r="R815" i="5"/>
  <c r="T814" i="5"/>
  <c r="U814" i="5" s="1"/>
  <c r="S814" i="5"/>
  <c r="R814" i="5"/>
  <c r="T813" i="5"/>
  <c r="U813" i="5" s="1"/>
  <c r="S813" i="5"/>
  <c r="R813" i="5"/>
  <c r="T792" i="5"/>
  <c r="U792" i="5" s="1"/>
  <c r="S792" i="5"/>
  <c r="R792" i="5"/>
  <c r="T791" i="5"/>
  <c r="U791" i="5" s="1"/>
  <c r="S791" i="5"/>
  <c r="R791" i="5"/>
  <c r="T790" i="5"/>
  <c r="U790" i="5" s="1"/>
  <c r="S790" i="5"/>
  <c r="R790" i="5"/>
  <c r="T789" i="5"/>
  <c r="U789" i="5" s="1"/>
  <c r="S789" i="5"/>
  <c r="R789" i="5"/>
  <c r="T754" i="5"/>
  <c r="U754" i="5" s="1"/>
  <c r="S754" i="5"/>
  <c r="R754" i="5"/>
  <c r="T753" i="5"/>
  <c r="U753" i="5" s="1"/>
  <c r="S753" i="5"/>
  <c r="R753" i="5"/>
  <c r="T752" i="5"/>
  <c r="U752" i="5" s="1"/>
  <c r="S752" i="5"/>
  <c r="R752" i="5"/>
  <c r="T751" i="5"/>
  <c r="U751" i="5" s="1"/>
  <c r="S751" i="5"/>
  <c r="R751" i="5"/>
  <c r="T746" i="5"/>
  <c r="U746" i="5" s="1"/>
  <c r="S746" i="5"/>
  <c r="R746" i="5"/>
  <c r="T731" i="5"/>
  <c r="U731" i="5" s="1"/>
  <c r="S731" i="5"/>
  <c r="R731" i="5"/>
  <c r="T694" i="5"/>
  <c r="U694" i="5" s="1"/>
  <c r="S694" i="5"/>
  <c r="R694" i="5"/>
  <c r="T693" i="5"/>
  <c r="U693" i="5" s="1"/>
  <c r="S693" i="5"/>
  <c r="R693" i="5"/>
  <c r="T692" i="5"/>
  <c r="U692" i="5" s="1"/>
  <c r="S692" i="5"/>
  <c r="R692" i="5"/>
  <c r="T691" i="5"/>
  <c r="U691" i="5" s="1"/>
  <c r="S691" i="5"/>
  <c r="R691" i="5"/>
  <c r="T690" i="5"/>
  <c r="U690" i="5" s="1"/>
  <c r="S690" i="5"/>
  <c r="R690" i="5"/>
  <c r="T686" i="5"/>
  <c r="U686" i="5" s="1"/>
  <c r="S686" i="5"/>
  <c r="R686" i="5"/>
  <c r="T672" i="5"/>
  <c r="U672" i="5" s="1"/>
  <c r="S672" i="5"/>
  <c r="R672" i="5"/>
  <c r="T658" i="5"/>
  <c r="U658" i="5" s="1"/>
  <c r="S658" i="5"/>
  <c r="R658" i="5"/>
  <c r="T654" i="5"/>
  <c r="U654" i="5" s="1"/>
  <c r="S654" i="5"/>
  <c r="R654" i="5"/>
  <c r="T650" i="5"/>
  <c r="U650" i="5" s="1"/>
  <c r="S650" i="5"/>
  <c r="R650" i="5"/>
  <c r="T646" i="5"/>
  <c r="U646" i="5" s="1"/>
  <c r="S646" i="5"/>
  <c r="R646" i="5"/>
  <c r="T631" i="5"/>
  <c r="U631" i="5" s="1"/>
  <c r="S631" i="5"/>
  <c r="R631" i="5"/>
  <c r="T625" i="5"/>
  <c r="U625" i="5" s="1"/>
  <c r="S625" i="5"/>
  <c r="R625" i="5"/>
  <c r="T624" i="5"/>
  <c r="U624" i="5" s="1"/>
  <c r="S624" i="5"/>
  <c r="R624" i="5"/>
  <c r="T623" i="5"/>
  <c r="U623" i="5" s="1"/>
  <c r="S623" i="5"/>
  <c r="R623" i="5"/>
  <c r="T622" i="5"/>
  <c r="U622" i="5" s="1"/>
  <c r="S622" i="5"/>
  <c r="R622" i="5"/>
  <c r="T604" i="5"/>
  <c r="U604" i="5" s="1"/>
  <c r="S604" i="5"/>
  <c r="R604" i="5"/>
  <c r="T603" i="5"/>
  <c r="U603" i="5" s="1"/>
  <c r="S603" i="5"/>
  <c r="R603" i="5"/>
  <c r="T597" i="5"/>
  <c r="U597" i="5" s="1"/>
  <c r="S597" i="5"/>
  <c r="R597" i="5"/>
  <c r="T556" i="5"/>
  <c r="U556" i="5" s="1"/>
  <c r="S556" i="5"/>
  <c r="R556" i="5"/>
  <c r="T555" i="5"/>
  <c r="U555" i="5" s="1"/>
  <c r="S555" i="5"/>
  <c r="R555" i="5"/>
  <c r="T545" i="5"/>
  <c r="U545" i="5" s="1"/>
  <c r="S545" i="5"/>
  <c r="R545" i="5"/>
  <c r="T544" i="5"/>
  <c r="U544" i="5" s="1"/>
  <c r="S544" i="5"/>
  <c r="R544" i="5"/>
  <c r="T535" i="5"/>
  <c r="U535" i="5" s="1"/>
  <c r="S535" i="5"/>
  <c r="R535" i="5"/>
  <c r="Q634" i="5"/>
  <c r="T534" i="5"/>
  <c r="S534" i="5"/>
  <c r="S634" i="5" s="1"/>
  <c r="R534" i="5"/>
  <c r="R634" i="5" s="1"/>
  <c r="T528" i="5"/>
  <c r="U528" i="5" s="1"/>
  <c r="S528" i="5"/>
  <c r="R528" i="5"/>
  <c r="T523" i="5"/>
  <c r="U523" i="5" s="1"/>
  <c r="S523" i="5"/>
  <c r="R523" i="5"/>
  <c r="T522" i="5"/>
  <c r="U522" i="5" s="1"/>
  <c r="S522" i="5"/>
  <c r="R522" i="5"/>
  <c r="T520" i="5"/>
  <c r="U520" i="5" s="1"/>
  <c r="S520" i="5"/>
  <c r="R520" i="5"/>
  <c r="T509" i="5"/>
  <c r="U509" i="5" s="1"/>
  <c r="S509" i="5"/>
  <c r="R509" i="5"/>
  <c r="T506" i="5"/>
  <c r="U506" i="5" s="1"/>
  <c r="S506" i="5"/>
  <c r="R506" i="5"/>
  <c r="T505" i="5"/>
  <c r="U505" i="5" s="1"/>
  <c r="S505" i="5"/>
  <c r="R505" i="5"/>
  <c r="T487" i="5"/>
  <c r="U487" i="5" s="1"/>
  <c r="S487" i="5"/>
  <c r="R487" i="5"/>
  <c r="T475" i="5"/>
  <c r="U475" i="5" s="1"/>
  <c r="S475" i="5"/>
  <c r="R475" i="5"/>
  <c r="T474" i="5"/>
  <c r="U474" i="5" s="1"/>
  <c r="S474" i="5"/>
  <c r="R474" i="5"/>
  <c r="T473" i="5"/>
  <c r="U473" i="5" s="1"/>
  <c r="S473" i="5"/>
  <c r="R473" i="5"/>
  <c r="T465" i="5"/>
  <c r="U465" i="5" s="1"/>
  <c r="S465" i="5"/>
  <c r="R465" i="5"/>
  <c r="T464" i="5"/>
  <c r="U464" i="5" s="1"/>
  <c r="S464" i="5"/>
  <c r="R464" i="5"/>
  <c r="T437" i="5"/>
  <c r="U437" i="5" s="1"/>
  <c r="S437" i="5"/>
  <c r="R437" i="5"/>
  <c r="T436" i="5"/>
  <c r="U436" i="5" s="1"/>
  <c r="S436" i="5"/>
  <c r="R436" i="5"/>
  <c r="T435" i="5"/>
  <c r="U435" i="5" s="1"/>
  <c r="S435" i="5"/>
  <c r="R435" i="5"/>
  <c r="T417" i="5"/>
  <c r="U417" i="5" s="1"/>
  <c r="S417" i="5"/>
  <c r="R417" i="5"/>
  <c r="T416" i="5"/>
  <c r="U416" i="5" s="1"/>
  <c r="S416" i="5"/>
  <c r="R416" i="5"/>
  <c r="T395" i="5"/>
  <c r="U395" i="5" s="1"/>
  <c r="S395" i="5"/>
  <c r="R395" i="5"/>
  <c r="T378" i="5"/>
  <c r="U378" i="5" s="1"/>
  <c r="S378" i="5"/>
  <c r="R378" i="5"/>
  <c r="T354" i="5"/>
  <c r="U354" i="5" s="1"/>
  <c r="S354" i="5"/>
  <c r="R354" i="5"/>
  <c r="T333" i="5"/>
  <c r="U333" i="5" s="1"/>
  <c r="S333" i="5"/>
  <c r="R333" i="5"/>
  <c r="T332" i="5"/>
  <c r="U332" i="5" s="1"/>
  <c r="S332" i="5"/>
  <c r="R332" i="5"/>
  <c r="T318" i="5"/>
  <c r="U318" i="5" s="1"/>
  <c r="S318" i="5"/>
  <c r="R318" i="5"/>
  <c r="T316" i="5"/>
  <c r="U316" i="5" s="1"/>
  <c r="S316" i="5"/>
  <c r="R316" i="5"/>
  <c r="T295" i="5"/>
  <c r="U295" i="5" s="1"/>
  <c r="S295" i="5"/>
  <c r="R295" i="5"/>
  <c r="T294" i="5"/>
  <c r="U294" i="5" s="1"/>
  <c r="S294" i="5"/>
  <c r="R294" i="5"/>
  <c r="T290" i="5"/>
  <c r="U290" i="5" s="1"/>
  <c r="S290" i="5"/>
  <c r="R290" i="5"/>
  <c r="T286" i="5"/>
  <c r="U286" i="5" s="1"/>
  <c r="S286" i="5"/>
  <c r="R286" i="5"/>
  <c r="T277" i="5"/>
  <c r="U277" i="5" s="1"/>
  <c r="S277" i="5"/>
  <c r="R277" i="5"/>
  <c r="T276" i="5"/>
  <c r="U276" i="5" s="1"/>
  <c r="S276" i="5"/>
  <c r="R276" i="5"/>
  <c r="T275" i="5"/>
  <c r="U275" i="5" s="1"/>
  <c r="S275" i="5"/>
  <c r="R275" i="5"/>
  <c r="T235" i="5"/>
  <c r="U235" i="5" s="1"/>
  <c r="S235" i="5"/>
  <c r="R235" i="5"/>
  <c r="T230" i="5"/>
  <c r="U230" i="5" s="1"/>
  <c r="S230" i="5"/>
  <c r="R230" i="5"/>
  <c r="T222" i="5"/>
  <c r="U222" i="5" s="1"/>
  <c r="S222" i="5"/>
  <c r="R222" i="5"/>
  <c r="T221" i="5"/>
  <c r="U221" i="5" s="1"/>
  <c r="S221" i="5"/>
  <c r="R221" i="5"/>
  <c r="T211" i="5"/>
  <c r="U211" i="5" s="1"/>
  <c r="S211" i="5"/>
  <c r="R211" i="5"/>
  <c r="T171" i="5"/>
  <c r="U171" i="5" s="1"/>
  <c r="S171" i="5"/>
  <c r="R171" i="5"/>
  <c r="T170" i="5"/>
  <c r="U170" i="5" s="1"/>
  <c r="S170" i="5"/>
  <c r="R170" i="5"/>
  <c r="T169" i="5"/>
  <c r="U169" i="5" s="1"/>
  <c r="S169" i="5"/>
  <c r="R169" i="5"/>
  <c r="T160" i="5"/>
  <c r="U160" i="5" s="1"/>
  <c r="S160" i="5"/>
  <c r="R160" i="5"/>
  <c r="T147" i="5"/>
  <c r="U147" i="5" s="1"/>
  <c r="S147" i="5"/>
  <c r="R147" i="5"/>
  <c r="T146" i="5"/>
  <c r="U146" i="5" s="1"/>
  <c r="S146" i="5"/>
  <c r="R146" i="5"/>
  <c r="T120" i="5"/>
  <c r="U120" i="5" s="1"/>
  <c r="S120" i="5"/>
  <c r="R120" i="5"/>
  <c r="T113" i="5"/>
  <c r="U113" i="5" s="1"/>
  <c r="S113" i="5"/>
  <c r="R113" i="5"/>
  <c r="T112" i="5"/>
  <c r="U112" i="5" s="1"/>
  <c r="S112" i="5"/>
  <c r="R112" i="5"/>
  <c r="T91" i="5"/>
  <c r="U91" i="5" s="1"/>
  <c r="S91" i="5"/>
  <c r="R91" i="5"/>
  <c r="T82" i="5"/>
  <c r="U82" i="5" s="1"/>
  <c r="S82" i="5"/>
  <c r="R82" i="5"/>
  <c r="T73" i="5"/>
  <c r="U73" i="5" s="1"/>
  <c r="S73" i="5"/>
  <c r="R73" i="5"/>
  <c r="T55" i="5"/>
  <c r="U55" i="5" s="1"/>
  <c r="S55" i="5"/>
  <c r="R55" i="5"/>
  <c r="T45" i="5"/>
  <c r="U45" i="5" s="1"/>
  <c r="S45" i="5"/>
  <c r="R45" i="5"/>
  <c r="T27" i="5"/>
  <c r="U27" i="5" s="1"/>
  <c r="S27" i="5"/>
  <c r="R27" i="5"/>
  <c r="T21" i="5"/>
  <c r="U21" i="5" s="1"/>
  <c r="S21" i="5"/>
  <c r="R21" i="5"/>
  <c r="T14" i="5"/>
  <c r="U14" i="5" s="1"/>
  <c r="S14" i="5"/>
  <c r="R14" i="5"/>
  <c r="T1068" i="5"/>
  <c r="U1068" i="5" s="1"/>
  <c r="S1068" i="5"/>
  <c r="R1068" i="5"/>
  <c r="T999" i="5"/>
  <c r="U999" i="5" s="1"/>
  <c r="S999" i="5"/>
  <c r="R999" i="5"/>
  <c r="T998" i="5"/>
  <c r="U998" i="5" s="1"/>
  <c r="S998" i="5"/>
  <c r="R998" i="5"/>
  <c r="T963" i="5"/>
  <c r="U963" i="5" s="1"/>
  <c r="S963" i="5"/>
  <c r="R963" i="5"/>
  <c r="T953" i="5"/>
  <c r="U953" i="5" s="1"/>
  <c r="S953" i="5"/>
  <c r="R953" i="5"/>
  <c r="T940" i="5"/>
  <c r="U940" i="5" s="1"/>
  <c r="S940" i="5"/>
  <c r="R940" i="5"/>
  <c r="T937" i="5"/>
  <c r="U937" i="5" s="1"/>
  <c r="S937" i="5"/>
  <c r="R937" i="5"/>
  <c r="T927" i="5"/>
  <c r="U927" i="5" s="1"/>
  <c r="S927" i="5"/>
  <c r="R927" i="5"/>
  <c r="T920" i="5"/>
  <c r="U920" i="5" s="1"/>
  <c r="S920" i="5"/>
  <c r="R920" i="5"/>
  <c r="T901" i="5"/>
  <c r="U901" i="5" s="1"/>
  <c r="S901" i="5"/>
  <c r="R901" i="5"/>
  <c r="T872" i="5"/>
  <c r="U872" i="5" s="1"/>
  <c r="S872" i="5"/>
  <c r="R872" i="5"/>
  <c r="T862" i="5"/>
  <c r="U862" i="5" s="1"/>
  <c r="S862" i="5"/>
  <c r="R862" i="5"/>
  <c r="T854" i="5"/>
  <c r="U854" i="5" s="1"/>
  <c r="S854" i="5"/>
  <c r="R854" i="5"/>
  <c r="T840" i="5"/>
  <c r="U840" i="5" s="1"/>
  <c r="S840" i="5"/>
  <c r="R840" i="5"/>
  <c r="T837" i="5"/>
  <c r="U837" i="5" s="1"/>
  <c r="S837" i="5"/>
  <c r="R837" i="5"/>
  <c r="T801" i="5"/>
  <c r="U801" i="5" s="1"/>
  <c r="S801" i="5"/>
  <c r="R801" i="5"/>
  <c r="T800" i="5"/>
  <c r="U800" i="5" s="1"/>
  <c r="S800" i="5"/>
  <c r="R800" i="5"/>
  <c r="T799" i="5"/>
  <c r="U799" i="5" s="1"/>
  <c r="S799" i="5"/>
  <c r="R799" i="5"/>
  <c r="T766" i="5"/>
  <c r="U766" i="5" s="1"/>
  <c r="S766" i="5"/>
  <c r="R766" i="5"/>
  <c r="T765" i="5"/>
  <c r="U765" i="5" s="1"/>
  <c r="S765" i="5"/>
  <c r="R765" i="5"/>
  <c r="T713" i="5"/>
  <c r="U713" i="5" s="1"/>
  <c r="S713" i="5"/>
  <c r="R713" i="5"/>
  <c r="T711" i="5"/>
  <c r="U711" i="5" s="1"/>
  <c r="S711" i="5"/>
  <c r="R711" i="5"/>
  <c r="Q802" i="5"/>
  <c r="T636" i="5"/>
  <c r="S636" i="5"/>
  <c r="S802" i="5" s="1"/>
  <c r="R636" i="5"/>
  <c r="R802" i="5" s="1"/>
  <c r="T621" i="5"/>
  <c r="U621" i="5" s="1"/>
  <c r="S621" i="5"/>
  <c r="R621" i="5"/>
  <c r="T619" i="5"/>
  <c r="U619" i="5" s="1"/>
  <c r="S619" i="5"/>
  <c r="R619" i="5"/>
  <c r="T593" i="5"/>
  <c r="U593" i="5" s="1"/>
  <c r="S593" i="5"/>
  <c r="R593" i="5"/>
  <c r="T561" i="5"/>
  <c r="U561" i="5" s="1"/>
  <c r="S561" i="5"/>
  <c r="R561" i="5"/>
  <c r="T530" i="5"/>
  <c r="U530" i="5" s="1"/>
  <c r="S530" i="5"/>
  <c r="R530" i="5"/>
  <c r="T427" i="5"/>
  <c r="U427" i="5" s="1"/>
  <c r="S427" i="5"/>
  <c r="R427" i="5"/>
  <c r="T411" i="5"/>
  <c r="U411" i="5" s="1"/>
  <c r="S411" i="5"/>
  <c r="R411" i="5"/>
  <c r="T377" i="5"/>
  <c r="U377" i="5" s="1"/>
  <c r="S377" i="5"/>
  <c r="R377" i="5"/>
  <c r="T360" i="5"/>
  <c r="U360" i="5" s="1"/>
  <c r="S360" i="5"/>
  <c r="R360" i="5"/>
  <c r="T336" i="5"/>
  <c r="U336" i="5" s="1"/>
  <c r="S336" i="5"/>
  <c r="R336" i="5"/>
  <c r="T323" i="5"/>
  <c r="U323" i="5" s="1"/>
  <c r="S323" i="5"/>
  <c r="R323" i="5"/>
  <c r="T322" i="5"/>
  <c r="U322" i="5" s="1"/>
  <c r="S322" i="5"/>
  <c r="R322" i="5"/>
  <c r="T288" i="5"/>
  <c r="U288" i="5" s="1"/>
  <c r="S288" i="5"/>
  <c r="R288" i="5"/>
  <c r="T281" i="5"/>
  <c r="U281" i="5" s="1"/>
  <c r="S281" i="5"/>
  <c r="R281" i="5"/>
  <c r="T272" i="5"/>
  <c r="U272" i="5" s="1"/>
  <c r="S272" i="5"/>
  <c r="R272" i="5"/>
  <c r="T239" i="5"/>
  <c r="U239" i="5" s="1"/>
  <c r="S239" i="5"/>
  <c r="R239" i="5"/>
  <c r="T233" i="5"/>
  <c r="U233" i="5" s="1"/>
  <c r="S233" i="5"/>
  <c r="R233" i="5"/>
  <c r="T223" i="5"/>
  <c r="U223" i="5" s="1"/>
  <c r="S223" i="5"/>
  <c r="R223" i="5"/>
  <c r="T192" i="5"/>
  <c r="U192" i="5" s="1"/>
  <c r="S192" i="5"/>
  <c r="R192" i="5"/>
  <c r="T179" i="5"/>
  <c r="U179" i="5" s="1"/>
  <c r="S179" i="5"/>
  <c r="R179" i="5"/>
  <c r="T166" i="5"/>
  <c r="U166" i="5" s="1"/>
  <c r="S166" i="5"/>
  <c r="R166" i="5"/>
  <c r="T162" i="5"/>
  <c r="U162" i="5" s="1"/>
  <c r="S162" i="5"/>
  <c r="R162" i="5"/>
  <c r="T144" i="5"/>
  <c r="U144" i="5" s="1"/>
  <c r="S144" i="5"/>
  <c r="R144" i="5"/>
  <c r="T103" i="5"/>
  <c r="U103" i="5" s="1"/>
  <c r="S103" i="5"/>
  <c r="R103" i="5"/>
  <c r="T93" i="5"/>
  <c r="U93" i="5" s="1"/>
  <c r="S93" i="5"/>
  <c r="R93" i="5"/>
  <c r="T83" i="5"/>
  <c r="U83" i="5" s="1"/>
  <c r="S83" i="5"/>
  <c r="R83" i="5"/>
  <c r="T35" i="5"/>
  <c r="U35" i="5" s="1"/>
  <c r="S35" i="5"/>
  <c r="R35" i="5"/>
  <c r="T16" i="5"/>
  <c r="U16" i="5" s="1"/>
  <c r="S16" i="5"/>
  <c r="R16" i="5"/>
  <c r="T7" i="5"/>
  <c r="U7" i="5" s="1"/>
  <c r="S7" i="5"/>
  <c r="R7" i="5"/>
  <c r="T6" i="5"/>
  <c r="U6" i="5" s="1"/>
  <c r="S6" i="5"/>
  <c r="R6" i="5"/>
  <c r="T168" i="5"/>
  <c r="U168" i="5" s="1"/>
  <c r="S168" i="5"/>
  <c r="R168" i="5"/>
  <c r="T1102" i="5"/>
  <c r="U1102" i="5" s="1"/>
  <c r="S1102" i="5"/>
  <c r="R1102" i="5"/>
  <c r="T1097" i="5"/>
  <c r="U1097" i="5" s="1"/>
  <c r="S1097" i="5"/>
  <c r="R1097" i="5"/>
  <c r="T1081" i="5"/>
  <c r="U1081" i="5" s="1"/>
  <c r="S1081" i="5"/>
  <c r="R1081" i="5"/>
  <c r="T1071" i="5"/>
  <c r="U1071" i="5" s="1"/>
  <c r="S1071" i="5"/>
  <c r="R1071" i="5"/>
  <c r="T1070" i="5"/>
  <c r="U1070" i="5" s="1"/>
  <c r="S1070" i="5"/>
  <c r="R1070" i="5"/>
  <c r="T1067" i="5"/>
  <c r="U1067" i="5" s="1"/>
  <c r="S1067" i="5"/>
  <c r="R1067" i="5"/>
  <c r="T1066" i="5"/>
  <c r="U1066" i="5" s="1"/>
  <c r="S1066" i="5"/>
  <c r="R1066" i="5"/>
  <c r="T1038" i="5"/>
  <c r="U1038" i="5" s="1"/>
  <c r="S1038" i="5"/>
  <c r="R1038" i="5"/>
  <c r="T1016" i="5"/>
  <c r="U1016" i="5" s="1"/>
  <c r="S1016" i="5"/>
  <c r="R1016" i="5"/>
  <c r="T1015" i="5"/>
  <c r="U1015" i="5" s="1"/>
  <c r="S1015" i="5"/>
  <c r="R1015" i="5"/>
  <c r="T1001" i="5"/>
  <c r="U1001" i="5" s="1"/>
  <c r="S1001" i="5"/>
  <c r="R1001" i="5"/>
  <c r="T997" i="5"/>
  <c r="U997" i="5" s="1"/>
  <c r="S997" i="5"/>
  <c r="R997" i="5"/>
  <c r="Q1105" i="5"/>
  <c r="T996" i="5"/>
  <c r="S996" i="5"/>
  <c r="S1105" i="5" s="1"/>
  <c r="R996" i="5"/>
  <c r="R1105" i="5" s="1"/>
  <c r="T967" i="5"/>
  <c r="U967" i="5" s="1"/>
  <c r="S967" i="5"/>
  <c r="R967" i="5"/>
  <c r="T964" i="5"/>
  <c r="U964" i="5" s="1"/>
  <c r="S964" i="5"/>
  <c r="R964" i="5"/>
  <c r="T952" i="5"/>
  <c r="U952" i="5" s="1"/>
  <c r="S952" i="5"/>
  <c r="R952" i="5"/>
  <c r="T946" i="5"/>
  <c r="U946" i="5" s="1"/>
  <c r="S946" i="5"/>
  <c r="R946" i="5"/>
  <c r="T938" i="5"/>
  <c r="U938" i="5" s="1"/>
  <c r="S938" i="5"/>
  <c r="R938" i="5"/>
  <c r="T918" i="5"/>
  <c r="U918" i="5" s="1"/>
  <c r="S918" i="5"/>
  <c r="R918" i="5"/>
  <c r="T911" i="5"/>
  <c r="U911" i="5" s="1"/>
  <c r="S911" i="5"/>
  <c r="R911" i="5"/>
  <c r="T908" i="5"/>
  <c r="U908" i="5" s="1"/>
  <c r="S908" i="5"/>
  <c r="R908" i="5"/>
  <c r="T903" i="5"/>
  <c r="U903" i="5" s="1"/>
  <c r="S903" i="5"/>
  <c r="R903" i="5"/>
  <c r="T902" i="5"/>
  <c r="U902" i="5" s="1"/>
  <c r="S902" i="5"/>
  <c r="R902" i="5"/>
  <c r="T895" i="5"/>
  <c r="U895" i="5" s="1"/>
  <c r="S895" i="5"/>
  <c r="R895" i="5"/>
  <c r="T888" i="5"/>
  <c r="U888" i="5" s="1"/>
  <c r="S888" i="5"/>
  <c r="R888" i="5"/>
  <c r="T887" i="5"/>
  <c r="U887" i="5" s="1"/>
  <c r="S887" i="5"/>
  <c r="R887" i="5"/>
  <c r="T876" i="5"/>
  <c r="U876" i="5" s="1"/>
  <c r="S876" i="5"/>
  <c r="R876" i="5"/>
  <c r="T874" i="5"/>
  <c r="U874" i="5" s="1"/>
  <c r="S874" i="5"/>
  <c r="R874" i="5"/>
  <c r="T869" i="5"/>
  <c r="U869" i="5" s="1"/>
  <c r="S869" i="5"/>
  <c r="R869" i="5"/>
  <c r="T868" i="5"/>
  <c r="U868" i="5" s="1"/>
  <c r="S868" i="5"/>
  <c r="R868" i="5"/>
  <c r="T863" i="5"/>
  <c r="U863" i="5" s="1"/>
  <c r="S863" i="5"/>
  <c r="R863" i="5"/>
  <c r="T848" i="5"/>
  <c r="U848" i="5" s="1"/>
  <c r="S848" i="5"/>
  <c r="R848" i="5"/>
  <c r="T832" i="5"/>
  <c r="U832" i="5" s="1"/>
  <c r="S832" i="5"/>
  <c r="R832" i="5"/>
  <c r="T827" i="5"/>
  <c r="U827" i="5" s="1"/>
  <c r="S827" i="5"/>
  <c r="R827" i="5"/>
  <c r="T798" i="5"/>
  <c r="U798" i="5" s="1"/>
  <c r="S798" i="5"/>
  <c r="R798" i="5"/>
  <c r="T797" i="5"/>
  <c r="U797" i="5" s="1"/>
  <c r="S797" i="5"/>
  <c r="R797" i="5"/>
  <c r="T796" i="5"/>
  <c r="U796" i="5" s="1"/>
  <c r="S796" i="5"/>
  <c r="R796" i="5"/>
  <c r="T795" i="5"/>
  <c r="U795" i="5" s="1"/>
  <c r="S795" i="5"/>
  <c r="R795" i="5"/>
  <c r="T772" i="5"/>
  <c r="U772" i="5" s="1"/>
  <c r="S772" i="5"/>
  <c r="R772" i="5"/>
  <c r="T771" i="5"/>
  <c r="U771" i="5" s="1"/>
  <c r="S771" i="5"/>
  <c r="R771" i="5"/>
  <c r="T770" i="5"/>
  <c r="U770" i="5" s="1"/>
  <c r="S770" i="5"/>
  <c r="R770" i="5"/>
  <c r="T764" i="5"/>
  <c r="U764" i="5" s="1"/>
  <c r="S764" i="5"/>
  <c r="R764" i="5"/>
  <c r="T763" i="5"/>
  <c r="U763" i="5" s="1"/>
  <c r="S763" i="5"/>
  <c r="R763" i="5"/>
  <c r="T762" i="5"/>
  <c r="U762" i="5" s="1"/>
  <c r="S762" i="5"/>
  <c r="R762" i="5"/>
  <c r="T761" i="5"/>
  <c r="U761" i="5" s="1"/>
  <c r="S761" i="5"/>
  <c r="R761" i="5"/>
  <c r="T760" i="5"/>
  <c r="U760" i="5" s="1"/>
  <c r="S760" i="5"/>
  <c r="R760" i="5"/>
  <c r="T759" i="5"/>
  <c r="U759" i="5" s="1"/>
  <c r="S759" i="5"/>
  <c r="R759" i="5"/>
  <c r="T758" i="5"/>
  <c r="U758" i="5" s="1"/>
  <c r="S758" i="5"/>
  <c r="R758" i="5"/>
  <c r="T757" i="5"/>
  <c r="U757" i="5" s="1"/>
  <c r="S757" i="5"/>
  <c r="R757" i="5"/>
  <c r="T720" i="5"/>
  <c r="U720" i="5" s="1"/>
  <c r="S720" i="5"/>
  <c r="R720" i="5"/>
  <c r="T719" i="5"/>
  <c r="U719" i="5" s="1"/>
  <c r="S719" i="5"/>
  <c r="R719" i="5"/>
  <c r="T716" i="5"/>
  <c r="U716" i="5" s="1"/>
  <c r="S716" i="5"/>
  <c r="R716" i="5"/>
  <c r="T714" i="5"/>
  <c r="U714" i="5" s="1"/>
  <c r="S714" i="5"/>
  <c r="R714" i="5"/>
  <c r="T712" i="5"/>
  <c r="U712" i="5" s="1"/>
  <c r="S712" i="5"/>
  <c r="R712" i="5"/>
  <c r="T709" i="5"/>
  <c r="U709" i="5" s="1"/>
  <c r="S709" i="5"/>
  <c r="R709" i="5"/>
  <c r="T708" i="5"/>
  <c r="U708" i="5" s="1"/>
  <c r="S708" i="5"/>
  <c r="R708" i="5"/>
  <c r="T707" i="5"/>
  <c r="U707" i="5" s="1"/>
  <c r="S707" i="5"/>
  <c r="R707" i="5"/>
  <c r="T706" i="5"/>
  <c r="U706" i="5" s="1"/>
  <c r="S706" i="5"/>
  <c r="R706" i="5"/>
  <c r="T705" i="5"/>
  <c r="U705" i="5" s="1"/>
  <c r="S705" i="5"/>
  <c r="R705" i="5"/>
  <c r="T704" i="5"/>
  <c r="U704" i="5" s="1"/>
  <c r="S704" i="5"/>
  <c r="R704" i="5"/>
  <c r="T702" i="5"/>
  <c r="U702" i="5" s="1"/>
  <c r="S702" i="5"/>
  <c r="R702" i="5"/>
  <c r="T700" i="5"/>
  <c r="U700" i="5" s="1"/>
  <c r="S700" i="5"/>
  <c r="R700" i="5"/>
  <c r="T699" i="5"/>
  <c r="U699" i="5" s="1"/>
  <c r="S699" i="5"/>
  <c r="R699" i="5"/>
  <c r="T674" i="5"/>
  <c r="U674" i="5" s="1"/>
  <c r="S674" i="5"/>
  <c r="R674" i="5"/>
  <c r="T660" i="5"/>
  <c r="U660" i="5" s="1"/>
  <c r="S660" i="5"/>
  <c r="R660" i="5"/>
  <c r="T659" i="5"/>
  <c r="U659" i="5" s="1"/>
  <c r="S659" i="5"/>
  <c r="R659" i="5"/>
  <c r="T637" i="5"/>
  <c r="U637" i="5" s="1"/>
  <c r="S637" i="5"/>
  <c r="R637" i="5"/>
  <c r="T612" i="5"/>
  <c r="U612" i="5" s="1"/>
  <c r="S612" i="5"/>
  <c r="R612" i="5"/>
  <c r="T609" i="5"/>
  <c r="U609" i="5" s="1"/>
  <c r="S609" i="5"/>
  <c r="R609" i="5"/>
  <c r="T599" i="5"/>
  <c r="U599" i="5" s="1"/>
  <c r="S599" i="5"/>
  <c r="R599" i="5"/>
  <c r="T582" i="5"/>
  <c r="U582" i="5" s="1"/>
  <c r="S582" i="5"/>
  <c r="R582" i="5"/>
  <c r="T557" i="5"/>
  <c r="U557" i="5" s="1"/>
  <c r="S557" i="5"/>
  <c r="R557" i="5"/>
  <c r="T554" i="5"/>
  <c r="U554" i="5" s="1"/>
  <c r="S554" i="5"/>
  <c r="R554" i="5"/>
  <c r="T525" i="5"/>
  <c r="U525" i="5" s="1"/>
  <c r="S525" i="5"/>
  <c r="R525" i="5"/>
  <c r="T504" i="5"/>
  <c r="U504" i="5" s="1"/>
  <c r="S504" i="5"/>
  <c r="R504" i="5"/>
  <c r="T480" i="5"/>
  <c r="U480" i="5" s="1"/>
  <c r="S480" i="5"/>
  <c r="R480" i="5"/>
  <c r="T469" i="5"/>
  <c r="U469" i="5" s="1"/>
  <c r="S469" i="5"/>
  <c r="R469" i="5"/>
  <c r="T468" i="5"/>
  <c r="U468" i="5" s="1"/>
  <c r="S468" i="5"/>
  <c r="R468" i="5"/>
  <c r="T454" i="5"/>
  <c r="U454" i="5" s="1"/>
  <c r="S454" i="5"/>
  <c r="R454" i="5"/>
  <c r="T441" i="5"/>
  <c r="U441" i="5" s="1"/>
  <c r="S441" i="5"/>
  <c r="R441" i="5"/>
  <c r="T423" i="5"/>
  <c r="U423" i="5" s="1"/>
  <c r="S423" i="5"/>
  <c r="R423" i="5"/>
  <c r="T391" i="5"/>
  <c r="U391" i="5" s="1"/>
  <c r="S391" i="5"/>
  <c r="R391" i="5"/>
  <c r="T376" i="5"/>
  <c r="U376" i="5" s="1"/>
  <c r="S376" i="5"/>
  <c r="R376" i="5"/>
  <c r="T375" i="5"/>
  <c r="U375" i="5" s="1"/>
  <c r="S375" i="5"/>
  <c r="R375" i="5"/>
  <c r="T352" i="5"/>
  <c r="U352" i="5" s="1"/>
  <c r="S352" i="5"/>
  <c r="R352" i="5"/>
  <c r="T351" i="5"/>
  <c r="U351" i="5" s="1"/>
  <c r="S351" i="5"/>
  <c r="R351" i="5"/>
  <c r="T343" i="5"/>
  <c r="U343" i="5" s="1"/>
  <c r="S343" i="5"/>
  <c r="R343" i="5"/>
  <c r="T337" i="5"/>
  <c r="U337" i="5" s="1"/>
  <c r="S337" i="5"/>
  <c r="R337" i="5"/>
  <c r="T335" i="5"/>
  <c r="U335" i="5" s="1"/>
  <c r="S335" i="5"/>
  <c r="R335" i="5"/>
  <c r="T334" i="5"/>
  <c r="U334" i="5" s="1"/>
  <c r="S334" i="5"/>
  <c r="R334" i="5"/>
  <c r="T331" i="5"/>
  <c r="U331" i="5" s="1"/>
  <c r="S331" i="5"/>
  <c r="R331" i="5"/>
  <c r="T321" i="5"/>
  <c r="U321" i="5" s="1"/>
  <c r="S321" i="5"/>
  <c r="R321" i="5"/>
  <c r="T320" i="5"/>
  <c r="U320" i="5" s="1"/>
  <c r="S320" i="5"/>
  <c r="R320" i="5"/>
  <c r="T319" i="5"/>
  <c r="U319" i="5" s="1"/>
  <c r="S319" i="5"/>
  <c r="R319" i="5"/>
  <c r="T317" i="5"/>
  <c r="U317" i="5" s="1"/>
  <c r="S317" i="5"/>
  <c r="R317" i="5"/>
  <c r="T315" i="5"/>
  <c r="U315" i="5" s="1"/>
  <c r="S315" i="5"/>
  <c r="R315" i="5"/>
  <c r="T304" i="5"/>
  <c r="U304" i="5" s="1"/>
  <c r="S304" i="5"/>
  <c r="R304" i="5"/>
  <c r="T293" i="5"/>
  <c r="U293" i="5" s="1"/>
  <c r="S293" i="5"/>
  <c r="R293" i="5"/>
  <c r="T292" i="5"/>
  <c r="U292" i="5" s="1"/>
  <c r="S292" i="5"/>
  <c r="R292" i="5"/>
  <c r="T287" i="5"/>
  <c r="U287" i="5" s="1"/>
  <c r="S287" i="5"/>
  <c r="R287" i="5"/>
  <c r="T280" i="5"/>
  <c r="U280" i="5" s="1"/>
  <c r="S280" i="5"/>
  <c r="R280" i="5"/>
  <c r="T271" i="5"/>
  <c r="U271" i="5" s="1"/>
  <c r="S271" i="5"/>
  <c r="R271" i="5"/>
  <c r="T251" i="5"/>
  <c r="U251" i="5" s="1"/>
  <c r="S251" i="5"/>
  <c r="R251" i="5"/>
  <c r="T245" i="5"/>
  <c r="U245" i="5" s="1"/>
  <c r="S245" i="5"/>
  <c r="R245" i="5"/>
  <c r="T244" i="5"/>
  <c r="U244" i="5" s="1"/>
  <c r="S244" i="5"/>
  <c r="R244" i="5"/>
  <c r="T236" i="5"/>
  <c r="U236" i="5" s="1"/>
  <c r="S236" i="5"/>
  <c r="R236" i="5"/>
  <c r="T225" i="5"/>
  <c r="U225" i="5" s="1"/>
  <c r="S225" i="5"/>
  <c r="R225" i="5"/>
  <c r="T224" i="5"/>
  <c r="U224" i="5" s="1"/>
  <c r="S224" i="5"/>
  <c r="R224" i="5"/>
  <c r="T193" i="5"/>
  <c r="U193" i="5" s="1"/>
  <c r="S193" i="5"/>
  <c r="R193" i="5"/>
  <c r="T191" i="5"/>
  <c r="U191" i="5" s="1"/>
  <c r="S191" i="5"/>
  <c r="R191" i="5"/>
  <c r="T176" i="5"/>
  <c r="U176" i="5" s="1"/>
  <c r="S176" i="5"/>
  <c r="R176" i="5"/>
  <c r="T165" i="5"/>
  <c r="U165" i="5" s="1"/>
  <c r="S165" i="5"/>
  <c r="R165" i="5"/>
  <c r="T163" i="5"/>
  <c r="U163" i="5" s="1"/>
  <c r="S163" i="5"/>
  <c r="R163" i="5"/>
  <c r="T161" i="5"/>
  <c r="U161" i="5" s="1"/>
  <c r="S161" i="5"/>
  <c r="R161" i="5"/>
  <c r="T152" i="5"/>
  <c r="U152" i="5" s="1"/>
  <c r="S152" i="5"/>
  <c r="R152" i="5"/>
  <c r="T145" i="5"/>
  <c r="U145" i="5" s="1"/>
  <c r="S145" i="5"/>
  <c r="R145" i="5"/>
  <c r="T143" i="5"/>
  <c r="U143" i="5" s="1"/>
  <c r="S143" i="5"/>
  <c r="R143" i="5"/>
  <c r="T142" i="5"/>
  <c r="U142" i="5" s="1"/>
  <c r="S142" i="5"/>
  <c r="R142" i="5"/>
  <c r="T141" i="5"/>
  <c r="U141" i="5" s="1"/>
  <c r="S141" i="5"/>
  <c r="R141" i="5"/>
  <c r="T140" i="5"/>
  <c r="U140" i="5" s="1"/>
  <c r="S140" i="5"/>
  <c r="R140" i="5"/>
  <c r="T130" i="5"/>
  <c r="U130" i="5" s="1"/>
  <c r="S130" i="5"/>
  <c r="R130" i="5"/>
  <c r="T111" i="5"/>
  <c r="U111" i="5" s="1"/>
  <c r="S111" i="5"/>
  <c r="R111" i="5"/>
  <c r="T105" i="5"/>
  <c r="U105" i="5" s="1"/>
  <c r="S105" i="5"/>
  <c r="R105" i="5"/>
  <c r="T104" i="5"/>
  <c r="U104" i="5" s="1"/>
  <c r="S104" i="5"/>
  <c r="R104" i="5"/>
  <c r="T84" i="5"/>
  <c r="U84" i="5" s="1"/>
  <c r="S84" i="5"/>
  <c r="R84" i="5"/>
  <c r="T69" i="5"/>
  <c r="U69" i="5" s="1"/>
  <c r="S69" i="5"/>
  <c r="R69" i="5"/>
  <c r="T64" i="5"/>
  <c r="U64" i="5" s="1"/>
  <c r="S64" i="5"/>
  <c r="R64" i="5"/>
  <c r="T59" i="5"/>
  <c r="U59" i="5" s="1"/>
  <c r="S59" i="5"/>
  <c r="R59" i="5"/>
  <c r="T56" i="5"/>
  <c r="U56" i="5" s="1"/>
  <c r="S56" i="5"/>
  <c r="R56" i="5"/>
  <c r="T46" i="5"/>
  <c r="U46" i="5" s="1"/>
  <c r="S46" i="5"/>
  <c r="R46" i="5"/>
  <c r="T43" i="5"/>
  <c r="U43" i="5" s="1"/>
  <c r="S43" i="5"/>
  <c r="R43" i="5"/>
  <c r="T39" i="5"/>
  <c r="U39" i="5" s="1"/>
  <c r="S39" i="5"/>
  <c r="R39" i="5"/>
  <c r="T36" i="5"/>
  <c r="U36" i="5" s="1"/>
  <c r="S36" i="5"/>
  <c r="R36" i="5"/>
  <c r="T30" i="5"/>
  <c r="U30" i="5" s="1"/>
  <c r="S30" i="5"/>
  <c r="R30" i="5"/>
  <c r="T24" i="5"/>
  <c r="U24" i="5" s="1"/>
  <c r="S24" i="5"/>
  <c r="R24" i="5"/>
  <c r="T18" i="5"/>
  <c r="U18" i="5" s="1"/>
  <c r="S18" i="5"/>
  <c r="R18" i="5"/>
  <c r="T12" i="5"/>
  <c r="U12" i="5" s="1"/>
  <c r="S12" i="5"/>
  <c r="R12" i="5"/>
  <c r="T10" i="5"/>
  <c r="U10" i="5" s="1"/>
  <c r="S10" i="5"/>
  <c r="R10" i="5"/>
  <c r="T981" i="5"/>
  <c r="U981" i="5" s="1"/>
  <c r="S981" i="5"/>
  <c r="R981" i="5"/>
  <c r="T190" i="5"/>
  <c r="U190" i="5" s="1"/>
  <c r="S190" i="5"/>
  <c r="R190" i="5"/>
  <c r="T189" i="5"/>
  <c r="U189" i="5" s="1"/>
  <c r="S189" i="5"/>
  <c r="R189" i="5"/>
  <c r="T15" i="6"/>
  <c r="U15" i="6" s="1"/>
  <c r="S15" i="6"/>
  <c r="R15" i="6"/>
  <c r="T12" i="6"/>
  <c r="U12" i="6" s="1"/>
  <c r="S12" i="6"/>
  <c r="R12" i="6"/>
  <c r="T11" i="6"/>
  <c r="U11" i="6" s="1"/>
  <c r="S11" i="6"/>
  <c r="R11" i="6"/>
  <c r="T10" i="6"/>
  <c r="U10" i="6" s="1"/>
  <c r="S10" i="6"/>
  <c r="R10" i="6"/>
  <c r="T9" i="6"/>
  <c r="U9" i="6" s="1"/>
  <c r="S9" i="6"/>
  <c r="R9" i="6"/>
  <c r="T7" i="6"/>
  <c r="U7" i="6" s="1"/>
  <c r="S7" i="6"/>
  <c r="R7" i="6"/>
  <c r="Q16" i="6"/>
  <c r="T5" i="6"/>
  <c r="S5" i="6"/>
  <c r="S16" i="6" s="1"/>
  <c r="R5" i="6"/>
  <c r="R16" i="6" s="1"/>
  <c r="M48" i="4"/>
  <c r="J50" i="4" s="1"/>
  <c r="N43" i="4"/>
  <c r="N48" i="4" s="1"/>
  <c r="T39" i="6"/>
  <c r="U39" i="6" s="1"/>
  <c r="S39" i="6"/>
  <c r="R39" i="6"/>
  <c r="T37" i="6"/>
  <c r="U37" i="6" s="1"/>
  <c r="S37" i="6"/>
  <c r="R37" i="6"/>
  <c r="T36" i="6"/>
  <c r="U36" i="6" s="1"/>
  <c r="S36" i="6"/>
  <c r="R36" i="6"/>
  <c r="T35" i="6"/>
  <c r="U35" i="6" s="1"/>
  <c r="S35" i="6"/>
  <c r="R35" i="6"/>
  <c r="T33" i="6"/>
  <c r="U33" i="6" s="1"/>
  <c r="S33" i="6"/>
  <c r="R33" i="6"/>
  <c r="T32" i="6"/>
  <c r="U32" i="6" s="1"/>
  <c r="S32" i="6"/>
  <c r="R32" i="6"/>
  <c r="T31" i="6"/>
  <c r="U31" i="6" s="1"/>
  <c r="S31" i="6"/>
  <c r="R31" i="6"/>
  <c r="T29" i="6"/>
  <c r="U29" i="6" s="1"/>
  <c r="S29" i="6"/>
  <c r="R29" i="6"/>
  <c r="T28" i="6"/>
  <c r="U28" i="6" s="1"/>
  <c r="S28" i="6"/>
  <c r="R28" i="6"/>
  <c r="T26" i="6"/>
  <c r="U26" i="6" s="1"/>
  <c r="S26" i="6"/>
  <c r="R26" i="6"/>
  <c r="T24" i="6"/>
  <c r="U24" i="6" s="1"/>
  <c r="S24" i="6"/>
  <c r="R24" i="6"/>
  <c r="T23" i="6"/>
  <c r="U23" i="6" s="1"/>
  <c r="S23" i="6"/>
  <c r="R23" i="6"/>
  <c r="T22" i="6"/>
  <c r="U22" i="6" s="1"/>
  <c r="S22" i="6"/>
  <c r="R22" i="6"/>
  <c r="T21" i="6"/>
  <c r="U21" i="6" s="1"/>
  <c r="S21" i="6"/>
  <c r="R21" i="6"/>
  <c r="T20" i="6"/>
  <c r="U20" i="6" s="1"/>
  <c r="S20" i="6"/>
  <c r="R20" i="6"/>
  <c r="T19" i="6"/>
  <c r="U19" i="6" s="1"/>
  <c r="S19" i="6"/>
  <c r="R19" i="6"/>
  <c r="T14" i="6"/>
  <c r="U14" i="6" s="1"/>
  <c r="S14" i="6"/>
  <c r="R14" i="6"/>
  <c r="T13" i="6"/>
  <c r="U13" i="6" s="1"/>
  <c r="S13" i="6"/>
  <c r="R13" i="6"/>
  <c r="T6" i="6"/>
  <c r="U6" i="6" s="1"/>
  <c r="S6" i="6"/>
  <c r="R6" i="6"/>
  <c r="T8" i="6"/>
  <c r="U8" i="6" s="1"/>
  <c r="S8" i="6"/>
  <c r="R8" i="6"/>
  <c r="T38" i="6"/>
  <c r="U38" i="6" s="1"/>
  <c r="S38" i="6"/>
  <c r="R38" i="6"/>
  <c r="T34" i="6"/>
  <c r="U34" i="6" s="1"/>
  <c r="S34" i="6"/>
  <c r="R34" i="6"/>
  <c r="T30" i="6"/>
  <c r="U30" i="6" s="1"/>
  <c r="S30" i="6"/>
  <c r="R30" i="6"/>
  <c r="T27" i="6"/>
  <c r="U27" i="6" s="1"/>
  <c r="S27" i="6"/>
  <c r="R27" i="6"/>
  <c r="T25" i="6"/>
  <c r="U25" i="6" s="1"/>
  <c r="S25" i="6"/>
  <c r="R25" i="6"/>
  <c r="Q40" i="6"/>
  <c r="T18" i="6"/>
  <c r="S18" i="6"/>
  <c r="S40" i="6" s="1"/>
  <c r="R18" i="6"/>
  <c r="R40" i="6" s="1"/>
  <c r="E5" i="16"/>
  <c r="J87" i="9"/>
  <c r="F5" i="16" l="1"/>
  <c r="T40" i="6"/>
  <c r="P40" i="6" s="1"/>
  <c r="U18" i="6"/>
  <c r="U40" i="6" s="1"/>
  <c r="F18" i="8"/>
  <c r="M18" i="8" s="1"/>
  <c r="F17" i="8"/>
  <c r="M17" i="8" s="1"/>
  <c r="T16" i="6"/>
  <c r="P16" i="6" s="1"/>
  <c r="U5" i="6"/>
  <c r="U16" i="6" s="1"/>
  <c r="T1105" i="5"/>
  <c r="P1105" i="5" s="1"/>
  <c r="U996" i="5"/>
  <c r="U1105" i="5" s="1"/>
  <c r="T802" i="5"/>
  <c r="P802" i="5" s="1"/>
  <c r="U636" i="5"/>
  <c r="U802" i="5" s="1"/>
  <c r="T634" i="5"/>
  <c r="P634" i="5" s="1"/>
  <c r="U534" i="5"/>
  <c r="U634" i="5" s="1"/>
  <c r="T252" i="5"/>
  <c r="P252" i="5" s="1"/>
  <c r="U5" i="5"/>
  <c r="U252" i="5" s="1"/>
  <c r="T988" i="5"/>
  <c r="P988" i="5" s="1"/>
  <c r="U804" i="5"/>
  <c r="U988" i="5" s="1"/>
  <c r="T532" i="5"/>
  <c r="P532" i="5" s="1"/>
  <c r="U342" i="5"/>
  <c r="U532" i="5" s="1"/>
  <c r="M53" i="4"/>
  <c r="J39" i="4"/>
  <c r="T338" i="5"/>
  <c r="P338" i="5" s="1"/>
  <c r="U254" i="5"/>
  <c r="U338" i="5" s="1"/>
  <c r="Q25" i="2"/>
  <c r="Q24" i="2"/>
  <c r="Q23" i="2"/>
  <c r="Q22" i="2"/>
  <c r="Q21" i="2"/>
  <c r="Q20" i="2"/>
  <c r="P26" i="2" s="1"/>
  <c r="O25" i="2"/>
  <c r="O24" i="2"/>
  <c r="O23" i="2"/>
  <c r="O22" i="2"/>
  <c r="O21" i="2"/>
  <c r="O20" i="2"/>
  <c r="N26" i="2" s="1"/>
  <c r="M25" i="2"/>
  <c r="M24" i="2"/>
  <c r="M23" i="2"/>
  <c r="M22" i="2"/>
  <c r="M21" i="2"/>
  <c r="M20" i="2"/>
  <c r="L26" i="2" s="1"/>
  <c r="K25" i="2"/>
  <c r="K24" i="2"/>
  <c r="K23" i="2"/>
  <c r="K22" i="2"/>
  <c r="K21" i="2"/>
  <c r="K20" i="2"/>
  <c r="J26" i="2" s="1"/>
  <c r="I25" i="2"/>
  <c r="I24" i="2"/>
  <c r="I23" i="2"/>
  <c r="I22" i="2"/>
  <c r="I21" i="2"/>
  <c r="I20" i="2"/>
  <c r="H26" i="2" s="1"/>
  <c r="G25" i="2"/>
  <c r="G24" i="2"/>
  <c r="G23" i="2"/>
  <c r="G22" i="2"/>
  <c r="G21" i="2"/>
  <c r="G20" i="2"/>
  <c r="F26" i="2" s="1"/>
  <c r="E25" i="2"/>
  <c r="E24" i="2"/>
  <c r="E23" i="2"/>
  <c r="E22" i="2"/>
  <c r="E21" i="2"/>
  <c r="E20" i="2"/>
  <c r="D26" i="2" s="1"/>
  <c r="C25" i="2"/>
  <c r="C24" i="2"/>
  <c r="C23" i="2"/>
  <c r="C22" i="2"/>
  <c r="C21" i="2"/>
  <c r="C20" i="2"/>
  <c r="B26" i="2" s="1"/>
  <c r="E6" i="16"/>
  <c r="F6" i="16" s="1"/>
  <c r="L12" i="11"/>
  <c r="E8" i="16"/>
  <c r="F8" i="16" s="1"/>
  <c r="L11" i="15"/>
  <c r="C34" i="2" l="1"/>
  <c r="C33" i="2"/>
  <c r="C32" i="2"/>
  <c r="C31" i="2"/>
  <c r="C30" i="2"/>
  <c r="C29" i="2"/>
  <c r="C28" i="2"/>
  <c r="B35" i="2" s="1"/>
  <c r="C43" i="2"/>
  <c r="G47" i="2" s="1"/>
  <c r="C42" i="2"/>
  <c r="E47" i="2" s="1"/>
  <c r="C41" i="2"/>
  <c r="E34" i="2"/>
  <c r="E33" i="2"/>
  <c r="E32" i="2"/>
  <c r="E31" i="2"/>
  <c r="E30" i="2"/>
  <c r="E29" i="2"/>
  <c r="E28" i="2"/>
  <c r="D35" i="2" s="1"/>
  <c r="E43" i="2"/>
  <c r="G48" i="2" s="1"/>
  <c r="E42" i="2"/>
  <c r="E48" i="2" s="1"/>
  <c r="E41" i="2"/>
  <c r="G34" i="2"/>
  <c r="G33" i="2"/>
  <c r="G32" i="2"/>
  <c r="G31" i="2"/>
  <c r="G30" i="2"/>
  <c r="G29" i="2"/>
  <c r="G28" i="2"/>
  <c r="F35" i="2" s="1"/>
  <c r="G43" i="2"/>
  <c r="G49" i="2" s="1"/>
  <c r="G42" i="2"/>
  <c r="E49" i="2" s="1"/>
  <c r="G41" i="2"/>
  <c r="I34" i="2"/>
  <c r="I33" i="2"/>
  <c r="I32" i="2"/>
  <c r="I31" i="2"/>
  <c r="I30" i="2"/>
  <c r="I29" i="2"/>
  <c r="I28" i="2"/>
  <c r="H35" i="2" s="1"/>
  <c r="I43" i="2"/>
  <c r="I42" i="2"/>
  <c r="I41" i="2"/>
  <c r="K34" i="2"/>
  <c r="K33" i="2"/>
  <c r="K32" i="2"/>
  <c r="K31" i="2"/>
  <c r="K30" i="2"/>
  <c r="K29" i="2"/>
  <c r="K28" i="2"/>
  <c r="J35" i="2" s="1"/>
  <c r="K43" i="2"/>
  <c r="K42" i="2"/>
  <c r="K41" i="2"/>
  <c r="M34" i="2"/>
  <c r="M33" i="2"/>
  <c r="M32" i="2"/>
  <c r="M31" i="2"/>
  <c r="M30" i="2"/>
  <c r="M29" i="2"/>
  <c r="M28" i="2"/>
  <c r="L35" i="2" s="1"/>
  <c r="M43" i="2"/>
  <c r="M42" i="2"/>
  <c r="M41" i="2"/>
  <c r="O34" i="2"/>
  <c r="O33" i="2"/>
  <c r="O32" i="2"/>
  <c r="O31" i="2"/>
  <c r="O30" i="2"/>
  <c r="O29" i="2"/>
  <c r="O28" i="2"/>
  <c r="N35" i="2" s="1"/>
  <c r="O43" i="2"/>
  <c r="O42" i="2"/>
  <c r="O41" i="2"/>
  <c r="Q34" i="2"/>
  <c r="Q33" i="2"/>
  <c r="Q32" i="2"/>
  <c r="Q31" i="2"/>
  <c r="Q30" i="2"/>
  <c r="Q29" i="2"/>
  <c r="Q28" i="2"/>
  <c r="P35" i="2" s="1"/>
  <c r="Q43" i="2"/>
  <c r="Q42" i="2"/>
  <c r="Q41" i="2"/>
  <c r="F12" i="8"/>
  <c r="M12" i="8" s="1"/>
  <c r="F11" i="8"/>
  <c r="M11" i="8" s="1"/>
  <c r="F10" i="8"/>
  <c r="M10" i="8" s="1"/>
  <c r="F9" i="8"/>
  <c r="M9" i="8" s="1"/>
  <c r="F8" i="8"/>
  <c r="M8" i="8" s="1"/>
  <c r="F7" i="8"/>
  <c r="M7" i="8" s="1"/>
  <c r="F6" i="8"/>
  <c r="M6" i="8" s="1"/>
  <c r="Q37" i="2" l="1"/>
  <c r="P39" i="2" s="1"/>
  <c r="O37" i="2"/>
  <c r="N39" i="2" s="1"/>
  <c r="M37" i="2"/>
  <c r="L39" i="2" s="1"/>
  <c r="K37" i="2"/>
  <c r="J39" i="2" s="1"/>
  <c r="I37" i="2"/>
  <c r="H39" i="2" s="1"/>
  <c r="G37" i="2"/>
  <c r="F39" i="2" s="1"/>
  <c r="C49" i="2" s="1"/>
  <c r="E37" i="2"/>
  <c r="D39" i="2" s="1"/>
  <c r="C48" i="2" s="1"/>
  <c r="C37" i="2"/>
  <c r="B39" i="2" s="1"/>
  <c r="C47" i="2" s="1"/>
  <c r="E54" i="2" l="1"/>
  <c r="C54" i="2"/>
  <c r="E55" i="2"/>
  <c r="C55" i="2"/>
  <c r="L18" i="8"/>
  <c r="N18" i="8"/>
  <c r="Q18" i="8"/>
  <c r="R18" i="8"/>
  <c r="H18" i="8"/>
  <c r="J18" i="8"/>
  <c r="O18" i="8"/>
  <c r="G18" i="8"/>
  <c r="K18" i="8"/>
  <c r="P18" i="8"/>
  <c r="L17" i="8"/>
  <c r="N17" i="8"/>
  <c r="Q17" i="8"/>
  <c r="R17" i="8"/>
  <c r="R19" i="8"/>
  <c r="Q19" i="8"/>
  <c r="H17" i="8"/>
  <c r="J17" i="8"/>
  <c r="O17" i="8"/>
  <c r="O19" i="8"/>
  <c r="G17" i="8"/>
  <c r="K17" i="8"/>
  <c r="P17" i="8"/>
  <c r="P19" i="8"/>
  <c r="C50" i="2"/>
  <c r="H38" i="3"/>
  <c r="J17" i="4"/>
  <c r="I16" i="7"/>
  <c r="L12" i="8"/>
  <c r="N12" i="8"/>
  <c r="Q12" i="8"/>
  <c r="R12" i="8"/>
  <c r="G10" i="10"/>
  <c r="J10" i="10"/>
  <c r="K10" i="10"/>
  <c r="L10" i="10"/>
  <c r="H12" i="8"/>
  <c r="J12" i="8"/>
  <c r="O12" i="8"/>
  <c r="E10" i="10"/>
  <c r="G12" i="8"/>
  <c r="K12" i="8"/>
  <c r="P12" i="8"/>
  <c r="F10" i="10"/>
  <c r="L11" i="8"/>
  <c r="N11" i="8"/>
  <c r="Q11" i="8"/>
  <c r="R11" i="8"/>
  <c r="G9" i="10"/>
  <c r="J9" i="10"/>
  <c r="K9" i="10"/>
  <c r="L9" i="10"/>
  <c r="H11" i="8"/>
  <c r="J11" i="8"/>
  <c r="O11" i="8"/>
  <c r="E9" i="10"/>
  <c r="G11" i="8"/>
  <c r="K11" i="8"/>
  <c r="P11" i="8"/>
  <c r="F9" i="10"/>
  <c r="L10" i="8"/>
  <c r="N10" i="8"/>
  <c r="Q10" i="8"/>
  <c r="R10" i="8"/>
  <c r="G8" i="10"/>
  <c r="J8" i="10"/>
  <c r="K8" i="10"/>
  <c r="L8" i="10"/>
  <c r="H10" i="8"/>
  <c r="J10" i="8"/>
  <c r="O10" i="8"/>
  <c r="E8" i="10"/>
  <c r="G10" i="8"/>
  <c r="K10" i="8"/>
  <c r="P10" i="8"/>
  <c r="F8" i="10"/>
  <c r="L9" i="8"/>
  <c r="N9" i="8"/>
  <c r="Q9" i="8"/>
  <c r="R9" i="8"/>
  <c r="G7" i="10"/>
  <c r="J7" i="10"/>
  <c r="K7" i="10"/>
  <c r="L7" i="10"/>
  <c r="H9" i="8"/>
  <c r="J9" i="8"/>
  <c r="O9" i="8"/>
  <c r="E7" i="10"/>
  <c r="G9" i="8"/>
  <c r="K9" i="8"/>
  <c r="P9" i="8"/>
  <c r="F7" i="10"/>
  <c r="L8" i="8"/>
  <c r="N8" i="8"/>
  <c r="Q8" i="8"/>
  <c r="R8" i="8"/>
  <c r="G6" i="10"/>
  <c r="J6" i="10"/>
  <c r="K6" i="10"/>
  <c r="L6" i="10"/>
  <c r="H8" i="8"/>
  <c r="J8" i="8"/>
  <c r="O8" i="8"/>
  <c r="E6" i="10"/>
  <c r="G8" i="8"/>
  <c r="K8" i="8"/>
  <c r="P8" i="8"/>
  <c r="F6" i="10"/>
  <c r="L7" i="8"/>
  <c r="N7" i="8"/>
  <c r="Q7" i="8"/>
  <c r="R7" i="8"/>
  <c r="G5" i="10"/>
  <c r="J5" i="10"/>
  <c r="K5" i="10"/>
  <c r="L5" i="10"/>
  <c r="H7" i="8"/>
  <c r="J7" i="8"/>
  <c r="O7" i="8"/>
  <c r="E5" i="10"/>
  <c r="G7" i="8"/>
  <c r="K7" i="8"/>
  <c r="P7" i="8"/>
  <c r="F5" i="10"/>
  <c r="L6" i="8"/>
  <c r="N6" i="8"/>
  <c r="Q6" i="8"/>
  <c r="R6" i="8"/>
  <c r="R13" i="8"/>
  <c r="R22" i="8"/>
  <c r="R24" i="8"/>
  <c r="Q13" i="8"/>
  <c r="Q22" i="8"/>
  <c r="Q24" i="8"/>
  <c r="G4" i="10"/>
  <c r="J4" i="10"/>
  <c r="K4" i="10"/>
  <c r="L4" i="10"/>
  <c r="L12" i="10"/>
  <c r="K12" i="10"/>
  <c r="J12" i="10"/>
  <c r="G12" i="10"/>
  <c r="E4" i="16"/>
  <c r="E17" i="16" s="1"/>
  <c r="F4" i="16"/>
  <c r="C56" i="2"/>
  <c r="G6" i="14"/>
  <c r="I6" i="14"/>
  <c r="J6" i="14"/>
  <c r="K6" i="14"/>
  <c r="E56" i="2"/>
  <c r="G7" i="14"/>
  <c r="I7" i="14"/>
  <c r="J7" i="14"/>
  <c r="K7" i="14"/>
  <c r="K11" i="14"/>
  <c r="K13" i="14"/>
  <c r="E7" i="16"/>
  <c r="E19" i="16" s="1"/>
  <c r="E10" i="16"/>
  <c r="F10" i="16"/>
  <c r="H6" i="8"/>
  <c r="J6" i="8"/>
  <c r="O6" i="8"/>
  <c r="O13" i="8"/>
  <c r="O22" i="8"/>
  <c r="E4" i="10"/>
  <c r="E12" i="10"/>
  <c r="C4" i="16"/>
  <c r="C10" i="16"/>
  <c r="G6" i="8"/>
  <c r="K6" i="8"/>
  <c r="P6" i="8"/>
  <c r="P13" i="8"/>
  <c r="P22" i="8"/>
  <c r="F4" i="10"/>
  <c r="F12" i="10"/>
  <c r="B4" i="16"/>
  <c r="B10" i="16"/>
  <c r="G50" i="2"/>
  <c r="E50" i="2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L17" i="4"/>
  <c r="P226" i="5"/>
  <c r="S226" i="5"/>
  <c r="P227" i="5"/>
  <c r="S227" i="5"/>
  <c r="P460" i="5"/>
  <c r="S460" i="5"/>
  <c r="P478" i="5"/>
  <c r="S478" i="5"/>
  <c r="P639" i="5"/>
  <c r="S639" i="5"/>
  <c r="P1003" i="5"/>
  <c r="S1003" i="5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6" i="3"/>
  <c r="H57" i="3"/>
  <c r="H58" i="3"/>
  <c r="H59" i="3"/>
  <c r="H60" i="3"/>
  <c r="H61" i="3"/>
  <c r="L7" i="14"/>
  <c r="L6" i="14"/>
  <c r="L11" i="14"/>
  <c r="L13" i="14"/>
  <c r="F7" i="16"/>
  <c r="N17" i="4"/>
  <c r="L37" i="4"/>
  <c r="N37" i="4"/>
  <c r="N53" i="4"/>
  <c r="U1003" i="5"/>
  <c r="U639" i="5"/>
  <c r="U478" i="5"/>
  <c r="U460" i="5"/>
  <c r="U227" i="5"/>
  <c r="U226" i="5"/>
</calcChain>
</file>

<file path=xl/sharedStrings.xml><?xml version="1.0" encoding="utf-8"?>
<sst xmlns="http://schemas.openxmlformats.org/spreadsheetml/2006/main" count="13143" uniqueCount="1599">
  <si>
    <t>Blad 'Omreken'</t>
  </si>
  <si>
    <t>Dit blad mag niet worden gewijzigd!</t>
  </si>
  <si>
    <t>Type:</t>
  </si>
  <si>
    <t>Invultabel</t>
  </si>
  <si>
    <t>Werkdagen</t>
  </si>
  <si>
    <t xml:space="preserve">per jaar: </t>
  </si>
  <si>
    <t xml:space="preserve">per week: </t>
  </si>
  <si>
    <t>FREQ</t>
  </si>
  <si>
    <t>FACTOR</t>
  </si>
  <si>
    <t>5W</t>
  </si>
  <si>
    <t>4W</t>
  </si>
  <si>
    <t>200J</t>
  </si>
  <si>
    <t>3W</t>
  </si>
  <si>
    <t>120J</t>
  </si>
  <si>
    <t>2W</t>
  </si>
  <si>
    <t>84J</t>
  </si>
  <si>
    <t>80J</t>
  </si>
  <si>
    <t>1W</t>
  </si>
  <si>
    <t>40J</t>
  </si>
  <si>
    <t>26J</t>
  </si>
  <si>
    <t>12J</t>
  </si>
  <si>
    <t>10J</t>
  </si>
  <si>
    <t>6J</t>
  </si>
  <si>
    <t>4J</t>
  </si>
  <si>
    <t>3J</t>
  </si>
  <si>
    <t>2J</t>
  </si>
  <si>
    <t>1J</t>
  </si>
  <si>
    <t>Opbouw uurtarief</t>
  </si>
  <si>
    <t>Regulier werk</t>
  </si>
  <si>
    <t>Regie werk</t>
  </si>
  <si>
    <t>Uitvoering</t>
  </si>
  <si>
    <t>Directe leiding</t>
  </si>
  <si>
    <t>ONDERDEEL</t>
  </si>
  <si>
    <t>Vakvolwassene</t>
  </si>
  <si>
    <t>Leiding (meewerkend)</t>
  </si>
  <si>
    <t>Leiding (niet-meewerkend)</t>
  </si>
  <si>
    <t>Vakvolwassene regie</t>
  </si>
  <si>
    <t>Leiding regie</t>
  </si>
  <si>
    <t>Loongroep/ervaring</t>
  </si>
  <si>
    <t>&gt;3 dienstjaren</t>
  </si>
  <si>
    <t/>
  </si>
  <si>
    <t>voorman/vrouw</t>
  </si>
  <si>
    <t>objectleider</t>
  </si>
  <si>
    <t>specialist</t>
  </si>
  <si>
    <t>Basis uurloon (CAO)</t>
  </si>
  <si>
    <t>Basis toeslagen</t>
  </si>
  <si>
    <t>Totaal basisloon</t>
  </si>
  <si>
    <t>Vakantietoeslag</t>
  </si>
  <si>
    <t>Overige structurele uitkeringen</t>
  </si>
  <si>
    <t>Totaal uurloon inclusief toeslagen</t>
  </si>
  <si>
    <t>Sociale lasten</t>
  </si>
  <si>
    <t>Totaal uurloon inclusief sociale lasten</t>
  </si>
  <si>
    <t>Vakantiedagen</t>
  </si>
  <si>
    <t>Betaalde feestdagen</t>
  </si>
  <si>
    <t>Ziektedagen</t>
  </si>
  <si>
    <t>Overige niet werkbare dagen</t>
  </si>
  <si>
    <t>TOTAAL LOONKOSTEN PER UUR</t>
  </si>
  <si>
    <t>Materialen en middelen</t>
  </si>
  <si>
    <t>Machinekosten</t>
  </si>
  <si>
    <t>Werkkleding en uitrusting</t>
  </si>
  <si>
    <t>Afvalzakken</t>
  </si>
  <si>
    <t>Reiskosten/vervoerskosten/parkeergelden</t>
  </si>
  <si>
    <t>Overige directe kosten</t>
  </si>
  <si>
    <t>TOTAAL DIRECTE KOSTEN</t>
  </si>
  <si>
    <t>Indirecte leiding</t>
  </si>
  <si>
    <t>Managementkosten</t>
  </si>
  <si>
    <t>P.Z. kosten</t>
  </si>
  <si>
    <t>Opleiding</t>
  </si>
  <si>
    <t>Huisvesting</t>
  </si>
  <si>
    <t>Administratiekosten</t>
  </si>
  <si>
    <t>Overige overhead</t>
  </si>
  <si>
    <t>TOTAAL INDIRECTE KOSTEN</t>
  </si>
  <si>
    <t>RISICO EN WINST</t>
  </si>
  <si>
    <t>TOTAAL UURTARIEF (excl. BTW)</t>
  </si>
  <si>
    <t>Onregelmatigheids tijdstip:</t>
  </si>
  <si>
    <t>toeslag</t>
  </si>
  <si>
    <t>tarief</t>
  </si>
  <si>
    <t>- DN: ma-vr nacht</t>
  </si>
  <si>
    <t>- W: weekend</t>
  </si>
  <si>
    <t>- X: feestdag</t>
  </si>
  <si>
    <t>TARIEVEN REGULIER WERK</t>
  </si>
  <si>
    <t>Werkdag</t>
  </si>
  <si>
    <t>Weekend</t>
  </si>
  <si>
    <t>Feestdag</t>
  </si>
  <si>
    <t>Aandeel</t>
  </si>
  <si>
    <t>Tarief</t>
  </si>
  <si>
    <t>Tarieven REGULIER WERK</t>
  </si>
  <si>
    <t>TARIEVEN REGIE WERK</t>
  </si>
  <si>
    <t>Regie</t>
  </si>
  <si>
    <t>Regie specialist</t>
  </si>
  <si>
    <t>Tarieven REGIE WERK</t>
  </si>
  <si>
    <t>NORM-CODE</t>
  </si>
  <si>
    <t>CATEGORIE</t>
  </si>
  <si>
    <t>DAGEN/JAAR</t>
  </si>
  <si>
    <t>OMSCHRIJVING</t>
  </si>
  <si>
    <t>PRODUCTIE-NORM</t>
  </si>
  <si>
    <t>% HOOG-FREQUENT</t>
  </si>
  <si>
    <t>EENHEID</t>
  </si>
  <si>
    <t>TARIEF (EURO)</t>
  </si>
  <si>
    <t xml:space="preserve">WERKDAG                  </t>
  </si>
  <si>
    <t>BHB</t>
  </si>
  <si>
    <t xml:space="preserve">B    </t>
  </si>
  <si>
    <t>Kantoor-/personeels-/vergaderruimte hard (basis)</t>
  </si>
  <si>
    <t>m²/uur</t>
  </si>
  <si>
    <t>BHV</t>
  </si>
  <si>
    <t>Kantoor-/personeels-/vergaderruimte hard (volledig)</t>
  </si>
  <si>
    <t>CHB</t>
  </si>
  <si>
    <t>Collegezaal; harde vloeren (basis)</t>
  </si>
  <si>
    <t>CHV</t>
  </si>
  <si>
    <t>Collegezaal; harde vloeren (volledig)</t>
  </si>
  <si>
    <t>LHB</t>
  </si>
  <si>
    <t>Leslokalen/studieruimte hard (basis)</t>
  </si>
  <si>
    <t>LHV</t>
  </si>
  <si>
    <t>Leslokalen/studieruimte hard (volledig)</t>
  </si>
  <si>
    <t>MHB</t>
  </si>
  <si>
    <t>Media-/bilbiotheek hard (basis)</t>
  </si>
  <si>
    <t>MHV</t>
  </si>
  <si>
    <t>Media-/bilbiotheek hard (volledig)</t>
  </si>
  <si>
    <t>OLHB</t>
  </si>
  <si>
    <t>Open studieruimte - harde vloeren (basis)</t>
  </si>
  <si>
    <t>OLHV</t>
  </si>
  <si>
    <t>Open studieruimte - harde vloeren (volledig)</t>
  </si>
  <si>
    <t>PMHB</t>
  </si>
  <si>
    <t xml:space="preserve">PM   </t>
  </si>
  <si>
    <t>Praktijklokaal minimaal hard (basis)</t>
  </si>
  <si>
    <t>PMHV</t>
  </si>
  <si>
    <t>Praktijklokaal minimaal hard (volledig)</t>
  </si>
  <si>
    <t>PSHB</t>
  </si>
  <si>
    <t xml:space="preserve">PU   </t>
  </si>
  <si>
    <t>Praktijklokaal specialistisch hard (basis)</t>
  </si>
  <si>
    <t>PSHV</t>
  </si>
  <si>
    <t>Praktijklokaal specialistisch hard (volledig)</t>
  </si>
  <si>
    <t>PUHB</t>
  </si>
  <si>
    <t>Praktijklokaal uitgebreid hard (basis)</t>
  </si>
  <si>
    <t>PUHV</t>
  </si>
  <si>
    <t>Praktijklokaal uitgebreid hard (volledig)</t>
  </si>
  <si>
    <t>DHB</t>
  </si>
  <si>
    <t xml:space="preserve">S    </t>
  </si>
  <si>
    <t>Douche/wasruimte hard (basis)</t>
  </si>
  <si>
    <t>DHV</t>
  </si>
  <si>
    <t>Douche/wasruimte hard (volledig)</t>
  </si>
  <si>
    <t>KHB</t>
  </si>
  <si>
    <t>Kleedruimte hard (basis)</t>
  </si>
  <si>
    <t>KHV</t>
  </si>
  <si>
    <t>Kleedruimte hard (volledig)</t>
  </si>
  <si>
    <t>SHB</t>
  </si>
  <si>
    <t>Sanitaire ruimte/toiletten hard (basis)</t>
  </si>
  <si>
    <t>SHV</t>
  </si>
  <si>
    <t>Sanitaire ruimte/toiletten hard (volledig)</t>
  </si>
  <si>
    <t>AHB</t>
  </si>
  <si>
    <t xml:space="preserve">V    </t>
  </si>
  <si>
    <t>Aula/pauzeruimte hard (basis)</t>
  </si>
  <si>
    <t>AHV</t>
  </si>
  <si>
    <t>Aula/pauzeruimte hard (volledig)</t>
  </si>
  <si>
    <t>EHB</t>
  </si>
  <si>
    <t>Entree hard (basis)</t>
  </si>
  <si>
    <t>EHV</t>
  </si>
  <si>
    <t>Entree hard (volledig)</t>
  </si>
  <si>
    <t>EZB</t>
  </si>
  <si>
    <t>Entree zacht (basis)</t>
  </si>
  <si>
    <t>EZV</t>
  </si>
  <si>
    <t>Entree zacht (volledig)</t>
  </si>
  <si>
    <t>FZB</t>
  </si>
  <si>
    <t>Fitness ruimte zacht (basis)</t>
  </si>
  <si>
    <t>FZV</t>
  </si>
  <si>
    <t>Fitness ruimte zacht (volledig)</t>
  </si>
  <si>
    <t>GHB</t>
  </si>
  <si>
    <t>Gymzaal/sportruimte hard (basis)</t>
  </si>
  <si>
    <t>GHV</t>
  </si>
  <si>
    <t>Gymzaal/sportruimte hard (volledig)</t>
  </si>
  <si>
    <t>IHB</t>
  </si>
  <si>
    <t>Lift hard (basis)</t>
  </si>
  <si>
    <t>IHV</t>
  </si>
  <si>
    <t>Lift hard (volledig)</t>
  </si>
  <si>
    <t>OHB</t>
  </si>
  <si>
    <t>Archief/bergruimte/magazijn - harde vloeren (basis)</t>
  </si>
  <si>
    <t>OHV</t>
  </si>
  <si>
    <t>Archief/bergruimte/magazijn - harde vloeren (volledig)</t>
  </si>
  <si>
    <t>PHB</t>
  </si>
  <si>
    <t>Pantry/keuken hard (basis)</t>
  </si>
  <si>
    <t>PHV</t>
  </si>
  <si>
    <t>Pantry/keuken hard (volledig)</t>
  </si>
  <si>
    <t>THB</t>
  </si>
  <si>
    <t>Trap hard (basis)</t>
  </si>
  <si>
    <t>THV</t>
  </si>
  <si>
    <t>Trap hard (volledig)</t>
  </si>
  <si>
    <t>TOHB</t>
  </si>
  <si>
    <t>Time Out ruimte harde vloeren (basis)</t>
  </si>
  <si>
    <t>TOHV</t>
  </si>
  <si>
    <t>Time Out ruimte harde vloeren (volledig)</t>
  </si>
  <si>
    <t>VHB</t>
  </si>
  <si>
    <t>Verkeersruimte/garderobe/reprografie hard (basis)</t>
  </si>
  <si>
    <t>VHV</t>
  </si>
  <si>
    <t>Verkeersruimte/garderobe/reprografie hard (volledig)</t>
  </si>
  <si>
    <t>VZB</t>
  </si>
  <si>
    <t>Verkeersruimte/garderobe/reprografie zacht (basis)</t>
  </si>
  <si>
    <t>VZV</t>
  </si>
  <si>
    <t>Verkeersruimte/garderobe/reprografie zacht (volledig)</t>
  </si>
  <si>
    <t xml:space="preserve">WERKDAG VAKANTIE         </t>
  </si>
  <si>
    <t>VBHB</t>
  </si>
  <si>
    <t>VBHV</t>
  </si>
  <si>
    <t>VSHB</t>
  </si>
  <si>
    <t>VSHV</t>
  </si>
  <si>
    <t>VVHB</t>
  </si>
  <si>
    <t>VVHV</t>
  </si>
  <si>
    <t>TAAK</t>
  </si>
  <si>
    <t>WERK- SOORT</t>
  </si>
  <si>
    <t>OPP OF AANTAL</t>
  </si>
  <si>
    <t>OPP OF AANTAL /DAG</t>
  </si>
  <si>
    <t>UREN/ DAG</t>
  </si>
  <si>
    <t>PRIJS/ DAG</t>
  </si>
  <si>
    <t>UREN/ JAAR</t>
  </si>
  <si>
    <t>PRIJS/ JAAR</t>
  </si>
  <si>
    <t>AH</t>
  </si>
  <si>
    <t>interieur</t>
  </si>
  <si>
    <t>Aula/pauzeruimte harde vloer</t>
  </si>
  <si>
    <t>BH</t>
  </si>
  <si>
    <t>Kantoor/personeels-/vergaderrruimte harde vloer</t>
  </si>
  <si>
    <t>CH</t>
  </si>
  <si>
    <t>Collegezaal- harde vloeren</t>
  </si>
  <si>
    <t>DH</t>
  </si>
  <si>
    <t>Douche/wasruimte harde vloer</t>
  </si>
  <si>
    <t>EH</t>
  </si>
  <si>
    <t>Entree harde vloer</t>
  </si>
  <si>
    <t>EZ</t>
  </si>
  <si>
    <t>Entree zachte vloer</t>
  </si>
  <si>
    <t>FZ</t>
  </si>
  <si>
    <t>Fitness ruimte - zachte vloeren</t>
  </si>
  <si>
    <t>GH</t>
  </si>
  <si>
    <t>Gymzaal/sportruimte/toestelberging harde vloer</t>
  </si>
  <si>
    <t>IH</t>
  </si>
  <si>
    <t>Lift harde vloer</t>
  </si>
  <si>
    <t>KH</t>
  </si>
  <si>
    <t>Kleedruimte harde vloer</t>
  </si>
  <si>
    <t>LH</t>
  </si>
  <si>
    <t>Leslokaal/studieruimte hardev loer</t>
  </si>
  <si>
    <t>MH</t>
  </si>
  <si>
    <t>Media-/bibliotheek harde vloer</t>
  </si>
  <si>
    <t>OH</t>
  </si>
  <si>
    <t>Archief/magazijn/opslag - harde vloeren</t>
  </si>
  <si>
    <t>OLH</t>
  </si>
  <si>
    <t>Open lesruimte - harde vloeren</t>
  </si>
  <si>
    <t>PH</t>
  </si>
  <si>
    <t>Pantry/keuken harde vloer</t>
  </si>
  <si>
    <t>PMH</t>
  </si>
  <si>
    <t>Praktijklokaal minimaal harde vloer</t>
  </si>
  <si>
    <t>PSH</t>
  </si>
  <si>
    <t>Praktijklokaal specialistisch harde vloer</t>
  </si>
  <si>
    <t>PUH</t>
  </si>
  <si>
    <t>Praktijklokaal uitgebreid harde vloer</t>
  </si>
  <si>
    <t>SH</t>
  </si>
  <si>
    <t>Sanitaire ruimte/toiletten harde vloer</t>
  </si>
  <si>
    <t>TH</t>
  </si>
  <si>
    <t>Trap harde vloer</t>
  </si>
  <si>
    <t>TOH</t>
  </si>
  <si>
    <t>Time Outruimte harde vloer</t>
  </si>
  <si>
    <t>VH</t>
  </si>
  <si>
    <t>Verkeersruimte/garderobe/reprografie harde vloer</t>
  </si>
  <si>
    <t>VZ</t>
  </si>
  <si>
    <t>Verkeersruimte/garderobe/reprografie zachte vloer</t>
  </si>
  <si>
    <t xml:space="preserve">Totaal werkdag                  </t>
  </si>
  <si>
    <t xml:space="preserve">Gemiddeld uurtarief werkdag                  </t>
  </si>
  <si>
    <t>VBH</t>
  </si>
  <si>
    <t>VSH</t>
  </si>
  <si>
    <t>VVH</t>
  </si>
  <si>
    <t xml:space="preserve">Totaal werkdag vakantie         </t>
  </si>
  <si>
    <t xml:space="preserve">Gemiddeld uurtarief werkdag vakantie         </t>
  </si>
  <si>
    <t>Totaal regulier werk excl. BTW</t>
  </si>
  <si>
    <t>OBJECT</t>
  </si>
  <si>
    <t>BOUW-DEEL</t>
  </si>
  <si>
    <t>ETAGE</t>
  </si>
  <si>
    <t>RUIMTENR</t>
  </si>
  <si>
    <t>RUIMTENAAM</t>
  </si>
  <si>
    <t>VLOER</t>
  </si>
  <si>
    <t>WERK-SOORT</t>
  </si>
  <si>
    <t>TAAK OMSCHRIJVING</t>
  </si>
  <si>
    <t>UREN HOOG-FREQUENT/ DAG</t>
  </si>
  <si>
    <t>0001 - Openbaar Lyceum De Amersfoortse berg, Hugo de Grootlaan 25, Amersfoort</t>
  </si>
  <si>
    <t>0001</t>
  </si>
  <si>
    <t>ALFA</t>
  </si>
  <si>
    <t>00</t>
  </si>
  <si>
    <t>0.01</t>
  </si>
  <si>
    <t>mediatheek</t>
  </si>
  <si>
    <t>pvc, tarkett</t>
  </si>
  <si>
    <t>0.02</t>
  </si>
  <si>
    <t>noodtrappenhuis</t>
  </si>
  <si>
    <t>0.02a</t>
  </si>
  <si>
    <t>betontrap</t>
  </si>
  <si>
    <t>beton</t>
  </si>
  <si>
    <t>0.03</t>
  </si>
  <si>
    <t>lokaal</t>
  </si>
  <si>
    <t>0.04</t>
  </si>
  <si>
    <t>0.05</t>
  </si>
  <si>
    <t>gangzone</t>
  </si>
  <si>
    <t>0.06</t>
  </si>
  <si>
    <t>facilitair</t>
  </si>
  <si>
    <t>0.07</t>
  </si>
  <si>
    <t>lockers</t>
  </si>
  <si>
    <t>0.07a</t>
  </si>
  <si>
    <t>werkkast</t>
  </si>
  <si>
    <t>N.I.O.</t>
  </si>
  <si>
    <t>0.08</t>
  </si>
  <si>
    <t>toiletgroep</t>
  </si>
  <si>
    <t>vloercoating</t>
  </si>
  <si>
    <t>0.09</t>
  </si>
  <si>
    <t>entree</t>
  </si>
  <si>
    <t>0.09a</t>
  </si>
  <si>
    <t>0.09c</t>
  </si>
  <si>
    <t>techniek</t>
  </si>
  <si>
    <t>0.10</t>
  </si>
  <si>
    <t>garderobe</t>
  </si>
  <si>
    <t>0.11</t>
  </si>
  <si>
    <t>berging</t>
  </si>
  <si>
    <t>0.12</t>
  </si>
  <si>
    <t>opslag keuken</t>
  </si>
  <si>
    <t>0.13</t>
  </si>
  <si>
    <t>MIVA toilet</t>
  </si>
  <si>
    <t>0.14</t>
  </si>
  <si>
    <t>keuken</t>
  </si>
  <si>
    <t>0.15</t>
  </si>
  <si>
    <t>aula</t>
  </si>
  <si>
    <t>pvc-vloer - tarkett</t>
  </si>
  <si>
    <t>0.16</t>
  </si>
  <si>
    <t>0.16a</t>
  </si>
  <si>
    <t>0.16b</t>
  </si>
  <si>
    <t>0.17</t>
  </si>
  <si>
    <t>0.18</t>
  </si>
  <si>
    <t>RT</t>
  </si>
  <si>
    <t>0.19</t>
  </si>
  <si>
    <t>0.20</t>
  </si>
  <si>
    <t>0.21</t>
  </si>
  <si>
    <t>personeelskamer</t>
  </si>
  <si>
    <t>0.22</t>
  </si>
  <si>
    <t>studieplein</t>
  </si>
  <si>
    <t>0.23</t>
  </si>
  <si>
    <t>overleg</t>
  </si>
  <si>
    <t>0.24</t>
  </si>
  <si>
    <t>0.25</t>
  </si>
  <si>
    <t>01</t>
  </si>
  <si>
    <t>1.01</t>
  </si>
  <si>
    <t>1.02</t>
  </si>
  <si>
    <t>1.03</t>
  </si>
  <si>
    <t>1.04</t>
  </si>
  <si>
    <t>Alfa lab</t>
  </si>
  <si>
    <t>1.05</t>
  </si>
  <si>
    <t>1.06</t>
  </si>
  <si>
    <t>1.07</t>
  </si>
  <si>
    <t>1.08</t>
  </si>
  <si>
    <t>1.09</t>
  </si>
  <si>
    <t>1.10</t>
  </si>
  <si>
    <t>1.10a</t>
  </si>
  <si>
    <t>1.11</t>
  </si>
  <si>
    <t>1.12</t>
  </si>
  <si>
    <t>magazijn</t>
  </si>
  <si>
    <t>1.13</t>
  </si>
  <si>
    <t>1.14</t>
  </si>
  <si>
    <t>1.15</t>
  </si>
  <si>
    <t>1.16</t>
  </si>
  <si>
    <t>1.17</t>
  </si>
  <si>
    <t>coördinator klas 1</t>
  </si>
  <si>
    <t>1.18</t>
  </si>
  <si>
    <t>1.19</t>
  </si>
  <si>
    <t>1.19a</t>
  </si>
  <si>
    <t>1.20</t>
  </si>
  <si>
    <t>docentenwerkplek</t>
  </si>
  <si>
    <t>1.21</t>
  </si>
  <si>
    <t>1.22</t>
  </si>
  <si>
    <t>1.23</t>
  </si>
  <si>
    <t>1.24</t>
  </si>
  <si>
    <t>1.25</t>
  </si>
  <si>
    <t>1.26</t>
  </si>
  <si>
    <t>1.27</t>
  </si>
  <si>
    <t>BG</t>
  </si>
  <si>
    <t>-1</t>
  </si>
  <si>
    <t>-1.01</t>
  </si>
  <si>
    <t>Beta lab A</t>
  </si>
  <si>
    <t>Beta lab B</t>
  </si>
  <si>
    <t>-1.02</t>
  </si>
  <si>
    <t>studieruimte Beta</t>
  </si>
  <si>
    <t>-1.02b</t>
  </si>
  <si>
    <t>gang</t>
  </si>
  <si>
    <t>-1.03</t>
  </si>
  <si>
    <t>lokaal Beta</t>
  </si>
  <si>
    <t>-1.04</t>
  </si>
  <si>
    <t>overlegruimte Beta</t>
  </si>
  <si>
    <t>-1.05</t>
  </si>
  <si>
    <t>-1.06</t>
  </si>
  <si>
    <t>pu gietvloer</t>
  </si>
  <si>
    <t>-1.07</t>
  </si>
  <si>
    <t>techniekruimte</t>
  </si>
  <si>
    <t>-1.08</t>
  </si>
  <si>
    <t>docentenwerkplek Beta</t>
  </si>
  <si>
    <t>-1.09</t>
  </si>
  <si>
    <t>-1.10</t>
  </si>
  <si>
    <t>berging TOA</t>
  </si>
  <si>
    <t>-1.11</t>
  </si>
  <si>
    <t>TOA-ruimte</t>
  </si>
  <si>
    <t>-1.12</t>
  </si>
  <si>
    <t>laagspanningsruimte</t>
  </si>
  <si>
    <t>-1.13</t>
  </si>
  <si>
    <t>serverruimte</t>
  </si>
  <si>
    <t>-1.13a</t>
  </si>
  <si>
    <t>schoonmaakkast</t>
  </si>
  <si>
    <t>-1.15</t>
  </si>
  <si>
    <t>rubber</t>
  </si>
  <si>
    <t>-1.18</t>
  </si>
  <si>
    <t>Beta lab</t>
  </si>
  <si>
    <t>sanitaire ruimte</t>
  </si>
  <si>
    <t>0.08a</t>
  </si>
  <si>
    <t>kantoor conrector</t>
  </si>
  <si>
    <t>0.17a</t>
  </si>
  <si>
    <t>trappenhuis</t>
  </si>
  <si>
    <t>0.17b</t>
  </si>
  <si>
    <t>0.17c</t>
  </si>
  <si>
    <t>tochtsluis</t>
  </si>
  <si>
    <t>droogloopmat</t>
  </si>
  <si>
    <t>kluisruimte</t>
  </si>
  <si>
    <t>0.26</t>
  </si>
  <si>
    <t>0.27</t>
  </si>
  <si>
    <t>toilet</t>
  </si>
  <si>
    <t>0.28</t>
  </si>
  <si>
    <t>lokaal Gamma</t>
  </si>
  <si>
    <t>studieruimte Gamma</t>
  </si>
  <si>
    <t>overlegruimte Gamma</t>
  </si>
  <si>
    <t>docentenwerkplek Gamma</t>
  </si>
  <si>
    <t>1.15a</t>
  </si>
  <si>
    <t>kantoor onderwijsassistenten</t>
  </si>
  <si>
    <t>Gamma lab</t>
  </si>
  <si>
    <t>1.22a</t>
  </si>
  <si>
    <t>schachtruimte</t>
  </si>
  <si>
    <t>liftkamer</t>
  </si>
  <si>
    <t>1.28</t>
  </si>
  <si>
    <t>1.29</t>
  </si>
  <si>
    <t>1.30</t>
  </si>
  <si>
    <t>1.31</t>
  </si>
  <si>
    <t>KC</t>
  </si>
  <si>
    <t>centraal magazijn</t>
  </si>
  <si>
    <t>berging theater</t>
  </si>
  <si>
    <t>podium</t>
  </si>
  <si>
    <t>-1.05a</t>
  </si>
  <si>
    <t>bar-keuken</t>
  </si>
  <si>
    <t>magazijn keuken</t>
  </si>
  <si>
    <t>werkplaats conciërges</t>
  </si>
  <si>
    <t>-1.09a</t>
  </si>
  <si>
    <t>meterruimte</t>
  </si>
  <si>
    <t>0.01a</t>
  </si>
  <si>
    <t>tribunetrap</t>
  </si>
  <si>
    <t>parket</t>
  </si>
  <si>
    <t>0.01b</t>
  </si>
  <si>
    <t>tribunetrap verkeersruimte</t>
  </si>
  <si>
    <t>collegezaal</t>
  </si>
  <si>
    <t>time-out ruimte</t>
  </si>
  <si>
    <t>0.05a</t>
  </si>
  <si>
    <t>receptie</t>
  </si>
  <si>
    <t>conciërge</t>
  </si>
  <si>
    <t>EHBO</t>
  </si>
  <si>
    <t>technische ruimte</t>
  </si>
  <si>
    <t>repro</t>
  </si>
  <si>
    <t>kantoor ICT</t>
  </si>
  <si>
    <t>roostermaker</t>
  </si>
  <si>
    <t>kantoor verzuim</t>
  </si>
  <si>
    <t>opvangruimte</t>
  </si>
  <si>
    <t>kantoor zorg</t>
  </si>
  <si>
    <t>zwakstroomruimte</t>
  </si>
  <si>
    <t>watermeterruimte</t>
  </si>
  <si>
    <t>invoerruimte</t>
  </si>
  <si>
    <t>reubber</t>
  </si>
  <si>
    <t>atelier multimedia/ tekenen A</t>
  </si>
  <si>
    <t>1.01a</t>
  </si>
  <si>
    <t>atelier multimedia/ tekenen B</t>
  </si>
  <si>
    <t>atelier kunst A</t>
  </si>
  <si>
    <t>1.02 a</t>
  </si>
  <si>
    <t>atelier kunst B</t>
  </si>
  <si>
    <t>1.02a</t>
  </si>
  <si>
    <t>klei ovenruimte</t>
  </si>
  <si>
    <t>1.02b</t>
  </si>
  <si>
    <t>machineruimte kunst</t>
  </si>
  <si>
    <t>berging muziek</t>
  </si>
  <si>
    <t>berging kunst</t>
  </si>
  <si>
    <t>muzieklokaal</t>
  </si>
  <si>
    <t>controlroom</t>
  </si>
  <si>
    <t>studio muziek</t>
  </si>
  <si>
    <t>tapijt</t>
  </si>
  <si>
    <t>lokaal kunst</t>
  </si>
  <si>
    <t>docentwerkruimte kunst</t>
  </si>
  <si>
    <t>1.12a</t>
  </si>
  <si>
    <t>studieruimte kunst</t>
  </si>
  <si>
    <t>1.12b</t>
  </si>
  <si>
    <t>spreekkamer</t>
  </si>
  <si>
    <t>kantoor rector</t>
  </si>
  <si>
    <t>kolfruimte</t>
  </si>
  <si>
    <t>kantoor administratie</t>
  </si>
  <si>
    <t>SZ</t>
  </si>
  <si>
    <t>toestelberging</t>
  </si>
  <si>
    <t>puntelastisch kunstharsge</t>
  </si>
  <si>
    <t>-1.01a</t>
  </si>
  <si>
    <t>gymzaal</t>
  </si>
  <si>
    <t>docentruimte sport + EHBO</t>
  </si>
  <si>
    <t>-1.07a</t>
  </si>
  <si>
    <t>buitensportberging</t>
  </si>
  <si>
    <t>kleedruimte</t>
  </si>
  <si>
    <t>bergruimte</t>
  </si>
  <si>
    <t>douche</t>
  </si>
  <si>
    <t>0.05b</t>
  </si>
  <si>
    <t>0.05c</t>
  </si>
  <si>
    <t>0.05d</t>
  </si>
  <si>
    <t>Totaal werkdag</t>
  </si>
  <si>
    <t>0002 - Amsfort College, Columbusweg 40, Amersfoort</t>
  </si>
  <si>
    <t>0002</t>
  </si>
  <si>
    <t>linoleum</t>
  </si>
  <si>
    <t>pitstop</t>
  </si>
  <si>
    <t>kantoor</t>
  </si>
  <si>
    <t>groot leslokaal</t>
  </si>
  <si>
    <t>praktijk lokaal</t>
  </si>
  <si>
    <t>epoxy</t>
  </si>
  <si>
    <t>leslokaal</t>
  </si>
  <si>
    <t>praktijklokaal</t>
  </si>
  <si>
    <t>magazijn praktijklokaal</t>
  </si>
  <si>
    <t>garage</t>
  </si>
  <si>
    <t>garage cv ketel</t>
  </si>
  <si>
    <t>werkkast schoonmaak</t>
  </si>
  <si>
    <t>wandelgang</t>
  </si>
  <si>
    <t>trap</t>
  </si>
  <si>
    <t>ingang</t>
  </si>
  <si>
    <t>schoonloopmat</t>
  </si>
  <si>
    <t>sanitair invalidetoilet</t>
  </si>
  <si>
    <t>tegels</t>
  </si>
  <si>
    <t>sanitair medewerkers</t>
  </si>
  <si>
    <t>sanitair leerlingen gemixed</t>
  </si>
  <si>
    <t>wandelgang met kluisblok</t>
  </si>
  <si>
    <t>wandel gang 04 t/m 08</t>
  </si>
  <si>
    <t>0.29</t>
  </si>
  <si>
    <t>trap naar 1e verdieping</t>
  </si>
  <si>
    <t>0.30</t>
  </si>
  <si>
    <t>0.31</t>
  </si>
  <si>
    <t>0.32</t>
  </si>
  <si>
    <t>0.33</t>
  </si>
  <si>
    <t>schoonmaak kast + BMC</t>
  </si>
  <si>
    <t>0.34</t>
  </si>
  <si>
    <t>sanitair leerlingen meiden</t>
  </si>
  <si>
    <t>0.35</t>
  </si>
  <si>
    <t>0.36</t>
  </si>
  <si>
    <t>0.37</t>
  </si>
  <si>
    <t>0.38</t>
  </si>
  <si>
    <t>sanitair leerlingen jongens</t>
  </si>
  <si>
    <t>0.39</t>
  </si>
  <si>
    <t>0.40</t>
  </si>
  <si>
    <t>brandtrappenhuis gang + trap</t>
  </si>
  <si>
    <t>0.41</t>
  </si>
  <si>
    <t>0.42</t>
  </si>
  <si>
    <t>0.43</t>
  </si>
  <si>
    <t>kopieer ruimte</t>
  </si>
  <si>
    <t>werkkast schoonmaak + Cv ruimte</t>
  </si>
  <si>
    <t>docentenkamer</t>
  </si>
  <si>
    <t>ICT/server ruimte</t>
  </si>
  <si>
    <t>sanitair mdewerkers gemixed</t>
  </si>
  <si>
    <t>02</t>
  </si>
  <si>
    <t>2.01</t>
  </si>
  <si>
    <t>zolder werkruimte</t>
  </si>
  <si>
    <t>2.02</t>
  </si>
  <si>
    <t>zolder oplsag ruimte</t>
  </si>
  <si>
    <t>2.03</t>
  </si>
  <si>
    <t>2.04</t>
  </si>
  <si>
    <t>2.05</t>
  </si>
  <si>
    <t>2.06</t>
  </si>
  <si>
    <t>2.07</t>
  </si>
  <si>
    <t>2.08</t>
  </si>
  <si>
    <t>2.09</t>
  </si>
  <si>
    <t>2.10</t>
  </si>
  <si>
    <t>2.11</t>
  </si>
  <si>
    <t>wandergang</t>
  </si>
  <si>
    <t>2.12</t>
  </si>
  <si>
    <t>2.13</t>
  </si>
  <si>
    <t>2.14</t>
  </si>
  <si>
    <t>0003 - Axia College (Nieuwbouw), Hanzeboulevard 40, Amersfoort</t>
  </si>
  <si>
    <t>0003</t>
  </si>
  <si>
    <t>Fietsparkeren personeel</t>
  </si>
  <si>
    <t>Schoolplein</t>
  </si>
  <si>
    <t>Tochtsluis</t>
  </si>
  <si>
    <t>Verkeersruimte</t>
  </si>
  <si>
    <t>tarkett pvc</t>
  </si>
  <si>
    <t>Afdelingsleider</t>
  </si>
  <si>
    <t>Onderwijsruimte</t>
  </si>
  <si>
    <t>Receptie administratie</t>
  </si>
  <si>
    <t>Open leerplein</t>
  </si>
  <si>
    <t>Achterwacht</t>
  </si>
  <si>
    <t>0.101</t>
  </si>
  <si>
    <t>0.104</t>
  </si>
  <si>
    <t>Techniek ruimte</t>
  </si>
  <si>
    <t>0.105</t>
  </si>
  <si>
    <t>Sanitair</t>
  </si>
  <si>
    <t>gietvloer</t>
  </si>
  <si>
    <t>Berging</t>
  </si>
  <si>
    <t>0.15A</t>
  </si>
  <si>
    <t>Trappenhuis</t>
  </si>
  <si>
    <t>Werkruimte techniek</t>
  </si>
  <si>
    <t>HVK</t>
  </si>
  <si>
    <t>Berging (onder tribunetrap)</t>
  </si>
  <si>
    <t>Studio techniek</t>
  </si>
  <si>
    <t>Atelier techniek</t>
  </si>
  <si>
    <t>Gespreksruimte</t>
  </si>
  <si>
    <t>Atelier beeldene vorming</t>
  </si>
  <si>
    <t>Berging tekenen/ beeldende vorming</t>
  </si>
  <si>
    <t>0.24A</t>
  </si>
  <si>
    <t>Mediaruimte</t>
  </si>
  <si>
    <t>Tekenlokaal</t>
  </si>
  <si>
    <t>Studio muziek/ drama</t>
  </si>
  <si>
    <t>Berging muziek/ drama</t>
  </si>
  <si>
    <t>Watermeter ruimte</t>
  </si>
  <si>
    <t>0.32A</t>
  </si>
  <si>
    <t>WC</t>
  </si>
  <si>
    <t>Berging bij ontmoeting</t>
  </si>
  <si>
    <t>Zwakstroomruimte</t>
  </si>
  <si>
    <t>Sluisklas</t>
  </si>
  <si>
    <t>Natte practicumruimte</t>
  </si>
  <si>
    <t>Kabinet</t>
  </si>
  <si>
    <t>Droge practicumruimte</t>
  </si>
  <si>
    <t>Onderwijskeuken</t>
  </si>
  <si>
    <t>Voorraad</t>
  </si>
  <si>
    <t>Ontmoetingsruimte</t>
  </si>
  <si>
    <t>0.42A</t>
  </si>
  <si>
    <t>Podiumtrap</t>
  </si>
  <si>
    <t>0.42B</t>
  </si>
  <si>
    <t>Verzorgingsruimte</t>
  </si>
  <si>
    <t>0.44</t>
  </si>
  <si>
    <t>0.45</t>
  </si>
  <si>
    <t>Keuken uitgifte</t>
  </si>
  <si>
    <t>0.46</t>
  </si>
  <si>
    <t>Linnenruimte</t>
  </si>
  <si>
    <t>0.47</t>
  </si>
  <si>
    <t>Magazijn</t>
  </si>
  <si>
    <t>0.48</t>
  </si>
  <si>
    <t>0.49</t>
  </si>
  <si>
    <t>E &amp; O</t>
  </si>
  <si>
    <t>0.50</t>
  </si>
  <si>
    <t>0.51</t>
  </si>
  <si>
    <t>0.52</t>
  </si>
  <si>
    <t>0.53</t>
  </si>
  <si>
    <t>0.54</t>
  </si>
  <si>
    <t>0.55</t>
  </si>
  <si>
    <t>0.56</t>
  </si>
  <si>
    <t>0.57</t>
  </si>
  <si>
    <t>0.58</t>
  </si>
  <si>
    <t>Container berging</t>
  </si>
  <si>
    <t>0.59</t>
  </si>
  <si>
    <t>0.60</t>
  </si>
  <si>
    <t>0.61</t>
  </si>
  <si>
    <t>0.62</t>
  </si>
  <si>
    <t>0.63</t>
  </si>
  <si>
    <t>Werkkast</t>
  </si>
  <si>
    <t>0.63A</t>
  </si>
  <si>
    <t>0.64</t>
  </si>
  <si>
    <t>0.65</t>
  </si>
  <si>
    <t>0.66</t>
  </si>
  <si>
    <t>0.67</t>
  </si>
  <si>
    <t>0.68</t>
  </si>
  <si>
    <t>0.69</t>
  </si>
  <si>
    <t>0.70</t>
  </si>
  <si>
    <t>0.71</t>
  </si>
  <si>
    <t>0.72</t>
  </si>
  <si>
    <t>0.73</t>
  </si>
  <si>
    <t>0.74</t>
  </si>
  <si>
    <t>0.75</t>
  </si>
  <si>
    <t>0.76</t>
  </si>
  <si>
    <t>0.77</t>
  </si>
  <si>
    <t>0.78</t>
  </si>
  <si>
    <t>0.78A</t>
  </si>
  <si>
    <t>0.79</t>
  </si>
  <si>
    <t>0.80</t>
  </si>
  <si>
    <t>0.81</t>
  </si>
  <si>
    <t>0.82</t>
  </si>
  <si>
    <t>0.83</t>
  </si>
  <si>
    <t>0.84</t>
  </si>
  <si>
    <t>0.85</t>
  </si>
  <si>
    <t>0.86</t>
  </si>
  <si>
    <t>0.87</t>
  </si>
  <si>
    <t>0.88</t>
  </si>
  <si>
    <t>0.89</t>
  </si>
  <si>
    <t>Facilitaire ruimten</t>
  </si>
  <si>
    <t>0.90</t>
  </si>
  <si>
    <t>0.91</t>
  </si>
  <si>
    <t>Werkruimte concierge</t>
  </si>
  <si>
    <t>0.92</t>
  </si>
  <si>
    <t>0.95</t>
  </si>
  <si>
    <t>Lift</t>
  </si>
  <si>
    <t>0.98</t>
  </si>
  <si>
    <t>Patio 2</t>
  </si>
  <si>
    <t>0.99</t>
  </si>
  <si>
    <t>Patio 1</t>
  </si>
  <si>
    <t>Patio 3</t>
  </si>
  <si>
    <t>Werkruimte zorg</t>
  </si>
  <si>
    <t>Therapieruimte</t>
  </si>
  <si>
    <t>herculan sportvloer</t>
  </si>
  <si>
    <t>Toestellenberging</t>
  </si>
  <si>
    <t>Oefenruimte</t>
  </si>
  <si>
    <t>Docentenruimte</t>
  </si>
  <si>
    <t>Kleedkamerruimte + douches</t>
  </si>
  <si>
    <t>Technniekruimte PV</t>
  </si>
  <si>
    <t>Mediatheek</t>
  </si>
  <si>
    <t>MIVA</t>
  </si>
  <si>
    <t>1.32</t>
  </si>
  <si>
    <t>1.33</t>
  </si>
  <si>
    <t>1.34</t>
  </si>
  <si>
    <t>1.35</t>
  </si>
  <si>
    <t>Werkruimte</t>
  </si>
  <si>
    <t>1.36</t>
  </si>
  <si>
    <t>1.37</t>
  </si>
  <si>
    <t>1.38</t>
  </si>
  <si>
    <t>1.39</t>
  </si>
  <si>
    <t>Werkkamer directeur</t>
  </si>
  <si>
    <t>1.40</t>
  </si>
  <si>
    <t>1.41</t>
  </si>
  <si>
    <t>Teamkamer</t>
  </si>
  <si>
    <t>1.42</t>
  </si>
  <si>
    <t>1.43</t>
  </si>
  <si>
    <t>1.44</t>
  </si>
  <si>
    <t>1.45</t>
  </si>
  <si>
    <t>1.46</t>
  </si>
  <si>
    <t>1.47</t>
  </si>
  <si>
    <t>1.48</t>
  </si>
  <si>
    <t>1.49</t>
  </si>
  <si>
    <t>1.50</t>
  </si>
  <si>
    <t>1.51</t>
  </si>
  <si>
    <t>1.52</t>
  </si>
  <si>
    <t>1.53</t>
  </si>
  <si>
    <t>1.54</t>
  </si>
  <si>
    <t>1.55</t>
  </si>
  <si>
    <t>1.56</t>
  </si>
  <si>
    <t>1.57</t>
  </si>
  <si>
    <t>1.58</t>
  </si>
  <si>
    <t>1.59</t>
  </si>
  <si>
    <t>SER/ MER ruimte</t>
  </si>
  <si>
    <t>1.60</t>
  </si>
  <si>
    <t>1.61</t>
  </si>
  <si>
    <t>1.62</t>
  </si>
  <si>
    <t>1.63</t>
  </si>
  <si>
    <t>Werkruimte docenten</t>
  </si>
  <si>
    <t>1.64</t>
  </si>
  <si>
    <t>Kolfruimte</t>
  </si>
  <si>
    <t>1.65</t>
  </si>
  <si>
    <t>1.66</t>
  </si>
  <si>
    <t>1.67</t>
  </si>
  <si>
    <t>1.68</t>
  </si>
  <si>
    <t>1.69</t>
  </si>
  <si>
    <t>1.70</t>
  </si>
  <si>
    <t>1.71</t>
  </si>
  <si>
    <t>1.72</t>
  </si>
  <si>
    <t>1.73</t>
  </si>
  <si>
    <t>1.74</t>
  </si>
  <si>
    <t>1.75</t>
  </si>
  <si>
    <t>1.76</t>
  </si>
  <si>
    <t>1.77</t>
  </si>
  <si>
    <t>1.78</t>
  </si>
  <si>
    <t>1.79</t>
  </si>
  <si>
    <t>1.80</t>
  </si>
  <si>
    <t>1.81</t>
  </si>
  <si>
    <t>1.82</t>
  </si>
  <si>
    <t>Techniekruimte W</t>
  </si>
  <si>
    <t>1.83</t>
  </si>
  <si>
    <t>1.84</t>
  </si>
  <si>
    <t>1.85</t>
  </si>
  <si>
    <t>Balkon</t>
  </si>
  <si>
    <t>Buitensport</t>
  </si>
  <si>
    <t>0004 - PRO33, Wiekslag 50, Amersfoort</t>
  </si>
  <si>
    <t>0004</t>
  </si>
  <si>
    <t>Toilet J</t>
  </si>
  <si>
    <t>Toilet M</t>
  </si>
  <si>
    <t>Vaklokaal fietstechniek 0.11</t>
  </si>
  <si>
    <t>pvc</t>
  </si>
  <si>
    <t>Berging 0.11</t>
  </si>
  <si>
    <t>Vaklokaal metaal 0.12</t>
  </si>
  <si>
    <t>Vaklokaal hout 0.13</t>
  </si>
  <si>
    <t>Multifunciotinele ruimte 0.14</t>
  </si>
  <si>
    <t>Toilet H</t>
  </si>
  <si>
    <t>Toilet D</t>
  </si>
  <si>
    <t>Staf / verzuim coordinator</t>
  </si>
  <si>
    <t>Administratie / secretariaat</t>
  </si>
  <si>
    <t>Werkkast / archief</t>
  </si>
  <si>
    <t>Vergaderruimte</t>
  </si>
  <si>
    <t>Gang/Aula</t>
  </si>
  <si>
    <t>Entree wiekslag</t>
  </si>
  <si>
    <t>inloopmat</t>
  </si>
  <si>
    <t>Berging/ gasmeter</t>
  </si>
  <si>
    <t>Berging / meterkast</t>
  </si>
  <si>
    <t>Gardegrobe</t>
  </si>
  <si>
    <t>Pers. Toilet</t>
  </si>
  <si>
    <t>Toilet</t>
  </si>
  <si>
    <t>Hal</t>
  </si>
  <si>
    <t>Directie</t>
  </si>
  <si>
    <t>Staf</t>
  </si>
  <si>
    <t>Flexruimte / overblijfruimte</t>
  </si>
  <si>
    <t>Entree pleinzijde</t>
  </si>
  <si>
    <t>Receptie / BIS</t>
  </si>
  <si>
    <t>Keuken/pantry</t>
  </si>
  <si>
    <t>plavuizen</t>
  </si>
  <si>
    <t>Personeelskamer</t>
  </si>
  <si>
    <t>Flexplekken/biblikotheek</t>
  </si>
  <si>
    <t>Tochsluis</t>
  </si>
  <si>
    <t>Werkkast schoonmaak</t>
  </si>
  <si>
    <t>Kast/opslag</t>
  </si>
  <si>
    <t>Vaklokaal koken trivium 0.07</t>
  </si>
  <si>
    <t>Berging / kantoor car-care</t>
  </si>
  <si>
    <t>Vaklokaal motovoertuigen 0.08</t>
  </si>
  <si>
    <t>Verzorging 0.09</t>
  </si>
  <si>
    <t>laminaat</t>
  </si>
  <si>
    <t>Berging / compressorruimte</t>
  </si>
  <si>
    <t>Berging / spoelkeuken</t>
  </si>
  <si>
    <t>Leskeuken 0.10</t>
  </si>
  <si>
    <t>Gang</t>
  </si>
  <si>
    <t>Papier magazijn</t>
  </si>
  <si>
    <t>ICT ruimte</t>
  </si>
  <si>
    <t>Stage docenten coach work</t>
  </si>
  <si>
    <t>Lokaal 0.01</t>
  </si>
  <si>
    <t>Theorielokaal 0.02</t>
  </si>
  <si>
    <t>Theorie/vak 0.03</t>
  </si>
  <si>
    <t>beton/lino</t>
  </si>
  <si>
    <t>Theorie/vak 0.04</t>
  </si>
  <si>
    <t>Theorie 0.05</t>
  </si>
  <si>
    <t>Toilet meisjes</t>
  </si>
  <si>
    <t>Keuken/aula</t>
  </si>
  <si>
    <t>Aula</t>
  </si>
  <si>
    <t>Berging BIS</t>
  </si>
  <si>
    <t>Toilet jongens</t>
  </si>
  <si>
    <t>Miva</t>
  </si>
  <si>
    <t>Centrale verwarming</t>
  </si>
  <si>
    <t>Pantry</t>
  </si>
  <si>
    <t>Margazijn sport</t>
  </si>
  <si>
    <t>Repro</t>
  </si>
  <si>
    <t>Theorielokaal 1.01</t>
  </si>
  <si>
    <t>Lokaal 1.02</t>
  </si>
  <si>
    <t>Lokaal 1.03</t>
  </si>
  <si>
    <t>Lokaal 1.04</t>
  </si>
  <si>
    <t>Trappenhuis bordes</t>
  </si>
  <si>
    <t>Lokaal 1.08</t>
  </si>
  <si>
    <t>Personeel Toilet heren</t>
  </si>
  <si>
    <t>Personeel Toilet dames</t>
  </si>
  <si>
    <t>Technische ruimte en lift</t>
  </si>
  <si>
    <t>Lokaal 1.07</t>
  </si>
  <si>
    <t>Roostermaker</t>
  </si>
  <si>
    <t>Flexruimte</t>
  </si>
  <si>
    <t>Zorg</t>
  </si>
  <si>
    <t>Lokaal 1.06</t>
  </si>
  <si>
    <t>Theorielokaal 1.05</t>
  </si>
  <si>
    <t>0005 - Stedelijk Gymnasium J van Oldenbarnevelt, Thorbeckeplein 1, Amersfoort</t>
  </si>
  <si>
    <t>0005</t>
  </si>
  <si>
    <t>S00</t>
  </si>
  <si>
    <t>tribune trap</t>
  </si>
  <si>
    <t>S00G</t>
  </si>
  <si>
    <t>marmoleum</t>
  </si>
  <si>
    <t>S01</t>
  </si>
  <si>
    <t>sportvloer</t>
  </si>
  <si>
    <t>S01B</t>
  </si>
  <si>
    <t>S01G</t>
  </si>
  <si>
    <t>S01L</t>
  </si>
  <si>
    <t>plateaulift</t>
  </si>
  <si>
    <t>S02</t>
  </si>
  <si>
    <t>S05</t>
  </si>
  <si>
    <t>S05D</t>
  </si>
  <si>
    <t>S05W</t>
  </si>
  <si>
    <t>wc</t>
  </si>
  <si>
    <t>S06</t>
  </si>
  <si>
    <t>S06B</t>
  </si>
  <si>
    <t>douche en/in kleedruimte</t>
  </si>
  <si>
    <t>S06D</t>
  </si>
  <si>
    <t>S06W</t>
  </si>
  <si>
    <t>S07</t>
  </si>
  <si>
    <t>S07B</t>
  </si>
  <si>
    <t>opslag</t>
  </si>
  <si>
    <t>S07D</t>
  </si>
  <si>
    <t>S07W</t>
  </si>
  <si>
    <t>S08</t>
  </si>
  <si>
    <t>S08D</t>
  </si>
  <si>
    <t>S08W</t>
  </si>
  <si>
    <t>S09G</t>
  </si>
  <si>
    <t>S10G</t>
  </si>
  <si>
    <t>000</t>
  </si>
  <si>
    <t>hoofd entree</t>
  </si>
  <si>
    <t>001</t>
  </si>
  <si>
    <t>norament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</si>
  <si>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</si>
  <si>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</si>
  <si>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</si>
  <si>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</si>
  <si>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</si>
  <si>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</si>
  <si>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</si>
  <si>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</si>
  <si>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</si>
  <si>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</si>
  <si>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toiletten heren</t>
  </si>
  <si>
    <t>014</t>
  </si>
  <si>
    <t>015</t>
  </si>
  <si>
    <t>Reproruimte</t>
  </si>
  <si>
    <t>016</t>
  </si>
  <si>
    <t>017</t>
  </si>
  <si>
    <t>personeel café</t>
  </si>
  <si>
    <t>018</t>
  </si>
  <si>
    <t>019</t>
  </si>
  <si>
    <t>021</t>
  </si>
  <si>
    <t>023</t>
  </si>
  <si>
    <t>beeldende vorming</t>
  </si>
  <si>
    <t>024</t>
  </si>
  <si>
    <t>027</t>
  </si>
  <si>
    <t>028</t>
  </si>
  <si>
    <t>029</t>
  </si>
  <si>
    <t>030</t>
  </si>
  <si>
    <t>toiletten dames</t>
  </si>
  <si>
    <t>032</t>
  </si>
  <si>
    <t>033</t>
  </si>
  <si>
    <t>034</t>
  </si>
  <si>
    <t>036</t>
  </si>
  <si>
    <t>MiVa</t>
  </si>
  <si>
    <t>037</t>
  </si>
  <si>
    <t>toilet heren</t>
  </si>
  <si>
    <t>038</t>
  </si>
  <si>
    <t>041</t>
  </si>
  <si>
    <t>042</t>
  </si>
  <si>
    <t>toilet dames</t>
  </si>
  <si>
    <t>043</t>
  </si>
  <si>
    <t>werkkast opslag</t>
  </si>
  <si>
    <t>044</t>
  </si>
  <si>
    <t>werkkast met gootsteen</t>
  </si>
  <si>
    <t>G008</t>
  </si>
  <si>
    <t>zelfstandig werken</t>
  </si>
  <si>
    <t>G023</t>
  </si>
  <si>
    <t>G024</t>
  </si>
  <si>
    <t>G025</t>
  </si>
  <si>
    <t>G034</t>
  </si>
  <si>
    <t>G036</t>
  </si>
  <si>
    <t>G036L</t>
  </si>
  <si>
    <t>G041</t>
  </si>
  <si>
    <t>G09/17</t>
  </si>
  <si>
    <t>G2/21</t>
  </si>
  <si>
    <t>G25/33</t>
  </si>
  <si>
    <t>G7/18</t>
  </si>
  <si>
    <t>GHKL</t>
  </si>
  <si>
    <t>S01H</t>
  </si>
  <si>
    <t>T02</t>
  </si>
  <si>
    <t>trappenhuis 01</t>
  </si>
  <si>
    <t>T02C</t>
  </si>
  <si>
    <t>copieer</t>
  </si>
  <si>
    <t>T07</t>
  </si>
  <si>
    <t>trappenhuis 02</t>
  </si>
  <si>
    <t>T07A</t>
  </si>
  <si>
    <t>snoepautomaten</t>
  </si>
  <si>
    <t>00T</t>
  </si>
  <si>
    <t>012</t>
  </si>
  <si>
    <t>024e</t>
  </si>
  <si>
    <t>entresol van B.V. (incl. trap)</t>
  </si>
  <si>
    <t>025</t>
  </si>
  <si>
    <t>031</t>
  </si>
  <si>
    <t>G012</t>
  </si>
  <si>
    <t>bordes</t>
  </si>
  <si>
    <t>G031</t>
  </si>
  <si>
    <t>101</t>
  </si>
  <si>
    <t>leerplein</t>
  </si>
  <si>
    <t>102</t>
  </si>
  <si>
    <t>103</t>
  </si>
  <si>
    <t>104</t>
  </si>
  <si>
    <t>105</t>
  </si>
  <si>
    <t>106</t>
  </si>
  <si>
    <t>107</t>
  </si>
  <si>
    <t>109</t>
  </si>
  <si>
    <t>110</t>
  </si>
  <si>
    <t>111</t>
  </si>
  <si>
    <t>112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</si>
  <si>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</si>
  <si>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</si>
  <si>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</si>
  <si>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</si>
  <si>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</si>
  <si>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</si>
  <si>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</si>
  <si>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</si>
  <si>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</si>
  <si>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drama</t>
  </si>
  <si>
    <t>123</t>
  </si>
  <si>
    <t>muziek</t>
  </si>
  <si>
    <t>124</t>
  </si>
  <si>
    <t>125</t>
  </si>
  <si>
    <t>126</t>
  </si>
  <si>
    <t>127</t>
  </si>
  <si>
    <t>128</t>
  </si>
  <si>
    <t>130</t>
  </si>
  <si>
    <t>131</t>
  </si>
  <si>
    <t>132</t>
  </si>
  <si>
    <t>133</t>
  </si>
  <si>
    <t>135</t>
  </si>
  <si>
    <t>136</t>
  </si>
  <si>
    <t>138</t>
  </si>
  <si>
    <t>139</t>
  </si>
  <si>
    <t>140</t>
  </si>
  <si>
    <t>141</t>
  </si>
  <si>
    <t>G102/121</t>
  </si>
  <si>
    <t>G107/118</t>
  </si>
  <si>
    <t>G110/117</t>
  </si>
  <si>
    <t>G122</t>
  </si>
  <si>
    <t>G124</t>
  </si>
  <si>
    <t>G126/132</t>
  </si>
  <si>
    <t>G135</t>
  </si>
  <si>
    <t>G138</t>
  </si>
  <si>
    <t>T102</t>
  </si>
  <si>
    <t>T107</t>
  </si>
  <si>
    <t>01T</t>
  </si>
  <si>
    <t>108</t>
  </si>
  <si>
    <t>113</t>
  </si>
  <si>
    <t>129</t>
  </si>
  <si>
    <t>G108</t>
  </si>
  <si>
    <t>G113</t>
  </si>
  <si>
    <t>G129</t>
  </si>
  <si>
    <t>201</t>
  </si>
  <si>
    <t>leerplein natuur/scheikunde</t>
  </si>
  <si>
    <t>203</t>
  </si>
  <si>
    <t>204</t>
  </si>
  <si>
    <t>205</t>
  </si>
  <si>
    <t>206</t>
  </si>
  <si>
    <t>207</t>
  </si>
  <si>
    <t>kantoor TOA</t>
  </si>
  <si>
    <t>208</t>
  </si>
  <si>
    <t>212</t>
  </si>
  <si>
    <t>216</t>
  </si>
  <si>
    <t>217</t>
  </si>
  <si>
    <t>218</t>
  </si>
  <si>
    <t>219</t>
  </si>
  <si>
    <t>220</t>
  </si>
  <si>
    <t>221</t>
  </si>
  <si>
    <t>222</t>
  </si>
  <si>
    <t>226</t>
  </si>
  <si>
    <t>230</t>
  </si>
  <si>
    <t>231</t>
  </si>
  <si>
    <t>233</t>
  </si>
  <si>
    <t>234</t>
  </si>
  <si>
    <t>235</t>
  </si>
  <si>
    <t>236</t>
  </si>
  <si>
    <t>G203/222</t>
  </si>
  <si>
    <t>G209/213</t>
  </si>
  <si>
    <t>G230</t>
  </si>
  <si>
    <t>G233</t>
  </si>
  <si>
    <t>T203</t>
  </si>
  <si>
    <t>T209</t>
  </si>
  <si>
    <t>T212</t>
  </si>
  <si>
    <t>hout</t>
  </si>
  <si>
    <t>0006 - 't Atrium, Paladijnenweg 611, Amersfoort</t>
  </si>
  <si>
    <t>0006</t>
  </si>
  <si>
    <t>Gymzaal geel</t>
  </si>
  <si>
    <t>Gymzaal Groen</t>
  </si>
  <si>
    <t>Gymzaal Blauw</t>
  </si>
  <si>
    <t>Fitness ruimte</t>
  </si>
  <si>
    <t>LO kantoor</t>
  </si>
  <si>
    <t>Douche</t>
  </si>
  <si>
    <t>Kleedkamer</t>
  </si>
  <si>
    <t>0.14a</t>
  </si>
  <si>
    <t>0.15a</t>
  </si>
  <si>
    <t>Opslag</t>
  </si>
  <si>
    <t>Kleedkamer heren</t>
  </si>
  <si>
    <t>Douche dames</t>
  </si>
  <si>
    <t>Kleedkamer dames</t>
  </si>
  <si>
    <t>0.21a</t>
  </si>
  <si>
    <t>Buitenberging gym</t>
  </si>
  <si>
    <t>Studiehal Nederlands</t>
  </si>
  <si>
    <t>0.33a</t>
  </si>
  <si>
    <t>Kantoor</t>
  </si>
  <si>
    <t>Lokaal</t>
  </si>
  <si>
    <t>Studiehal Frans</t>
  </si>
  <si>
    <t>Server</t>
  </si>
  <si>
    <t>Coördinator sporklassen</t>
  </si>
  <si>
    <t>tarket</t>
  </si>
  <si>
    <t>Concierge</t>
  </si>
  <si>
    <t>Magazijn Faciliair</t>
  </si>
  <si>
    <t>0.61a</t>
  </si>
  <si>
    <t>Muzieklokaal</t>
  </si>
  <si>
    <t>Tekenen</t>
  </si>
  <si>
    <t>Gang/opslag</t>
  </si>
  <si>
    <t>Kantoor werkplek</t>
  </si>
  <si>
    <t>Handvaardigheid</t>
  </si>
  <si>
    <t>Uitgang</t>
  </si>
  <si>
    <t>Muziek</t>
  </si>
  <si>
    <t>Nastek</t>
  </si>
  <si>
    <t>Opslag/leslokaal</t>
  </si>
  <si>
    <t>noppen</t>
  </si>
  <si>
    <t>Kast</t>
  </si>
  <si>
    <t>Buiten (gaskraan)</t>
  </si>
  <si>
    <t>CV Ketel</t>
  </si>
  <si>
    <t>Entreehal</t>
  </si>
  <si>
    <t>0.78a</t>
  </si>
  <si>
    <t>Entree sluis</t>
  </si>
  <si>
    <t>Receptie</t>
  </si>
  <si>
    <t>Patchkast</t>
  </si>
  <si>
    <t>Leerlingen WC</t>
  </si>
  <si>
    <t>Personeels WC</t>
  </si>
  <si>
    <t>1.00</t>
  </si>
  <si>
    <t>Administratie</t>
  </si>
  <si>
    <t>Rector</t>
  </si>
  <si>
    <t>Garderobe</t>
  </si>
  <si>
    <t>Conrector brugklas</t>
  </si>
  <si>
    <t>Studiehal Engels</t>
  </si>
  <si>
    <t>kantoor/flexplek</t>
  </si>
  <si>
    <t>1.26a</t>
  </si>
  <si>
    <t>ICT kantoor</t>
  </si>
  <si>
    <t>Keuken</t>
  </si>
  <si>
    <t>careklas</t>
  </si>
  <si>
    <t>Magazijn bij de aula</t>
  </si>
  <si>
    <t>2.00</t>
  </si>
  <si>
    <t>biologie kabinet</t>
  </si>
  <si>
    <t>2.15</t>
  </si>
  <si>
    <t>2.16</t>
  </si>
  <si>
    <t>Kabinet scheikunde</t>
  </si>
  <si>
    <t>2.17</t>
  </si>
  <si>
    <t>2.18</t>
  </si>
  <si>
    <t>2.19</t>
  </si>
  <si>
    <t>2.20</t>
  </si>
  <si>
    <t>2.21</t>
  </si>
  <si>
    <t>Praktijklokaal</t>
  </si>
  <si>
    <t>2.24</t>
  </si>
  <si>
    <t>2.25</t>
  </si>
  <si>
    <t>2.26</t>
  </si>
  <si>
    <t>Meterkast</t>
  </si>
  <si>
    <t>2.27</t>
  </si>
  <si>
    <t>Binas lab</t>
  </si>
  <si>
    <t>03</t>
  </si>
  <si>
    <t>3.00</t>
  </si>
  <si>
    <t>3.01</t>
  </si>
  <si>
    <t>3.02</t>
  </si>
  <si>
    <t>3.03</t>
  </si>
  <si>
    <t>3.04</t>
  </si>
  <si>
    <t>3.05</t>
  </si>
  <si>
    <t>3.07</t>
  </si>
  <si>
    <t>3.08</t>
  </si>
  <si>
    <t>3.09</t>
  </si>
  <si>
    <t>3.10</t>
  </si>
  <si>
    <t>3.11</t>
  </si>
  <si>
    <t>3.12</t>
  </si>
  <si>
    <t>3.13</t>
  </si>
  <si>
    <t>3.14</t>
  </si>
  <si>
    <t>3.15</t>
  </si>
  <si>
    <t>3.16</t>
  </si>
  <si>
    <t>3.17</t>
  </si>
  <si>
    <t>vergaderruimte</t>
  </si>
  <si>
    <t>SPO</t>
  </si>
  <si>
    <t>0.1</t>
  </si>
  <si>
    <t>Sporthal</t>
  </si>
  <si>
    <t>0.2</t>
  </si>
  <si>
    <t>0.3</t>
  </si>
  <si>
    <t>Docentenruimten</t>
  </si>
  <si>
    <t>0.4</t>
  </si>
  <si>
    <t>Kleedruimte</t>
  </si>
  <si>
    <t>0.5</t>
  </si>
  <si>
    <t>0.6</t>
  </si>
  <si>
    <t>0.7</t>
  </si>
  <si>
    <t>Doucheruimte</t>
  </si>
  <si>
    <t>0.8</t>
  </si>
  <si>
    <t>0007 - Trivium, Dierenriem 11, Amersfoort</t>
  </si>
  <si>
    <t>0007</t>
  </si>
  <si>
    <t>S1.1.1a</t>
  </si>
  <si>
    <t>beton/coating</t>
  </si>
  <si>
    <t>S1.1.1c</t>
  </si>
  <si>
    <t>S1.1.1d</t>
  </si>
  <si>
    <t>trafo</t>
  </si>
  <si>
    <t>S1.1.1e</t>
  </si>
  <si>
    <t>inkoopstation</t>
  </si>
  <si>
    <t>S1.1.3</t>
  </si>
  <si>
    <t>S1.1.4</t>
  </si>
  <si>
    <t>S1.2.1a</t>
  </si>
  <si>
    <t>verkeersruimte</t>
  </si>
  <si>
    <t>S1.2.1b</t>
  </si>
  <si>
    <t>S1.2.2a</t>
  </si>
  <si>
    <t>S1.2.3</t>
  </si>
  <si>
    <t>hoofdtrap/tribunetrap</t>
  </si>
  <si>
    <t>bamboe</t>
  </si>
  <si>
    <t>S1.2.3a</t>
  </si>
  <si>
    <t>lift</t>
  </si>
  <si>
    <t>liftvloer</t>
  </si>
  <si>
    <t>S1.2c</t>
  </si>
  <si>
    <t>S3.1.1</t>
  </si>
  <si>
    <t>wasruimte leerlingen dames</t>
  </si>
  <si>
    <t>S3.1.10</t>
  </si>
  <si>
    <t>toestelruimte</t>
  </si>
  <si>
    <t>S3.1.11</t>
  </si>
  <si>
    <t>werkkast sporthal</t>
  </si>
  <si>
    <t>coating</t>
  </si>
  <si>
    <t>S3.1.12</t>
  </si>
  <si>
    <t>wasruimte docent</t>
  </si>
  <si>
    <t>S3.1.13</t>
  </si>
  <si>
    <t>buitenberging sport</t>
  </si>
  <si>
    <t>S3.1.2</t>
  </si>
  <si>
    <t>wasruimte leerlingen heren</t>
  </si>
  <si>
    <t>S3.1.3</t>
  </si>
  <si>
    <t>kleedruimte dames</t>
  </si>
  <si>
    <t>S3.1.4</t>
  </si>
  <si>
    <t>kleedruimte heren</t>
  </si>
  <si>
    <t>S3.1.5</t>
  </si>
  <si>
    <t>sanitair</t>
  </si>
  <si>
    <t>S3.1.7</t>
  </si>
  <si>
    <t>beweegruimte</t>
  </si>
  <si>
    <t>S3.1.8</t>
  </si>
  <si>
    <t>zaalruimte</t>
  </si>
  <si>
    <t>S3.1.9</t>
  </si>
  <si>
    <t>docentenruimte</t>
  </si>
  <si>
    <t>S3.2.1a</t>
  </si>
  <si>
    <t>ontmoetingsplein actief</t>
  </si>
  <si>
    <t>S3.2.3</t>
  </si>
  <si>
    <t>centraal welkom</t>
  </si>
  <si>
    <t>S3.2.6</t>
  </si>
  <si>
    <t>beweegelement</t>
  </si>
  <si>
    <t>S3.3.1</t>
  </si>
  <si>
    <t>S3.3.10</t>
  </si>
  <si>
    <t>spreekruimte / docentenruimte sport</t>
  </si>
  <si>
    <t>S3.3.11</t>
  </si>
  <si>
    <t>kantoor 2 pers</t>
  </si>
  <si>
    <t>S3.3.14</t>
  </si>
  <si>
    <t>zorgkantoor 2 pers</t>
  </si>
  <si>
    <t>S3.3.2</t>
  </si>
  <si>
    <t>S3.3.3</t>
  </si>
  <si>
    <t>receptie conciërge</t>
  </si>
  <si>
    <t>S3.3.4a</t>
  </si>
  <si>
    <t>rustplek leerlingen</t>
  </si>
  <si>
    <t>S3.3.6</t>
  </si>
  <si>
    <t>S3.3.8</t>
  </si>
  <si>
    <t>S3.4.1.1</t>
  </si>
  <si>
    <t>berging binas</t>
  </si>
  <si>
    <t>berging praktijk</t>
  </si>
  <si>
    <t>S3.4.1.2a</t>
  </si>
  <si>
    <t>S3.4.1.2b</t>
  </si>
  <si>
    <t>S3.4.2.1</t>
  </si>
  <si>
    <t>werkruimte D&amp;P</t>
  </si>
  <si>
    <t>S3.4.2.2a</t>
  </si>
  <si>
    <t>studio verzorging</t>
  </si>
  <si>
    <t>S3.4.2.2b</t>
  </si>
  <si>
    <t>S3.4.2.3</t>
  </si>
  <si>
    <t>keuken Praktijk</t>
  </si>
  <si>
    <t>S3.4.2.4</t>
  </si>
  <si>
    <t>berging keuken</t>
  </si>
  <si>
    <t>S3.4.2.5</t>
  </si>
  <si>
    <t>uitgiftebalie</t>
  </si>
  <si>
    <t>S3.4.2.6</t>
  </si>
  <si>
    <t>berging verzorging</t>
  </si>
  <si>
    <t>S3.4.3.1</t>
  </si>
  <si>
    <t>werkruimte E&amp;O</t>
  </si>
  <si>
    <t>S3.4.3.2</t>
  </si>
  <si>
    <t>kopieerruimte</t>
  </si>
  <si>
    <t>S3.4.3.3a</t>
  </si>
  <si>
    <t>minionderneming</t>
  </si>
  <si>
    <t>S3.4.3.3b</t>
  </si>
  <si>
    <t>S3.4.3.4</t>
  </si>
  <si>
    <t>Berging E&amp;O</t>
  </si>
  <si>
    <t>S3.4.4.1</t>
  </si>
  <si>
    <t>werkruimte MVI</t>
  </si>
  <si>
    <t>S3.4.4.2</t>
  </si>
  <si>
    <t>atelier bovenbouw</t>
  </si>
  <si>
    <t>S3.4.4.3</t>
  </si>
  <si>
    <t>apple dedicated ruimte</t>
  </si>
  <si>
    <t>S3.4.4.4</t>
  </si>
  <si>
    <t>studio beeld en geluid</t>
  </si>
  <si>
    <t>S3.4.4.5</t>
  </si>
  <si>
    <t>fotostudio</t>
  </si>
  <si>
    <t>S3.4.4.6</t>
  </si>
  <si>
    <t>berging MVI</t>
  </si>
  <si>
    <t>S3.4.5.1</t>
  </si>
  <si>
    <t>werkruimte binas</t>
  </si>
  <si>
    <t>S3.4.5.2</t>
  </si>
  <si>
    <t>biologieruimte</t>
  </si>
  <si>
    <t>S3.4.5.3</t>
  </si>
  <si>
    <t>laboratoriumruimte</t>
  </si>
  <si>
    <t>S3.4.6.1</t>
  </si>
  <si>
    <t>werkruimte atelier onderbouw</t>
  </si>
  <si>
    <t>S3.4.6.2</t>
  </si>
  <si>
    <t>ruimte techniek</t>
  </si>
  <si>
    <t>S3.4.6.3</t>
  </si>
  <si>
    <t>ruimte beeldende vorming</t>
  </si>
  <si>
    <t>S3.4.6.4</t>
  </si>
  <si>
    <t>klei oven</t>
  </si>
  <si>
    <t>S3.4.6.5a</t>
  </si>
  <si>
    <t>werkruimte toa</t>
  </si>
  <si>
    <t>S3.4.6.5b</t>
  </si>
  <si>
    <t>S3.4.6.6</t>
  </si>
  <si>
    <t>berging atelier</t>
  </si>
  <si>
    <t>S3.4.6.7</t>
  </si>
  <si>
    <t>berging atelier algemeen</t>
  </si>
  <si>
    <t>S1.1.1f</t>
  </si>
  <si>
    <t>S1.1.1g</t>
  </si>
  <si>
    <t>S1.1.1h</t>
  </si>
  <si>
    <t>berging onderbouw</t>
  </si>
  <si>
    <t>S1.1.1i</t>
  </si>
  <si>
    <t>S1.1.1j</t>
  </si>
  <si>
    <t>S1.1.1k</t>
  </si>
  <si>
    <t>S1.2.1d</t>
  </si>
  <si>
    <t>overloop</t>
  </si>
  <si>
    <t>S1.2.1e</t>
  </si>
  <si>
    <t>tribunetrap binnen</t>
  </si>
  <si>
    <t>S1.2.2b</t>
  </si>
  <si>
    <t>S1.2.3b</t>
  </si>
  <si>
    <t>S2.9a</t>
  </si>
  <si>
    <t>Tribunetrap en patio</t>
  </si>
  <si>
    <t>S2.9b</t>
  </si>
  <si>
    <t>balkon</t>
  </si>
  <si>
    <t>S3.2.1.c</t>
  </si>
  <si>
    <t>Zitjes ontmoetingsplein actief</t>
  </si>
  <si>
    <t>S3.2.1.d</t>
  </si>
  <si>
    <t>S3.2.1.e</t>
  </si>
  <si>
    <t>S3.2.1b</t>
  </si>
  <si>
    <t>S3.2.1f</t>
  </si>
  <si>
    <t>S3.2.2</t>
  </si>
  <si>
    <t>ontmoetingsplein rustig</t>
  </si>
  <si>
    <t>S3.3.10b</t>
  </si>
  <si>
    <t>overlegruimte 9 pers</t>
  </si>
  <si>
    <t>S3.3.12</t>
  </si>
  <si>
    <t>teamkamer</t>
  </si>
  <si>
    <t>S3.3.13</t>
  </si>
  <si>
    <t>S3.3.15</t>
  </si>
  <si>
    <t>S3.3.2b</t>
  </si>
  <si>
    <t>S3.3.4b</t>
  </si>
  <si>
    <t>kolf-/relaxruimte</t>
  </si>
  <si>
    <t>S3.3.5a</t>
  </si>
  <si>
    <t>remedial teaching ruimte (RT) / flexruim</t>
  </si>
  <si>
    <t>S3.3.5b</t>
  </si>
  <si>
    <t>Extra remedial teaching ruimte (RT) / fl</t>
  </si>
  <si>
    <t>S3.3.6b</t>
  </si>
  <si>
    <t>S3.3.7</t>
  </si>
  <si>
    <t>kantoor 1 pers (directeur met overlegple</t>
  </si>
  <si>
    <t>S3.3.9</t>
  </si>
  <si>
    <t>flexplek docenten</t>
  </si>
  <si>
    <t>S3.5.1.1a</t>
  </si>
  <si>
    <t>S3.5.1.2a</t>
  </si>
  <si>
    <t>S3.5.1.2b</t>
  </si>
  <si>
    <t>S3.5.2.1a</t>
  </si>
  <si>
    <t>leerruimte onderbouw</t>
  </si>
  <si>
    <t>S3.5.2.1b</t>
  </si>
  <si>
    <t>S3.5.2.2a</t>
  </si>
  <si>
    <t>instructieruimte onderbouw</t>
  </si>
  <si>
    <t>S3.5.2.2b</t>
  </si>
  <si>
    <t>S3.5.2.2c</t>
  </si>
  <si>
    <t>S3.5.2.3</t>
  </si>
  <si>
    <t>kluisjes onderbouw x 160</t>
  </si>
  <si>
    <t>S3.5.3.1a</t>
  </si>
  <si>
    <t>leerruimte bovenbouw</t>
  </si>
  <si>
    <t>S3.5.3.1b</t>
  </si>
  <si>
    <t>S3.5.3.2a</t>
  </si>
  <si>
    <t>instructieruimte bovenbouw</t>
  </si>
  <si>
    <t>S3.5.3.2b</t>
  </si>
  <si>
    <t>S3.5.3.3</t>
  </si>
  <si>
    <t>kluisjes bovenbouw x 185</t>
  </si>
  <si>
    <t>S3.5.3.4a</t>
  </si>
  <si>
    <t>berging bovenbouw</t>
  </si>
  <si>
    <t>S3.5.3.4b</t>
  </si>
  <si>
    <t>Totaal werkdag vakantie</t>
  </si>
  <si>
    <t>Omrekentabel t.b.v. Invultabel Objecten (niet afdrukken)</t>
  </si>
  <si>
    <t>DAGSOORT</t>
  </si>
  <si>
    <t>WERKSOORT</t>
  </si>
  <si>
    <t>FREQ DECIMAAL</t>
  </si>
  <si>
    <t>UURFACTOR</t>
  </si>
  <si>
    <t xml:space="preserve">KENGETAL </t>
  </si>
  <si>
    <t xml:space="preserve">% HOOG-FREQUENT </t>
  </si>
  <si>
    <t>TARIEF</t>
  </si>
  <si>
    <t xml:space="preserve">    0001</t>
  </si>
  <si>
    <t xml:space="preserve">    0002</t>
  </si>
  <si>
    <t xml:space="preserve">    0003</t>
  </si>
  <si>
    <t xml:space="preserve">    0004</t>
  </si>
  <si>
    <t xml:space="preserve">    0005</t>
  </si>
  <si>
    <t xml:space="preserve">    0006</t>
  </si>
  <si>
    <t xml:space="preserve">    0007</t>
  </si>
  <si>
    <t>werkdag</t>
  </si>
  <si>
    <t>werkdag vakantie</t>
  </si>
  <si>
    <t>NAAM</t>
  </si>
  <si>
    <t>ADRES</t>
  </si>
  <si>
    <t>PLAATS</t>
  </si>
  <si>
    <t>BASIS UUR- TARIEF</t>
  </si>
  <si>
    <t>UREN/ UITVOERING</t>
  </si>
  <si>
    <t>UREN HOOG-FREQUENT/ UITVOERING</t>
  </si>
  <si>
    <t>UREN HOOG-FREQUENT SUPPLETIE/ UITVOERING</t>
  </si>
  <si>
    <t>UREN HOOG-FREQUENT TOTAAL/ UITVOERING</t>
  </si>
  <si>
    <t>UREN TOTAAL/ UITVOERING</t>
  </si>
  <si>
    <t>PRIJS/ UITVOERING</t>
  </si>
  <si>
    <t>PRIJS SUPPLETIE/ UITVOERING</t>
  </si>
  <si>
    <t>PRIJS TOTAAL/ UITVOERING</t>
  </si>
  <si>
    <t>UREN HOOG-FREQUENT/ JAAR</t>
  </si>
  <si>
    <t>PRIJS/ MAAND (EURO)</t>
  </si>
  <si>
    <t>Openbaar Lyceum De Amersfoortse berg</t>
  </si>
  <si>
    <t>Hugo de Grootlaan 25</t>
  </si>
  <si>
    <t>Amersfoort</t>
  </si>
  <si>
    <t>Amsfort College</t>
  </si>
  <si>
    <t>Columbusweg 40</t>
  </si>
  <si>
    <t>Axia College (Nieuwbouw)</t>
  </si>
  <si>
    <t>Hanzeboulevard 40</t>
  </si>
  <si>
    <t>PRO33</t>
  </si>
  <si>
    <t>Wiekslag 50</t>
  </si>
  <si>
    <t>Stedelijk Gymnasium J van Oldenbarnevelt</t>
  </si>
  <si>
    <t>Thorbeckeplein 1</t>
  </si>
  <si>
    <t>t Atrium</t>
  </si>
  <si>
    <t>Paladijnenweg 611</t>
  </si>
  <si>
    <t>Trivium</t>
  </si>
  <si>
    <t>Dierenriem 11</t>
  </si>
  <si>
    <t>Totaal regulier werk incl. suppleties (excl. BTW)</t>
  </si>
  <si>
    <t>Totaal regulier werk incl. suppleties (incl. BTW)</t>
  </si>
  <si>
    <t>CODE</t>
  </si>
  <si>
    <t>FREQ (dagen)</t>
  </si>
  <si>
    <t>FUNCTIENAAM</t>
  </si>
  <si>
    <t>UURTARIEF (euro)</t>
  </si>
  <si>
    <t>PERC. VAN UREN/JAAR REGULIER WERK</t>
  </si>
  <si>
    <t>VASTE UREN/KEER (decimaal)</t>
  </si>
  <si>
    <t>UREN/ KEER</t>
  </si>
  <si>
    <t>PRIJS/ JAAR  (euro)</t>
  </si>
  <si>
    <t>PRIJS/ MAAND  (euro)</t>
  </si>
  <si>
    <t>&lt;invullen functie afh. van uren uitvoering per jaar&gt;</t>
  </si>
  <si>
    <t>&lt;invullen functie met vaste uren per dag&gt;</t>
  </si>
  <si>
    <t>Totaal 0001 - Openbaar Lyceum De Amersfoortse berg, Hugo de Grootlaan 25, Amersfoort</t>
  </si>
  <si>
    <t>Totaal 0002 - Amsfort College, Columbusweg 40, Amersfoort</t>
  </si>
  <si>
    <t>Totaal 0003 - Axia College (Nieuwbouw), Hanzeboulevard 40, Amersfoort</t>
  </si>
  <si>
    <t>Totaal 0004 - PRO33, Wiekslag 50, Amersfoort</t>
  </si>
  <si>
    <t>Totaal 0005 - Stedelijk Gymnasium J van Oldenbarnevelt, Thorbeckeplein 1, Amersfoort</t>
  </si>
  <si>
    <t>Totaal 0006 - 't Atrium, Paladijnenweg 611, Amersfoort</t>
  </si>
  <si>
    <t>Totaal 0007 - Trivium, Dierenriem 11, Amersfoort</t>
  </si>
  <si>
    <t>Totaal niet-meewerkende objectleiding</t>
  </si>
  <si>
    <t>Totaal niet-meewerkende objectleiding (incl. BTW)</t>
  </si>
  <si>
    <t>PRIJS UITVOEREND/ JAAR</t>
  </si>
  <si>
    <t>UREN LEIDING/ JAAR</t>
  </si>
  <si>
    <t>PRIJS LEIDING/ JAAR</t>
  </si>
  <si>
    <t>PRIJS MET LEIDING/ JAAR</t>
  </si>
  <si>
    <t>PRIJS/ MAAND EXCL.BTW</t>
  </si>
  <si>
    <t>PRIJS/ MAAND INCL.BTW</t>
  </si>
  <si>
    <t>Totaal van alle objecten</t>
  </si>
  <si>
    <t>BEURT</t>
  </si>
  <si>
    <t>FREQ (DAGEN)</t>
  </si>
  <si>
    <t>HOEVEELHEID /KEER</t>
  </si>
  <si>
    <t>UURTARIEF (EURO)</t>
  </si>
  <si>
    <t>NORM</t>
  </si>
  <si>
    <t>PRIJS/ EENHEID (EURO)</t>
  </si>
  <si>
    <t>PRIJS/ KEER</t>
  </si>
  <si>
    <t>9700</t>
  </si>
  <si>
    <t>Periodiek beschermde vloeren</t>
  </si>
  <si>
    <t>tijdsnorm in vloer m²/uur</t>
  </si>
  <si>
    <t>9701</t>
  </si>
  <si>
    <t>Dieptereiniging sportvloer</t>
  </si>
  <si>
    <t>9800</t>
  </si>
  <si>
    <t>Periodiek volledig toetszolders Johan van Oldenbarnevelt reinigen</t>
  </si>
  <si>
    <t>9900</t>
  </si>
  <si>
    <t>Periodiek machinaal schrobben trappenhuizen Johan van Oldenbarnevelt</t>
  </si>
  <si>
    <t>Totaal additioneel werk excl. BTW</t>
  </si>
  <si>
    <t>STAFFEL</t>
  </si>
  <si>
    <t>2000A</t>
  </si>
  <si>
    <t>Systeemkast/monitor reinigen</t>
  </si>
  <si>
    <t>prijs per stuk</t>
  </si>
  <si>
    <t>&lt; 25 stuks</t>
  </si>
  <si>
    <t>2000B</t>
  </si>
  <si>
    <t>25 tot 100 stuks</t>
  </si>
  <si>
    <t>2000C</t>
  </si>
  <si>
    <t>100 tot 500 stuks</t>
  </si>
  <si>
    <t>2000D</t>
  </si>
  <si>
    <t>&gt;= 500 stuks</t>
  </si>
  <si>
    <t>2010A</t>
  </si>
  <si>
    <t>Printer uitwendig reinigen</t>
  </si>
  <si>
    <t>2010B</t>
  </si>
  <si>
    <t>2010C</t>
  </si>
  <si>
    <t>2010D</t>
  </si>
  <si>
    <t>2030A</t>
  </si>
  <si>
    <t>Toetsenbord reinigen</t>
  </si>
  <si>
    <t>2030B</t>
  </si>
  <si>
    <t>2030C</t>
  </si>
  <si>
    <t>2030D</t>
  </si>
  <si>
    <t>3000A</t>
  </si>
  <si>
    <t>Lamellen (horizontaal) reinigen (alumin)</t>
  </si>
  <si>
    <t>prijs per m²</t>
  </si>
  <si>
    <t>&lt; 5 m²</t>
  </si>
  <si>
    <t>3000B</t>
  </si>
  <si>
    <t>5 &lt; 25 m²</t>
  </si>
  <si>
    <t>3000C</t>
  </si>
  <si>
    <t>25 &lt; 100 m²</t>
  </si>
  <si>
    <t>3000D</t>
  </si>
  <si>
    <t>&gt;=100 m²</t>
  </si>
  <si>
    <t>3001A</t>
  </si>
  <si>
    <t>Lamellen (horizontaal) reinigen (stof)</t>
  </si>
  <si>
    <t>3001B</t>
  </si>
  <si>
    <t>3001C</t>
  </si>
  <si>
    <t>3001D</t>
  </si>
  <si>
    <t>3002A</t>
  </si>
  <si>
    <t>Lamellen (horizontaal) reinigen (kunst)</t>
  </si>
  <si>
    <t>3002B</t>
  </si>
  <si>
    <t>3002C</t>
  </si>
  <si>
    <t>3002D</t>
  </si>
  <si>
    <t>3010A</t>
  </si>
  <si>
    <t>Lamellen (verticaal) reinigen (alumin)</t>
  </si>
  <si>
    <t>3010B</t>
  </si>
  <si>
    <t>3010C</t>
  </si>
  <si>
    <t>3010D</t>
  </si>
  <si>
    <t>3011A</t>
  </si>
  <si>
    <t>Lamellen (verticaal) reinigen (stof)</t>
  </si>
  <si>
    <t>3011B</t>
  </si>
  <si>
    <t>3011C</t>
  </si>
  <si>
    <t>3011D</t>
  </si>
  <si>
    <t>3012A</t>
  </si>
  <si>
    <t>Lamellen (verticaal) reinigen (kunst)</t>
  </si>
  <si>
    <t>3012B</t>
  </si>
  <si>
    <t>3012C</t>
  </si>
  <si>
    <t>3012D</t>
  </si>
  <si>
    <t>3020A</t>
  </si>
  <si>
    <t>Gordijnen reinigen</t>
  </si>
  <si>
    <t>3020B</t>
  </si>
  <si>
    <t>3020C</t>
  </si>
  <si>
    <t>3020D</t>
  </si>
  <si>
    <t>3030</t>
  </si>
  <si>
    <t>Graffiti verwijderen</t>
  </si>
  <si>
    <t>3040</t>
  </si>
  <si>
    <t>Graffiti verwijderen spec.</t>
  </si>
  <si>
    <t>prijs per uur</t>
  </si>
  <si>
    <t>4000A</t>
  </si>
  <si>
    <t>Vloer schrobben/waterzuigen</t>
  </si>
  <si>
    <t>&lt; 500 m²</t>
  </si>
  <si>
    <t>4000B</t>
  </si>
  <si>
    <t>500 &lt; 1000 m²</t>
  </si>
  <si>
    <t>4000C</t>
  </si>
  <si>
    <t>1000 &lt; 2000 m²</t>
  </si>
  <si>
    <t>4000D</t>
  </si>
  <si>
    <t>&gt;= 2000 m²</t>
  </si>
  <si>
    <t>4010A</t>
  </si>
  <si>
    <t>Sure step vloeren opwrijven</t>
  </si>
  <si>
    <t>4010B</t>
  </si>
  <si>
    <t>4010C</t>
  </si>
  <si>
    <t>4010D</t>
  </si>
  <si>
    <t>4020A</t>
  </si>
  <si>
    <t>Linoleum sprayen /opwrijven</t>
  </si>
  <si>
    <t>4020B</t>
  </si>
  <si>
    <t>4020C</t>
  </si>
  <si>
    <t>4020D</t>
  </si>
  <si>
    <t>4030A</t>
  </si>
  <si>
    <t>Linoleum vloeren strippen/conserveren</t>
  </si>
  <si>
    <t>4030B</t>
  </si>
  <si>
    <t>4030C</t>
  </si>
  <si>
    <t>4030D</t>
  </si>
  <si>
    <t>4040A</t>
  </si>
  <si>
    <t>Tapijt reinigen droge methode (Bonet)</t>
  </si>
  <si>
    <t>4040B</t>
  </si>
  <si>
    <t>4040C</t>
  </si>
  <si>
    <t>Tapijt reinigen droge methode (Bonett)</t>
  </si>
  <si>
    <t>4040D</t>
  </si>
  <si>
    <t>Tapijt reinigen droge methode (Boent)</t>
  </si>
  <si>
    <t>4050A</t>
  </si>
  <si>
    <t>Tapijt reinigen op koolzuur basis</t>
  </si>
  <si>
    <t>4050B</t>
  </si>
  <si>
    <t>4050C</t>
  </si>
  <si>
    <t>4050D</t>
  </si>
  <si>
    <t>4060A</t>
  </si>
  <si>
    <t>Tapijt reinigen sproei/extractie methode</t>
  </si>
  <si>
    <t>4060B</t>
  </si>
  <si>
    <t>4060C</t>
  </si>
  <si>
    <t>4060D</t>
  </si>
  <si>
    <t>4065A</t>
  </si>
  <si>
    <t>Tapijt reinigen encapulation methode</t>
  </si>
  <si>
    <t>4065B</t>
  </si>
  <si>
    <t>4065C</t>
  </si>
  <si>
    <t>4065D</t>
  </si>
  <si>
    <t>4070A</t>
  </si>
  <si>
    <t>Tapijt borstelzuigen</t>
  </si>
  <si>
    <t>4070B</t>
  </si>
  <si>
    <t>4070C</t>
  </si>
  <si>
    <t>4070D</t>
  </si>
  <si>
    <t>4080A</t>
  </si>
  <si>
    <t>Sanitair vloer reinigen d.m.v. "stomen"</t>
  </si>
  <si>
    <t>4080B</t>
  </si>
  <si>
    <t>4080C</t>
  </si>
  <si>
    <t>4080D</t>
  </si>
  <si>
    <t>4090A</t>
  </si>
  <si>
    <t>Inloopmatten uitkloppen</t>
  </si>
  <si>
    <t>4090B</t>
  </si>
  <si>
    <t>4090C</t>
  </si>
  <si>
    <t>4090D</t>
  </si>
  <si>
    <t>Totaal afroep incidenteel excl. BTW</t>
  </si>
  <si>
    <t>9000</t>
  </si>
  <si>
    <t>Medewerker regiewerkzaamheden</t>
  </si>
  <si>
    <t>9100</t>
  </si>
  <si>
    <t>Medewerker specialistische werkzaamheden</t>
  </si>
  <si>
    <t>9200</t>
  </si>
  <si>
    <t>Uurtarief vervanging eigen beheer</t>
  </si>
  <si>
    <t>9300</t>
  </si>
  <si>
    <t>Digiborden reinigen</t>
  </si>
  <si>
    <t>9301</t>
  </si>
  <si>
    <t>Attributen in toestelberging reinigen</t>
  </si>
  <si>
    <t>totaalprijs</t>
  </si>
  <si>
    <t>Totaal regiewerk excl. BTW</t>
  </si>
  <si>
    <t>8000</t>
  </si>
  <si>
    <t>Gevelglas buitenzijde</t>
  </si>
  <si>
    <t>8010</t>
  </si>
  <si>
    <t>Gevelglas binnenzijde</t>
  </si>
  <si>
    <t>8020</t>
  </si>
  <si>
    <t>Separatieglas (m ² is totaal)</t>
  </si>
  <si>
    <t>Totaal glas excl. BTW</t>
  </si>
  <si>
    <t>Soort werk</t>
  </si>
  <si>
    <t>Uren per jaar uitvoering</t>
  </si>
  <si>
    <t>Uren hoogfrequent per jaar uitvoering</t>
  </si>
  <si>
    <t>Uren per jaar leiding</t>
  </si>
  <si>
    <t>Bedrag per jaar excl. BTW (euro)</t>
  </si>
  <si>
    <t>Bedrag per jaar incl. BTW (euro)</t>
  </si>
  <si>
    <t xml:space="preserve">Regulier werk </t>
  </si>
  <si>
    <t xml:space="preserve">Objectleiding </t>
  </si>
  <si>
    <t>Additioneel werk</t>
  </si>
  <si>
    <t>Regie (geschat)</t>
  </si>
  <si>
    <t>Glas (geschat)</t>
  </si>
  <si>
    <t>Totaal generaal</t>
  </si>
  <si>
    <t>BEGROOT BEDRAG REGULIERE WERKZAAMHEDEN  (NIET HOGER DAN BUDGET)</t>
  </si>
  <si>
    <t>VERGELIJKINGSBEDRAG ADDITIONEEL/AFROEP/REGIE/GLASBEWASSING WERK (GESCHAT) VOOR PRIJSCRITERIUM</t>
  </si>
  <si>
    <t>Let op: per tarief moeten de aandelen optellen tot 100%!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</si>
</sst>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\ * #,##0.00_-;_-[$€-2]\ * #,##0.00\-;_-[$€-2]\ * &quot;-&quot;??_-;_-@_-"/>
    <numFmt numFmtId="165" formatCode="#,##0.0000"/>
  </numFmts>
  <fonts count="6" x14ac:knownFonts="1">
    <font>
      <sz val="10"/>
      <color theme="1"/>
      <name val="Verdana"/>
      <family val="2"/>
    </font>
    <font>
      <sz val="11"/>
      <color theme="1"/>
      <name val="Aptos Narrow"/>
      <family val="2"/>
      <scheme val="minor"/>
    </font>
    <font>
      <b/>
      <sz val="10"/>
      <color theme="1"/>
      <name val="Verdana"/>
      <family val="2"/>
    </font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69696"/>
        <bgColor rgb="FF000000"/>
      </patternFill>
    </fill>
    <fill>
      <patternFill patternType="solid">
        <fgColor rgb="FFCCFFCC"/>
        <bgColor rgb="FF000000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161">
    <xf numFmtId="0" fontId="0" fillId="0" borderId="0" xfId="0"/>
    <xf numFmtId="0" fontId="2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8" xfId="0" applyFill="1" applyBorder="1"/>
    <xf numFmtId="49" fontId="2" fillId="3" borderId="12" xfId="0" applyNumberFormat="1" applyFont="1" applyFill="1" applyBorder="1"/>
    <xf numFmtId="49" fontId="2" fillId="3" borderId="15" xfId="0" applyNumberFormat="1" applyFont="1" applyFill="1" applyBorder="1"/>
    <xf numFmtId="49" fontId="2" fillId="3" borderId="16" xfId="0" applyNumberFormat="1" applyFont="1" applyFill="1" applyBorder="1"/>
    <xf numFmtId="49" fontId="2" fillId="3" borderId="17" xfId="0" applyNumberFormat="1" applyFont="1" applyFill="1" applyBorder="1"/>
    <xf numFmtId="49" fontId="2" fillId="3" borderId="15" xfId="0" applyNumberFormat="1" applyFont="1" applyFill="1" applyBorder="1" applyAlignment="1">
      <alignment wrapText="1"/>
    </xf>
    <xf numFmtId="49" fontId="0" fillId="3" borderId="15" xfId="0" applyNumberFormat="1" applyFill="1" applyBorder="1" applyAlignment="1">
      <alignment wrapText="1"/>
    </xf>
    <xf numFmtId="49" fontId="0" fillId="3" borderId="15" xfId="0" applyNumberFormat="1" applyFill="1" applyBorder="1"/>
    <xf numFmtId="164" fontId="0" fillId="2" borderId="16" xfId="0" applyNumberFormat="1" applyFill="1" applyBorder="1"/>
    <xf numFmtId="164" fontId="0" fillId="2" borderId="17" xfId="0" applyNumberFormat="1" applyFill="1" applyBorder="1"/>
    <xf numFmtId="10" fontId="0" fillId="0" borderId="16" xfId="0" applyNumberFormat="1" applyBorder="1" applyProtection="1">
      <protection locked="0"/>
    </xf>
    <xf numFmtId="0" fontId="0" fillId="3" borderId="15" xfId="0" applyFill="1" applyBorder="1"/>
    <xf numFmtId="0" fontId="0" fillId="3" borderId="16" xfId="0" applyFill="1" applyBorder="1"/>
    <xf numFmtId="0" fontId="0" fillId="3" borderId="17" xfId="0" applyFill="1" applyBorder="1"/>
    <xf numFmtId="10" fontId="0" fillId="4" borderId="16" xfId="0" applyNumberFormat="1" applyFill="1" applyBorder="1" applyProtection="1">
      <protection locked="0"/>
    </xf>
    <xf numFmtId="49" fontId="2" fillId="3" borderId="18" xfId="0" applyNumberFormat="1" applyFont="1" applyFill="1" applyBorder="1"/>
    <xf numFmtId="10" fontId="0" fillId="4" borderId="19" xfId="0" applyNumberFormat="1" applyFill="1" applyBorder="1" applyProtection="1">
      <protection locked="0"/>
    </xf>
    <xf numFmtId="164" fontId="0" fillId="2" borderId="19" xfId="0" applyNumberFormat="1" applyFill="1" applyBorder="1"/>
    <xf numFmtId="164" fontId="0" fillId="2" borderId="20" xfId="0" applyNumberFormat="1" applyFill="1" applyBorder="1"/>
    <xf numFmtId="0" fontId="0" fillId="2" borderId="15" xfId="0" applyFill="1" applyBorder="1" applyAlignment="1">
      <alignment wrapText="1"/>
    </xf>
    <xf numFmtId="49" fontId="0" fillId="3" borderId="6" xfId="0" applyNumberFormat="1" applyFill="1" applyBorder="1" applyAlignment="1">
      <alignment wrapText="1"/>
    </xf>
    <xf numFmtId="0" fontId="0" fillId="3" borderId="4" xfId="0" applyFill="1" applyBorder="1"/>
    <xf numFmtId="0" fontId="0" fillId="3" borderId="9" xfId="0" applyFill="1" applyBorder="1"/>
    <xf numFmtId="0" fontId="0" fillId="3" borderId="5" xfId="0" applyFill="1" applyBorder="1"/>
    <xf numFmtId="0" fontId="0" fillId="3" borderId="7" xfId="0" applyFill="1" applyBorder="1"/>
    <xf numFmtId="0" fontId="0" fillId="3" borderId="10" xfId="0" applyFill="1" applyBorder="1"/>
    <xf numFmtId="0" fontId="0" fillId="3" borderId="8" xfId="0" applyFill="1" applyBorder="1"/>
    <xf numFmtId="49" fontId="0" fillId="2" borderId="24" xfId="0" applyNumberFormat="1" applyFill="1" applyBorder="1"/>
    <xf numFmtId="1" fontId="0" fillId="2" borderId="24" xfId="0" applyNumberFormat="1" applyFill="1" applyBorder="1"/>
    <xf numFmtId="4" fontId="0" fillId="0" borderId="24" xfId="0" applyNumberFormat="1" applyBorder="1" applyProtection="1">
      <protection locked="0"/>
    </xf>
    <xf numFmtId="10" fontId="0" fillId="0" borderId="24" xfId="0" applyNumberFormat="1" applyBorder="1" applyProtection="1">
      <protection locked="0"/>
    </xf>
    <xf numFmtId="164" fontId="0" fillId="2" borderId="24" xfId="0" applyNumberFormat="1" applyFill="1" applyBorder="1"/>
    <xf numFmtId="49" fontId="0" fillId="2" borderId="25" xfId="0" applyNumberFormat="1" applyFill="1" applyBorder="1"/>
    <xf numFmtId="1" fontId="0" fillId="2" borderId="25" xfId="0" applyNumberFormat="1" applyFill="1" applyBorder="1"/>
    <xf numFmtId="4" fontId="0" fillId="0" borderId="25" xfId="0" applyNumberFormat="1" applyBorder="1" applyProtection="1">
      <protection locked="0"/>
    </xf>
    <xf numFmtId="10" fontId="0" fillId="0" borderId="25" xfId="0" applyNumberFormat="1" applyBorder="1" applyProtection="1">
      <protection locked="0"/>
    </xf>
    <xf numFmtId="164" fontId="0" fillId="2" borderId="25" xfId="0" applyNumberFormat="1" applyFill="1" applyBorder="1"/>
    <xf numFmtId="49" fontId="0" fillId="2" borderId="26" xfId="0" applyNumberFormat="1" applyFill="1" applyBorder="1"/>
    <xf numFmtId="1" fontId="0" fillId="2" borderId="26" xfId="0" applyNumberFormat="1" applyFill="1" applyBorder="1"/>
    <xf numFmtId="4" fontId="0" fillId="0" borderId="26" xfId="0" applyNumberFormat="1" applyBorder="1" applyProtection="1">
      <protection locked="0"/>
    </xf>
    <xf numFmtId="10" fontId="0" fillId="0" borderId="26" xfId="0" applyNumberFormat="1" applyBorder="1" applyProtection="1">
      <protection locked="0"/>
    </xf>
    <xf numFmtId="164" fontId="0" fillId="2" borderId="26" xfId="0" applyNumberFormat="1" applyFill="1" applyBorder="1"/>
    <xf numFmtId="4" fontId="0" fillId="2" borderId="24" xfId="0" applyNumberFormat="1" applyFill="1" applyBorder="1"/>
    <xf numFmtId="165" fontId="0" fillId="2" borderId="24" xfId="0" applyNumberFormat="1" applyFill="1" applyBorder="1"/>
    <xf numFmtId="10" fontId="0" fillId="2" borderId="24" xfId="0" applyNumberFormat="1" applyFill="1" applyBorder="1"/>
    <xf numFmtId="4" fontId="0" fillId="2" borderId="25" xfId="0" applyNumberFormat="1" applyFill="1" applyBorder="1"/>
    <xf numFmtId="165" fontId="0" fillId="2" borderId="25" xfId="0" applyNumberFormat="1" applyFill="1" applyBorder="1"/>
    <xf numFmtId="10" fontId="0" fillId="2" borderId="25" xfId="0" applyNumberFormat="1" applyFill="1" applyBorder="1"/>
    <xf numFmtId="4" fontId="0" fillId="2" borderId="26" xfId="0" applyNumberFormat="1" applyFill="1" applyBorder="1"/>
    <xf numFmtId="165" fontId="0" fillId="2" borderId="26" xfId="0" applyNumberFormat="1" applyFill="1" applyBorder="1"/>
    <xf numFmtId="10" fontId="0" fillId="2" borderId="26" xfId="0" applyNumberFormat="1" applyFill="1" applyBorder="1"/>
    <xf numFmtId="0" fontId="0" fillId="3" borderId="28" xfId="0" applyFill="1" applyBorder="1"/>
    <xf numFmtId="49" fontId="0" fillId="3" borderId="21" xfId="0" applyNumberFormat="1" applyFill="1" applyBorder="1"/>
    <xf numFmtId="0" fontId="0" fillId="3" borderId="22" xfId="0" applyFill="1" applyBorder="1"/>
    <xf numFmtId="4" fontId="0" fillId="3" borderId="6" xfId="0" applyNumberFormat="1" applyFill="1" applyBorder="1"/>
    <xf numFmtId="164" fontId="0" fillId="3" borderId="6" xfId="0" applyNumberFormat="1" applyFill="1" applyBorder="1"/>
    <xf numFmtId="164" fontId="0" fillId="3" borderId="27" xfId="0" applyNumberFormat="1" applyFill="1" applyBorder="1"/>
    <xf numFmtId="0" fontId="0" fillId="3" borderId="21" xfId="0" applyFill="1" applyBorder="1"/>
    <xf numFmtId="0" fontId="0" fillId="3" borderId="29" xfId="0" applyFill="1" applyBorder="1"/>
    <xf numFmtId="49" fontId="0" fillId="3" borderId="30" xfId="0" applyNumberFormat="1" applyFill="1" applyBorder="1" applyAlignment="1">
      <alignment wrapText="1"/>
    </xf>
    <xf numFmtId="49" fontId="0" fillId="3" borderId="27" xfId="0" applyNumberFormat="1" applyFill="1" applyBorder="1" applyAlignment="1">
      <alignment wrapText="1"/>
    </xf>
    <xf numFmtId="0" fontId="0" fillId="3" borderId="31" xfId="0" applyFill="1" applyBorder="1"/>
    <xf numFmtId="49" fontId="0" fillId="2" borderId="12" xfId="0" applyNumberFormat="1" applyFill="1" applyBorder="1"/>
    <xf numFmtId="49" fontId="0" fillId="2" borderId="13" xfId="0" applyNumberFormat="1" applyFill="1" applyBorder="1"/>
    <xf numFmtId="49" fontId="0" fillId="2" borderId="13" xfId="0" applyNumberFormat="1" applyFill="1" applyBorder="1" applyAlignment="1">
      <alignment wrapText="1"/>
    </xf>
    <xf numFmtId="4" fontId="0" fillId="2" borderId="13" xfId="0" applyNumberFormat="1" applyFill="1" applyBorder="1"/>
    <xf numFmtId="165" fontId="0" fillId="2" borderId="13" xfId="0" applyNumberFormat="1" applyFill="1" applyBorder="1"/>
    <xf numFmtId="10" fontId="0" fillId="2" borderId="13" xfId="0" applyNumberFormat="1" applyFill="1" applyBorder="1"/>
    <xf numFmtId="164" fontId="0" fillId="2" borderId="13" xfId="0" applyNumberFormat="1" applyFill="1" applyBorder="1"/>
    <xf numFmtId="164" fontId="0" fillId="2" borderId="14" xfId="0" applyNumberFormat="1" applyFill="1" applyBorder="1"/>
    <xf numFmtId="49" fontId="0" fillId="2" borderId="15" xfId="0" applyNumberFormat="1" applyFill="1" applyBorder="1"/>
    <xf numFmtId="49" fontId="0" fillId="2" borderId="16" xfId="0" applyNumberFormat="1" applyFill="1" applyBorder="1"/>
    <xf numFmtId="49" fontId="0" fillId="2" borderId="16" xfId="0" applyNumberFormat="1" applyFill="1" applyBorder="1" applyAlignment="1">
      <alignment wrapText="1"/>
    </xf>
    <xf numFmtId="4" fontId="0" fillId="2" borderId="16" xfId="0" applyNumberFormat="1" applyFill="1" applyBorder="1"/>
    <xf numFmtId="165" fontId="0" fillId="2" borderId="16" xfId="0" applyNumberFormat="1" applyFill="1" applyBorder="1"/>
    <xf numFmtId="10" fontId="0" fillId="2" borderId="16" xfId="0" applyNumberFormat="1" applyFill="1" applyBorder="1"/>
    <xf numFmtId="0" fontId="0" fillId="2" borderId="16" xfId="0" applyFill="1" applyBorder="1"/>
    <xf numFmtId="49" fontId="0" fillId="2" borderId="18" xfId="0" applyNumberFormat="1" applyFill="1" applyBorder="1"/>
    <xf numFmtId="49" fontId="0" fillId="2" borderId="19" xfId="0" applyNumberFormat="1" applyFill="1" applyBorder="1"/>
    <xf numFmtId="49" fontId="0" fillId="2" borderId="19" xfId="0" applyNumberFormat="1" applyFill="1" applyBorder="1" applyAlignment="1">
      <alignment wrapText="1"/>
    </xf>
    <xf numFmtId="4" fontId="0" fillId="2" borderId="19" xfId="0" applyNumberFormat="1" applyFill="1" applyBorder="1"/>
    <xf numFmtId="165" fontId="0" fillId="2" borderId="19" xfId="0" applyNumberFormat="1" applyFill="1" applyBorder="1"/>
    <xf numFmtId="10" fontId="0" fillId="2" borderId="19" xfId="0" applyNumberFormat="1" applyFill="1" applyBorder="1"/>
    <xf numFmtId="49" fontId="0" fillId="3" borderId="32" xfId="0" applyNumberFormat="1" applyFill="1" applyBorder="1"/>
    <xf numFmtId="0" fontId="0" fillId="2" borderId="13" xfId="0" applyFill="1" applyBorder="1"/>
    <xf numFmtId="0" fontId="0" fillId="2" borderId="19" xfId="0" applyFill="1" applyBorder="1"/>
    <xf numFmtId="49" fontId="0" fillId="3" borderId="3" xfId="0" applyNumberFormat="1" applyFill="1" applyBorder="1"/>
    <xf numFmtId="49" fontId="0" fillId="3" borderId="3" xfId="0" applyNumberFormat="1" applyFill="1" applyBorder="1" applyAlignment="1">
      <alignment wrapText="1"/>
    </xf>
    <xf numFmtId="0" fontId="0" fillId="3" borderId="11" xfId="0" applyFill="1" applyBorder="1"/>
    <xf numFmtId="49" fontId="0" fillId="3" borderId="11" xfId="0" applyNumberFormat="1" applyFill="1" applyBorder="1"/>
    <xf numFmtId="0" fontId="0" fillId="3" borderId="6" xfId="0" applyFill="1" applyBorder="1"/>
    <xf numFmtId="49" fontId="0" fillId="4" borderId="24" xfId="0" applyNumberFormat="1" applyFill="1" applyBorder="1" applyProtection="1">
      <protection locked="0"/>
    </xf>
    <xf numFmtId="164" fontId="0" fillId="4" borderId="24" xfId="0" applyNumberFormat="1" applyFill="1" applyBorder="1" applyProtection="1">
      <protection locked="0"/>
    </xf>
    <xf numFmtId="49" fontId="0" fillId="4" borderId="25" xfId="0" applyNumberFormat="1" applyFill="1" applyBorder="1" applyProtection="1">
      <protection locked="0"/>
    </xf>
    <xf numFmtId="164" fontId="0" fillId="4" borderId="25" xfId="0" applyNumberFormat="1" applyFill="1" applyBorder="1" applyProtection="1">
      <protection locked="0"/>
    </xf>
    <xf numFmtId="49" fontId="0" fillId="2" borderId="25" xfId="0" quotePrefix="1" applyNumberFormat="1" applyFill="1" applyBorder="1"/>
    <xf numFmtId="49" fontId="0" fillId="4" borderId="26" xfId="0" applyNumberFormat="1" applyFill="1" applyBorder="1" applyProtection="1">
      <protection locked="0"/>
    </xf>
    <xf numFmtId="164" fontId="0" fillId="4" borderId="26" xfId="0" applyNumberFormat="1" applyFill="1" applyBorder="1" applyProtection="1">
      <protection locked="0"/>
    </xf>
    <xf numFmtId="49" fontId="0" fillId="2" borderId="26" xfId="0" quotePrefix="1" applyNumberFormat="1" applyFill="1" applyBorder="1"/>
    <xf numFmtId="0" fontId="0" fillId="0" borderId="9" xfId="0" applyBorder="1"/>
    <xf numFmtId="0" fontId="0" fillId="0" borderId="5" xfId="0" applyBorder="1"/>
    <xf numFmtId="164" fontId="0" fillId="0" borderId="24" xfId="0" applyNumberFormat="1" applyBorder="1" applyProtection="1">
      <protection locked="0"/>
    </xf>
    <xf numFmtId="4" fontId="0" fillId="3" borderId="24" xfId="0" applyNumberFormat="1" applyFill="1" applyBorder="1"/>
    <xf numFmtId="164" fontId="0" fillId="0" borderId="25" xfId="0" applyNumberFormat="1" applyBorder="1" applyProtection="1">
      <protection locked="0"/>
    </xf>
    <xf numFmtId="4" fontId="0" fillId="3" borderId="25" xfId="0" applyNumberFormat="1" applyFill="1" applyBorder="1"/>
    <xf numFmtId="10" fontId="0" fillId="3" borderId="25" xfId="0" applyNumberFormat="1" applyFill="1" applyBorder="1"/>
    <xf numFmtId="164" fontId="0" fillId="0" borderId="26" xfId="0" applyNumberFormat="1" applyBorder="1" applyProtection="1">
      <protection locked="0"/>
    </xf>
    <xf numFmtId="10" fontId="0" fillId="3" borderId="26" xfId="0" applyNumberFormat="1" applyFill="1" applyBorder="1"/>
    <xf numFmtId="4" fontId="0" fillId="4" borderId="24" xfId="0" applyNumberFormat="1" applyFill="1" applyBorder="1"/>
    <xf numFmtId="164" fontId="0" fillId="3" borderId="24" xfId="0" applyNumberFormat="1" applyFill="1" applyBorder="1"/>
    <xf numFmtId="4" fontId="0" fillId="4" borderId="25" xfId="0" applyNumberFormat="1" applyFill="1" applyBorder="1"/>
    <xf numFmtId="164" fontId="0" fillId="3" borderId="25" xfId="0" applyNumberFormat="1" applyFill="1" applyBorder="1"/>
    <xf numFmtId="4" fontId="0" fillId="4" borderId="26" xfId="0" applyNumberFormat="1" applyFill="1" applyBorder="1"/>
    <xf numFmtId="164" fontId="0" fillId="3" borderId="26" xfId="0" applyNumberFormat="1" applyFill="1" applyBorder="1"/>
    <xf numFmtId="164" fontId="0" fillId="3" borderId="23" xfId="0" applyNumberFormat="1" applyFill="1" applyBorder="1"/>
    <xf numFmtId="0" fontId="0" fillId="3" borderId="23" xfId="0" applyFill="1" applyBorder="1"/>
    <xf numFmtId="49" fontId="0" fillId="2" borderId="6" xfId="0" applyNumberFormat="1" applyFill="1" applyBorder="1"/>
    <xf numFmtId="1" fontId="0" fillId="2" borderId="6" xfId="0" applyNumberFormat="1" applyFill="1" applyBorder="1"/>
    <xf numFmtId="4" fontId="0" fillId="4" borderId="6" xfId="0" applyNumberFormat="1" applyFill="1" applyBorder="1"/>
    <xf numFmtId="164" fontId="0" fillId="2" borderId="6" xfId="0" applyNumberFormat="1" applyFill="1" applyBorder="1"/>
    <xf numFmtId="4" fontId="0" fillId="2" borderId="6" xfId="0" applyNumberFormat="1" applyFill="1" applyBorder="1"/>
    <xf numFmtId="4" fontId="0" fillId="3" borderId="26" xfId="0" applyNumberFormat="1" applyFill="1" applyBorder="1"/>
    <xf numFmtId="49" fontId="0" fillId="3" borderId="24" xfId="0" applyNumberFormat="1" applyFill="1" applyBorder="1" applyAlignment="1">
      <alignment wrapText="1"/>
    </xf>
    <xf numFmtId="49" fontId="0" fillId="3" borderId="25" xfId="0" applyNumberFormat="1" applyFill="1" applyBorder="1" applyAlignment="1">
      <alignment wrapText="1"/>
    </xf>
    <xf numFmtId="49" fontId="0" fillId="3" borderId="26" xfId="0" applyNumberFormat="1" applyFill="1" applyBorder="1" applyAlignment="1">
      <alignment wrapText="1"/>
    </xf>
    <xf numFmtId="0" fontId="4" fillId="5" borderId="32" xfId="1" applyFont="1" applyFill="1" applyBorder="1"/>
    <xf numFmtId="0" fontId="5" fillId="5" borderId="22" xfId="1" applyFont="1" applyFill="1" applyBorder="1"/>
    <xf numFmtId="0" fontId="5" fillId="5" borderId="29" xfId="1" applyFont="1" applyFill="1" applyBorder="1"/>
    <xf numFmtId="164" fontId="4" fillId="6" borderId="29" xfId="1" applyNumberFormat="1" applyFont="1" applyFill="1" applyBorder="1"/>
    <xf numFmtId="0" fontId="5" fillId="5" borderId="4" xfId="1" applyFont="1" applyFill="1" applyBorder="1"/>
    <xf numFmtId="0" fontId="5" fillId="5" borderId="0" xfId="1" applyFont="1" applyFill="1"/>
    <xf numFmtId="49" fontId="0" fillId="0" borderId="25" xfId="0" applyNumberFormat="1" applyBorder="1" applyProtection="1">
      <protection locked="0"/>
    </xf>
    <xf numFmtId="0" fontId="0" fillId="0" borderId="4" xfId="0" applyBorder="1"/>
    <xf numFmtId="1" fontId="0" fillId="0" borderId="24" xfId="0" applyNumberFormat="1" applyBorder="1" applyProtection="1">
      <protection locked="0"/>
    </xf>
    <xf numFmtId="49" fontId="0" fillId="0" borderId="24" xfId="0" applyNumberFormat="1" applyBorder="1" applyProtection="1">
      <protection locked="0"/>
    </xf>
    <xf numFmtId="1" fontId="0" fillId="0" borderId="25" xfId="0" applyNumberFormat="1" applyBorder="1" applyProtection="1">
      <protection locked="0"/>
    </xf>
    <xf numFmtId="1" fontId="0" fillId="0" borderId="26" xfId="0" applyNumberFormat="1" applyBorder="1" applyProtection="1">
      <protection locked="0"/>
    </xf>
    <xf numFmtId="49" fontId="0" fillId="0" borderId="26" xfId="0" applyNumberFormat="1" applyBorder="1" applyProtection="1">
      <protection locked="0"/>
    </xf>
    <xf numFmtId="49" fontId="2" fillId="3" borderId="13" xfId="0" applyNumberFormat="1" applyFont="1" applyFill="1" applyBorder="1"/>
    <xf numFmtId="49" fontId="2" fillId="3" borderId="14" xfId="0" applyNumberFormat="1" applyFont="1" applyFill="1" applyBorder="1"/>
    <xf numFmtId="49" fontId="2" fillId="3" borderId="16" xfId="0" applyNumberFormat="1" applyFont="1" applyFill="1" applyBorder="1"/>
    <xf numFmtId="49" fontId="2" fillId="3" borderId="17" xfId="0" applyNumberFormat="1" applyFont="1" applyFill="1" applyBorder="1"/>
    <xf numFmtId="49" fontId="2" fillId="4" borderId="16" xfId="0" applyNumberFormat="1" applyFont="1" applyFill="1" applyBorder="1" applyAlignment="1">
      <alignment wrapText="1"/>
    </xf>
    <xf numFmtId="49" fontId="2" fillId="4" borderId="17" xfId="0" applyNumberFormat="1" applyFont="1" applyFill="1" applyBorder="1" applyAlignment="1">
      <alignment wrapText="1"/>
    </xf>
    <xf numFmtId="49" fontId="2" fillId="0" borderId="16" xfId="0" applyNumberFormat="1" applyFont="1" applyBorder="1" applyAlignment="1" applyProtection="1">
      <alignment wrapText="1"/>
      <protection locked="0"/>
    </xf>
    <xf numFmtId="49" fontId="2" fillId="0" borderId="17" xfId="0" applyNumberFormat="1" applyFont="1" applyBorder="1" applyAlignment="1" applyProtection="1">
      <alignment wrapText="1"/>
      <protection locked="0"/>
    </xf>
    <xf numFmtId="164" fontId="0" fillId="0" borderId="16" xfId="0" applyNumberFormat="1" applyBorder="1" applyProtection="1">
      <protection locked="0"/>
    </xf>
    <xf numFmtId="164" fontId="0" fillId="0" borderId="17" xfId="0" applyNumberFormat="1" applyBorder="1" applyProtection="1">
      <protection locked="0"/>
    </xf>
    <xf numFmtId="164" fontId="0" fillId="2" borderId="16" xfId="0" applyNumberFormat="1" applyFill="1" applyBorder="1"/>
    <xf numFmtId="164" fontId="0" fillId="2" borderId="17" xfId="0" applyNumberFormat="1" applyFill="1" applyBorder="1"/>
    <xf numFmtId="49" fontId="2" fillId="3" borderId="13" xfId="0" applyNumberFormat="1" applyFont="1" applyFill="1" applyBorder="1" applyAlignment="1">
      <alignment wrapText="1"/>
    </xf>
    <xf numFmtId="49" fontId="2" fillId="3" borderId="14" xfId="0" applyNumberFormat="1" applyFont="1" applyFill="1" applyBorder="1" applyAlignment="1">
      <alignment wrapText="1"/>
    </xf>
    <xf numFmtId="164" fontId="2" fillId="2" borderId="19" xfId="0" applyNumberFormat="1" applyFont="1" applyFill="1" applyBorder="1" applyAlignment="1"/>
    <xf numFmtId="164" fontId="2" fillId="2" borderId="20" xfId="0" applyNumberFormat="1" applyFont="1" applyFill="1" applyBorder="1" applyAlignment="1"/>
  </cellXfs>
  <cellStyles count="3">
    <cellStyle name="Standaard" xfId="0" builtinId="0"/>
    <cellStyle name="Standaard 2" xfId="1" xr:uid="{9DBDAD10-D7F1-46C2-AAC5-03A8F9EEC95A}"/>
    <cellStyle name="Standaard 3" xfId="2" xr:uid="{74D83D73-0DD9-4628-A3CD-8A7BA1EE6A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98F5F-C463-407B-B9F8-6175460448A5}">
  <dimension ref="A1:B30"/>
  <sheetViews>
    <sheetView workbookViewId="0"/>
  </sheetViews>
  <sheetFormatPr defaultRowHeight="13.5" x14ac:dyDescent="0.3"/>
  <sheetData>
    <row r="1" spans="1:2" x14ac:dyDescent="0.3">
      <c r="A1" s="1" t="s">
        <v>0</v>
      </c>
    </row>
    <row r="3" spans="1:2" x14ac:dyDescent="0.3">
      <c r="A3" t="s">
        <v>1</v>
      </c>
    </row>
    <row r="5" spans="1:2" x14ac:dyDescent="0.3">
      <c r="A5" t="s">
        <v>2</v>
      </c>
      <c r="B5" t="s">
        <v>3</v>
      </c>
    </row>
    <row r="7" spans="1:2" x14ac:dyDescent="0.3">
      <c r="A7" s="4" t="s">
        <v>4</v>
      </c>
      <c r="B7" s="5"/>
    </row>
    <row r="8" spans="1:2" x14ac:dyDescent="0.3">
      <c r="A8" s="2"/>
      <c r="B8" s="3"/>
    </row>
    <row r="9" spans="1:2" x14ac:dyDescent="0.3">
      <c r="A9" s="2" t="s">
        <v>5</v>
      </c>
      <c r="B9" s="3">
        <v>255</v>
      </c>
    </row>
    <row r="10" spans="1:2" x14ac:dyDescent="0.3">
      <c r="A10" s="2" t="s">
        <v>6</v>
      </c>
      <c r="B10" s="3">
        <v>5</v>
      </c>
    </row>
    <row r="11" spans="1:2" x14ac:dyDescent="0.3">
      <c r="A11" s="2"/>
      <c r="B11" s="3"/>
    </row>
    <row r="12" spans="1:2" x14ac:dyDescent="0.3">
      <c r="A12" s="2" t="s">
        <v>7</v>
      </c>
      <c r="B12" s="3" t="s">
        <v>8</v>
      </c>
    </row>
    <row r="13" spans="1:2" x14ac:dyDescent="0.3">
      <c r="A13" s="2" t="s">
        <v>9</v>
      </c>
      <c r="B13" s="3">
        <f t="shared" ref="B13:B30" si="0">IF(A13="2½W",2.5/dagenperweek1,IF(RIGHT(A13,1)="W",VALUE(LEFT(A13,LEN(A13)-1))/dagenperweek1,IF(RIGHT(A13,1)="J",VALUE(LEFT(A13,LEN(A13)-1))/dagenperjaar1,"handmatig!")))</f>
        <v>1</v>
      </c>
    </row>
    <row r="14" spans="1:2" x14ac:dyDescent="0.3">
      <c r="A14" s="2" t="s">
        <v>10</v>
      </c>
      <c r="B14" s="3">
        <f t="shared" si="0"/>
        <v>0.8</v>
      </c>
    </row>
    <row r="15" spans="1:2" x14ac:dyDescent="0.3">
      <c r="A15" s="2" t="s">
        <v>11</v>
      </c>
      <c r="B15" s="3">
        <f t="shared" si="0"/>
        <v>0.78431372549019607</v>
      </c>
    </row>
    <row r="16" spans="1:2" x14ac:dyDescent="0.3">
      <c r="A16" s="2" t="s">
        <v>12</v>
      </c>
      <c r="B16" s="3">
        <f t="shared" si="0"/>
        <v>0.6</v>
      </c>
    </row>
    <row r="17" spans="1:2" x14ac:dyDescent="0.3">
      <c r="A17" s="2" t="s">
        <v>13</v>
      </c>
      <c r="B17" s="3">
        <f t="shared" si="0"/>
        <v>0.47058823529411764</v>
      </c>
    </row>
    <row r="18" spans="1:2" x14ac:dyDescent="0.3">
      <c r="A18" s="2" t="s">
        <v>14</v>
      </c>
      <c r="B18" s="3">
        <f t="shared" si="0"/>
        <v>0.4</v>
      </c>
    </row>
    <row r="19" spans="1:2" x14ac:dyDescent="0.3">
      <c r="A19" s="2" t="s">
        <v>15</v>
      </c>
      <c r="B19" s="3">
        <f t="shared" si="0"/>
        <v>0.32941176470588235</v>
      </c>
    </row>
    <row r="20" spans="1:2" x14ac:dyDescent="0.3">
      <c r="A20" s="2" t="s">
        <v>16</v>
      </c>
      <c r="B20" s="3">
        <f t="shared" si="0"/>
        <v>0.31372549019607843</v>
      </c>
    </row>
    <row r="21" spans="1:2" x14ac:dyDescent="0.3">
      <c r="A21" s="2" t="s">
        <v>17</v>
      </c>
      <c r="B21" s="3">
        <f t="shared" si="0"/>
        <v>0.2</v>
      </c>
    </row>
    <row r="22" spans="1:2" x14ac:dyDescent="0.3">
      <c r="A22" s="2" t="s">
        <v>18</v>
      </c>
      <c r="B22" s="3">
        <f t="shared" si="0"/>
        <v>0.15686274509803921</v>
      </c>
    </row>
    <row r="23" spans="1:2" x14ac:dyDescent="0.3">
      <c r="A23" s="2" t="s">
        <v>19</v>
      </c>
      <c r="B23" s="3">
        <f t="shared" si="0"/>
        <v>0.10196078431372549</v>
      </c>
    </row>
    <row r="24" spans="1:2" x14ac:dyDescent="0.3">
      <c r="A24" s="2" t="s">
        <v>20</v>
      </c>
      <c r="B24" s="3">
        <f t="shared" si="0"/>
        <v>4.7058823529411764E-2</v>
      </c>
    </row>
    <row r="25" spans="1:2" x14ac:dyDescent="0.3">
      <c r="A25" s="2" t="s">
        <v>21</v>
      </c>
      <c r="B25" s="3">
        <f t="shared" si="0"/>
        <v>3.9215686274509803E-2</v>
      </c>
    </row>
    <row r="26" spans="1:2" x14ac:dyDescent="0.3">
      <c r="A26" s="2" t="s">
        <v>22</v>
      </c>
      <c r="B26" s="3">
        <f t="shared" si="0"/>
        <v>2.3529411764705882E-2</v>
      </c>
    </row>
    <row r="27" spans="1:2" x14ac:dyDescent="0.3">
      <c r="A27" s="2" t="s">
        <v>23</v>
      </c>
      <c r="B27" s="3">
        <f t="shared" si="0"/>
        <v>1.5686274509803921E-2</v>
      </c>
    </row>
    <row r="28" spans="1:2" x14ac:dyDescent="0.3">
      <c r="A28" s="2" t="s">
        <v>24</v>
      </c>
      <c r="B28" s="3">
        <f t="shared" si="0"/>
        <v>1.1764705882352941E-2</v>
      </c>
    </row>
    <row r="29" spans="1:2" x14ac:dyDescent="0.3">
      <c r="A29" s="2" t="s">
        <v>25</v>
      </c>
      <c r="B29" s="3">
        <f t="shared" si="0"/>
        <v>7.8431372549019607E-3</v>
      </c>
    </row>
    <row r="30" spans="1:2" x14ac:dyDescent="0.3">
      <c r="A30" s="6" t="s">
        <v>26</v>
      </c>
      <c r="B30" s="7">
        <f t="shared" si="0"/>
        <v>3.9215686274509803E-3</v>
      </c>
    </row>
  </sheetData>
  <sheetProtection algorithmName="SHA-512" hashValue="4s9xMfSDa2V39lhcXdhgUPOB0qp9/drZYxOEAuOr0qczhUQehbezS8k21O+uMypRfnWASVrKGtObcl9aYMTaJQ==" saltValue="hsTOmg1heHc3Lfz87ik6kQ==" spinCount="100000" sheet="1" objects="1" scenarios="1" autoFilter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34908-F44B-4494-8835-C2FFDC8F7CC0}">
  <dimension ref="A1:L12"/>
  <sheetViews>
    <sheetView workbookViewId="0"/>
  </sheetViews>
  <sheetFormatPr defaultRowHeight="13.5" x14ac:dyDescent="0.3"/>
  <cols>
    <col min="1" max="1" width="8.61328125" customWidth="1"/>
    <col min="2" max="2" width="32.61328125" customWidth="1"/>
    <col min="3" max="3" width="20.61328125" customWidth="1"/>
    <col min="4" max="4" width="18.61328125" customWidth="1"/>
    <col min="5" max="6" width="12.61328125" customWidth="1"/>
    <col min="7" max="7" width="14.61328125" customWidth="1"/>
    <col min="8" max="9" width="13.61328125" customWidth="1"/>
    <col min="10" max="10" width="14.61328125" customWidth="1"/>
    <col min="11" max="12" width="13.61328125" customWidth="1"/>
  </cols>
  <sheetData>
    <row r="1" spans="1:12" x14ac:dyDescent="0.3">
      <c r="A1" s="1" t="str">
        <f>CONCATENATE("Bijlage I.7: ",tabeltype," totaalblad objecten")</f>
        <v>Bijlage I.7: Invultabel totaalblad objecten</v>
      </c>
    </row>
    <row r="3" spans="1:12" ht="40.5" x14ac:dyDescent="0.3">
      <c r="A3" s="27" t="s">
        <v>268</v>
      </c>
      <c r="B3" s="27" t="s">
        <v>1362</v>
      </c>
      <c r="C3" s="27" t="s">
        <v>1363</v>
      </c>
      <c r="D3" s="27" t="s">
        <v>1364</v>
      </c>
      <c r="E3" s="27" t="s">
        <v>1374</v>
      </c>
      <c r="F3" s="27" t="s">
        <v>211</v>
      </c>
      <c r="G3" s="27" t="s">
        <v>1413</v>
      </c>
      <c r="H3" s="27" t="s">
        <v>1414</v>
      </c>
      <c r="I3" s="27" t="s">
        <v>1415</v>
      </c>
      <c r="J3" s="27" t="s">
        <v>1416</v>
      </c>
      <c r="K3" s="27" t="s">
        <v>1417</v>
      </c>
      <c r="L3" s="27" t="s">
        <v>1418</v>
      </c>
    </row>
    <row r="4" spans="1:12" x14ac:dyDescent="0.3">
      <c r="A4" s="34" t="s">
        <v>278</v>
      </c>
      <c r="B4" s="34" t="s">
        <v>1376</v>
      </c>
      <c r="C4" s="34" t="s">
        <v>1377</v>
      </c>
      <c r="D4" s="34" t="s">
        <v>1378</v>
      </c>
      <c r="E4" s="49">
        <f>objecturenhf1_1</f>
        <v>0</v>
      </c>
      <c r="F4" s="49">
        <f>objecturen1_1</f>
        <v>0</v>
      </c>
      <c r="G4" s="38">
        <f>objectprijs1_1</f>
        <v>0</v>
      </c>
      <c r="H4" s="49">
        <f>tzujt1_1</f>
        <v>0</v>
      </c>
      <c r="I4" s="38">
        <f>tzpjt1_1</f>
        <v>0</v>
      </c>
      <c r="J4" s="38">
        <f t="shared" ref="J4:J10" si="0">G4+I4</f>
        <v>0</v>
      </c>
      <c r="K4" s="38">
        <f t="shared" ref="K4:K10" si="1">J4/12</f>
        <v>0</v>
      </c>
      <c r="L4" s="38">
        <f t="shared" ref="L4:L10" si="2">K4*1.21</f>
        <v>0</v>
      </c>
    </row>
    <row r="5" spans="1:12" x14ac:dyDescent="0.3">
      <c r="A5" s="39" t="s">
        <v>508</v>
      </c>
      <c r="B5" s="39" t="s">
        <v>1379</v>
      </c>
      <c r="C5" s="39" t="s">
        <v>1380</v>
      </c>
      <c r="D5" s="39" t="s">
        <v>1378</v>
      </c>
      <c r="E5" s="52">
        <f>objecturenhf2_1</f>
        <v>0</v>
      </c>
      <c r="F5" s="52">
        <f>objecturen2_1</f>
        <v>0</v>
      </c>
      <c r="G5" s="43">
        <f>objectprijs2_1</f>
        <v>0</v>
      </c>
      <c r="H5" s="52">
        <f>tzujt2_1</f>
        <v>0</v>
      </c>
      <c r="I5" s="43">
        <f>tzpjt2_1</f>
        <v>0</v>
      </c>
      <c r="J5" s="43">
        <f t="shared" si="0"/>
        <v>0</v>
      </c>
      <c r="K5" s="43">
        <f t="shared" si="1"/>
        <v>0</v>
      </c>
      <c r="L5" s="43">
        <f t="shared" si="2"/>
        <v>0</v>
      </c>
    </row>
    <row r="6" spans="1:12" x14ac:dyDescent="0.3">
      <c r="A6" s="39" t="s">
        <v>575</v>
      </c>
      <c r="B6" s="39" t="s">
        <v>1381</v>
      </c>
      <c r="C6" s="39" t="s">
        <v>1382</v>
      </c>
      <c r="D6" s="39" t="s">
        <v>1378</v>
      </c>
      <c r="E6" s="52">
        <f>objecturenhf3_1</f>
        <v>0</v>
      </c>
      <c r="F6" s="52">
        <f>objecturen3_1</f>
        <v>0</v>
      </c>
      <c r="G6" s="43">
        <f>objectprijs3_1</f>
        <v>0</v>
      </c>
      <c r="H6" s="52">
        <f>tzujt3_1</f>
        <v>0</v>
      </c>
      <c r="I6" s="43">
        <f>tzpjt3_1</f>
        <v>0</v>
      </c>
      <c r="J6" s="43">
        <f t="shared" si="0"/>
        <v>0</v>
      </c>
      <c r="K6" s="43">
        <f t="shared" si="1"/>
        <v>0</v>
      </c>
      <c r="L6" s="43">
        <f t="shared" si="2"/>
        <v>0</v>
      </c>
    </row>
    <row r="7" spans="1:12" x14ac:dyDescent="0.3">
      <c r="A7" s="39" t="s">
        <v>764</v>
      </c>
      <c r="B7" s="39" t="s">
        <v>1383</v>
      </c>
      <c r="C7" s="39" t="s">
        <v>1384</v>
      </c>
      <c r="D7" s="39" t="s">
        <v>1378</v>
      </c>
      <c r="E7" s="52">
        <f>objecturenhf4_1</f>
        <v>0</v>
      </c>
      <c r="F7" s="52">
        <f>objecturen4_1</f>
        <v>0</v>
      </c>
      <c r="G7" s="43">
        <f>objectprijs4_1</f>
        <v>0</v>
      </c>
      <c r="H7" s="52">
        <f>tzujt4_1</f>
        <v>0</v>
      </c>
      <c r="I7" s="43">
        <f>tzpjt4_1</f>
        <v>0</v>
      </c>
      <c r="J7" s="43">
        <f t="shared" si="0"/>
        <v>0</v>
      </c>
      <c r="K7" s="43">
        <f t="shared" si="1"/>
        <v>0</v>
      </c>
      <c r="L7" s="43">
        <f t="shared" si="2"/>
        <v>0</v>
      </c>
    </row>
    <row r="8" spans="1:12" x14ac:dyDescent="0.3">
      <c r="A8" s="39" t="s">
        <v>844</v>
      </c>
      <c r="B8" s="39" t="s">
        <v>1385</v>
      </c>
      <c r="C8" s="39" t="s">
        <v>1386</v>
      </c>
      <c r="D8" s="39" t="s">
        <v>1378</v>
      </c>
      <c r="E8" s="52">
        <f>objecturenhf5_1+objecturenhf5_2</f>
        <v>0</v>
      </c>
      <c r="F8" s="52">
        <f>objecturen5_1+objecturen5_2</f>
        <v>0</v>
      </c>
      <c r="G8" s="43">
        <f>objectprijs5_1+objectprijs5_2</f>
        <v>0</v>
      </c>
      <c r="H8" s="52">
        <f>tzujt5_1+tzujt5_2</f>
        <v>0</v>
      </c>
      <c r="I8" s="43">
        <f>tzpjt5_1+tzpjt5_2</f>
        <v>0</v>
      </c>
      <c r="J8" s="43">
        <f t="shared" si="0"/>
        <v>0</v>
      </c>
      <c r="K8" s="43">
        <f t="shared" si="1"/>
        <v>0</v>
      </c>
      <c r="L8" s="43">
        <f t="shared" si="2"/>
        <v>0</v>
      </c>
    </row>
    <row r="9" spans="1:12" x14ac:dyDescent="0.3">
      <c r="A9" s="39" t="s">
        <v>1043</v>
      </c>
      <c r="B9" s="102" t="s">
        <v>1387</v>
      </c>
      <c r="C9" s="39" t="s">
        <v>1388</v>
      </c>
      <c r="D9" s="39" t="s">
        <v>1378</v>
      </c>
      <c r="E9" s="52">
        <f>objecturenhf6_1+objecturenhf6_2</f>
        <v>0</v>
      </c>
      <c r="F9" s="52">
        <f>objecturen6_1+objecturen6_2</f>
        <v>0</v>
      </c>
      <c r="G9" s="43">
        <f>objectprijs6_1+objectprijs6_2</f>
        <v>0</v>
      </c>
      <c r="H9" s="52">
        <f>tzujt6_1+tzujt6_2</f>
        <v>0</v>
      </c>
      <c r="I9" s="43">
        <f>tzpjt6_1+tzpjt6_2</f>
        <v>0</v>
      </c>
      <c r="J9" s="43">
        <f t="shared" si="0"/>
        <v>0</v>
      </c>
      <c r="K9" s="43">
        <f t="shared" si="1"/>
        <v>0</v>
      </c>
      <c r="L9" s="43">
        <f t="shared" si="2"/>
        <v>0</v>
      </c>
    </row>
    <row r="10" spans="1:12" x14ac:dyDescent="0.3">
      <c r="A10" s="44" t="s">
        <v>1152</v>
      </c>
      <c r="B10" s="44" t="s">
        <v>1389</v>
      </c>
      <c r="C10" s="44" t="s">
        <v>1390</v>
      </c>
      <c r="D10" s="44" t="s">
        <v>1378</v>
      </c>
      <c r="E10" s="55">
        <f>objecturenhf7_1</f>
        <v>0</v>
      </c>
      <c r="F10" s="55">
        <f>objecturen7_1</f>
        <v>0</v>
      </c>
      <c r="G10" s="48">
        <f>objectprijs7_1</f>
        <v>0</v>
      </c>
      <c r="H10" s="55">
        <f>tzujt7_1</f>
        <v>0</v>
      </c>
      <c r="I10" s="48">
        <f>tzpjt7_1</f>
        <v>0</v>
      </c>
      <c r="J10" s="48">
        <f t="shared" si="0"/>
        <v>0</v>
      </c>
      <c r="K10" s="48">
        <f t="shared" si="1"/>
        <v>0</v>
      </c>
      <c r="L10" s="48">
        <f t="shared" si="2"/>
        <v>0</v>
      </c>
    </row>
    <row r="12" spans="1:12" x14ac:dyDescent="0.3">
      <c r="A12" s="59" t="s">
        <v>1419</v>
      </c>
      <c r="B12" s="60"/>
      <c r="C12" s="60"/>
      <c r="D12" s="60"/>
      <c r="E12" s="61">
        <f t="shared" ref="E12:L12" si="3">SUM(E4:E10)</f>
        <v>0</v>
      </c>
      <c r="F12" s="61">
        <f t="shared" si="3"/>
        <v>0</v>
      </c>
      <c r="G12" s="62">
        <f t="shared" si="3"/>
        <v>0</v>
      </c>
      <c r="H12" s="61">
        <f t="shared" si="3"/>
        <v>0</v>
      </c>
      <c r="I12" s="62">
        <f t="shared" si="3"/>
        <v>0</v>
      </c>
      <c r="J12" s="62">
        <f t="shared" si="3"/>
        <v>0</v>
      </c>
      <c r="K12" s="62">
        <f t="shared" si="3"/>
        <v>0</v>
      </c>
      <c r="L12" s="62">
        <f t="shared" si="3"/>
        <v>0</v>
      </c>
    </row>
  </sheetData>
  <sheetProtection algorithmName="SHA-512" hashValue="q7k7YUAXAgO1qcstSJbsoVx4CO84NAjX6BvZS69gMllH1XtvQnKohsu+/J8I57NADdgL6m5OolvPCYGPwZEcag==" saltValue="ZudzmHnPGGIsH6kCEW+Org==" spinCount="100000" sheet="1" objects="1" scenarios="1" autoFilter="0"/>
  <pageMargins left="0.7" right="0.7" top="0.75" bottom="0.75" header="0.3" footer="0.3"/>
  <pageSetup scale="65" orientation="landscape" r:id="rId1"/>
  <headerFooter>
    <oddFooter>&amp;LStichting Onderwijsgroep Amersfoort                         &amp;ROpmaakdatum: 07-07-2025
Intexso - Plantageweg 23E - Leusden
+31 (33) 2778485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E8DE2-10DA-4835-A79E-D7B2882DD02E}">
  <dimension ref="A1:L12"/>
  <sheetViews>
    <sheetView workbookViewId="0"/>
  </sheetViews>
  <sheetFormatPr defaultRowHeight="13.5" x14ac:dyDescent="0.3"/>
  <cols>
    <col min="1" max="1" width="7.61328125" customWidth="1"/>
    <col min="2" max="2" width="6.61328125" customWidth="1"/>
    <col min="3" max="3" width="7.61328125" customWidth="1"/>
    <col min="4" max="4" width="50.61328125" customWidth="1"/>
    <col min="5" max="6" width="14.61328125" customWidth="1"/>
    <col min="7" max="9" width="11.61328125" customWidth="1"/>
    <col min="10" max="10" width="12.61328125" customWidth="1"/>
    <col min="11" max="11" width="14.61328125" customWidth="1"/>
    <col min="12" max="12" width="13.61328125" customWidth="1"/>
  </cols>
  <sheetData>
    <row r="1" spans="1:12" x14ac:dyDescent="0.3">
      <c r="A1" s="1" t="str">
        <f>CONCATENATE("Bijlage I.8: ",tabeltype," additioneel werk")</f>
        <v>Bijlage I.8: Invultabel additioneel werk</v>
      </c>
    </row>
    <row r="3" spans="1:12" ht="40.5" x14ac:dyDescent="0.3">
      <c r="A3" s="27" t="s">
        <v>1420</v>
      </c>
      <c r="B3" s="27" t="s">
        <v>7</v>
      </c>
      <c r="C3" s="27" t="s">
        <v>1421</v>
      </c>
      <c r="D3" s="27" t="s">
        <v>94</v>
      </c>
      <c r="E3" s="27" t="s">
        <v>97</v>
      </c>
      <c r="F3" s="27" t="s">
        <v>1422</v>
      </c>
      <c r="G3" s="27" t="s">
        <v>1423</v>
      </c>
      <c r="H3" s="27" t="s">
        <v>1424</v>
      </c>
      <c r="I3" s="27" t="s">
        <v>1425</v>
      </c>
      <c r="J3" s="27" t="s">
        <v>1426</v>
      </c>
      <c r="K3" s="27" t="s">
        <v>212</v>
      </c>
      <c r="L3" s="27" t="s">
        <v>1375</v>
      </c>
    </row>
    <row r="4" spans="1:12" x14ac:dyDescent="0.3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 x14ac:dyDescent="0.3">
      <c r="A5" s="31" t="s">
        <v>99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3"/>
    </row>
    <row r="6" spans="1:12" x14ac:dyDescent="0.3">
      <c r="A6" s="34" t="s">
        <v>1427</v>
      </c>
      <c r="B6" s="34" t="s">
        <v>26</v>
      </c>
      <c r="C6" s="35">
        <f>IF(ISBLANK(B6),0,IF(ISERROR(VALUE(B6)),VLOOKUP(B6,dagsoorttabel1,2,FALSE)*dagenperjaar1,VALUE(B6)))</f>
        <v>1</v>
      </c>
      <c r="D6" s="34" t="s">
        <v>1428</v>
      </c>
      <c r="E6" s="34" t="s">
        <v>1429</v>
      </c>
      <c r="F6" s="115">
        <v>14919.39</v>
      </c>
      <c r="G6" s="108"/>
      <c r="H6" s="36"/>
      <c r="I6" s="116"/>
      <c r="J6" s="38">
        <f>IF(ISBLANK(H6),0,F6 / ROUND(H6,4) * ROUND(G6,2))</f>
        <v>0</v>
      </c>
      <c r="K6" s="38">
        <f>C6*J6</f>
        <v>0</v>
      </c>
      <c r="L6" s="38">
        <f>K6/12</f>
        <v>0</v>
      </c>
    </row>
    <row r="7" spans="1:12" x14ac:dyDescent="0.3">
      <c r="A7" s="39" t="s">
        <v>1430</v>
      </c>
      <c r="B7" s="39" t="s">
        <v>25</v>
      </c>
      <c r="C7" s="40">
        <f>IF(ISBLANK(B7),0,IF(ISERROR(VALUE(B7)),VLOOKUP(B7,dagsoorttabel1,2,FALSE)*dagenperjaar1,VALUE(B7)))</f>
        <v>2</v>
      </c>
      <c r="D7" s="39" t="s">
        <v>1431</v>
      </c>
      <c r="E7" s="39" t="s">
        <v>1429</v>
      </c>
      <c r="F7" s="117">
        <v>2894.8700000000003</v>
      </c>
      <c r="G7" s="110"/>
      <c r="H7" s="41"/>
      <c r="I7" s="118"/>
      <c r="J7" s="43">
        <f>IF(ISBLANK(H7),0,F7 / ROUND(H7,4) * ROUND(G7,2))</f>
        <v>0</v>
      </c>
      <c r="K7" s="43">
        <f>C7*J7</f>
        <v>0</v>
      </c>
      <c r="L7" s="43">
        <f>K7/12</f>
        <v>0</v>
      </c>
    </row>
    <row r="8" spans="1:12" x14ac:dyDescent="0.3">
      <c r="A8" s="39" t="s">
        <v>1432</v>
      </c>
      <c r="B8" s="39" t="s">
        <v>21</v>
      </c>
      <c r="C8" s="40">
        <f>IF(ISBLANK(B8),0,IF(ISERROR(VALUE(B8)),VLOOKUP(B8,dagsoorttabel1,2,FALSE)*dagenperjaar1,VALUE(B8)))</f>
        <v>10</v>
      </c>
      <c r="D8" s="39" t="s">
        <v>1433</v>
      </c>
      <c r="E8" s="39" t="s">
        <v>1429</v>
      </c>
      <c r="F8" s="117">
        <v>451</v>
      </c>
      <c r="G8" s="110"/>
      <c r="H8" s="41"/>
      <c r="I8" s="118"/>
      <c r="J8" s="43">
        <f>IF(ISBLANK(H8),0,F8 / ROUND(H8,4) * ROUND(G8,2))</f>
        <v>0</v>
      </c>
      <c r="K8" s="43">
        <f>C8*J8</f>
        <v>0</v>
      </c>
      <c r="L8" s="43">
        <f>K8/12</f>
        <v>0</v>
      </c>
    </row>
    <row r="9" spans="1:12" x14ac:dyDescent="0.3">
      <c r="A9" s="44" t="s">
        <v>1434</v>
      </c>
      <c r="B9" s="44" t="s">
        <v>21</v>
      </c>
      <c r="C9" s="45">
        <f>IF(ISBLANK(B9),0,IF(ISERROR(VALUE(B9)),VLOOKUP(B9,dagsoorttabel1,2,FALSE)*dagenperjaar1,VALUE(B9)))</f>
        <v>10</v>
      </c>
      <c r="D9" s="44" t="s">
        <v>1435</v>
      </c>
      <c r="E9" s="44" t="s">
        <v>1429</v>
      </c>
      <c r="F9" s="119">
        <v>130.74</v>
      </c>
      <c r="G9" s="113"/>
      <c r="H9" s="46"/>
      <c r="I9" s="120"/>
      <c r="J9" s="48">
        <f>IF(ISBLANK(H9),0,F9 / ROUND(H9,4) * ROUND(G9,2))</f>
        <v>0</v>
      </c>
      <c r="K9" s="48">
        <f>C9*J9</f>
        <v>0</v>
      </c>
      <c r="L9" s="48">
        <f>K9/12</f>
        <v>0</v>
      </c>
    </row>
    <row r="10" spans="1:12" x14ac:dyDescent="0.3">
      <c r="A10" s="59" t="s">
        <v>260</v>
      </c>
      <c r="B10" s="60"/>
      <c r="C10" s="60"/>
      <c r="D10" s="60"/>
      <c r="E10" s="60"/>
      <c r="F10" s="60"/>
      <c r="G10" s="60"/>
      <c r="H10" s="60"/>
      <c r="I10" s="60"/>
      <c r="J10" s="60"/>
      <c r="K10" s="62">
        <f>SUM(K6:K9)</f>
        <v>0</v>
      </c>
      <c r="L10" s="121">
        <f>K10/12</f>
        <v>0</v>
      </c>
    </row>
    <row r="12" spans="1:12" x14ac:dyDescent="0.3">
      <c r="A12" s="59" t="s">
        <v>1436</v>
      </c>
      <c r="B12" s="60"/>
      <c r="C12" s="60"/>
      <c r="D12" s="60"/>
      <c r="E12" s="60"/>
      <c r="F12" s="60"/>
      <c r="G12" s="60"/>
      <c r="H12" s="60"/>
      <c r="I12" s="60"/>
      <c r="J12" s="60"/>
      <c r="K12" s="62">
        <f>prijsjaaradditioneel1</f>
        <v>0</v>
      </c>
      <c r="L12" s="121">
        <f>K12/12</f>
        <v>0</v>
      </c>
    </row>
  </sheetData>
  <sheetProtection algorithmName="SHA-512" hashValue="ira6Y1w3RPCHDafH2xGtCvxmOtszxdDdqSqwjNkyNeoFxqpp8QO7YQIjBh/9TfP+IP30XozIIDpv05xdo8yiXw==" saltValue="W8G+YXNR3zI+BuE7mYcNLA==" spinCount="100000" sheet="1" objects="1" scenarios="1" autoFilter="0"/>
  <pageMargins left="0.7" right="0.7" top="0.75" bottom="0.75" header="0.3" footer="0.3"/>
  <pageSetup scale="65" orientation="landscape" r:id="rId1"/>
  <headerFooter>
    <oddFooter>&amp;LStichting Onderwijsgroep Amersfoort                         &amp;ROpmaakdatum: 07-07-2025
Intexso - Plantageweg 23E - Leusden
+31 (33) 2778485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91C7D-41D4-40D2-A719-9E211E9386B9}">
  <dimension ref="A1:M35"/>
  <sheetViews>
    <sheetView workbookViewId="0"/>
  </sheetViews>
  <sheetFormatPr defaultRowHeight="13.5" x14ac:dyDescent="0.3"/>
  <cols>
    <col min="1" max="1" width="7.61328125" customWidth="1"/>
    <col min="2" max="2" width="6.61328125" customWidth="1"/>
    <col min="3" max="3" width="7.61328125" customWidth="1"/>
    <col min="4" max="4" width="11.61328125" customWidth="1"/>
    <col min="5" max="5" width="50.61328125" customWidth="1"/>
    <col min="6" max="7" width="14.61328125" customWidth="1"/>
    <col min="8" max="10" width="11.61328125" customWidth="1"/>
    <col min="11" max="11" width="12.61328125" customWidth="1"/>
    <col min="12" max="12" width="14.61328125" customWidth="1"/>
    <col min="13" max="13" width="13.61328125" customWidth="1"/>
  </cols>
  <sheetData>
    <row r="1" spans="1:13" x14ac:dyDescent="0.3">
      <c r="A1" s="1" t="str">
        <f>CONCATENATE("Bijlage I.9: ",tabeltype," additioneel werk per locatie")</f>
        <v>Bijlage I.9: Invultabel additioneel werk per locatie</v>
      </c>
    </row>
    <row r="3" spans="1:13" ht="40.5" x14ac:dyDescent="0.3">
      <c r="A3" s="27" t="s">
        <v>1420</v>
      </c>
      <c r="B3" s="27" t="s">
        <v>7</v>
      </c>
      <c r="C3" s="27" t="s">
        <v>1421</v>
      </c>
      <c r="D3" s="27" t="s">
        <v>1346</v>
      </c>
      <c r="E3" s="27" t="s">
        <v>94</v>
      </c>
      <c r="F3" s="27" t="s">
        <v>97</v>
      </c>
      <c r="G3" s="27" t="s">
        <v>1422</v>
      </c>
      <c r="H3" s="27" t="s">
        <v>1423</v>
      </c>
      <c r="I3" s="27" t="s">
        <v>1424</v>
      </c>
      <c r="J3" s="27" t="s">
        <v>1425</v>
      </c>
      <c r="K3" s="27" t="s">
        <v>1426</v>
      </c>
      <c r="L3" s="27" t="s">
        <v>212</v>
      </c>
      <c r="M3" s="27" t="s">
        <v>1375</v>
      </c>
    </row>
    <row r="5" spans="1:13" x14ac:dyDescent="0.3">
      <c r="A5" s="64" t="s">
        <v>277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122"/>
    </row>
    <row r="6" spans="1:13" x14ac:dyDescent="0.3">
      <c r="A6" s="123" t="s">
        <v>1430</v>
      </c>
      <c r="B6" s="123" t="s">
        <v>25</v>
      </c>
      <c r="C6" s="124">
        <f>IF(ISBLANK(B6),0,IF(ISERROR(VALUE(B6)),VLOOKUP(B6,dagsoorttabel1,2,FALSE)*dagenperjaar1,VALUE(B6)))</f>
        <v>2</v>
      </c>
      <c r="D6" s="123" t="s">
        <v>1360</v>
      </c>
      <c r="E6" s="123" t="s">
        <v>1431</v>
      </c>
      <c r="F6" s="123" t="s">
        <v>1429</v>
      </c>
      <c r="G6" s="125">
        <v>629.5</v>
      </c>
      <c r="H6" s="126">
        <f>'Additioneel werk'!G7</f>
        <v>0</v>
      </c>
      <c r="I6" s="127">
        <f>'Additioneel werk'!H7</f>
        <v>0</v>
      </c>
      <c r="J6" s="62"/>
      <c r="K6" s="126" t="e">
        <f>IF(ISBLANK(I6),0,G6 / ROUND(I6,4) * ROUND(H6,2))</f>
        <v>#DIV/0!</v>
      </c>
      <c r="L6" s="126" t="e">
        <f>C6*K6</f>
        <v>#DIV/0!</v>
      </c>
      <c r="M6" s="126" t="e">
        <f>L6/12</f>
        <v>#DIV/0!</v>
      </c>
    </row>
    <row r="7" spans="1:13" x14ac:dyDescent="0.3">
      <c r="A7" s="59" t="s">
        <v>1404</v>
      </c>
      <c r="B7" s="60"/>
      <c r="C7" s="60"/>
      <c r="D7" s="60"/>
      <c r="E7" s="60"/>
      <c r="F7" s="60"/>
      <c r="G7" s="60"/>
      <c r="H7" s="60"/>
      <c r="I7" s="60"/>
      <c r="J7" s="60"/>
      <c r="K7" s="62" t="e">
        <f>SUM(K6:K6)</f>
        <v>#DIV/0!</v>
      </c>
      <c r="L7" s="62" t="e">
        <f>SUM(L6:L6)</f>
        <v>#DIV/0!</v>
      </c>
      <c r="M7" s="121" t="e">
        <f>L7/12</f>
        <v>#DIV/0!</v>
      </c>
    </row>
    <row r="9" spans="1:13" x14ac:dyDescent="0.3">
      <c r="A9" s="64" t="s">
        <v>507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122"/>
    </row>
    <row r="10" spans="1:13" x14ac:dyDescent="0.3">
      <c r="A10" s="123" t="s">
        <v>1427</v>
      </c>
      <c r="B10" s="123" t="s">
        <v>26</v>
      </c>
      <c r="C10" s="124">
        <f>IF(ISBLANK(B10),0,IF(ISERROR(VALUE(B10)),VLOOKUP(B10,dagsoorttabel1,2,FALSE)*dagenperjaar1,VALUE(B10)))</f>
        <v>1</v>
      </c>
      <c r="D10" s="123" t="s">
        <v>1360</v>
      </c>
      <c r="E10" s="123" t="s">
        <v>1428</v>
      </c>
      <c r="F10" s="123" t="s">
        <v>1429</v>
      </c>
      <c r="G10" s="125">
        <v>1336.62</v>
      </c>
      <c r="H10" s="126">
        <f>'Additioneel werk'!G6</f>
        <v>0</v>
      </c>
      <c r="I10" s="127">
        <f>'Additioneel werk'!H6</f>
        <v>0</v>
      </c>
      <c r="J10" s="62"/>
      <c r="K10" s="126" t="e">
        <f>IF(ISBLANK(I10),0,G10 / ROUND(I10,4) * ROUND(H10,2))</f>
        <v>#DIV/0!</v>
      </c>
      <c r="L10" s="126" t="e">
        <f>C10*K10</f>
        <v>#DIV/0!</v>
      </c>
      <c r="M10" s="126" t="e">
        <f>L10/12</f>
        <v>#DIV/0!</v>
      </c>
    </row>
    <row r="11" spans="1:13" x14ac:dyDescent="0.3">
      <c r="A11" s="59" t="s">
        <v>1405</v>
      </c>
      <c r="B11" s="60"/>
      <c r="C11" s="60"/>
      <c r="D11" s="60"/>
      <c r="E11" s="60"/>
      <c r="F11" s="60"/>
      <c r="G11" s="60"/>
      <c r="H11" s="60"/>
      <c r="I11" s="60"/>
      <c r="J11" s="60"/>
      <c r="K11" s="62" t="e">
        <f>SUM(K10:K10)</f>
        <v>#DIV/0!</v>
      </c>
      <c r="L11" s="62" t="e">
        <f>SUM(L10:L10)</f>
        <v>#DIV/0!</v>
      </c>
      <c r="M11" s="121" t="e">
        <f>L11/12</f>
        <v>#DIV/0!</v>
      </c>
    </row>
    <row r="13" spans="1:13" x14ac:dyDescent="0.3">
      <c r="A13" s="64" t="s">
        <v>574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122"/>
    </row>
    <row r="14" spans="1:13" x14ac:dyDescent="0.3">
      <c r="A14" s="123" t="s">
        <v>1430</v>
      </c>
      <c r="B14" s="123" t="s">
        <v>25</v>
      </c>
      <c r="C14" s="124">
        <f>IF(ISBLANK(B14),0,IF(ISERROR(VALUE(B14)),VLOOKUP(B14,dagsoorttabel1,2,FALSE)*dagenperjaar1,VALUE(B14)))</f>
        <v>2</v>
      </c>
      <c r="D14" s="123" t="s">
        <v>1360</v>
      </c>
      <c r="E14" s="123" t="s">
        <v>1431</v>
      </c>
      <c r="F14" s="123" t="s">
        <v>1429</v>
      </c>
      <c r="G14" s="125">
        <v>638.90000000000009</v>
      </c>
      <c r="H14" s="126">
        <f>'Additioneel werk'!G7</f>
        <v>0</v>
      </c>
      <c r="I14" s="127">
        <f>'Additioneel werk'!H7</f>
        <v>0</v>
      </c>
      <c r="J14" s="62"/>
      <c r="K14" s="126" t="e">
        <f>IF(ISBLANK(I14),0,G14 / ROUND(I14,4) * ROUND(H14,2))</f>
        <v>#DIV/0!</v>
      </c>
      <c r="L14" s="126" t="e">
        <f>C14*K14</f>
        <v>#DIV/0!</v>
      </c>
      <c r="M14" s="126" t="e">
        <f>L14/12</f>
        <v>#DIV/0!</v>
      </c>
    </row>
    <row r="15" spans="1:13" x14ac:dyDescent="0.3">
      <c r="A15" s="59" t="s">
        <v>1406</v>
      </c>
      <c r="B15" s="60"/>
      <c r="C15" s="60"/>
      <c r="D15" s="60"/>
      <c r="E15" s="60"/>
      <c r="F15" s="60"/>
      <c r="G15" s="60"/>
      <c r="H15" s="60"/>
      <c r="I15" s="60"/>
      <c r="J15" s="60"/>
      <c r="K15" s="62" t="e">
        <f>SUM(K14:K14)</f>
        <v>#DIV/0!</v>
      </c>
      <c r="L15" s="62" t="e">
        <f>SUM(L14:L14)</f>
        <v>#DIV/0!</v>
      </c>
      <c r="M15" s="121" t="e">
        <f>L15/12</f>
        <v>#DIV/0!</v>
      </c>
    </row>
    <row r="17" spans="1:13" x14ac:dyDescent="0.3">
      <c r="A17" s="64" t="s">
        <v>763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122"/>
    </row>
    <row r="18" spans="1:13" x14ac:dyDescent="0.3">
      <c r="A18" s="123" t="s">
        <v>1427</v>
      </c>
      <c r="B18" s="123" t="s">
        <v>26</v>
      </c>
      <c r="C18" s="124">
        <f>IF(ISBLANK(B18),0,IF(ISERROR(VALUE(B18)),VLOOKUP(B18,dagsoorttabel1,2,FALSE)*dagenperjaar1,VALUE(B18)))</f>
        <v>1</v>
      </c>
      <c r="D18" s="123" t="s">
        <v>1360</v>
      </c>
      <c r="E18" s="123" t="s">
        <v>1428</v>
      </c>
      <c r="F18" s="123" t="s">
        <v>1429</v>
      </c>
      <c r="G18" s="125">
        <v>1915</v>
      </c>
      <c r="H18" s="126">
        <f>'Additioneel werk'!G6</f>
        <v>0</v>
      </c>
      <c r="I18" s="127">
        <f>'Additioneel werk'!H6</f>
        <v>0</v>
      </c>
      <c r="J18" s="62"/>
      <c r="K18" s="126" t="e">
        <f>IF(ISBLANK(I18),0,G18 / ROUND(I18,4) * ROUND(H18,2))</f>
        <v>#DIV/0!</v>
      </c>
      <c r="L18" s="126" t="e">
        <f>C18*K18</f>
        <v>#DIV/0!</v>
      </c>
      <c r="M18" s="126" t="e">
        <f>L18/12</f>
        <v>#DIV/0!</v>
      </c>
    </row>
    <row r="19" spans="1:13" x14ac:dyDescent="0.3">
      <c r="A19" s="59" t="s">
        <v>1407</v>
      </c>
      <c r="B19" s="60"/>
      <c r="C19" s="60"/>
      <c r="D19" s="60"/>
      <c r="E19" s="60"/>
      <c r="F19" s="60"/>
      <c r="G19" s="60"/>
      <c r="H19" s="60"/>
      <c r="I19" s="60"/>
      <c r="J19" s="60"/>
      <c r="K19" s="62" t="e">
        <f>SUM(K18:K18)</f>
        <v>#DIV/0!</v>
      </c>
      <c r="L19" s="62" t="e">
        <f>SUM(L18:L18)</f>
        <v>#DIV/0!</v>
      </c>
      <c r="M19" s="121" t="e">
        <f>L19/12</f>
        <v>#DIV/0!</v>
      </c>
    </row>
    <row r="21" spans="1:13" x14ac:dyDescent="0.3">
      <c r="A21" s="64" t="s">
        <v>843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122"/>
    </row>
    <row r="22" spans="1:13" x14ac:dyDescent="0.3">
      <c r="A22" s="34" t="s">
        <v>1427</v>
      </c>
      <c r="B22" s="34" t="s">
        <v>26</v>
      </c>
      <c r="C22" s="35">
        <f>IF(ISBLANK(B22),0,IF(ISERROR(VALUE(B22)),VLOOKUP(B22,dagsoorttabel1,2,FALSE)*dagenperjaar1,VALUE(B22)))</f>
        <v>1</v>
      </c>
      <c r="D22" s="34" t="s">
        <v>1360</v>
      </c>
      <c r="E22" s="34" t="s">
        <v>1428</v>
      </c>
      <c r="F22" s="34" t="s">
        <v>1429</v>
      </c>
      <c r="G22" s="115">
        <v>5464.170000000001</v>
      </c>
      <c r="H22" s="38">
        <f>'Additioneel werk'!G6</f>
        <v>0</v>
      </c>
      <c r="I22" s="49">
        <f>'Additioneel werk'!H6</f>
        <v>0</v>
      </c>
      <c r="J22" s="116"/>
      <c r="K22" s="38" t="e">
        <f>IF(ISBLANK(I22),0,G22 / ROUND(I22,4) * ROUND(H22,2))</f>
        <v>#DIV/0!</v>
      </c>
      <c r="L22" s="38" t="e">
        <f>C22*K22</f>
        <v>#DIV/0!</v>
      </c>
      <c r="M22" s="38" t="e">
        <f>L22/12</f>
        <v>#DIV/0!</v>
      </c>
    </row>
    <row r="23" spans="1:13" x14ac:dyDescent="0.3">
      <c r="A23" s="39" t="s">
        <v>1430</v>
      </c>
      <c r="B23" s="39" t="s">
        <v>25</v>
      </c>
      <c r="C23" s="40">
        <f>IF(ISBLANK(B23),0,IF(ISERROR(VALUE(B23)),VLOOKUP(B23,dagsoorttabel1,2,FALSE)*dagenperjaar1,VALUE(B23)))</f>
        <v>2</v>
      </c>
      <c r="D23" s="39" t="s">
        <v>1360</v>
      </c>
      <c r="E23" s="39" t="s">
        <v>1431</v>
      </c>
      <c r="F23" s="39" t="s">
        <v>1429</v>
      </c>
      <c r="G23" s="117">
        <v>293.37000000000006</v>
      </c>
      <c r="H23" s="43">
        <f>'Additioneel werk'!G7</f>
        <v>0</v>
      </c>
      <c r="I23" s="52">
        <f>'Additioneel werk'!H7</f>
        <v>0</v>
      </c>
      <c r="J23" s="118"/>
      <c r="K23" s="43" t="e">
        <f>IF(ISBLANK(I23),0,G23 / ROUND(I23,4) * ROUND(H23,2))</f>
        <v>#DIV/0!</v>
      </c>
      <c r="L23" s="43" t="e">
        <f>C23*K23</f>
        <v>#DIV/0!</v>
      </c>
      <c r="M23" s="43" t="e">
        <f>L23/12</f>
        <v>#DIV/0!</v>
      </c>
    </row>
    <row r="24" spans="1:13" x14ac:dyDescent="0.3">
      <c r="A24" s="39" t="s">
        <v>1432</v>
      </c>
      <c r="B24" s="39" t="s">
        <v>21</v>
      </c>
      <c r="C24" s="40">
        <f>IF(ISBLANK(B24),0,IF(ISERROR(VALUE(B24)),VLOOKUP(B24,dagsoorttabel1,2,FALSE)*dagenperjaar1,VALUE(B24)))</f>
        <v>10</v>
      </c>
      <c r="D24" s="39" t="s">
        <v>1360</v>
      </c>
      <c r="E24" s="39" t="s">
        <v>1433</v>
      </c>
      <c r="F24" s="39" t="s">
        <v>1429</v>
      </c>
      <c r="G24" s="117">
        <v>451</v>
      </c>
      <c r="H24" s="43">
        <f>'Additioneel werk'!G8</f>
        <v>0</v>
      </c>
      <c r="I24" s="52">
        <f>'Additioneel werk'!H8</f>
        <v>0</v>
      </c>
      <c r="J24" s="118"/>
      <c r="K24" s="43" t="e">
        <f>IF(ISBLANK(I24),0,G24 / ROUND(I24,4) * ROUND(H24,2))</f>
        <v>#DIV/0!</v>
      </c>
      <c r="L24" s="43" t="e">
        <f>C24*K24</f>
        <v>#DIV/0!</v>
      </c>
      <c r="M24" s="43" t="e">
        <f>L24/12</f>
        <v>#DIV/0!</v>
      </c>
    </row>
    <row r="25" spans="1:13" x14ac:dyDescent="0.3">
      <c r="A25" s="44" t="s">
        <v>1434</v>
      </c>
      <c r="B25" s="44" t="s">
        <v>21</v>
      </c>
      <c r="C25" s="45">
        <f>IF(ISBLANK(B25),0,IF(ISERROR(VALUE(B25)),VLOOKUP(B25,dagsoorttabel1,2,FALSE)*dagenperjaar1,VALUE(B25)))</f>
        <v>10</v>
      </c>
      <c r="D25" s="44" t="s">
        <v>1360</v>
      </c>
      <c r="E25" s="44" t="s">
        <v>1435</v>
      </c>
      <c r="F25" s="44" t="s">
        <v>1429</v>
      </c>
      <c r="G25" s="119">
        <v>130.74</v>
      </c>
      <c r="H25" s="48">
        <f>'Additioneel werk'!G9</f>
        <v>0</v>
      </c>
      <c r="I25" s="55">
        <f>'Additioneel werk'!H9</f>
        <v>0</v>
      </c>
      <c r="J25" s="120"/>
      <c r="K25" s="48" t="e">
        <f>IF(ISBLANK(I25),0,G25 / ROUND(I25,4) * ROUND(H25,2))</f>
        <v>#DIV/0!</v>
      </c>
      <c r="L25" s="48" t="e">
        <f>C25*K25</f>
        <v>#DIV/0!</v>
      </c>
      <c r="M25" s="48" t="e">
        <f>L25/12</f>
        <v>#DIV/0!</v>
      </c>
    </row>
    <row r="26" spans="1:13" x14ac:dyDescent="0.3">
      <c r="A26" s="59" t="s">
        <v>1408</v>
      </c>
      <c r="B26" s="60"/>
      <c r="C26" s="60"/>
      <c r="D26" s="60"/>
      <c r="E26" s="60"/>
      <c r="F26" s="60"/>
      <c r="G26" s="60"/>
      <c r="H26" s="60"/>
      <c r="I26" s="60"/>
      <c r="J26" s="60"/>
      <c r="K26" s="62" t="e">
        <f>SUM(K22:K25)</f>
        <v>#DIV/0!</v>
      </c>
      <c r="L26" s="62" t="e">
        <f>SUM(L22:L25)</f>
        <v>#DIV/0!</v>
      </c>
      <c r="M26" s="121" t="e">
        <f>L26/12</f>
        <v>#DIV/0!</v>
      </c>
    </row>
    <row r="28" spans="1:13" x14ac:dyDescent="0.3">
      <c r="A28" s="64" t="s">
        <v>1042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122"/>
    </row>
    <row r="29" spans="1:13" x14ac:dyDescent="0.3">
      <c r="A29" s="34" t="s">
        <v>1427</v>
      </c>
      <c r="B29" s="34" t="s">
        <v>26</v>
      </c>
      <c r="C29" s="35">
        <f>IF(ISBLANK(B29),0,IF(ISERROR(VALUE(B29)),VLOOKUP(B29,dagsoorttabel1,2,FALSE)*dagenperjaar1,VALUE(B29)))</f>
        <v>1</v>
      </c>
      <c r="D29" s="34" t="s">
        <v>1360</v>
      </c>
      <c r="E29" s="34" t="s">
        <v>1428</v>
      </c>
      <c r="F29" s="34" t="s">
        <v>1429</v>
      </c>
      <c r="G29" s="115">
        <v>6203.5999999999985</v>
      </c>
      <c r="H29" s="38">
        <f>'Additioneel werk'!G6</f>
        <v>0</v>
      </c>
      <c r="I29" s="49">
        <f>'Additioneel werk'!H6</f>
        <v>0</v>
      </c>
      <c r="J29" s="116"/>
      <c r="K29" s="38" t="e">
        <f>IF(ISBLANK(I29),0,G29 / ROUND(I29,4) * ROUND(H29,2))</f>
        <v>#DIV/0!</v>
      </c>
      <c r="L29" s="38" t="e">
        <f>C29*K29</f>
        <v>#DIV/0!</v>
      </c>
      <c r="M29" s="38" t="e">
        <f>L29/12</f>
        <v>#DIV/0!</v>
      </c>
    </row>
    <row r="30" spans="1:13" x14ac:dyDescent="0.3">
      <c r="A30" s="44" t="s">
        <v>1430</v>
      </c>
      <c r="B30" s="44" t="s">
        <v>25</v>
      </c>
      <c r="C30" s="45">
        <f>IF(ISBLANK(B30),0,IF(ISERROR(VALUE(B30)),VLOOKUP(B30,dagsoorttabel1,2,FALSE)*dagenperjaar1,VALUE(B30)))</f>
        <v>2</v>
      </c>
      <c r="D30" s="44" t="s">
        <v>1360</v>
      </c>
      <c r="E30" s="44" t="s">
        <v>1431</v>
      </c>
      <c r="F30" s="44" t="s">
        <v>1429</v>
      </c>
      <c r="G30" s="119">
        <v>904.1</v>
      </c>
      <c r="H30" s="48">
        <f>'Additioneel werk'!G7</f>
        <v>0</v>
      </c>
      <c r="I30" s="55">
        <f>'Additioneel werk'!H7</f>
        <v>0</v>
      </c>
      <c r="J30" s="120"/>
      <c r="K30" s="48" t="e">
        <f>IF(ISBLANK(I30),0,G30 / ROUND(I30,4) * ROUND(H30,2))</f>
        <v>#DIV/0!</v>
      </c>
      <c r="L30" s="48" t="e">
        <f>C30*K30</f>
        <v>#DIV/0!</v>
      </c>
      <c r="M30" s="48" t="e">
        <f>L30/12</f>
        <v>#DIV/0!</v>
      </c>
    </row>
    <row r="31" spans="1:13" x14ac:dyDescent="0.3">
      <c r="A31" s="59" t="s">
        <v>1409</v>
      </c>
      <c r="B31" s="60"/>
      <c r="C31" s="60"/>
      <c r="D31" s="60"/>
      <c r="E31" s="60"/>
      <c r="F31" s="60"/>
      <c r="G31" s="60"/>
      <c r="H31" s="60"/>
      <c r="I31" s="60"/>
      <c r="J31" s="60"/>
      <c r="K31" s="62" t="e">
        <f>SUM(K29:K30)</f>
        <v>#DIV/0!</v>
      </c>
      <c r="L31" s="62" t="e">
        <f>SUM(L29:L30)</f>
        <v>#DIV/0!</v>
      </c>
      <c r="M31" s="121" t="e">
        <f>L31/12</f>
        <v>#DIV/0!</v>
      </c>
    </row>
    <row r="33" spans="1:13" x14ac:dyDescent="0.3">
      <c r="A33" s="64" t="s">
        <v>1151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122"/>
    </row>
    <row r="34" spans="1:13" x14ac:dyDescent="0.3">
      <c r="A34" s="123" t="s">
        <v>1430</v>
      </c>
      <c r="B34" s="123" t="s">
        <v>25</v>
      </c>
      <c r="C34" s="124">
        <f>IF(ISBLANK(B34),0,IF(ISERROR(VALUE(B34)),VLOOKUP(B34,dagsoorttabel1,2,FALSE)*dagenperjaar1,VALUE(B34)))</f>
        <v>2</v>
      </c>
      <c r="D34" s="123" t="s">
        <v>1360</v>
      </c>
      <c r="E34" s="123" t="s">
        <v>1431</v>
      </c>
      <c r="F34" s="123" t="s">
        <v>1429</v>
      </c>
      <c r="G34" s="125">
        <v>429</v>
      </c>
      <c r="H34" s="126">
        <f>'Additioneel werk'!G7</f>
        <v>0</v>
      </c>
      <c r="I34" s="127">
        <f>'Additioneel werk'!H7</f>
        <v>0</v>
      </c>
      <c r="J34" s="62"/>
      <c r="K34" s="126" t="e">
        <f>IF(ISBLANK(I34),0,G34 / ROUND(I34,4) * ROUND(H34,2))</f>
        <v>#DIV/0!</v>
      </c>
      <c r="L34" s="126" t="e">
        <f>C34*K34</f>
        <v>#DIV/0!</v>
      </c>
      <c r="M34" s="126" t="e">
        <f>L34/12</f>
        <v>#DIV/0!</v>
      </c>
    </row>
    <row r="35" spans="1:13" x14ac:dyDescent="0.3">
      <c r="A35" s="59" t="s">
        <v>1410</v>
      </c>
      <c r="B35" s="60"/>
      <c r="C35" s="60"/>
      <c r="D35" s="60"/>
      <c r="E35" s="60"/>
      <c r="F35" s="60"/>
      <c r="G35" s="60"/>
      <c r="H35" s="60"/>
      <c r="I35" s="60"/>
      <c r="J35" s="60"/>
      <c r="K35" s="62" t="e">
        <f>SUM(K34:K34)</f>
        <v>#DIV/0!</v>
      </c>
      <c r="L35" s="62" t="e">
        <f>SUM(L34:L34)</f>
        <v>#DIV/0!</v>
      </c>
      <c r="M35" s="121" t="e">
        <f>L35/12</f>
        <v>#DIV/0!</v>
      </c>
    </row>
  </sheetData>
  <sheetProtection algorithmName="SHA-512" hashValue="CPeLadGrEpmkvx6UUgIY9Xx/4k0SxSVL7lrJ/KiNn4CVbIkEhBirPET7MyvOR4PJELSIInDX0Hx1TpLAtmHlBg==" saltValue="bDfEmEN3S56SWmMbVgWp5w==" spinCount="100000" sheet="1" objects="1" scenarios="1" autoFilter="0"/>
  <pageMargins left="0.7" right="0.7" top="0.75" bottom="0.75" header="0.3" footer="0.3"/>
  <pageSetup scale="65" orientation="landscape" r:id="rId1"/>
  <headerFooter>
    <oddFooter>&amp;LStichting Onderwijsgroep Amersfoort                         &amp;ROpmaakdatum: 07-07-2025
Intexso - Plantageweg 23E - Leusden
+31 (33) 2778485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876D9-2403-49CD-9655-C99F8E922B46}">
  <dimension ref="A1:E94"/>
  <sheetViews>
    <sheetView workbookViewId="0"/>
  </sheetViews>
  <sheetFormatPr defaultRowHeight="13.5" x14ac:dyDescent="0.3"/>
  <cols>
    <col min="1" max="1" width="7.61328125" customWidth="1"/>
    <col min="2" max="2" width="40.61328125" customWidth="1"/>
    <col min="3" max="3" width="18.61328125" customWidth="1"/>
    <col min="4" max="4" width="20.61328125" customWidth="1"/>
    <col min="5" max="5" width="15.61328125" customWidth="1"/>
  </cols>
  <sheetData>
    <row r="1" spans="1:5" x14ac:dyDescent="0.3">
      <c r="A1" s="1" t="str">
        <f>CONCATENATE("Bijlage I.10: ",tabeltype," afroep incidenteel")</f>
        <v>Bijlage I.10: Invultabel afroep incidenteel</v>
      </c>
    </row>
    <row r="3" spans="1:5" ht="27" x14ac:dyDescent="0.3">
      <c r="A3" s="27" t="s">
        <v>1420</v>
      </c>
      <c r="B3" s="27" t="s">
        <v>94</v>
      </c>
      <c r="C3" s="27" t="s">
        <v>97</v>
      </c>
      <c r="D3" s="27" t="s">
        <v>1437</v>
      </c>
      <c r="E3" s="27" t="s">
        <v>1425</v>
      </c>
    </row>
    <row r="4" spans="1:5" x14ac:dyDescent="0.3">
      <c r="A4" s="28"/>
      <c r="B4" s="29"/>
      <c r="C4" s="29"/>
      <c r="D4" s="29"/>
      <c r="E4" s="30"/>
    </row>
    <row r="5" spans="1:5" x14ac:dyDescent="0.3">
      <c r="A5" s="31" t="s">
        <v>99</v>
      </c>
      <c r="B5" s="32"/>
      <c r="C5" s="32"/>
      <c r="D5" s="32"/>
      <c r="E5" s="33"/>
    </row>
    <row r="6" spans="1:5" x14ac:dyDescent="0.3">
      <c r="A6" s="34" t="s">
        <v>1438</v>
      </c>
      <c r="B6" s="34" t="s">
        <v>1439</v>
      </c>
      <c r="C6" s="34" t="s">
        <v>1440</v>
      </c>
      <c r="D6" s="34" t="s">
        <v>1441</v>
      </c>
      <c r="E6" s="108"/>
    </row>
    <row r="7" spans="1:5" x14ac:dyDescent="0.3">
      <c r="A7" s="39" t="s">
        <v>1442</v>
      </c>
      <c r="B7" s="39" t="s">
        <v>1439</v>
      </c>
      <c r="C7" s="39" t="s">
        <v>1440</v>
      </c>
      <c r="D7" s="39" t="s">
        <v>1443</v>
      </c>
      <c r="E7" s="110"/>
    </row>
    <row r="8" spans="1:5" x14ac:dyDescent="0.3">
      <c r="A8" s="39" t="s">
        <v>1444</v>
      </c>
      <c r="B8" s="39" t="s">
        <v>1439</v>
      </c>
      <c r="C8" s="39" t="s">
        <v>1440</v>
      </c>
      <c r="D8" s="39" t="s">
        <v>1445</v>
      </c>
      <c r="E8" s="110"/>
    </row>
    <row r="9" spans="1:5" x14ac:dyDescent="0.3">
      <c r="A9" s="39" t="s">
        <v>1446</v>
      </c>
      <c r="B9" s="39" t="s">
        <v>1439</v>
      </c>
      <c r="C9" s="39" t="s">
        <v>1440</v>
      </c>
      <c r="D9" s="39" t="s">
        <v>1447</v>
      </c>
      <c r="E9" s="110"/>
    </row>
    <row r="10" spans="1:5" x14ac:dyDescent="0.3">
      <c r="A10" s="39" t="s">
        <v>1448</v>
      </c>
      <c r="B10" s="39" t="s">
        <v>1449</v>
      </c>
      <c r="C10" s="39" t="s">
        <v>1440</v>
      </c>
      <c r="D10" s="39" t="s">
        <v>1441</v>
      </c>
      <c r="E10" s="110"/>
    </row>
    <row r="11" spans="1:5" x14ac:dyDescent="0.3">
      <c r="A11" s="39" t="s">
        <v>1450</v>
      </c>
      <c r="B11" s="39" t="s">
        <v>1449</v>
      </c>
      <c r="C11" s="39" t="s">
        <v>1440</v>
      </c>
      <c r="D11" s="39" t="s">
        <v>1443</v>
      </c>
      <c r="E11" s="110"/>
    </row>
    <row r="12" spans="1:5" x14ac:dyDescent="0.3">
      <c r="A12" s="39" t="s">
        <v>1451</v>
      </c>
      <c r="B12" s="39" t="s">
        <v>1449</v>
      </c>
      <c r="C12" s="39" t="s">
        <v>1440</v>
      </c>
      <c r="D12" s="39" t="s">
        <v>1445</v>
      </c>
      <c r="E12" s="110"/>
    </row>
    <row r="13" spans="1:5" x14ac:dyDescent="0.3">
      <c r="A13" s="39" t="s">
        <v>1452</v>
      </c>
      <c r="B13" s="39" t="s">
        <v>1449</v>
      </c>
      <c r="C13" s="39" t="s">
        <v>1440</v>
      </c>
      <c r="D13" s="39" t="s">
        <v>1447</v>
      </c>
      <c r="E13" s="110"/>
    </row>
    <row r="14" spans="1:5" x14ac:dyDescent="0.3">
      <c r="A14" s="39" t="s">
        <v>1453</v>
      </c>
      <c r="B14" s="39" t="s">
        <v>1454</v>
      </c>
      <c r="C14" s="39" t="s">
        <v>1440</v>
      </c>
      <c r="D14" s="39" t="s">
        <v>1441</v>
      </c>
      <c r="E14" s="110"/>
    </row>
    <row r="15" spans="1:5" x14ac:dyDescent="0.3">
      <c r="A15" s="39" t="s">
        <v>1455</v>
      </c>
      <c r="B15" s="39" t="s">
        <v>1454</v>
      </c>
      <c r="C15" s="39" t="s">
        <v>1440</v>
      </c>
      <c r="D15" s="39" t="s">
        <v>1443</v>
      </c>
      <c r="E15" s="110"/>
    </row>
    <row r="16" spans="1:5" x14ac:dyDescent="0.3">
      <c r="A16" s="39" t="s">
        <v>1456</v>
      </c>
      <c r="B16" s="39" t="s">
        <v>1454</v>
      </c>
      <c r="C16" s="39" t="s">
        <v>1440</v>
      </c>
      <c r="D16" s="39" t="s">
        <v>1445</v>
      </c>
      <c r="E16" s="110"/>
    </row>
    <row r="17" spans="1:5" x14ac:dyDescent="0.3">
      <c r="A17" s="39" t="s">
        <v>1457</v>
      </c>
      <c r="B17" s="39" t="s">
        <v>1454</v>
      </c>
      <c r="C17" s="39" t="s">
        <v>1440</v>
      </c>
      <c r="D17" s="39" t="s">
        <v>1447</v>
      </c>
      <c r="E17" s="110"/>
    </row>
    <row r="18" spans="1:5" x14ac:dyDescent="0.3">
      <c r="A18" s="39" t="s">
        <v>1458</v>
      </c>
      <c r="B18" s="39" t="s">
        <v>1459</v>
      </c>
      <c r="C18" s="39" t="s">
        <v>1460</v>
      </c>
      <c r="D18" s="39" t="s">
        <v>1461</v>
      </c>
      <c r="E18" s="110"/>
    </row>
    <row r="19" spans="1:5" x14ac:dyDescent="0.3">
      <c r="A19" s="39" t="s">
        <v>1462</v>
      </c>
      <c r="B19" s="39" t="s">
        <v>1459</v>
      </c>
      <c r="C19" s="39" t="s">
        <v>1460</v>
      </c>
      <c r="D19" s="39" t="s">
        <v>1463</v>
      </c>
      <c r="E19" s="110"/>
    </row>
    <row r="20" spans="1:5" x14ac:dyDescent="0.3">
      <c r="A20" s="39" t="s">
        <v>1464</v>
      </c>
      <c r="B20" s="39" t="s">
        <v>1459</v>
      </c>
      <c r="C20" s="39" t="s">
        <v>1460</v>
      </c>
      <c r="D20" s="39" t="s">
        <v>1465</v>
      </c>
      <c r="E20" s="110"/>
    </row>
    <row r="21" spans="1:5" x14ac:dyDescent="0.3">
      <c r="A21" s="39" t="s">
        <v>1466</v>
      </c>
      <c r="B21" s="39" t="s">
        <v>1459</v>
      </c>
      <c r="C21" s="39" t="s">
        <v>1460</v>
      </c>
      <c r="D21" s="39" t="s">
        <v>1467</v>
      </c>
      <c r="E21" s="110"/>
    </row>
    <row r="22" spans="1:5" x14ac:dyDescent="0.3">
      <c r="A22" s="39" t="s">
        <v>1468</v>
      </c>
      <c r="B22" s="39" t="s">
        <v>1469</v>
      </c>
      <c r="C22" s="39" t="s">
        <v>1460</v>
      </c>
      <c r="D22" s="39" t="s">
        <v>1461</v>
      </c>
      <c r="E22" s="110"/>
    </row>
    <row r="23" spans="1:5" x14ac:dyDescent="0.3">
      <c r="A23" s="39" t="s">
        <v>1470</v>
      </c>
      <c r="B23" s="39" t="s">
        <v>1469</v>
      </c>
      <c r="C23" s="39" t="s">
        <v>1460</v>
      </c>
      <c r="D23" s="39" t="s">
        <v>1463</v>
      </c>
      <c r="E23" s="110"/>
    </row>
    <row r="24" spans="1:5" x14ac:dyDescent="0.3">
      <c r="A24" s="39" t="s">
        <v>1471</v>
      </c>
      <c r="B24" s="39" t="s">
        <v>1469</v>
      </c>
      <c r="C24" s="39" t="s">
        <v>1460</v>
      </c>
      <c r="D24" s="39" t="s">
        <v>1465</v>
      </c>
      <c r="E24" s="110"/>
    </row>
    <row r="25" spans="1:5" x14ac:dyDescent="0.3">
      <c r="A25" s="39" t="s">
        <v>1472</v>
      </c>
      <c r="B25" s="39" t="s">
        <v>1469</v>
      </c>
      <c r="C25" s="39" t="s">
        <v>1460</v>
      </c>
      <c r="D25" s="39" t="s">
        <v>1467</v>
      </c>
      <c r="E25" s="110"/>
    </row>
    <row r="26" spans="1:5" x14ac:dyDescent="0.3">
      <c r="A26" s="39" t="s">
        <v>1473</v>
      </c>
      <c r="B26" s="39" t="s">
        <v>1474</v>
      </c>
      <c r="C26" s="39" t="s">
        <v>1460</v>
      </c>
      <c r="D26" s="39" t="s">
        <v>1461</v>
      </c>
      <c r="E26" s="110"/>
    </row>
    <row r="27" spans="1:5" x14ac:dyDescent="0.3">
      <c r="A27" s="39" t="s">
        <v>1475</v>
      </c>
      <c r="B27" s="39" t="s">
        <v>1474</v>
      </c>
      <c r="C27" s="39" t="s">
        <v>1460</v>
      </c>
      <c r="D27" s="39" t="s">
        <v>1463</v>
      </c>
      <c r="E27" s="110"/>
    </row>
    <row r="28" spans="1:5" x14ac:dyDescent="0.3">
      <c r="A28" s="39" t="s">
        <v>1476</v>
      </c>
      <c r="B28" s="39" t="s">
        <v>1474</v>
      </c>
      <c r="C28" s="39" t="s">
        <v>1460</v>
      </c>
      <c r="D28" s="39" t="s">
        <v>1465</v>
      </c>
      <c r="E28" s="110"/>
    </row>
    <row r="29" spans="1:5" x14ac:dyDescent="0.3">
      <c r="A29" s="39" t="s">
        <v>1477</v>
      </c>
      <c r="B29" s="39" t="s">
        <v>1474</v>
      </c>
      <c r="C29" s="39" t="s">
        <v>1460</v>
      </c>
      <c r="D29" s="39" t="s">
        <v>1467</v>
      </c>
      <c r="E29" s="110"/>
    </row>
    <row r="30" spans="1:5" x14ac:dyDescent="0.3">
      <c r="A30" s="39" t="s">
        <v>1478</v>
      </c>
      <c r="B30" s="39" t="s">
        <v>1479</v>
      </c>
      <c r="C30" s="39" t="s">
        <v>1460</v>
      </c>
      <c r="D30" s="39" t="s">
        <v>1461</v>
      </c>
      <c r="E30" s="110"/>
    </row>
    <row r="31" spans="1:5" x14ac:dyDescent="0.3">
      <c r="A31" s="39" t="s">
        <v>1480</v>
      </c>
      <c r="B31" s="39" t="s">
        <v>1479</v>
      </c>
      <c r="C31" s="39" t="s">
        <v>1460</v>
      </c>
      <c r="D31" s="39" t="s">
        <v>1463</v>
      </c>
      <c r="E31" s="110"/>
    </row>
    <row r="32" spans="1:5" x14ac:dyDescent="0.3">
      <c r="A32" s="39" t="s">
        <v>1481</v>
      </c>
      <c r="B32" s="39" t="s">
        <v>1479</v>
      </c>
      <c r="C32" s="39" t="s">
        <v>1460</v>
      </c>
      <c r="D32" s="39" t="s">
        <v>1465</v>
      </c>
      <c r="E32" s="110"/>
    </row>
    <row r="33" spans="1:5" x14ac:dyDescent="0.3">
      <c r="A33" s="39" t="s">
        <v>1482</v>
      </c>
      <c r="B33" s="39" t="s">
        <v>1479</v>
      </c>
      <c r="C33" s="39" t="s">
        <v>1460</v>
      </c>
      <c r="D33" s="39" t="s">
        <v>1467</v>
      </c>
      <c r="E33" s="110"/>
    </row>
    <row r="34" spans="1:5" x14ac:dyDescent="0.3">
      <c r="A34" s="39" t="s">
        <v>1483</v>
      </c>
      <c r="B34" s="39" t="s">
        <v>1484</v>
      </c>
      <c r="C34" s="39" t="s">
        <v>1460</v>
      </c>
      <c r="D34" s="39" t="s">
        <v>1461</v>
      </c>
      <c r="E34" s="110"/>
    </row>
    <row r="35" spans="1:5" x14ac:dyDescent="0.3">
      <c r="A35" s="39" t="s">
        <v>1485</v>
      </c>
      <c r="B35" s="39" t="s">
        <v>1484</v>
      </c>
      <c r="C35" s="39" t="s">
        <v>1460</v>
      </c>
      <c r="D35" s="39" t="s">
        <v>1463</v>
      </c>
      <c r="E35" s="110"/>
    </row>
    <row r="36" spans="1:5" x14ac:dyDescent="0.3">
      <c r="A36" s="39" t="s">
        <v>1486</v>
      </c>
      <c r="B36" s="39" t="s">
        <v>1484</v>
      </c>
      <c r="C36" s="39" t="s">
        <v>1460</v>
      </c>
      <c r="D36" s="39" t="s">
        <v>1465</v>
      </c>
      <c r="E36" s="110"/>
    </row>
    <row r="37" spans="1:5" x14ac:dyDescent="0.3">
      <c r="A37" s="39" t="s">
        <v>1487</v>
      </c>
      <c r="B37" s="39" t="s">
        <v>1484</v>
      </c>
      <c r="C37" s="39" t="s">
        <v>1460</v>
      </c>
      <c r="D37" s="39" t="s">
        <v>1467</v>
      </c>
      <c r="E37" s="110"/>
    </row>
    <row r="38" spans="1:5" x14ac:dyDescent="0.3">
      <c r="A38" s="39" t="s">
        <v>1488</v>
      </c>
      <c r="B38" s="39" t="s">
        <v>1489</v>
      </c>
      <c r="C38" s="39" t="s">
        <v>1460</v>
      </c>
      <c r="D38" s="39" t="s">
        <v>1461</v>
      </c>
      <c r="E38" s="110"/>
    </row>
    <row r="39" spans="1:5" x14ac:dyDescent="0.3">
      <c r="A39" s="39" t="s">
        <v>1490</v>
      </c>
      <c r="B39" s="39" t="s">
        <v>1489</v>
      </c>
      <c r="C39" s="39" t="s">
        <v>1460</v>
      </c>
      <c r="D39" s="39" t="s">
        <v>1463</v>
      </c>
      <c r="E39" s="110"/>
    </row>
    <row r="40" spans="1:5" x14ac:dyDescent="0.3">
      <c r="A40" s="39" t="s">
        <v>1491</v>
      </c>
      <c r="B40" s="39" t="s">
        <v>1489</v>
      </c>
      <c r="C40" s="39" t="s">
        <v>1460</v>
      </c>
      <c r="D40" s="39" t="s">
        <v>1465</v>
      </c>
      <c r="E40" s="110"/>
    </row>
    <row r="41" spans="1:5" x14ac:dyDescent="0.3">
      <c r="A41" s="39" t="s">
        <v>1492</v>
      </c>
      <c r="B41" s="39" t="s">
        <v>1489</v>
      </c>
      <c r="C41" s="39" t="s">
        <v>1460</v>
      </c>
      <c r="D41" s="39" t="s">
        <v>1467</v>
      </c>
      <c r="E41" s="110"/>
    </row>
    <row r="42" spans="1:5" x14ac:dyDescent="0.3">
      <c r="A42" s="39" t="s">
        <v>1493</v>
      </c>
      <c r="B42" s="39" t="s">
        <v>1494</v>
      </c>
      <c r="C42" s="39" t="s">
        <v>1460</v>
      </c>
      <c r="D42" s="39" t="s">
        <v>1461</v>
      </c>
      <c r="E42" s="110"/>
    </row>
    <row r="43" spans="1:5" x14ac:dyDescent="0.3">
      <c r="A43" s="39" t="s">
        <v>1495</v>
      </c>
      <c r="B43" s="39" t="s">
        <v>1494</v>
      </c>
      <c r="C43" s="39" t="s">
        <v>1460</v>
      </c>
      <c r="D43" s="39" t="s">
        <v>1463</v>
      </c>
      <c r="E43" s="110"/>
    </row>
    <row r="44" spans="1:5" x14ac:dyDescent="0.3">
      <c r="A44" s="39" t="s">
        <v>1496</v>
      </c>
      <c r="B44" s="39" t="s">
        <v>1494</v>
      </c>
      <c r="C44" s="39" t="s">
        <v>1460</v>
      </c>
      <c r="D44" s="39" t="s">
        <v>1465</v>
      </c>
      <c r="E44" s="110"/>
    </row>
    <row r="45" spans="1:5" x14ac:dyDescent="0.3">
      <c r="A45" s="39" t="s">
        <v>1497</v>
      </c>
      <c r="B45" s="39" t="s">
        <v>1494</v>
      </c>
      <c r="C45" s="39" t="s">
        <v>1460</v>
      </c>
      <c r="D45" s="39" t="s">
        <v>1467</v>
      </c>
      <c r="E45" s="110"/>
    </row>
    <row r="46" spans="1:5" x14ac:dyDescent="0.3">
      <c r="A46" s="39" t="s">
        <v>1498</v>
      </c>
      <c r="B46" s="39" t="s">
        <v>1499</v>
      </c>
      <c r="C46" s="39" t="s">
        <v>1460</v>
      </c>
      <c r="D46" s="39" t="s">
        <v>40</v>
      </c>
      <c r="E46" s="110"/>
    </row>
    <row r="47" spans="1:5" x14ac:dyDescent="0.3">
      <c r="A47" s="39" t="s">
        <v>1500</v>
      </c>
      <c r="B47" s="39" t="s">
        <v>1501</v>
      </c>
      <c r="C47" s="39" t="s">
        <v>1502</v>
      </c>
      <c r="D47" s="39" t="s">
        <v>40</v>
      </c>
      <c r="E47" s="110"/>
    </row>
    <row r="48" spans="1:5" x14ac:dyDescent="0.3">
      <c r="A48" s="39" t="s">
        <v>1503</v>
      </c>
      <c r="B48" s="39" t="s">
        <v>1504</v>
      </c>
      <c r="C48" s="39" t="s">
        <v>1460</v>
      </c>
      <c r="D48" s="39" t="s">
        <v>1505</v>
      </c>
      <c r="E48" s="110"/>
    </row>
    <row r="49" spans="1:5" x14ac:dyDescent="0.3">
      <c r="A49" s="39" t="s">
        <v>1506</v>
      </c>
      <c r="B49" s="39" t="s">
        <v>1504</v>
      </c>
      <c r="C49" s="39" t="s">
        <v>1460</v>
      </c>
      <c r="D49" s="39" t="s">
        <v>1507</v>
      </c>
      <c r="E49" s="110"/>
    </row>
    <row r="50" spans="1:5" x14ac:dyDescent="0.3">
      <c r="A50" s="39" t="s">
        <v>1508</v>
      </c>
      <c r="B50" s="39" t="s">
        <v>1504</v>
      </c>
      <c r="C50" s="39" t="s">
        <v>1460</v>
      </c>
      <c r="D50" s="39" t="s">
        <v>1509</v>
      </c>
      <c r="E50" s="110"/>
    </row>
    <row r="51" spans="1:5" x14ac:dyDescent="0.3">
      <c r="A51" s="39" t="s">
        <v>1510</v>
      </c>
      <c r="B51" s="39" t="s">
        <v>1504</v>
      </c>
      <c r="C51" s="39" t="s">
        <v>1460</v>
      </c>
      <c r="D51" s="39" t="s">
        <v>1511</v>
      </c>
      <c r="E51" s="110"/>
    </row>
    <row r="52" spans="1:5" x14ac:dyDescent="0.3">
      <c r="A52" s="39" t="s">
        <v>1512</v>
      </c>
      <c r="B52" s="39" t="s">
        <v>1513</v>
      </c>
      <c r="C52" s="39" t="s">
        <v>1460</v>
      </c>
      <c r="D52" s="39" t="s">
        <v>1505</v>
      </c>
      <c r="E52" s="110"/>
    </row>
    <row r="53" spans="1:5" x14ac:dyDescent="0.3">
      <c r="A53" s="39" t="s">
        <v>1514</v>
      </c>
      <c r="B53" s="39" t="s">
        <v>1513</v>
      </c>
      <c r="C53" s="39" t="s">
        <v>1460</v>
      </c>
      <c r="D53" s="39" t="s">
        <v>1507</v>
      </c>
      <c r="E53" s="110"/>
    </row>
    <row r="54" spans="1:5" x14ac:dyDescent="0.3">
      <c r="A54" s="39" t="s">
        <v>1515</v>
      </c>
      <c r="B54" s="39" t="s">
        <v>1513</v>
      </c>
      <c r="C54" s="39" t="s">
        <v>1460</v>
      </c>
      <c r="D54" s="39" t="s">
        <v>1509</v>
      </c>
      <c r="E54" s="110"/>
    </row>
    <row r="55" spans="1:5" x14ac:dyDescent="0.3">
      <c r="A55" s="39" t="s">
        <v>1516</v>
      </c>
      <c r="B55" s="39" t="s">
        <v>1513</v>
      </c>
      <c r="C55" s="39" t="s">
        <v>1460</v>
      </c>
      <c r="D55" s="39" t="s">
        <v>1511</v>
      </c>
      <c r="E55" s="110"/>
    </row>
    <row r="56" spans="1:5" x14ac:dyDescent="0.3">
      <c r="A56" s="39" t="s">
        <v>1517</v>
      </c>
      <c r="B56" s="39" t="s">
        <v>1518</v>
      </c>
      <c r="C56" s="39" t="s">
        <v>1460</v>
      </c>
      <c r="D56" s="39" t="s">
        <v>1505</v>
      </c>
      <c r="E56" s="110"/>
    </row>
    <row r="57" spans="1:5" x14ac:dyDescent="0.3">
      <c r="A57" s="39" t="s">
        <v>1519</v>
      </c>
      <c r="B57" s="39" t="s">
        <v>1518</v>
      </c>
      <c r="C57" s="39" t="s">
        <v>1460</v>
      </c>
      <c r="D57" s="39" t="s">
        <v>1507</v>
      </c>
      <c r="E57" s="110"/>
    </row>
    <row r="58" spans="1:5" x14ac:dyDescent="0.3">
      <c r="A58" s="39" t="s">
        <v>1520</v>
      </c>
      <c r="B58" s="39" t="s">
        <v>1518</v>
      </c>
      <c r="C58" s="39" t="s">
        <v>1460</v>
      </c>
      <c r="D58" s="39" t="s">
        <v>1509</v>
      </c>
      <c r="E58" s="110"/>
    </row>
    <row r="59" spans="1:5" x14ac:dyDescent="0.3">
      <c r="A59" s="39" t="s">
        <v>1521</v>
      </c>
      <c r="B59" s="39" t="s">
        <v>1518</v>
      </c>
      <c r="C59" s="39" t="s">
        <v>1460</v>
      </c>
      <c r="D59" s="39" t="s">
        <v>1511</v>
      </c>
      <c r="E59" s="110"/>
    </row>
    <row r="60" spans="1:5" x14ac:dyDescent="0.3">
      <c r="A60" s="39" t="s">
        <v>1522</v>
      </c>
      <c r="B60" s="39" t="s">
        <v>1523</v>
      </c>
      <c r="C60" s="39" t="s">
        <v>1460</v>
      </c>
      <c r="D60" s="39" t="s">
        <v>1505</v>
      </c>
      <c r="E60" s="110"/>
    </row>
    <row r="61" spans="1:5" x14ac:dyDescent="0.3">
      <c r="A61" s="39" t="s">
        <v>1524</v>
      </c>
      <c r="B61" s="39" t="s">
        <v>1523</v>
      </c>
      <c r="C61" s="39" t="s">
        <v>1460</v>
      </c>
      <c r="D61" s="39" t="s">
        <v>1507</v>
      </c>
      <c r="E61" s="110"/>
    </row>
    <row r="62" spans="1:5" x14ac:dyDescent="0.3">
      <c r="A62" s="39" t="s">
        <v>1525</v>
      </c>
      <c r="B62" s="39" t="s">
        <v>1523</v>
      </c>
      <c r="C62" s="39" t="s">
        <v>1460</v>
      </c>
      <c r="D62" s="39" t="s">
        <v>1509</v>
      </c>
      <c r="E62" s="110"/>
    </row>
    <row r="63" spans="1:5" x14ac:dyDescent="0.3">
      <c r="A63" s="39" t="s">
        <v>1526</v>
      </c>
      <c r="B63" s="39" t="s">
        <v>1523</v>
      </c>
      <c r="C63" s="39" t="s">
        <v>1460</v>
      </c>
      <c r="D63" s="39" t="s">
        <v>1511</v>
      </c>
      <c r="E63" s="110"/>
    </row>
    <row r="64" spans="1:5" x14ac:dyDescent="0.3">
      <c r="A64" s="39" t="s">
        <v>1527</v>
      </c>
      <c r="B64" s="39" t="s">
        <v>1528</v>
      </c>
      <c r="C64" s="39" t="s">
        <v>1460</v>
      </c>
      <c r="D64" s="39" t="s">
        <v>1505</v>
      </c>
      <c r="E64" s="110"/>
    </row>
    <row r="65" spans="1:5" x14ac:dyDescent="0.3">
      <c r="A65" s="39" t="s">
        <v>1529</v>
      </c>
      <c r="B65" s="39" t="s">
        <v>1528</v>
      </c>
      <c r="C65" s="39" t="s">
        <v>1460</v>
      </c>
      <c r="D65" s="39" t="s">
        <v>1507</v>
      </c>
      <c r="E65" s="110"/>
    </row>
    <row r="66" spans="1:5" x14ac:dyDescent="0.3">
      <c r="A66" s="39" t="s">
        <v>1530</v>
      </c>
      <c r="B66" s="39" t="s">
        <v>1531</v>
      </c>
      <c r="C66" s="39" t="s">
        <v>1460</v>
      </c>
      <c r="D66" s="39" t="s">
        <v>1509</v>
      </c>
      <c r="E66" s="110"/>
    </row>
    <row r="67" spans="1:5" x14ac:dyDescent="0.3">
      <c r="A67" s="39" t="s">
        <v>1532</v>
      </c>
      <c r="B67" s="39" t="s">
        <v>1533</v>
      </c>
      <c r="C67" s="39" t="s">
        <v>1460</v>
      </c>
      <c r="D67" s="39" t="s">
        <v>1511</v>
      </c>
      <c r="E67" s="110"/>
    </row>
    <row r="68" spans="1:5" x14ac:dyDescent="0.3">
      <c r="A68" s="39" t="s">
        <v>1534</v>
      </c>
      <c r="B68" s="39" t="s">
        <v>1535</v>
      </c>
      <c r="C68" s="39" t="s">
        <v>1460</v>
      </c>
      <c r="D68" s="39" t="s">
        <v>1505</v>
      </c>
      <c r="E68" s="110"/>
    </row>
    <row r="69" spans="1:5" x14ac:dyDescent="0.3">
      <c r="A69" s="39" t="s">
        <v>1536</v>
      </c>
      <c r="B69" s="39" t="s">
        <v>1535</v>
      </c>
      <c r="C69" s="39" t="s">
        <v>1460</v>
      </c>
      <c r="D69" s="39" t="s">
        <v>1507</v>
      </c>
      <c r="E69" s="110"/>
    </row>
    <row r="70" spans="1:5" x14ac:dyDescent="0.3">
      <c r="A70" s="39" t="s">
        <v>1537</v>
      </c>
      <c r="B70" s="39" t="s">
        <v>1535</v>
      </c>
      <c r="C70" s="39" t="s">
        <v>1460</v>
      </c>
      <c r="D70" s="39" t="s">
        <v>1509</v>
      </c>
      <c r="E70" s="110"/>
    </row>
    <row r="71" spans="1:5" x14ac:dyDescent="0.3">
      <c r="A71" s="39" t="s">
        <v>1538</v>
      </c>
      <c r="B71" s="39" t="s">
        <v>1535</v>
      </c>
      <c r="C71" s="39" t="s">
        <v>1460</v>
      </c>
      <c r="D71" s="39" t="s">
        <v>1511</v>
      </c>
      <c r="E71" s="110"/>
    </row>
    <row r="72" spans="1:5" x14ac:dyDescent="0.3">
      <c r="A72" s="39" t="s">
        <v>1539</v>
      </c>
      <c r="B72" s="39" t="s">
        <v>1540</v>
      </c>
      <c r="C72" s="39" t="s">
        <v>1460</v>
      </c>
      <c r="D72" s="39" t="s">
        <v>1505</v>
      </c>
      <c r="E72" s="110"/>
    </row>
    <row r="73" spans="1:5" x14ac:dyDescent="0.3">
      <c r="A73" s="39" t="s">
        <v>1541</v>
      </c>
      <c r="B73" s="39" t="s">
        <v>1540</v>
      </c>
      <c r="C73" s="39" t="s">
        <v>1460</v>
      </c>
      <c r="D73" s="39" t="s">
        <v>1507</v>
      </c>
      <c r="E73" s="110"/>
    </row>
    <row r="74" spans="1:5" x14ac:dyDescent="0.3">
      <c r="A74" s="39" t="s">
        <v>1542</v>
      </c>
      <c r="B74" s="39" t="s">
        <v>1540</v>
      </c>
      <c r="C74" s="39" t="s">
        <v>1460</v>
      </c>
      <c r="D74" s="39" t="s">
        <v>1509</v>
      </c>
      <c r="E74" s="110"/>
    </row>
    <row r="75" spans="1:5" x14ac:dyDescent="0.3">
      <c r="A75" s="39" t="s">
        <v>1543</v>
      </c>
      <c r="B75" s="39" t="s">
        <v>1540</v>
      </c>
      <c r="C75" s="39" t="s">
        <v>1460</v>
      </c>
      <c r="D75" s="39" t="s">
        <v>1511</v>
      </c>
      <c r="E75" s="110"/>
    </row>
    <row r="76" spans="1:5" x14ac:dyDescent="0.3">
      <c r="A76" s="39" t="s">
        <v>1544</v>
      </c>
      <c r="B76" s="39" t="s">
        <v>1545</v>
      </c>
      <c r="C76" s="39" t="s">
        <v>1460</v>
      </c>
      <c r="D76" s="39" t="s">
        <v>1505</v>
      </c>
      <c r="E76" s="110"/>
    </row>
    <row r="77" spans="1:5" x14ac:dyDescent="0.3">
      <c r="A77" s="39" t="s">
        <v>1546</v>
      </c>
      <c r="B77" s="39" t="s">
        <v>1545</v>
      </c>
      <c r="C77" s="39" t="s">
        <v>1460</v>
      </c>
      <c r="D77" s="39" t="s">
        <v>1507</v>
      </c>
      <c r="E77" s="110"/>
    </row>
    <row r="78" spans="1:5" x14ac:dyDescent="0.3">
      <c r="A78" s="39" t="s">
        <v>1547</v>
      </c>
      <c r="B78" s="39" t="s">
        <v>1545</v>
      </c>
      <c r="C78" s="39" t="s">
        <v>1460</v>
      </c>
      <c r="D78" s="39" t="s">
        <v>1509</v>
      </c>
      <c r="E78" s="110"/>
    </row>
    <row r="79" spans="1:5" x14ac:dyDescent="0.3">
      <c r="A79" s="39" t="s">
        <v>1548</v>
      </c>
      <c r="B79" s="39" t="s">
        <v>1545</v>
      </c>
      <c r="C79" s="39" t="s">
        <v>1460</v>
      </c>
      <c r="D79" s="39" t="s">
        <v>1511</v>
      </c>
      <c r="E79" s="110"/>
    </row>
    <row r="80" spans="1:5" x14ac:dyDescent="0.3">
      <c r="A80" s="39" t="s">
        <v>1549</v>
      </c>
      <c r="B80" s="39" t="s">
        <v>1550</v>
      </c>
      <c r="C80" s="39" t="s">
        <v>1460</v>
      </c>
      <c r="D80" s="39" t="s">
        <v>1505</v>
      </c>
      <c r="E80" s="110"/>
    </row>
    <row r="81" spans="1:5" x14ac:dyDescent="0.3">
      <c r="A81" s="39" t="s">
        <v>1551</v>
      </c>
      <c r="B81" s="39" t="s">
        <v>1550</v>
      </c>
      <c r="C81" s="39" t="s">
        <v>1460</v>
      </c>
      <c r="D81" s="39" t="s">
        <v>1507</v>
      </c>
      <c r="E81" s="110"/>
    </row>
    <row r="82" spans="1:5" x14ac:dyDescent="0.3">
      <c r="A82" s="39" t="s">
        <v>1552</v>
      </c>
      <c r="B82" s="39" t="s">
        <v>1550</v>
      </c>
      <c r="C82" s="39" t="s">
        <v>1460</v>
      </c>
      <c r="D82" s="39" t="s">
        <v>1509</v>
      </c>
      <c r="E82" s="110"/>
    </row>
    <row r="83" spans="1:5" x14ac:dyDescent="0.3">
      <c r="A83" s="39" t="s">
        <v>1553</v>
      </c>
      <c r="B83" s="39" t="s">
        <v>1550</v>
      </c>
      <c r="C83" s="39" t="s">
        <v>1460</v>
      </c>
      <c r="D83" s="39" t="s">
        <v>1511</v>
      </c>
      <c r="E83" s="110"/>
    </row>
    <row r="84" spans="1:5" x14ac:dyDescent="0.3">
      <c r="A84" s="39" t="s">
        <v>1554</v>
      </c>
      <c r="B84" s="39" t="s">
        <v>1555</v>
      </c>
      <c r="C84" s="39" t="s">
        <v>1460</v>
      </c>
      <c r="D84" s="39" t="s">
        <v>1505</v>
      </c>
      <c r="E84" s="110"/>
    </row>
    <row r="85" spans="1:5" x14ac:dyDescent="0.3">
      <c r="A85" s="39" t="s">
        <v>1556</v>
      </c>
      <c r="B85" s="39" t="s">
        <v>1555</v>
      </c>
      <c r="C85" s="39" t="s">
        <v>1460</v>
      </c>
      <c r="D85" s="39" t="s">
        <v>1507</v>
      </c>
      <c r="E85" s="110"/>
    </row>
    <row r="86" spans="1:5" x14ac:dyDescent="0.3">
      <c r="A86" s="39" t="s">
        <v>1557</v>
      </c>
      <c r="B86" s="39" t="s">
        <v>1555</v>
      </c>
      <c r="C86" s="39" t="s">
        <v>1460</v>
      </c>
      <c r="D86" s="39" t="s">
        <v>1509</v>
      </c>
      <c r="E86" s="110"/>
    </row>
    <row r="87" spans="1:5" x14ac:dyDescent="0.3">
      <c r="A87" s="39" t="s">
        <v>1558</v>
      </c>
      <c r="B87" s="39" t="s">
        <v>1555</v>
      </c>
      <c r="C87" s="39" t="s">
        <v>1460</v>
      </c>
      <c r="D87" s="39" t="s">
        <v>1511</v>
      </c>
      <c r="E87" s="110"/>
    </row>
    <row r="88" spans="1:5" x14ac:dyDescent="0.3">
      <c r="A88" s="39" t="s">
        <v>1559</v>
      </c>
      <c r="B88" s="39" t="s">
        <v>1560</v>
      </c>
      <c r="C88" s="39" t="s">
        <v>1440</v>
      </c>
      <c r="D88" s="39" t="s">
        <v>1441</v>
      </c>
      <c r="E88" s="110"/>
    </row>
    <row r="89" spans="1:5" x14ac:dyDescent="0.3">
      <c r="A89" s="39" t="s">
        <v>1561</v>
      </c>
      <c r="B89" s="39" t="s">
        <v>1560</v>
      </c>
      <c r="C89" s="39" t="s">
        <v>1440</v>
      </c>
      <c r="D89" s="39" t="s">
        <v>1443</v>
      </c>
      <c r="E89" s="110"/>
    </row>
    <row r="90" spans="1:5" x14ac:dyDescent="0.3">
      <c r="A90" s="39" t="s">
        <v>1562</v>
      </c>
      <c r="B90" s="39" t="s">
        <v>1560</v>
      </c>
      <c r="C90" s="39" t="s">
        <v>1440</v>
      </c>
      <c r="D90" s="39" t="s">
        <v>1445</v>
      </c>
      <c r="E90" s="110"/>
    </row>
    <row r="91" spans="1:5" x14ac:dyDescent="0.3">
      <c r="A91" s="44" t="s">
        <v>1563</v>
      </c>
      <c r="B91" s="44" t="s">
        <v>1560</v>
      </c>
      <c r="C91" s="44" t="s">
        <v>1440</v>
      </c>
      <c r="D91" s="44" t="s">
        <v>1447</v>
      </c>
      <c r="E91" s="113"/>
    </row>
    <row r="92" spans="1:5" x14ac:dyDescent="0.3">
      <c r="A92" s="59" t="s">
        <v>260</v>
      </c>
      <c r="B92" s="60"/>
      <c r="C92" s="60"/>
      <c r="D92" s="60"/>
      <c r="E92" s="122"/>
    </row>
    <row r="94" spans="1:5" x14ac:dyDescent="0.3">
      <c r="A94" s="59" t="s">
        <v>1564</v>
      </c>
      <c r="B94" s="60"/>
      <c r="C94" s="60"/>
      <c r="D94" s="60"/>
      <c r="E94" s="122"/>
    </row>
  </sheetData>
  <sheetProtection algorithmName="SHA-512" hashValue="7L1qQJ6rJbqC9DIA0uuEbC7OgvG6iKHdCjssQTt1pF31Y7OcndjfO2AVdBXTvZwA9oSPq1u+pgsnMoAr34oHOg==" saltValue="adJMLssYWAThGcl27keT+g==" spinCount="100000" sheet="1" objects="1" scenarios="1" autoFilter="0"/>
  <pageMargins left="0.7" right="0.7" top="0.75" bottom="0.75" header="0.3" footer="0.3"/>
  <pageSetup scale="65" orientation="landscape" r:id="rId1"/>
  <headerFooter>
    <oddFooter>&amp;LStichting Onderwijsgroep Amersfoort                         &amp;ROpmaakdatum: 07-07-2025
Intexso - Plantageweg 23E - Leusden
+31 (33) 2778485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C6B21-5B73-4547-A55A-CCC5DFB3D7A4}">
  <dimension ref="A1:L13"/>
  <sheetViews>
    <sheetView workbookViewId="0"/>
  </sheetViews>
  <sheetFormatPr defaultRowHeight="13.5" x14ac:dyDescent="0.3"/>
  <cols>
    <col min="1" max="1" width="7.61328125" customWidth="1"/>
    <col min="2" max="2" width="6.61328125" customWidth="1"/>
    <col min="3" max="3" width="7.61328125" customWidth="1"/>
    <col min="4" max="4" width="50.61328125" customWidth="1"/>
    <col min="5" max="6" width="14.61328125" customWidth="1"/>
    <col min="7" max="9" width="11.61328125" customWidth="1"/>
    <col min="10" max="10" width="12.61328125" customWidth="1"/>
    <col min="11" max="11" width="14.61328125" customWidth="1"/>
    <col min="12" max="12" width="13.61328125" customWidth="1"/>
  </cols>
  <sheetData>
    <row r="1" spans="1:12" x14ac:dyDescent="0.3">
      <c r="A1" s="1" t="str">
        <f>CONCATENATE("Bijlage I.11: ",tabeltype," regiewerk")</f>
        <v>Bijlage I.11: Invultabel regiewerk</v>
      </c>
    </row>
    <row r="3" spans="1:12" ht="40.5" x14ac:dyDescent="0.3">
      <c r="A3" s="27" t="s">
        <v>1420</v>
      </c>
      <c r="B3" s="27" t="s">
        <v>7</v>
      </c>
      <c r="C3" s="27" t="s">
        <v>1421</v>
      </c>
      <c r="D3" s="27" t="s">
        <v>94</v>
      </c>
      <c r="E3" s="27" t="s">
        <v>97</v>
      </c>
      <c r="F3" s="27" t="s">
        <v>1422</v>
      </c>
      <c r="G3" s="27" t="s">
        <v>1423</v>
      </c>
      <c r="H3" s="27" t="s">
        <v>1424</v>
      </c>
      <c r="I3" s="27" t="s">
        <v>1425</v>
      </c>
      <c r="J3" s="27" t="s">
        <v>1426</v>
      </c>
      <c r="K3" s="27" t="s">
        <v>212</v>
      </c>
      <c r="L3" s="27" t="s">
        <v>1375</v>
      </c>
    </row>
    <row r="4" spans="1:12" x14ac:dyDescent="0.3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 x14ac:dyDescent="0.3">
      <c r="A5" s="31" t="s">
        <v>99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3"/>
    </row>
    <row r="6" spans="1:12" x14ac:dyDescent="0.3">
      <c r="A6" s="34" t="s">
        <v>1565</v>
      </c>
      <c r="B6" s="34" t="s">
        <v>21</v>
      </c>
      <c r="C6" s="35">
        <f>IF(ISBLANK(B6),0,IF(ISERROR(VALUE(B6)),VLOOKUP(B6,dagsoorttabel1,2,FALSE)*dagenperjaar1,VALUE(B6)))</f>
        <v>10</v>
      </c>
      <c r="D6" s="34" t="s">
        <v>1566</v>
      </c>
      <c r="E6" s="34" t="s">
        <v>1502</v>
      </c>
      <c r="F6" s="115">
        <v>20</v>
      </c>
      <c r="G6" s="38">
        <f>Tariefopbouw2</f>
        <v>0</v>
      </c>
      <c r="H6" s="109"/>
      <c r="I6" s="38">
        <f>G6</f>
        <v>0</v>
      </c>
      <c r="J6" s="38">
        <f>IF(ISBLANK(F6),0,F6)*ROUND(I6,2)</f>
        <v>0</v>
      </c>
      <c r="K6" s="38">
        <f>C6*J6</f>
        <v>0</v>
      </c>
      <c r="L6" s="38">
        <f t="shared" ref="L6:L11" si="0">K6/12</f>
        <v>0</v>
      </c>
    </row>
    <row r="7" spans="1:12" x14ac:dyDescent="0.3">
      <c r="A7" s="39" t="s">
        <v>1567</v>
      </c>
      <c r="B7" s="39" t="s">
        <v>21</v>
      </c>
      <c r="C7" s="40">
        <f>IF(ISBLANK(B7),0,IF(ISERROR(VALUE(B7)),VLOOKUP(B7,dagsoorttabel1,2,FALSE)*dagenperjaar1,VALUE(B7)))</f>
        <v>10</v>
      </c>
      <c r="D7" s="39" t="s">
        <v>1568</v>
      </c>
      <c r="E7" s="39" t="s">
        <v>1502</v>
      </c>
      <c r="F7" s="117">
        <v>4</v>
      </c>
      <c r="G7" s="43">
        <f>Tariefopbouw3</f>
        <v>0</v>
      </c>
      <c r="H7" s="111"/>
      <c r="I7" s="43">
        <f>G7</f>
        <v>0</v>
      </c>
      <c r="J7" s="43">
        <f>IF(ISBLANK(F7),0,F7)*ROUND(I7,2)</f>
        <v>0</v>
      </c>
      <c r="K7" s="43">
        <f>C7*J7</f>
        <v>0</v>
      </c>
      <c r="L7" s="43">
        <f t="shared" si="0"/>
        <v>0</v>
      </c>
    </row>
    <row r="8" spans="1:12" x14ac:dyDescent="0.3">
      <c r="A8" s="39" t="s">
        <v>1569</v>
      </c>
      <c r="B8" s="39" t="s">
        <v>21</v>
      </c>
      <c r="C8" s="40">
        <f>IF(ISBLANK(B8),0,IF(ISERROR(VALUE(B8)),VLOOKUP(B8,dagsoorttabel1,2,FALSE)*dagenperjaar1,VALUE(B8)))</f>
        <v>10</v>
      </c>
      <c r="D8" s="39" t="s">
        <v>1570</v>
      </c>
      <c r="E8" s="39" t="s">
        <v>1502</v>
      </c>
      <c r="F8" s="117">
        <v>1</v>
      </c>
      <c r="G8" s="110"/>
      <c r="H8" s="111"/>
      <c r="I8" s="43">
        <f>G8</f>
        <v>0</v>
      </c>
      <c r="J8" s="43">
        <f>IF(ISBLANK(F8),0,F8)*ROUND(I8,2)</f>
        <v>0</v>
      </c>
      <c r="K8" s="43">
        <f>C8*J8</f>
        <v>0</v>
      </c>
      <c r="L8" s="43">
        <f t="shared" si="0"/>
        <v>0</v>
      </c>
    </row>
    <row r="9" spans="1:12" x14ac:dyDescent="0.3">
      <c r="A9" s="39" t="s">
        <v>1571</v>
      </c>
      <c r="B9" s="39" t="s">
        <v>26</v>
      </c>
      <c r="C9" s="40">
        <f>IF(ISBLANK(B9),0,IF(ISERROR(VALUE(B9)),VLOOKUP(B9,dagsoorttabel1,2,FALSE)*dagenperjaar1,VALUE(B9)))</f>
        <v>1</v>
      </c>
      <c r="D9" s="39" t="s">
        <v>1572</v>
      </c>
      <c r="E9" s="39" t="s">
        <v>1440</v>
      </c>
      <c r="F9" s="117">
        <v>350</v>
      </c>
      <c r="G9" s="110"/>
      <c r="H9" s="111"/>
      <c r="I9" s="110"/>
      <c r="J9" s="43">
        <f>IF(ISBLANK(F9),0,F9)*ROUND(I9,2)</f>
        <v>0</v>
      </c>
      <c r="K9" s="43">
        <f>C9*J9</f>
        <v>0</v>
      </c>
      <c r="L9" s="43">
        <f t="shared" si="0"/>
        <v>0</v>
      </c>
    </row>
    <row r="10" spans="1:12" x14ac:dyDescent="0.3">
      <c r="A10" s="44" t="s">
        <v>1573</v>
      </c>
      <c r="B10" s="44" t="s">
        <v>26</v>
      </c>
      <c r="C10" s="45">
        <f>IF(ISBLANK(B10),0,IF(ISERROR(VALUE(B10)),VLOOKUP(B10,dagsoorttabel1,2,FALSE)*dagenperjaar1,VALUE(B10)))</f>
        <v>1</v>
      </c>
      <c r="D10" s="44" t="s">
        <v>1574</v>
      </c>
      <c r="E10" s="44" t="s">
        <v>1575</v>
      </c>
      <c r="F10" s="119">
        <v>4</v>
      </c>
      <c r="G10" s="113"/>
      <c r="H10" s="128"/>
      <c r="I10" s="113"/>
      <c r="J10" s="48">
        <f>IF(ISBLANK(F10),1,F10)*ROUND(I10,2)</f>
        <v>0</v>
      </c>
      <c r="K10" s="48">
        <f>C10*J10</f>
        <v>0</v>
      </c>
      <c r="L10" s="48">
        <f t="shared" si="0"/>
        <v>0</v>
      </c>
    </row>
    <row r="11" spans="1:12" x14ac:dyDescent="0.3">
      <c r="A11" s="59" t="s">
        <v>260</v>
      </c>
      <c r="B11" s="60"/>
      <c r="C11" s="60"/>
      <c r="D11" s="60"/>
      <c r="E11" s="60"/>
      <c r="F11" s="60"/>
      <c r="G11" s="60"/>
      <c r="H11" s="60"/>
      <c r="I11" s="60"/>
      <c r="J11" s="60"/>
      <c r="K11" s="62">
        <f>SUM(K6:K10)</f>
        <v>0</v>
      </c>
      <c r="L11" s="121">
        <f t="shared" si="0"/>
        <v>0</v>
      </c>
    </row>
    <row r="13" spans="1:12" x14ac:dyDescent="0.3">
      <c r="A13" s="59" t="s">
        <v>1576</v>
      </c>
      <c r="B13" s="60"/>
      <c r="C13" s="60"/>
      <c r="D13" s="60"/>
      <c r="E13" s="60"/>
      <c r="F13" s="60"/>
      <c r="G13" s="60"/>
      <c r="H13" s="60"/>
      <c r="I13" s="60"/>
      <c r="J13" s="60"/>
      <c r="K13" s="62">
        <f>prijsjaarregie1</f>
        <v>0</v>
      </c>
      <c r="L13" s="121">
        <f>K13/12</f>
        <v>0</v>
      </c>
    </row>
  </sheetData>
  <sheetProtection algorithmName="SHA-512" hashValue="Xe5KP+h45DmdRJItpO3psFHsYi2EvqRIbrJ4eZgkzYct6nJ8DKv5/p0iTI86l4LqgTyMF1cEwwnWiek3lIGYkg==" saltValue="xZBgCc0N3nJOtWQyYZjiMQ==" spinCount="100000" sheet="1" objects="1" scenarios="1" autoFilter="0"/>
  <pageMargins left="0.7" right="0.7" top="0.75" bottom="0.75" header="0.3" footer="0.3"/>
  <pageSetup scale="65" orientation="landscape" r:id="rId1"/>
  <headerFooter>
    <oddFooter>&amp;LStichting Onderwijsgroep Amersfoort                         &amp;ROpmaakdatum: 07-07-2025
Intexso - Plantageweg 23E - Leusden
+31 (33) 2778485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43200-1AD2-45CE-A1EE-D1F1860E3456}">
  <dimension ref="A1:L11"/>
  <sheetViews>
    <sheetView workbookViewId="0"/>
  </sheetViews>
  <sheetFormatPr defaultRowHeight="13.5" x14ac:dyDescent="0.3"/>
  <cols>
    <col min="1" max="1" width="7.61328125" customWidth="1"/>
    <col min="2" max="2" width="6.61328125" customWidth="1"/>
    <col min="3" max="3" width="7.61328125" customWidth="1"/>
    <col min="4" max="4" width="50.61328125" customWidth="1"/>
    <col min="5" max="6" width="14.61328125" customWidth="1"/>
    <col min="7" max="9" width="11.61328125" customWidth="1"/>
    <col min="10" max="10" width="12.61328125" customWidth="1"/>
    <col min="11" max="11" width="14.61328125" customWidth="1"/>
    <col min="12" max="12" width="13.61328125" customWidth="1"/>
  </cols>
  <sheetData>
    <row r="1" spans="1:12" x14ac:dyDescent="0.3">
      <c r="A1" s="1" t="str">
        <f>CONCATENATE("Bijlage I.12: ",tabeltype," glas")</f>
        <v>Bijlage I.12: Invultabel glas</v>
      </c>
    </row>
    <row r="3" spans="1:12" ht="40.5" x14ac:dyDescent="0.3">
      <c r="A3" s="27" t="s">
        <v>1420</v>
      </c>
      <c r="B3" s="27" t="s">
        <v>7</v>
      </c>
      <c r="C3" s="27" t="s">
        <v>1421</v>
      </c>
      <c r="D3" s="27" t="s">
        <v>94</v>
      </c>
      <c r="E3" s="27" t="s">
        <v>97</v>
      </c>
      <c r="F3" s="27" t="s">
        <v>1422</v>
      </c>
      <c r="G3" s="27" t="s">
        <v>1423</v>
      </c>
      <c r="H3" s="27" t="s">
        <v>1424</v>
      </c>
      <c r="I3" s="27" t="s">
        <v>1425</v>
      </c>
      <c r="J3" s="27" t="s">
        <v>1426</v>
      </c>
      <c r="K3" s="27" t="s">
        <v>212</v>
      </c>
      <c r="L3" s="27" t="s">
        <v>1375</v>
      </c>
    </row>
    <row r="4" spans="1:12" x14ac:dyDescent="0.3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 x14ac:dyDescent="0.3">
      <c r="A5" s="31" t="s">
        <v>99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3"/>
    </row>
    <row r="6" spans="1:12" x14ac:dyDescent="0.3">
      <c r="A6" s="34" t="s">
        <v>1577</v>
      </c>
      <c r="B6" s="34" t="s">
        <v>25</v>
      </c>
      <c r="C6" s="35">
        <f>IF(ISBLANK(B6),0,IF(ISERROR(VALUE(B6)),VLOOKUP(B6,dagsoorttabel1,2,FALSE)*dagenperjaar1,VALUE(B6)))</f>
        <v>2</v>
      </c>
      <c r="D6" s="34" t="s">
        <v>1578</v>
      </c>
      <c r="E6" s="34" t="s">
        <v>1460</v>
      </c>
      <c r="F6" s="115">
        <v>10000</v>
      </c>
      <c r="G6" s="108"/>
      <c r="H6" s="109"/>
      <c r="I6" s="108"/>
      <c r="J6" s="38">
        <f>IF(ISBLANK(F6),0,F6)*ROUND(I6,2)</f>
        <v>0</v>
      </c>
      <c r="K6" s="38">
        <f>C6*J6</f>
        <v>0</v>
      </c>
      <c r="L6" s="38">
        <f>K6/12</f>
        <v>0</v>
      </c>
    </row>
    <row r="7" spans="1:12" x14ac:dyDescent="0.3">
      <c r="A7" s="39" t="s">
        <v>1579</v>
      </c>
      <c r="B7" s="39" t="s">
        <v>25</v>
      </c>
      <c r="C7" s="40">
        <f>IF(ISBLANK(B7),0,IF(ISERROR(VALUE(B7)),VLOOKUP(B7,dagsoorttabel1,2,FALSE)*dagenperjaar1,VALUE(B7)))</f>
        <v>2</v>
      </c>
      <c r="D7" s="39" t="s">
        <v>1580</v>
      </c>
      <c r="E7" s="39" t="s">
        <v>1460</v>
      </c>
      <c r="F7" s="117">
        <v>10000</v>
      </c>
      <c r="G7" s="110"/>
      <c r="H7" s="111"/>
      <c r="I7" s="110"/>
      <c r="J7" s="43">
        <f>IF(ISBLANK(F7),0,F7)*ROUND(I7,2)</f>
        <v>0</v>
      </c>
      <c r="K7" s="43">
        <f>C7*J7</f>
        <v>0</v>
      </c>
      <c r="L7" s="43">
        <f>K7/12</f>
        <v>0</v>
      </c>
    </row>
    <row r="8" spans="1:12" x14ac:dyDescent="0.3">
      <c r="A8" s="44" t="s">
        <v>1581</v>
      </c>
      <c r="B8" s="44" t="s">
        <v>25</v>
      </c>
      <c r="C8" s="45">
        <f>IF(ISBLANK(B8),0,IF(ISERROR(VALUE(B8)),VLOOKUP(B8,dagsoorttabel1,2,FALSE)*dagenperjaar1,VALUE(B8)))</f>
        <v>2</v>
      </c>
      <c r="D8" s="44" t="s">
        <v>1582</v>
      </c>
      <c r="E8" s="44" t="s">
        <v>1460</v>
      </c>
      <c r="F8" s="119">
        <v>8000</v>
      </c>
      <c r="G8" s="113"/>
      <c r="H8" s="128"/>
      <c r="I8" s="113"/>
      <c r="J8" s="48">
        <f>IF(ISBLANK(F8),0,F8)*ROUND(I8,2)</f>
        <v>0</v>
      </c>
      <c r="K8" s="48">
        <f>C8*J8</f>
        <v>0</v>
      </c>
      <c r="L8" s="48">
        <f>K8/12</f>
        <v>0</v>
      </c>
    </row>
    <row r="9" spans="1:12" x14ac:dyDescent="0.3">
      <c r="A9" s="59" t="s">
        <v>260</v>
      </c>
      <c r="B9" s="60"/>
      <c r="C9" s="60"/>
      <c r="D9" s="60"/>
      <c r="E9" s="60"/>
      <c r="F9" s="60"/>
      <c r="G9" s="60"/>
      <c r="H9" s="60"/>
      <c r="I9" s="60"/>
      <c r="J9" s="60"/>
      <c r="K9" s="62">
        <f>SUM(K6:K8)</f>
        <v>0</v>
      </c>
      <c r="L9" s="121">
        <f>K9/12</f>
        <v>0</v>
      </c>
    </row>
    <row r="11" spans="1:12" x14ac:dyDescent="0.3">
      <c r="A11" s="59" t="s">
        <v>1583</v>
      </c>
      <c r="B11" s="60"/>
      <c r="C11" s="60"/>
      <c r="D11" s="60"/>
      <c r="E11" s="60"/>
      <c r="F11" s="60"/>
      <c r="G11" s="60"/>
      <c r="H11" s="60"/>
      <c r="I11" s="60"/>
      <c r="J11" s="60"/>
      <c r="K11" s="62">
        <f>prijsjaarglas1</f>
        <v>0</v>
      </c>
      <c r="L11" s="121">
        <f>K11/12</f>
        <v>0</v>
      </c>
    </row>
  </sheetData>
  <sheetProtection algorithmName="SHA-512" hashValue="uzE8vA1adyhKi9BycEGlppB3Y8PxMXnVFSj1fEdzNu9p1mf86ubevn5MLKjKuWN8EX3+ThEflnldFLca2y/Hzw==" saltValue="9c30lNm+RcPrxuaECe+4Qw==" spinCount="100000" sheet="1" objects="1" scenarios="1" autoFilter="0"/>
  <pageMargins left="0.7" right="0.7" top="0.75" bottom="0.75" header="0.3" footer="0.3"/>
  <pageSetup scale="65" orientation="landscape" r:id="rId1"/>
  <headerFooter>
    <oddFooter>&amp;LStichting Onderwijsgroep Amersfoort                         &amp;ROpmaakdatum: 07-07-2025
Intexso - Plantageweg 23E - Leusden
+31 (33) 2778485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81ACB-E42F-4BCA-B3B7-7F7049DDCC3D}">
  <dimension ref="A1:F19"/>
  <sheetViews>
    <sheetView topLeftCell="A3" workbookViewId="0">
      <selection activeCell="E19" sqref="E19"/>
    </sheetView>
  </sheetViews>
  <sheetFormatPr defaultRowHeight="13.5" x14ac:dyDescent="0.3"/>
  <cols>
    <col min="1" max="1" width="30.61328125" customWidth="1"/>
    <col min="2" max="6" width="20.61328125" customWidth="1"/>
  </cols>
  <sheetData>
    <row r="1" spans="1:6" x14ac:dyDescent="0.3">
      <c r="A1" s="1" t="str">
        <f>CONCATENATE("Bijlage I.13: ",tabeltype," totaalblad schoonmaakwerk")</f>
        <v>Bijlage I.13: Invultabel totaalblad schoonmaakwerk</v>
      </c>
    </row>
    <row r="3" spans="1:6" ht="27" x14ac:dyDescent="0.3">
      <c r="A3" s="27" t="s">
        <v>1584</v>
      </c>
      <c r="B3" s="27" t="s">
        <v>1585</v>
      </c>
      <c r="C3" s="27" t="s">
        <v>1586</v>
      </c>
      <c r="D3" s="27" t="s">
        <v>1587</v>
      </c>
      <c r="E3" s="27" t="s">
        <v>1588</v>
      </c>
      <c r="F3" s="27" t="s">
        <v>1589</v>
      </c>
    </row>
    <row r="4" spans="1:6" x14ac:dyDescent="0.3">
      <c r="A4" s="129" t="s">
        <v>1590</v>
      </c>
      <c r="B4" s="49">
        <f>urenjaartotaaloverzicht</f>
        <v>0</v>
      </c>
      <c r="C4" s="49">
        <f>urenjaartotaaloverzichthf</f>
        <v>0</v>
      </c>
      <c r="D4" s="109"/>
      <c r="E4" s="38">
        <f>prijsjaartotaaloverzicht</f>
        <v>0</v>
      </c>
      <c r="F4" s="38">
        <f>E4*1.21</f>
        <v>0</v>
      </c>
    </row>
    <row r="5" spans="1:6" x14ac:dyDescent="0.3">
      <c r="A5" s="130" t="s">
        <v>1591</v>
      </c>
      <c r="B5" s="111"/>
      <c r="C5" s="111"/>
      <c r="D5" s="52">
        <f>urenjaarnietmeewerkend</f>
        <v>0</v>
      </c>
      <c r="E5" s="43">
        <f>prijsjaarnietmeewerkend</f>
        <v>0</v>
      </c>
      <c r="F5" s="43">
        <f>E5*1.21</f>
        <v>0</v>
      </c>
    </row>
    <row r="6" spans="1:6" x14ac:dyDescent="0.3">
      <c r="A6" s="130" t="s">
        <v>1592</v>
      </c>
      <c r="B6" s="111"/>
      <c r="C6" s="111"/>
      <c r="D6" s="111"/>
      <c r="E6" s="43">
        <f>prijsjaaradditioneel</f>
        <v>0</v>
      </c>
      <c r="F6" s="43">
        <f>E6*1.21</f>
        <v>0</v>
      </c>
    </row>
    <row r="7" spans="1:6" x14ac:dyDescent="0.3">
      <c r="A7" s="130" t="s">
        <v>1593</v>
      </c>
      <c r="B7" s="111"/>
      <c r="C7" s="111"/>
      <c r="D7" s="111"/>
      <c r="E7" s="43">
        <f>prijsjaarregie</f>
        <v>0</v>
      </c>
      <c r="F7" s="43">
        <f>E7*1.21</f>
        <v>0</v>
      </c>
    </row>
    <row r="8" spans="1:6" x14ac:dyDescent="0.3">
      <c r="A8" s="131" t="s">
        <v>1594</v>
      </c>
      <c r="B8" s="128"/>
      <c r="C8" s="128"/>
      <c r="D8" s="128"/>
      <c r="E8" s="48">
        <f>prijsjaarglas</f>
        <v>0</v>
      </c>
      <c r="F8" s="48">
        <f>E8*1.21</f>
        <v>0</v>
      </c>
    </row>
    <row r="10" spans="1:6" x14ac:dyDescent="0.3">
      <c r="A10" s="27" t="s">
        <v>1595</v>
      </c>
      <c r="B10" s="61">
        <f>SUM(B4:B8)</f>
        <v>0</v>
      </c>
      <c r="C10" s="61">
        <f>SUM(C4:C8)</f>
        <v>0</v>
      </c>
      <c r="D10" s="61">
        <f>SUM(D4:D8)</f>
        <v>0</v>
      </c>
      <c r="E10" s="62">
        <f>SUM(E4:E8)</f>
        <v>0</v>
      </c>
      <c r="F10" s="62">
        <f>E10*1.21</f>
        <v>0</v>
      </c>
    </row>
    <row r="17" spans="1:5" ht="14.5" x14ac:dyDescent="0.35">
      <c r="A17" s="132" t="s">
        <v>1596</v>
      </c>
      <c r="B17" s="133"/>
      <c r="C17" s="133"/>
      <c r="D17" s="134"/>
      <c r="E17" s="135">
        <f>E4+E5</f>
        <v>0</v>
      </c>
    </row>
    <row r="18" spans="1:5" ht="14.5" x14ac:dyDescent="0.35">
      <c r="A18" s="136"/>
      <c r="B18" s="137"/>
      <c r="C18" s="137"/>
      <c r="D18" s="137"/>
      <c r="E18" s="134"/>
    </row>
    <row r="19" spans="1:5" ht="14.5" x14ac:dyDescent="0.35">
      <c r="A19" s="132" t="s">
        <v>1597</v>
      </c>
      <c r="B19" s="133"/>
      <c r="C19" s="133"/>
      <c r="D19" s="134"/>
      <c r="E19" s="135">
        <f>E6+E7+E8</f>
        <v>0</v>
      </c>
    </row>
  </sheetData>
  <sheetProtection algorithmName="SHA-512" hashValue="euJYtDxQgWMmxwJENFbxZvJ3V2UNjjLgkz9C+uEtjhr1fvx5ijq/txeBN4uj5PkvovjB0gMkTnjsfWWHzrhSyA==" saltValue="rW/VzdA+WSbAvOHOa5dZ2g==" spinCount="100000" sheet="1" objects="1" scenarios="1" autoFilter="0"/>
  <pageMargins left="0.7" right="0.7" top="0.75" bottom="0.75" header="0.3" footer="0.3"/>
  <pageSetup scale="70" orientation="landscape" r:id="rId1"/>
  <headerFooter>
    <oddFooter>&amp;LStichting Onderwijsgroep Amersfoort                         &amp;ROpmaakdatum: 07-07-2025
Intexso - Plantageweg 23E - Leusden
+31 (33) 2778485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FCE63-B2E3-46AE-B717-62089ED92958}">
  <dimension ref="A1:Q56"/>
  <sheetViews>
    <sheetView tabSelected="1" topLeftCell="A31" workbookViewId="0">
      <selection activeCell="B47" sqref="B47"/>
    </sheetView>
  </sheetViews>
  <sheetFormatPr defaultRowHeight="13.5" x14ac:dyDescent="0.3"/>
  <cols>
    <col min="1" max="1" width="40.61328125" customWidth="1"/>
    <col min="2" max="2" width="8.15234375" customWidth="1"/>
    <col min="3" max="3" width="10.61328125" customWidth="1"/>
    <col min="4" max="4" width="8.15234375" customWidth="1"/>
    <col min="5" max="5" width="10.61328125" customWidth="1"/>
    <col min="6" max="6" width="8.15234375" customWidth="1"/>
    <col min="7" max="7" width="10.61328125" customWidth="1"/>
    <col min="8" max="8" width="8.15234375" customWidth="1"/>
    <col min="9" max="9" width="10.61328125" customWidth="1"/>
    <col min="10" max="10" width="8.15234375" customWidth="1"/>
    <col min="11" max="11" width="10.61328125" customWidth="1"/>
    <col min="12" max="12" width="8.15234375" customWidth="1"/>
    <col min="13" max="13" width="10.61328125" customWidth="1"/>
    <col min="14" max="14" width="8.15234375" customWidth="1"/>
    <col min="15" max="15" width="10.61328125" customWidth="1"/>
    <col min="16" max="16" width="8.15234375" customWidth="1"/>
    <col min="17" max="17" width="10.61328125" customWidth="1"/>
  </cols>
  <sheetData>
    <row r="1" spans="1:17" x14ac:dyDescent="0.3">
      <c r="A1" s="1" t="s">
        <v>27</v>
      </c>
    </row>
    <row r="3" spans="1:17" x14ac:dyDescent="0.3">
      <c r="A3" s="8"/>
      <c r="B3" s="145" t="s">
        <v>28</v>
      </c>
      <c r="C3" s="145"/>
      <c r="D3" s="145" t="s">
        <v>28</v>
      </c>
      <c r="E3" s="145"/>
      <c r="F3" s="145" t="s">
        <v>28</v>
      </c>
      <c r="G3" s="145"/>
      <c r="H3" s="145" t="s">
        <v>28</v>
      </c>
      <c r="I3" s="145"/>
      <c r="J3" s="145" t="s">
        <v>28</v>
      </c>
      <c r="K3" s="145"/>
      <c r="L3" s="145" t="s">
        <v>29</v>
      </c>
      <c r="M3" s="145"/>
      <c r="N3" s="145" t="s">
        <v>29</v>
      </c>
      <c r="O3" s="145"/>
      <c r="P3" s="145" t="s">
        <v>29</v>
      </c>
      <c r="Q3" s="146"/>
    </row>
    <row r="4" spans="1:17" x14ac:dyDescent="0.3">
      <c r="A4" s="9"/>
      <c r="B4" s="147" t="s">
        <v>30</v>
      </c>
      <c r="C4" s="147"/>
      <c r="D4" s="147" t="s">
        <v>30</v>
      </c>
      <c r="E4" s="147"/>
      <c r="F4" s="147" t="s">
        <v>30</v>
      </c>
      <c r="G4" s="147"/>
      <c r="H4" s="147" t="s">
        <v>31</v>
      </c>
      <c r="I4" s="147"/>
      <c r="J4" s="147" t="s">
        <v>31</v>
      </c>
      <c r="K4" s="147"/>
      <c r="L4" s="147" t="s">
        <v>30</v>
      </c>
      <c r="M4" s="147"/>
      <c r="N4" s="147" t="s">
        <v>30</v>
      </c>
      <c r="O4" s="147"/>
      <c r="P4" s="147" t="s">
        <v>31</v>
      </c>
      <c r="Q4" s="148"/>
    </row>
    <row r="5" spans="1:17" ht="25.25" customHeight="1" x14ac:dyDescent="0.3">
      <c r="A5" s="12" t="s">
        <v>32</v>
      </c>
      <c r="B5" s="149" t="s">
        <v>33</v>
      </c>
      <c r="C5" s="149"/>
      <c r="D5" s="149" t="s">
        <v>33</v>
      </c>
      <c r="E5" s="149"/>
      <c r="F5" s="149" t="s">
        <v>34</v>
      </c>
      <c r="G5" s="149"/>
      <c r="H5" s="149" t="s">
        <v>35</v>
      </c>
      <c r="I5" s="149"/>
      <c r="J5" s="149" t="s">
        <v>35</v>
      </c>
      <c r="K5" s="149"/>
      <c r="L5" s="149" t="s">
        <v>36</v>
      </c>
      <c r="M5" s="149"/>
      <c r="N5" s="149" t="s">
        <v>36</v>
      </c>
      <c r="O5" s="149"/>
      <c r="P5" s="149" t="s">
        <v>37</v>
      </c>
      <c r="Q5" s="150"/>
    </row>
    <row r="6" spans="1:17" ht="37.75" customHeight="1" x14ac:dyDescent="0.3">
      <c r="A6" s="13" t="s">
        <v>38</v>
      </c>
      <c r="B6" s="149" t="s">
        <v>39</v>
      </c>
      <c r="C6" s="149"/>
      <c r="D6" s="151" t="s">
        <v>40</v>
      </c>
      <c r="E6" s="151"/>
      <c r="F6" s="149" t="s">
        <v>41</v>
      </c>
      <c r="G6" s="149"/>
      <c r="H6" s="149" t="s">
        <v>41</v>
      </c>
      <c r="I6" s="149"/>
      <c r="J6" s="149" t="s">
        <v>42</v>
      </c>
      <c r="K6" s="149"/>
      <c r="L6" s="151" t="s">
        <v>40</v>
      </c>
      <c r="M6" s="151"/>
      <c r="N6" s="149" t="s">
        <v>43</v>
      </c>
      <c r="O6" s="149"/>
      <c r="P6" s="151" t="s">
        <v>40</v>
      </c>
      <c r="Q6" s="152"/>
    </row>
    <row r="7" spans="1:17" x14ac:dyDescent="0.3">
      <c r="A7" s="14" t="s">
        <v>44</v>
      </c>
      <c r="B7" s="153"/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4"/>
    </row>
    <row r="8" spans="1:17" x14ac:dyDescent="0.3">
      <c r="A8" s="14" t="s">
        <v>45</v>
      </c>
      <c r="B8" s="153"/>
      <c r="C8" s="153"/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4"/>
    </row>
    <row r="9" spans="1:17" x14ac:dyDescent="0.3">
      <c r="A9" s="9" t="s">
        <v>46</v>
      </c>
      <c r="B9" s="155">
        <f>SUM(B7:B8)</f>
        <v>0</v>
      </c>
      <c r="C9" s="155"/>
      <c r="D9" s="155">
        <f>SUM(D7:D8)</f>
        <v>0</v>
      </c>
      <c r="E9" s="155"/>
      <c r="F9" s="155">
        <f>SUM(F7:F8)</f>
        <v>0</v>
      </c>
      <c r="G9" s="155"/>
      <c r="H9" s="155">
        <f>SUM(H7:H8)</f>
        <v>0</v>
      </c>
      <c r="I9" s="155"/>
      <c r="J9" s="155">
        <f>SUM(J7:J8)</f>
        <v>0</v>
      </c>
      <c r="K9" s="155"/>
      <c r="L9" s="155">
        <f>SUM(L7:L8)</f>
        <v>0</v>
      </c>
      <c r="M9" s="155"/>
      <c r="N9" s="155">
        <f>SUM(N7:N8)</f>
        <v>0</v>
      </c>
      <c r="O9" s="155"/>
      <c r="P9" s="155">
        <f>SUM(P7:P8)</f>
        <v>0</v>
      </c>
      <c r="Q9" s="156"/>
    </row>
    <row r="10" spans="1:17" x14ac:dyDescent="0.3">
      <c r="A10" s="14" t="s">
        <v>47</v>
      </c>
      <c r="B10" s="17"/>
      <c r="C10" s="15">
        <f>TariefOpbouwBasisloon1*B10</f>
        <v>0</v>
      </c>
      <c r="D10" s="17"/>
      <c r="E10" s="15">
        <f>TariefOpbouwBasisloon2*D10</f>
        <v>0</v>
      </c>
      <c r="F10" s="17"/>
      <c r="G10" s="15">
        <f>TariefOpbouwBasisloon3*F10</f>
        <v>0</v>
      </c>
      <c r="H10" s="17"/>
      <c r="I10" s="15">
        <f>TariefOpbouwBasisloon4*H10</f>
        <v>0</v>
      </c>
      <c r="J10" s="17"/>
      <c r="K10" s="15">
        <f>TariefOpbouwBasisloon5*J10</f>
        <v>0</v>
      </c>
      <c r="L10" s="17"/>
      <c r="M10" s="15">
        <f>TariefOpbouwBasisloon6*L10</f>
        <v>0</v>
      </c>
      <c r="N10" s="17"/>
      <c r="O10" s="15">
        <f>TariefOpbouwBasisloon7*N10</f>
        <v>0</v>
      </c>
      <c r="P10" s="17"/>
      <c r="Q10" s="16">
        <f>TariefOpbouwBasisloon8*P10</f>
        <v>0</v>
      </c>
    </row>
    <row r="11" spans="1:17" x14ac:dyDescent="0.3">
      <c r="A11" s="14" t="s">
        <v>48</v>
      </c>
      <c r="B11" s="17"/>
      <c r="C11" s="15">
        <f>TariefOpbouwBasisloon1*B11</f>
        <v>0</v>
      </c>
      <c r="D11" s="17"/>
      <c r="E11" s="15">
        <f>TariefOpbouwBasisloon2*D11</f>
        <v>0</v>
      </c>
      <c r="F11" s="17"/>
      <c r="G11" s="15">
        <f>TariefOpbouwBasisloon3*F11</f>
        <v>0</v>
      </c>
      <c r="H11" s="17"/>
      <c r="I11" s="15">
        <f>TariefOpbouwBasisloon4*H11</f>
        <v>0</v>
      </c>
      <c r="J11" s="17"/>
      <c r="K11" s="15">
        <f>TariefOpbouwBasisloon5*J11</f>
        <v>0</v>
      </c>
      <c r="L11" s="17"/>
      <c r="M11" s="15">
        <f>TariefOpbouwBasisloon6*L11</f>
        <v>0</v>
      </c>
      <c r="N11" s="17"/>
      <c r="O11" s="15">
        <f>TariefOpbouwBasisloon7*N11</f>
        <v>0</v>
      </c>
      <c r="P11" s="17"/>
      <c r="Q11" s="16">
        <f>TariefOpbouwBasisloon8*P11</f>
        <v>0</v>
      </c>
    </row>
    <row r="12" spans="1:17" x14ac:dyDescent="0.3">
      <c r="A12" s="9" t="s">
        <v>49</v>
      </c>
      <c r="B12" s="155">
        <f>SUM(TariefOpbouwBasisloon1,C10:C11)</f>
        <v>0</v>
      </c>
      <c r="C12" s="155"/>
      <c r="D12" s="155">
        <f>SUM(TariefOpbouwBasisloon2,E10:E11)</f>
        <v>0</v>
      </c>
      <c r="E12" s="155"/>
      <c r="F12" s="155">
        <f>SUM(TariefOpbouwBasisloon3,G10:G11)</f>
        <v>0</v>
      </c>
      <c r="G12" s="155"/>
      <c r="H12" s="155">
        <f>SUM(TariefOpbouwBasisloon4,I10:I11)</f>
        <v>0</v>
      </c>
      <c r="I12" s="155"/>
      <c r="J12" s="155">
        <f>SUM(TariefOpbouwBasisloon5,K10:K11)</f>
        <v>0</v>
      </c>
      <c r="K12" s="155"/>
      <c r="L12" s="155">
        <f>SUM(TariefOpbouwBasisloon6,M10:M11)</f>
        <v>0</v>
      </c>
      <c r="M12" s="155"/>
      <c r="N12" s="155">
        <f>SUM(TariefOpbouwBasisloon7,O10:O11)</f>
        <v>0</v>
      </c>
      <c r="O12" s="155"/>
      <c r="P12" s="155">
        <f>SUM(TariefOpbouwBasisloon8,Q10:Q11)</f>
        <v>0</v>
      </c>
      <c r="Q12" s="156"/>
    </row>
    <row r="13" spans="1:17" x14ac:dyDescent="0.3">
      <c r="A13" s="14" t="s">
        <v>50</v>
      </c>
      <c r="B13" s="17"/>
      <c r="C13" s="15">
        <f>TariefOpbouwUurloon1*B13</f>
        <v>0</v>
      </c>
      <c r="D13" s="17"/>
      <c r="E13" s="15">
        <f>TariefOpbouwUurloon2*D13</f>
        <v>0</v>
      </c>
      <c r="F13" s="17"/>
      <c r="G13" s="15">
        <f>TariefOpbouwUurloon3*F13</f>
        <v>0</v>
      </c>
      <c r="H13" s="17"/>
      <c r="I13" s="15">
        <f>TariefOpbouwUurloon4*H13</f>
        <v>0</v>
      </c>
      <c r="J13" s="17"/>
      <c r="K13" s="15">
        <f>TariefOpbouwUurloon5*J13</f>
        <v>0</v>
      </c>
      <c r="L13" s="17"/>
      <c r="M13" s="15">
        <f>TariefOpbouwUurloon6*L13</f>
        <v>0</v>
      </c>
      <c r="N13" s="17"/>
      <c r="O13" s="15">
        <f>TariefOpbouwUurloon7*N13</f>
        <v>0</v>
      </c>
      <c r="P13" s="17"/>
      <c r="Q13" s="16">
        <f>TariefOpbouwUurloon8*P13</f>
        <v>0</v>
      </c>
    </row>
    <row r="14" spans="1:17" x14ac:dyDescent="0.3">
      <c r="A14" s="9" t="s">
        <v>51</v>
      </c>
      <c r="B14" s="155">
        <f>SUM(TariefOpbouwUurloon1,C13:C13)</f>
        <v>0</v>
      </c>
      <c r="C14" s="155"/>
      <c r="D14" s="155">
        <f>SUM(TariefOpbouwUurloon2,E13:E13)</f>
        <v>0</v>
      </c>
      <c r="E14" s="155"/>
      <c r="F14" s="155">
        <f>SUM(TariefOpbouwUurloon3,G13:G13)</f>
        <v>0</v>
      </c>
      <c r="G14" s="155"/>
      <c r="H14" s="155">
        <f>SUM(TariefOpbouwUurloon4,I13:I13)</f>
        <v>0</v>
      </c>
      <c r="I14" s="155"/>
      <c r="J14" s="155">
        <f>SUM(TariefOpbouwUurloon5,K13:K13)</f>
        <v>0</v>
      </c>
      <c r="K14" s="155"/>
      <c r="L14" s="155">
        <f>SUM(TariefOpbouwUurloon6,M13:M13)</f>
        <v>0</v>
      </c>
      <c r="M14" s="155"/>
      <c r="N14" s="155">
        <f>SUM(TariefOpbouwUurloon7,O13:O13)</f>
        <v>0</v>
      </c>
      <c r="O14" s="155"/>
      <c r="P14" s="155">
        <f>SUM(TariefOpbouwUurloon8,Q13:Q13)</f>
        <v>0</v>
      </c>
      <c r="Q14" s="156"/>
    </row>
    <row r="15" spans="1:17" x14ac:dyDescent="0.3">
      <c r="A15" s="14" t="s">
        <v>52</v>
      </c>
      <c r="B15" s="17"/>
      <c r="C15" s="15">
        <f>TariefOpbouwUurloonkosten1*B15</f>
        <v>0</v>
      </c>
      <c r="D15" s="17"/>
      <c r="E15" s="15">
        <f>TariefOpbouwUurloonkosten2*D15</f>
        <v>0</v>
      </c>
      <c r="F15" s="17"/>
      <c r="G15" s="15">
        <f>TariefOpbouwUurloonkosten3*F15</f>
        <v>0</v>
      </c>
      <c r="H15" s="17"/>
      <c r="I15" s="15">
        <f>TariefOpbouwUurloonkosten4*H15</f>
        <v>0</v>
      </c>
      <c r="J15" s="17"/>
      <c r="K15" s="15">
        <f>TariefOpbouwUurloonkosten5*J15</f>
        <v>0</v>
      </c>
      <c r="L15" s="17"/>
      <c r="M15" s="15">
        <f>TariefOpbouwUurloonkosten6*L15</f>
        <v>0</v>
      </c>
      <c r="N15" s="17"/>
      <c r="O15" s="15">
        <f>TariefOpbouwUurloonkosten7*N15</f>
        <v>0</v>
      </c>
      <c r="P15" s="17"/>
      <c r="Q15" s="16">
        <f>TariefOpbouwUurloonkosten8*P15</f>
        <v>0</v>
      </c>
    </row>
    <row r="16" spans="1:17" x14ac:dyDescent="0.3">
      <c r="A16" s="14" t="s">
        <v>53</v>
      </c>
      <c r="B16" s="17"/>
      <c r="C16" s="15">
        <f>TariefOpbouwUurloonkosten1*B16</f>
        <v>0</v>
      </c>
      <c r="D16" s="17"/>
      <c r="E16" s="15">
        <f>TariefOpbouwUurloonkosten2*D16</f>
        <v>0</v>
      </c>
      <c r="F16" s="17"/>
      <c r="G16" s="15">
        <f>TariefOpbouwUurloonkosten3*F16</f>
        <v>0</v>
      </c>
      <c r="H16" s="17"/>
      <c r="I16" s="15">
        <f>TariefOpbouwUurloonkosten4*H16</f>
        <v>0</v>
      </c>
      <c r="J16" s="17"/>
      <c r="K16" s="15">
        <f>TariefOpbouwUurloonkosten5*J16</f>
        <v>0</v>
      </c>
      <c r="L16" s="17"/>
      <c r="M16" s="15">
        <f>TariefOpbouwUurloonkosten6*L16</f>
        <v>0</v>
      </c>
      <c r="N16" s="17"/>
      <c r="O16" s="15">
        <f>TariefOpbouwUurloonkosten7*N16</f>
        <v>0</v>
      </c>
      <c r="P16" s="17"/>
      <c r="Q16" s="16">
        <f>TariefOpbouwUurloonkosten8*P16</f>
        <v>0</v>
      </c>
    </row>
    <row r="17" spans="1:17" x14ac:dyDescent="0.3">
      <c r="A17" s="14" t="s">
        <v>54</v>
      </c>
      <c r="B17" s="17"/>
      <c r="C17" s="15">
        <f>TariefOpbouwUurloonkosten1*B17</f>
        <v>0</v>
      </c>
      <c r="D17" s="17"/>
      <c r="E17" s="15">
        <f>TariefOpbouwUurloonkosten2*D17</f>
        <v>0</v>
      </c>
      <c r="F17" s="17"/>
      <c r="G17" s="15">
        <f>TariefOpbouwUurloonkosten3*F17</f>
        <v>0</v>
      </c>
      <c r="H17" s="17"/>
      <c r="I17" s="15">
        <f>TariefOpbouwUurloonkosten4*H17</f>
        <v>0</v>
      </c>
      <c r="J17" s="17"/>
      <c r="K17" s="15">
        <f>TariefOpbouwUurloonkosten5*J17</f>
        <v>0</v>
      </c>
      <c r="L17" s="17"/>
      <c r="M17" s="15">
        <f>TariefOpbouwUurloonkosten6*L17</f>
        <v>0</v>
      </c>
      <c r="N17" s="17"/>
      <c r="O17" s="15">
        <f>TariefOpbouwUurloonkosten7*N17</f>
        <v>0</v>
      </c>
      <c r="P17" s="17"/>
      <c r="Q17" s="16">
        <f>TariefOpbouwUurloonkosten8*P17</f>
        <v>0</v>
      </c>
    </row>
    <row r="18" spans="1:17" x14ac:dyDescent="0.3">
      <c r="A18" s="14" t="s">
        <v>55</v>
      </c>
      <c r="B18" s="17"/>
      <c r="C18" s="15">
        <f>TariefOpbouwUurloonkosten1*B18</f>
        <v>0</v>
      </c>
      <c r="D18" s="17"/>
      <c r="E18" s="15">
        <f>TariefOpbouwUurloonkosten2*D18</f>
        <v>0</v>
      </c>
      <c r="F18" s="17"/>
      <c r="G18" s="15">
        <f>TariefOpbouwUurloonkosten3*F18</f>
        <v>0</v>
      </c>
      <c r="H18" s="17"/>
      <c r="I18" s="15">
        <f>TariefOpbouwUurloonkosten4*H18</f>
        <v>0</v>
      </c>
      <c r="J18" s="17"/>
      <c r="K18" s="15">
        <f>TariefOpbouwUurloonkosten5*J18</f>
        <v>0</v>
      </c>
      <c r="L18" s="17"/>
      <c r="M18" s="15">
        <f>TariefOpbouwUurloonkosten6*L18</f>
        <v>0</v>
      </c>
      <c r="N18" s="17"/>
      <c r="O18" s="15">
        <f>TariefOpbouwUurloonkosten7*N18</f>
        <v>0</v>
      </c>
      <c r="P18" s="17"/>
      <c r="Q18" s="16">
        <f>TariefOpbouwUurloonkosten8*P18</f>
        <v>0</v>
      </c>
    </row>
    <row r="19" spans="1:17" x14ac:dyDescent="0.3">
      <c r="A19" s="9" t="s">
        <v>56</v>
      </c>
      <c r="B19" s="155">
        <f>SUM(TariefOpbouwUurloonkosten1,C15:C18)</f>
        <v>0</v>
      </c>
      <c r="C19" s="155"/>
      <c r="D19" s="155">
        <f>SUM(TariefOpbouwUurloonkosten2,E15:E18)</f>
        <v>0</v>
      </c>
      <c r="E19" s="155"/>
      <c r="F19" s="155">
        <f>SUM(TariefOpbouwUurloonkosten3,G15:G18)</f>
        <v>0</v>
      </c>
      <c r="G19" s="155"/>
      <c r="H19" s="155">
        <f>SUM(TariefOpbouwUurloonkosten4,I15:I18)</f>
        <v>0</v>
      </c>
      <c r="I19" s="155"/>
      <c r="J19" s="155">
        <f>SUM(TariefOpbouwUurloonkosten5,K15:K18)</f>
        <v>0</v>
      </c>
      <c r="K19" s="155"/>
      <c r="L19" s="155">
        <f>SUM(TariefOpbouwUurloonkosten6,M15:M18)</f>
        <v>0</v>
      </c>
      <c r="M19" s="155"/>
      <c r="N19" s="155">
        <f>SUM(TariefOpbouwUurloonkosten7,O15:O18)</f>
        <v>0</v>
      </c>
      <c r="O19" s="155"/>
      <c r="P19" s="155">
        <f>SUM(TariefOpbouwUurloonkosten8,Q15:Q18)</f>
        <v>0</v>
      </c>
      <c r="Q19" s="156"/>
    </row>
    <row r="20" spans="1:17" x14ac:dyDescent="0.3">
      <c r="A20" s="14" t="s">
        <v>57</v>
      </c>
      <c r="B20" s="17"/>
      <c r="C20" s="15">
        <f t="shared" ref="C20:C25" si="0">TariefOpbouwTotaalLoonkosten1*B20</f>
        <v>0</v>
      </c>
      <c r="D20" s="17"/>
      <c r="E20" s="15">
        <f t="shared" ref="E20:E25" si="1">TariefOpbouwTotaalLoonkosten2*D20</f>
        <v>0</v>
      </c>
      <c r="F20" s="17"/>
      <c r="G20" s="15">
        <f t="shared" ref="G20:G25" si="2">TariefOpbouwTotaalLoonkosten3*F20</f>
        <v>0</v>
      </c>
      <c r="H20" s="17"/>
      <c r="I20" s="15">
        <f t="shared" ref="I20:I25" si="3">TariefOpbouwTotaalLoonkosten4*H20</f>
        <v>0</v>
      </c>
      <c r="J20" s="17"/>
      <c r="K20" s="15">
        <f t="shared" ref="K20:K25" si="4">TariefOpbouwTotaalLoonkosten5*J20</f>
        <v>0</v>
      </c>
      <c r="L20" s="17"/>
      <c r="M20" s="15">
        <f t="shared" ref="M20:M25" si="5">TariefOpbouwTotaalLoonkosten6*L20</f>
        <v>0</v>
      </c>
      <c r="N20" s="17"/>
      <c r="O20" s="15">
        <f t="shared" ref="O20:O25" si="6">TariefOpbouwTotaalLoonkosten7*N20</f>
        <v>0</v>
      </c>
      <c r="P20" s="17"/>
      <c r="Q20" s="16">
        <f t="shared" ref="Q20:Q25" si="7">TariefOpbouwTotaalLoonkosten8*P20</f>
        <v>0</v>
      </c>
    </row>
    <row r="21" spans="1:17" x14ac:dyDescent="0.3">
      <c r="A21" s="14" t="s">
        <v>58</v>
      </c>
      <c r="B21" s="17"/>
      <c r="C21" s="15">
        <f t="shared" si="0"/>
        <v>0</v>
      </c>
      <c r="D21" s="17"/>
      <c r="E21" s="15">
        <f t="shared" si="1"/>
        <v>0</v>
      </c>
      <c r="F21" s="17"/>
      <c r="G21" s="15">
        <f t="shared" si="2"/>
        <v>0</v>
      </c>
      <c r="H21" s="17"/>
      <c r="I21" s="15">
        <f t="shared" si="3"/>
        <v>0</v>
      </c>
      <c r="J21" s="17"/>
      <c r="K21" s="15">
        <f t="shared" si="4"/>
        <v>0</v>
      </c>
      <c r="L21" s="17"/>
      <c r="M21" s="15">
        <f t="shared" si="5"/>
        <v>0</v>
      </c>
      <c r="N21" s="17"/>
      <c r="O21" s="15">
        <f t="shared" si="6"/>
        <v>0</v>
      </c>
      <c r="P21" s="17"/>
      <c r="Q21" s="16">
        <f t="shared" si="7"/>
        <v>0</v>
      </c>
    </row>
    <row r="22" spans="1:17" x14ac:dyDescent="0.3">
      <c r="A22" s="14" t="s">
        <v>59</v>
      </c>
      <c r="B22" s="17"/>
      <c r="C22" s="15">
        <f t="shared" si="0"/>
        <v>0</v>
      </c>
      <c r="D22" s="17"/>
      <c r="E22" s="15">
        <f t="shared" si="1"/>
        <v>0</v>
      </c>
      <c r="F22" s="17"/>
      <c r="G22" s="15">
        <f t="shared" si="2"/>
        <v>0</v>
      </c>
      <c r="H22" s="17"/>
      <c r="I22" s="15">
        <f t="shared" si="3"/>
        <v>0</v>
      </c>
      <c r="J22" s="17"/>
      <c r="K22" s="15">
        <f t="shared" si="4"/>
        <v>0</v>
      </c>
      <c r="L22" s="17"/>
      <c r="M22" s="15">
        <f t="shared" si="5"/>
        <v>0</v>
      </c>
      <c r="N22" s="17"/>
      <c r="O22" s="15">
        <f t="shared" si="6"/>
        <v>0</v>
      </c>
      <c r="P22" s="17"/>
      <c r="Q22" s="16">
        <f t="shared" si="7"/>
        <v>0</v>
      </c>
    </row>
    <row r="23" spans="1:17" x14ac:dyDescent="0.3">
      <c r="A23" s="14" t="s">
        <v>60</v>
      </c>
      <c r="B23" s="17"/>
      <c r="C23" s="15">
        <f t="shared" si="0"/>
        <v>0</v>
      </c>
      <c r="D23" s="17"/>
      <c r="E23" s="15">
        <f t="shared" si="1"/>
        <v>0</v>
      </c>
      <c r="F23" s="17"/>
      <c r="G23" s="15">
        <f t="shared" si="2"/>
        <v>0</v>
      </c>
      <c r="H23" s="17"/>
      <c r="I23" s="15">
        <f t="shared" si="3"/>
        <v>0</v>
      </c>
      <c r="J23" s="17"/>
      <c r="K23" s="15">
        <f t="shared" si="4"/>
        <v>0</v>
      </c>
      <c r="L23" s="17"/>
      <c r="M23" s="15">
        <f t="shared" si="5"/>
        <v>0</v>
      </c>
      <c r="N23" s="17"/>
      <c r="O23" s="15">
        <f t="shared" si="6"/>
        <v>0</v>
      </c>
      <c r="P23" s="17"/>
      <c r="Q23" s="16">
        <f t="shared" si="7"/>
        <v>0</v>
      </c>
    </row>
    <row r="24" spans="1:17" x14ac:dyDescent="0.3">
      <c r="A24" s="14" t="s">
        <v>61</v>
      </c>
      <c r="B24" s="17"/>
      <c r="C24" s="15">
        <f t="shared" si="0"/>
        <v>0</v>
      </c>
      <c r="D24" s="17"/>
      <c r="E24" s="15">
        <f t="shared" si="1"/>
        <v>0</v>
      </c>
      <c r="F24" s="17"/>
      <c r="G24" s="15">
        <f t="shared" si="2"/>
        <v>0</v>
      </c>
      <c r="H24" s="17"/>
      <c r="I24" s="15">
        <f t="shared" si="3"/>
        <v>0</v>
      </c>
      <c r="J24" s="17"/>
      <c r="K24" s="15">
        <f t="shared" si="4"/>
        <v>0</v>
      </c>
      <c r="L24" s="17"/>
      <c r="M24" s="15">
        <f t="shared" si="5"/>
        <v>0</v>
      </c>
      <c r="N24" s="17"/>
      <c r="O24" s="15">
        <f t="shared" si="6"/>
        <v>0</v>
      </c>
      <c r="P24" s="17"/>
      <c r="Q24" s="16">
        <f t="shared" si="7"/>
        <v>0</v>
      </c>
    </row>
    <row r="25" spans="1:17" x14ac:dyDescent="0.3">
      <c r="A25" s="14" t="s">
        <v>62</v>
      </c>
      <c r="B25" s="17"/>
      <c r="C25" s="15">
        <f t="shared" si="0"/>
        <v>0</v>
      </c>
      <c r="D25" s="17"/>
      <c r="E25" s="15">
        <f t="shared" si="1"/>
        <v>0</v>
      </c>
      <c r="F25" s="17"/>
      <c r="G25" s="15">
        <f t="shared" si="2"/>
        <v>0</v>
      </c>
      <c r="H25" s="17"/>
      <c r="I25" s="15">
        <f t="shared" si="3"/>
        <v>0</v>
      </c>
      <c r="J25" s="17"/>
      <c r="K25" s="15">
        <f t="shared" si="4"/>
        <v>0</v>
      </c>
      <c r="L25" s="17"/>
      <c r="M25" s="15">
        <f t="shared" si="5"/>
        <v>0</v>
      </c>
      <c r="N25" s="17"/>
      <c r="O25" s="15">
        <f t="shared" si="6"/>
        <v>0</v>
      </c>
      <c r="P25" s="17"/>
      <c r="Q25" s="16">
        <f t="shared" si="7"/>
        <v>0</v>
      </c>
    </row>
    <row r="26" spans="1:17" x14ac:dyDescent="0.3">
      <c r="A26" s="9" t="s">
        <v>63</v>
      </c>
      <c r="B26" s="155">
        <f>SUM(TariefOpbouwTotaalLoonkosten1,C20:C25)</f>
        <v>0</v>
      </c>
      <c r="C26" s="155"/>
      <c r="D26" s="155">
        <f>SUM(TariefOpbouwTotaalLoonkosten2,E20:E25)</f>
        <v>0</v>
      </c>
      <c r="E26" s="155"/>
      <c r="F26" s="155">
        <f>SUM(TariefOpbouwTotaalLoonkosten3,G20:G25)</f>
        <v>0</v>
      </c>
      <c r="G26" s="155"/>
      <c r="H26" s="155">
        <f>SUM(TariefOpbouwTotaalLoonkosten4,I20:I25)</f>
        <v>0</v>
      </c>
      <c r="I26" s="155"/>
      <c r="J26" s="155">
        <f>SUM(TariefOpbouwTotaalLoonkosten5,K20:K25)</f>
        <v>0</v>
      </c>
      <c r="K26" s="155"/>
      <c r="L26" s="155">
        <f>SUM(TariefOpbouwTotaalLoonkosten6,M20:M25)</f>
        <v>0</v>
      </c>
      <c r="M26" s="155"/>
      <c r="N26" s="155">
        <f>SUM(TariefOpbouwTotaalLoonkosten7,O20:O25)</f>
        <v>0</v>
      </c>
      <c r="O26" s="155"/>
      <c r="P26" s="155">
        <f>SUM(TariefOpbouwTotaalLoonkosten8,Q20:Q25)</f>
        <v>0</v>
      </c>
      <c r="Q26" s="156"/>
    </row>
    <row r="27" spans="1:17" x14ac:dyDescent="0.3">
      <c r="A27" s="18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20"/>
    </row>
    <row r="28" spans="1:17" x14ac:dyDescent="0.3">
      <c r="A28" s="14" t="s">
        <v>64</v>
      </c>
      <c r="B28" s="17"/>
      <c r="C28" s="15">
        <f t="shared" ref="C28:C34" si="8">TariefOpbouwDirecteKosten1*B28</f>
        <v>0</v>
      </c>
      <c r="D28" s="17"/>
      <c r="E28" s="15">
        <f t="shared" ref="E28:E34" si="9">TariefOpbouwDirecteKosten2*D28</f>
        <v>0</v>
      </c>
      <c r="F28" s="17"/>
      <c r="G28" s="15">
        <f t="shared" ref="G28:G34" si="10">TariefOpbouwDirecteKosten3*F28</f>
        <v>0</v>
      </c>
      <c r="H28" s="17"/>
      <c r="I28" s="15">
        <f t="shared" ref="I28:I34" si="11">TariefOpbouwDirecteKosten4*H28</f>
        <v>0</v>
      </c>
      <c r="J28" s="17"/>
      <c r="K28" s="15">
        <f t="shared" ref="K28:K34" si="12">TariefOpbouwDirecteKosten5*J28</f>
        <v>0</v>
      </c>
      <c r="L28" s="17"/>
      <c r="M28" s="15">
        <f t="shared" ref="M28:M34" si="13">TariefOpbouwDirecteKosten6*L28</f>
        <v>0</v>
      </c>
      <c r="N28" s="17"/>
      <c r="O28" s="15">
        <f t="shared" ref="O28:O34" si="14">TariefOpbouwDirecteKosten7*N28</f>
        <v>0</v>
      </c>
      <c r="P28" s="17"/>
      <c r="Q28" s="16">
        <f t="shared" ref="Q28:Q34" si="15">TariefOpbouwDirecteKosten8*P28</f>
        <v>0</v>
      </c>
    </row>
    <row r="29" spans="1:17" x14ac:dyDescent="0.3">
      <c r="A29" s="14" t="s">
        <v>65</v>
      </c>
      <c r="B29" s="17"/>
      <c r="C29" s="15">
        <f t="shared" si="8"/>
        <v>0</v>
      </c>
      <c r="D29" s="17"/>
      <c r="E29" s="15">
        <f t="shared" si="9"/>
        <v>0</v>
      </c>
      <c r="F29" s="17"/>
      <c r="G29" s="15">
        <f t="shared" si="10"/>
        <v>0</v>
      </c>
      <c r="H29" s="17"/>
      <c r="I29" s="15">
        <f t="shared" si="11"/>
        <v>0</v>
      </c>
      <c r="J29" s="17"/>
      <c r="K29" s="15">
        <f t="shared" si="12"/>
        <v>0</v>
      </c>
      <c r="L29" s="17"/>
      <c r="M29" s="15">
        <f t="shared" si="13"/>
        <v>0</v>
      </c>
      <c r="N29" s="17"/>
      <c r="O29" s="15">
        <f t="shared" si="14"/>
        <v>0</v>
      </c>
      <c r="P29" s="17"/>
      <c r="Q29" s="16">
        <f t="shared" si="15"/>
        <v>0</v>
      </c>
    </row>
    <row r="30" spans="1:17" x14ac:dyDescent="0.3">
      <c r="A30" s="14" t="s">
        <v>66</v>
      </c>
      <c r="B30" s="17"/>
      <c r="C30" s="15">
        <f t="shared" si="8"/>
        <v>0</v>
      </c>
      <c r="D30" s="17"/>
      <c r="E30" s="15">
        <f t="shared" si="9"/>
        <v>0</v>
      </c>
      <c r="F30" s="17"/>
      <c r="G30" s="15">
        <f t="shared" si="10"/>
        <v>0</v>
      </c>
      <c r="H30" s="17"/>
      <c r="I30" s="15">
        <f t="shared" si="11"/>
        <v>0</v>
      </c>
      <c r="J30" s="17"/>
      <c r="K30" s="15">
        <f t="shared" si="12"/>
        <v>0</v>
      </c>
      <c r="L30" s="17"/>
      <c r="M30" s="15">
        <f t="shared" si="13"/>
        <v>0</v>
      </c>
      <c r="N30" s="17"/>
      <c r="O30" s="15">
        <f t="shared" si="14"/>
        <v>0</v>
      </c>
      <c r="P30" s="17"/>
      <c r="Q30" s="16">
        <f t="shared" si="15"/>
        <v>0</v>
      </c>
    </row>
    <row r="31" spans="1:17" x14ac:dyDescent="0.3">
      <c r="A31" s="14" t="s">
        <v>67</v>
      </c>
      <c r="B31" s="17"/>
      <c r="C31" s="15">
        <f t="shared" si="8"/>
        <v>0</v>
      </c>
      <c r="D31" s="17"/>
      <c r="E31" s="15">
        <f t="shared" si="9"/>
        <v>0</v>
      </c>
      <c r="F31" s="17"/>
      <c r="G31" s="15">
        <f t="shared" si="10"/>
        <v>0</v>
      </c>
      <c r="H31" s="17"/>
      <c r="I31" s="15">
        <f t="shared" si="11"/>
        <v>0</v>
      </c>
      <c r="J31" s="17"/>
      <c r="K31" s="15">
        <f t="shared" si="12"/>
        <v>0</v>
      </c>
      <c r="L31" s="17"/>
      <c r="M31" s="15">
        <f t="shared" si="13"/>
        <v>0</v>
      </c>
      <c r="N31" s="17"/>
      <c r="O31" s="15">
        <f t="shared" si="14"/>
        <v>0</v>
      </c>
      <c r="P31" s="17"/>
      <c r="Q31" s="16">
        <f t="shared" si="15"/>
        <v>0</v>
      </c>
    </row>
    <row r="32" spans="1:17" x14ac:dyDescent="0.3">
      <c r="A32" s="14" t="s">
        <v>68</v>
      </c>
      <c r="B32" s="17"/>
      <c r="C32" s="15">
        <f t="shared" si="8"/>
        <v>0</v>
      </c>
      <c r="D32" s="17"/>
      <c r="E32" s="15">
        <f t="shared" si="9"/>
        <v>0</v>
      </c>
      <c r="F32" s="17"/>
      <c r="G32" s="15">
        <f t="shared" si="10"/>
        <v>0</v>
      </c>
      <c r="H32" s="17"/>
      <c r="I32" s="15">
        <f t="shared" si="11"/>
        <v>0</v>
      </c>
      <c r="J32" s="17"/>
      <c r="K32" s="15">
        <f t="shared" si="12"/>
        <v>0</v>
      </c>
      <c r="L32" s="17"/>
      <c r="M32" s="15">
        <f t="shared" si="13"/>
        <v>0</v>
      </c>
      <c r="N32" s="17"/>
      <c r="O32" s="15">
        <f t="shared" si="14"/>
        <v>0</v>
      </c>
      <c r="P32" s="17"/>
      <c r="Q32" s="16">
        <f t="shared" si="15"/>
        <v>0</v>
      </c>
    </row>
    <row r="33" spans="1:17" x14ac:dyDescent="0.3">
      <c r="A33" s="14" t="s">
        <v>69</v>
      </c>
      <c r="B33" s="17"/>
      <c r="C33" s="15">
        <f t="shared" si="8"/>
        <v>0</v>
      </c>
      <c r="D33" s="17"/>
      <c r="E33" s="15">
        <f t="shared" si="9"/>
        <v>0</v>
      </c>
      <c r="F33" s="17"/>
      <c r="G33" s="15">
        <f t="shared" si="10"/>
        <v>0</v>
      </c>
      <c r="H33" s="17"/>
      <c r="I33" s="15">
        <f t="shared" si="11"/>
        <v>0</v>
      </c>
      <c r="J33" s="17"/>
      <c r="K33" s="15">
        <f t="shared" si="12"/>
        <v>0</v>
      </c>
      <c r="L33" s="17"/>
      <c r="M33" s="15">
        <f t="shared" si="13"/>
        <v>0</v>
      </c>
      <c r="N33" s="17"/>
      <c r="O33" s="15">
        <f t="shared" si="14"/>
        <v>0</v>
      </c>
      <c r="P33" s="17"/>
      <c r="Q33" s="16">
        <f t="shared" si="15"/>
        <v>0</v>
      </c>
    </row>
    <row r="34" spans="1:17" x14ac:dyDescent="0.3">
      <c r="A34" s="14" t="s">
        <v>70</v>
      </c>
      <c r="B34" s="17"/>
      <c r="C34" s="15">
        <f t="shared" si="8"/>
        <v>0</v>
      </c>
      <c r="D34" s="17"/>
      <c r="E34" s="15">
        <f t="shared" si="9"/>
        <v>0</v>
      </c>
      <c r="F34" s="17"/>
      <c r="G34" s="15">
        <f t="shared" si="10"/>
        <v>0</v>
      </c>
      <c r="H34" s="17"/>
      <c r="I34" s="15">
        <f t="shared" si="11"/>
        <v>0</v>
      </c>
      <c r="J34" s="17"/>
      <c r="K34" s="15">
        <f t="shared" si="12"/>
        <v>0</v>
      </c>
      <c r="L34" s="17"/>
      <c r="M34" s="15">
        <f t="shared" si="13"/>
        <v>0</v>
      </c>
      <c r="N34" s="17"/>
      <c r="O34" s="15">
        <f t="shared" si="14"/>
        <v>0</v>
      </c>
      <c r="P34" s="17"/>
      <c r="Q34" s="16">
        <f t="shared" si="15"/>
        <v>0</v>
      </c>
    </row>
    <row r="35" spans="1:17" x14ac:dyDescent="0.3">
      <c r="A35" s="9" t="s">
        <v>71</v>
      </c>
      <c r="B35" s="155">
        <f>SUM(C28:C34)</f>
        <v>0</v>
      </c>
      <c r="C35" s="155"/>
      <c r="D35" s="155">
        <f>SUM(E28:E34)</f>
        <v>0</v>
      </c>
      <c r="E35" s="155"/>
      <c r="F35" s="155">
        <f>SUM(G28:G34)</f>
        <v>0</v>
      </c>
      <c r="G35" s="155"/>
      <c r="H35" s="155">
        <f>SUM(I28:I34)</f>
        <v>0</v>
      </c>
      <c r="I35" s="155"/>
      <c r="J35" s="155">
        <f>SUM(K28:K34)</f>
        <v>0</v>
      </c>
      <c r="K35" s="155"/>
      <c r="L35" s="155">
        <f>SUM(M28:M34)</f>
        <v>0</v>
      </c>
      <c r="M35" s="155"/>
      <c r="N35" s="155">
        <f>SUM(O28:O34)</f>
        <v>0</v>
      </c>
      <c r="O35" s="155"/>
      <c r="P35" s="155">
        <f>SUM(Q28:Q34)</f>
        <v>0</v>
      </c>
      <c r="Q35" s="156"/>
    </row>
    <row r="36" spans="1:17" x14ac:dyDescent="0.3">
      <c r="A36" s="18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20"/>
    </row>
    <row r="37" spans="1:17" x14ac:dyDescent="0.3">
      <c r="A37" s="9" t="s">
        <v>72</v>
      </c>
      <c r="B37" s="17"/>
      <c r="C37" s="15">
        <f>(TariefOpbouwDirecteKosten1+TariefOpbouwIndirecteKosten1)*B37</f>
        <v>0</v>
      </c>
      <c r="D37" s="17"/>
      <c r="E37" s="15">
        <f>(TariefOpbouwDirecteKosten2+TariefOpbouwIndirecteKosten2)*D37</f>
        <v>0</v>
      </c>
      <c r="F37" s="17"/>
      <c r="G37" s="15">
        <f>(TariefOpbouwDirecteKosten3+TariefOpbouwIndirecteKosten3)*F37</f>
        <v>0</v>
      </c>
      <c r="H37" s="17"/>
      <c r="I37" s="15">
        <f>(TariefOpbouwDirecteKosten4+TariefOpbouwIndirecteKosten4)*H37</f>
        <v>0</v>
      </c>
      <c r="J37" s="17"/>
      <c r="K37" s="15">
        <f>(TariefOpbouwDirecteKosten5+TariefOpbouwIndirecteKosten5)*J37</f>
        <v>0</v>
      </c>
      <c r="L37" s="17"/>
      <c r="M37" s="15">
        <f>(TariefOpbouwDirecteKosten6+TariefOpbouwIndirecteKosten6)*L37</f>
        <v>0</v>
      </c>
      <c r="N37" s="17"/>
      <c r="O37" s="15">
        <f>(TariefOpbouwDirecteKosten7+TariefOpbouwIndirecteKosten7)*N37</f>
        <v>0</v>
      </c>
      <c r="P37" s="17"/>
      <c r="Q37" s="16">
        <f>(TariefOpbouwDirecteKosten8+TariefOpbouwIndirecteKosten8)*P37</f>
        <v>0</v>
      </c>
    </row>
    <row r="38" spans="1:17" x14ac:dyDescent="0.3">
      <c r="A38" s="18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20"/>
    </row>
    <row r="39" spans="1:17" x14ac:dyDescent="0.3">
      <c r="A39" s="9" t="s">
        <v>73</v>
      </c>
      <c r="B39" s="155">
        <f>TariefOpbouwDirecteKosten1+TariefOpbouwIndirecteKosten1+TariefOpbouwRisicoWinst1</f>
        <v>0</v>
      </c>
      <c r="C39" s="155"/>
      <c r="D39" s="155">
        <f>TariefOpbouwDirecteKosten2+TariefOpbouwIndirecteKosten2+TariefOpbouwRisicoWinst2</f>
        <v>0</v>
      </c>
      <c r="E39" s="155"/>
      <c r="F39" s="155">
        <f>TariefOpbouwDirecteKosten3+TariefOpbouwIndirecteKosten3+TariefOpbouwRisicoWinst3</f>
        <v>0</v>
      </c>
      <c r="G39" s="155"/>
      <c r="H39" s="155">
        <f>TariefOpbouwDirecteKosten4+TariefOpbouwIndirecteKosten4+TariefOpbouwRisicoWinst4</f>
        <v>0</v>
      </c>
      <c r="I39" s="155"/>
      <c r="J39" s="155">
        <f>TariefOpbouwDirecteKosten5+TariefOpbouwIndirecteKosten5+TariefOpbouwRisicoWinst5</f>
        <v>0</v>
      </c>
      <c r="K39" s="155"/>
      <c r="L39" s="155">
        <f>TariefOpbouwDirecteKosten6+TariefOpbouwIndirecteKosten6+TariefOpbouwRisicoWinst6</f>
        <v>0</v>
      </c>
      <c r="M39" s="155"/>
      <c r="N39" s="155">
        <f>TariefOpbouwDirecteKosten7+TariefOpbouwIndirecteKosten7+TariefOpbouwRisicoWinst7</f>
        <v>0</v>
      </c>
      <c r="O39" s="155"/>
      <c r="P39" s="155">
        <f>TariefOpbouwDirecteKosten8+TariefOpbouwIndirecteKosten8+TariefOpbouwRisicoWinst8</f>
        <v>0</v>
      </c>
      <c r="Q39" s="156"/>
    </row>
    <row r="40" spans="1:17" x14ac:dyDescent="0.3">
      <c r="A40" s="9" t="s">
        <v>74</v>
      </c>
      <c r="B40" s="10" t="s">
        <v>75</v>
      </c>
      <c r="C40" s="10" t="s">
        <v>76</v>
      </c>
      <c r="D40" s="10" t="s">
        <v>75</v>
      </c>
      <c r="E40" s="10" t="s">
        <v>76</v>
      </c>
      <c r="F40" s="10" t="s">
        <v>75</v>
      </c>
      <c r="G40" s="10" t="s">
        <v>76</v>
      </c>
      <c r="H40" s="10" t="s">
        <v>75</v>
      </c>
      <c r="I40" s="10" t="s">
        <v>76</v>
      </c>
      <c r="J40" s="10" t="s">
        <v>75</v>
      </c>
      <c r="K40" s="10" t="s">
        <v>76</v>
      </c>
      <c r="L40" s="10" t="s">
        <v>75</v>
      </c>
      <c r="M40" s="10" t="s">
        <v>76</v>
      </c>
      <c r="N40" s="10" t="s">
        <v>75</v>
      </c>
      <c r="O40" s="10" t="s">
        <v>76</v>
      </c>
      <c r="P40" s="10" t="s">
        <v>75</v>
      </c>
      <c r="Q40" s="11" t="s">
        <v>76</v>
      </c>
    </row>
    <row r="41" spans="1:17" x14ac:dyDescent="0.3">
      <c r="A41" s="9" t="s">
        <v>77</v>
      </c>
      <c r="B41" s="21">
        <v>0.3</v>
      </c>
      <c r="C41" s="15">
        <f>((1+B41)*TariefOpbouwTotaalLoonkosten1+TariefOpbouwDirecteKosten1-TariefOpbouwTotaalLoonkosten1+TariefOpbouwIndirecteKosten1)*(1+TariefOpbouwRisicoWinstPercentage1)</f>
        <v>0</v>
      </c>
      <c r="D41" s="21">
        <v>0.3</v>
      </c>
      <c r="E41" s="15">
        <f>((1+D41)*TariefOpbouwTotaalLoonkosten2+TariefOpbouwDirecteKosten2-TariefOpbouwTotaalLoonkosten2+TariefOpbouwIndirecteKosten2)*(1+TariefOpbouwRisicoWinstPercentage2)</f>
        <v>0</v>
      </c>
      <c r="F41" s="21">
        <v>0.3</v>
      </c>
      <c r="G41" s="15">
        <f>((1+F41)*TariefOpbouwTotaalLoonkosten3+TariefOpbouwDirecteKosten3-TariefOpbouwTotaalLoonkosten3+TariefOpbouwIndirecteKosten3)*(1+TariefOpbouwRisicoWinstPercentage3)</f>
        <v>0</v>
      </c>
      <c r="H41" s="21">
        <v>0.3</v>
      </c>
      <c r="I41" s="15">
        <f>((1+H41)*TariefOpbouwTotaalLoonkosten4+TariefOpbouwDirecteKosten4-TariefOpbouwTotaalLoonkosten4+TariefOpbouwIndirecteKosten4)*(1+TariefOpbouwRisicoWinstPercentage4)</f>
        <v>0</v>
      </c>
      <c r="J41" s="21">
        <v>0.3</v>
      </c>
      <c r="K41" s="15">
        <f>((1+J41)*TariefOpbouwTotaalLoonkosten5+TariefOpbouwDirecteKosten5-TariefOpbouwTotaalLoonkosten5+TariefOpbouwIndirecteKosten5)*(1+TariefOpbouwRisicoWinstPercentage5)</f>
        <v>0</v>
      </c>
      <c r="L41" s="21">
        <v>0.3</v>
      </c>
      <c r="M41" s="15">
        <f>((1+L41)*TariefOpbouwTotaalLoonkosten6+TariefOpbouwDirecteKosten6-TariefOpbouwTotaalLoonkosten6+TariefOpbouwIndirecteKosten6)*(1+TariefOpbouwRisicoWinstPercentage6)</f>
        <v>0</v>
      </c>
      <c r="N41" s="21">
        <v>0.3</v>
      </c>
      <c r="O41" s="15">
        <f>((1+N41)*TariefOpbouwTotaalLoonkosten7+TariefOpbouwDirecteKosten7-TariefOpbouwTotaalLoonkosten7+TariefOpbouwIndirecteKosten7)*(1+TariefOpbouwRisicoWinstPercentage7)</f>
        <v>0</v>
      </c>
      <c r="P41" s="21">
        <v>0.3</v>
      </c>
      <c r="Q41" s="16">
        <f>((1+P41)*TariefOpbouwTotaalLoonkosten8+TariefOpbouwDirecteKosten8-TariefOpbouwTotaalLoonkosten8+TariefOpbouwIndirecteKosten8)*(1+TariefOpbouwRisicoWinstPercentage8)</f>
        <v>0</v>
      </c>
    </row>
    <row r="42" spans="1:17" x14ac:dyDescent="0.3">
      <c r="A42" s="9" t="s">
        <v>78</v>
      </c>
      <c r="B42" s="21">
        <v>0.5</v>
      </c>
      <c r="C42" s="15">
        <f>((1+B42)*TariefOpbouwTotaalLoonkosten1+TariefOpbouwDirecteKosten1-TariefOpbouwTotaalLoonkosten1+TariefOpbouwIndirecteKosten1)*(1+TariefOpbouwRisicoWinstPercentage1)</f>
        <v>0</v>
      </c>
      <c r="D42" s="21">
        <v>0.5</v>
      </c>
      <c r="E42" s="15">
        <f>((1+D42)*TariefOpbouwTotaalLoonkosten2+TariefOpbouwDirecteKosten2-TariefOpbouwTotaalLoonkosten2+TariefOpbouwIndirecteKosten2)*(1+TariefOpbouwRisicoWinstPercentage2)</f>
        <v>0</v>
      </c>
      <c r="F42" s="21">
        <v>0.5</v>
      </c>
      <c r="G42" s="15">
        <f>((1+F42)*TariefOpbouwTotaalLoonkosten3+TariefOpbouwDirecteKosten3-TariefOpbouwTotaalLoonkosten3+TariefOpbouwIndirecteKosten3)*(1+TariefOpbouwRisicoWinstPercentage3)</f>
        <v>0</v>
      </c>
      <c r="H42" s="21">
        <v>0.5</v>
      </c>
      <c r="I42" s="15">
        <f>((1+H42)*TariefOpbouwTotaalLoonkosten4+TariefOpbouwDirecteKosten4-TariefOpbouwTotaalLoonkosten4+TariefOpbouwIndirecteKosten4)*(1+TariefOpbouwRisicoWinstPercentage4)</f>
        <v>0</v>
      </c>
      <c r="J42" s="21">
        <v>0.5</v>
      </c>
      <c r="K42" s="15">
        <f>((1+J42)*TariefOpbouwTotaalLoonkosten5+TariefOpbouwDirecteKosten5-TariefOpbouwTotaalLoonkosten5+TariefOpbouwIndirecteKosten5)*(1+TariefOpbouwRisicoWinstPercentage5)</f>
        <v>0</v>
      </c>
      <c r="L42" s="21">
        <v>0.5</v>
      </c>
      <c r="M42" s="15">
        <f>((1+L42)*TariefOpbouwTotaalLoonkosten6+TariefOpbouwDirecteKosten6-TariefOpbouwTotaalLoonkosten6+TariefOpbouwIndirecteKosten6)*(1+TariefOpbouwRisicoWinstPercentage6)</f>
        <v>0</v>
      </c>
      <c r="N42" s="21">
        <v>0.5</v>
      </c>
      <c r="O42" s="15">
        <f>((1+N42)*TariefOpbouwTotaalLoonkosten7+TariefOpbouwDirecteKosten7-TariefOpbouwTotaalLoonkosten7+TariefOpbouwIndirecteKosten7)*(1+TariefOpbouwRisicoWinstPercentage7)</f>
        <v>0</v>
      </c>
      <c r="P42" s="21">
        <v>0.5</v>
      </c>
      <c r="Q42" s="16">
        <f>((1+P42)*TariefOpbouwTotaalLoonkosten8+TariefOpbouwDirecteKosten8-TariefOpbouwTotaalLoonkosten8+TariefOpbouwIndirecteKosten8)*(1+TariefOpbouwRisicoWinstPercentage8)</f>
        <v>0</v>
      </c>
    </row>
    <row r="43" spans="1:17" x14ac:dyDescent="0.3">
      <c r="A43" s="22" t="s">
        <v>79</v>
      </c>
      <c r="B43" s="23">
        <v>1.5</v>
      </c>
      <c r="C43" s="24">
        <f>((1+B43)*TariefOpbouwTotaalLoonkosten1+TariefOpbouwDirecteKosten1-TariefOpbouwTotaalLoonkosten1+TariefOpbouwIndirecteKosten1)*(1+TariefOpbouwRisicoWinstPercentage1)</f>
        <v>0</v>
      </c>
      <c r="D43" s="23">
        <v>1.5</v>
      </c>
      <c r="E43" s="24">
        <f>((1+D43)*TariefOpbouwTotaalLoonkosten2+TariefOpbouwDirecteKosten2-TariefOpbouwTotaalLoonkosten2+TariefOpbouwIndirecteKosten2)*(1+TariefOpbouwRisicoWinstPercentage2)</f>
        <v>0</v>
      </c>
      <c r="F43" s="23">
        <v>1.5</v>
      </c>
      <c r="G43" s="24">
        <f>((1+F43)*TariefOpbouwTotaalLoonkosten3+TariefOpbouwDirecteKosten3-TariefOpbouwTotaalLoonkosten3+TariefOpbouwIndirecteKosten3)*(1+TariefOpbouwRisicoWinstPercentage3)</f>
        <v>0</v>
      </c>
      <c r="H43" s="23">
        <v>1.5</v>
      </c>
      <c r="I43" s="24">
        <f>((1+H43)*TariefOpbouwTotaalLoonkosten4+TariefOpbouwDirecteKosten4-TariefOpbouwTotaalLoonkosten4+TariefOpbouwIndirecteKosten4)*(1+TariefOpbouwRisicoWinstPercentage4)</f>
        <v>0</v>
      </c>
      <c r="J43" s="23">
        <v>1.5</v>
      </c>
      <c r="K43" s="24">
        <f>((1+J43)*TariefOpbouwTotaalLoonkosten5+TariefOpbouwDirecteKosten5-TariefOpbouwTotaalLoonkosten5+TariefOpbouwIndirecteKosten5)*(1+TariefOpbouwRisicoWinstPercentage5)</f>
        <v>0</v>
      </c>
      <c r="L43" s="23">
        <v>1.5</v>
      </c>
      <c r="M43" s="24">
        <f>((1+L43)*TariefOpbouwTotaalLoonkosten6+TariefOpbouwDirecteKosten6-TariefOpbouwTotaalLoonkosten6+TariefOpbouwIndirecteKosten6)*(1+TariefOpbouwRisicoWinstPercentage6)</f>
        <v>0</v>
      </c>
      <c r="N43" s="23">
        <v>1.5</v>
      </c>
      <c r="O43" s="24">
        <f>((1+N43)*TariefOpbouwTotaalLoonkosten7+TariefOpbouwDirecteKosten7-TariefOpbouwTotaalLoonkosten7+TariefOpbouwIndirecteKosten7)*(1+TariefOpbouwRisicoWinstPercentage7)</f>
        <v>0</v>
      </c>
      <c r="P43" s="23">
        <v>1.5</v>
      </c>
      <c r="Q43" s="25">
        <f>((1+P43)*TariefOpbouwTotaalLoonkosten8+TariefOpbouwDirecteKosten8-TariefOpbouwTotaalLoonkosten8+TariefOpbouwIndirecteKosten8)*(1+TariefOpbouwRisicoWinstPercentage8)</f>
        <v>0</v>
      </c>
    </row>
    <row r="45" spans="1:17" ht="25.25" customHeight="1" x14ac:dyDescent="0.3">
      <c r="A45" s="8" t="s">
        <v>80</v>
      </c>
      <c r="B45" s="157" t="s">
        <v>81</v>
      </c>
      <c r="C45" s="157"/>
      <c r="D45" s="157" t="s">
        <v>82</v>
      </c>
      <c r="E45" s="157"/>
      <c r="F45" s="157" t="s">
        <v>83</v>
      </c>
      <c r="G45" s="158"/>
    </row>
    <row r="46" spans="1:17" x14ac:dyDescent="0.3">
      <c r="A46" s="18"/>
      <c r="B46" s="10" t="s">
        <v>84</v>
      </c>
      <c r="C46" s="10" t="s">
        <v>85</v>
      </c>
      <c r="D46" s="10" t="s">
        <v>84</v>
      </c>
      <c r="E46" s="10" t="s">
        <v>85</v>
      </c>
      <c r="F46" s="10" t="s">
        <v>84</v>
      </c>
      <c r="G46" s="11" t="s">
        <v>85</v>
      </c>
    </row>
    <row r="47" spans="1:17" x14ac:dyDescent="0.3">
      <c r="A47" s="26" t="str">
        <f>TariefOpbouwNaam1&amp;" "&amp;TariefOpbouwErvaring1</f>
        <v>Vakvolwassene &gt;3 dienstjaren</v>
      </c>
      <c r="B47" s="17"/>
      <c r="C47" s="15">
        <f>TariefOpbouwTarief1</f>
        <v>0</v>
      </c>
      <c r="D47" s="17"/>
      <c r="E47" s="15">
        <f>TariefOpbouwTarief1W</f>
        <v>0</v>
      </c>
      <c r="F47" s="17"/>
      <c r="G47" s="16">
        <f>TariefOpbouwTarief1X</f>
        <v>0</v>
      </c>
    </row>
    <row r="48" spans="1:17" x14ac:dyDescent="0.3">
      <c r="A48" s="26" t="str">
        <f>TariefOpbouwNaam2&amp;" "&amp;TariefOpbouwErvaring2</f>
        <v xml:space="preserve">Vakvolwassene </v>
      </c>
      <c r="B48" s="17"/>
      <c r="C48" s="15">
        <f>TariefOpbouwTarief2</f>
        <v>0</v>
      </c>
      <c r="D48" s="17"/>
      <c r="E48" s="15">
        <f>TariefOpbouwTarief2W</f>
        <v>0</v>
      </c>
      <c r="F48" s="17"/>
      <c r="G48" s="16">
        <f>TariefOpbouwTarief2X</f>
        <v>0</v>
      </c>
    </row>
    <row r="49" spans="1:9" x14ac:dyDescent="0.3">
      <c r="A49" s="26" t="str">
        <f>TariefOpbouwNaam3&amp;" "&amp;TariefOpbouwErvaring3</f>
        <v>Leiding (meewerkend) voorman/vrouw</v>
      </c>
      <c r="B49" s="17"/>
      <c r="C49" s="15">
        <f>TariefOpbouwTarief3</f>
        <v>0</v>
      </c>
      <c r="D49" s="17"/>
      <c r="E49" s="15">
        <f>TariefOpbouwTarief3W</f>
        <v>0</v>
      </c>
      <c r="F49" s="17"/>
      <c r="G49" s="16">
        <f>TariefOpbouwTarief3X</f>
        <v>0</v>
      </c>
    </row>
    <row r="50" spans="1:9" x14ac:dyDescent="0.3">
      <c r="A50" s="22" t="s">
        <v>86</v>
      </c>
      <c r="B50" s="89" t="str">
        <f>IF(SUM(B47:B49)=1,SUM(B47:B49),"ongeldig")</f>
        <v>ongeldig</v>
      </c>
      <c r="C50" s="159">
        <f>SUMPRODUCT(B47:B49,C47:C49)</f>
        <v>0</v>
      </c>
      <c r="D50" s="89" t="str">
        <f>IF(SUM(D47:D49)=1,SUM(D47:D49),"ongeldig")</f>
        <v>ongeldig</v>
      </c>
      <c r="E50" s="159">
        <f>SUMPRODUCT(D47:D49,E47:E49)</f>
        <v>0</v>
      </c>
      <c r="F50" s="89" t="str">
        <f>IF(SUM(F47:F49)=1,SUM(F47:F49),"ongeldig")</f>
        <v>ongeldig</v>
      </c>
      <c r="G50" s="160">
        <f>SUMPRODUCT(F47:F49,G47:G49)</f>
        <v>0</v>
      </c>
      <c r="I50" t="s">
        <v>1598</v>
      </c>
    </row>
    <row r="52" spans="1:9" ht="37.75" customHeight="1" x14ac:dyDescent="0.3">
      <c r="A52" s="8" t="s">
        <v>87</v>
      </c>
      <c r="B52" s="157" t="s">
        <v>88</v>
      </c>
      <c r="C52" s="157"/>
      <c r="D52" s="157" t="s">
        <v>89</v>
      </c>
      <c r="E52" s="158"/>
    </row>
    <row r="53" spans="1:9" x14ac:dyDescent="0.3">
      <c r="A53" s="18"/>
      <c r="B53" s="10" t="s">
        <v>84</v>
      </c>
      <c r="C53" s="10" t="s">
        <v>85</v>
      </c>
      <c r="D53" s="10" t="s">
        <v>84</v>
      </c>
      <c r="E53" s="11" t="s">
        <v>85</v>
      </c>
    </row>
    <row r="54" spans="1:9" x14ac:dyDescent="0.3">
      <c r="A54" s="26" t="str">
        <f>TariefOpbouwNaam6&amp;" "&amp;TariefOpbouwErvaring6</f>
        <v xml:space="preserve">Vakvolwassene regie </v>
      </c>
      <c r="B54" s="17"/>
      <c r="C54" s="15">
        <f>TariefOpbouwTarief6</f>
        <v>0</v>
      </c>
      <c r="D54" s="17"/>
      <c r="E54" s="16">
        <f>TariefOpbouwTarief6</f>
        <v>0</v>
      </c>
    </row>
    <row r="55" spans="1:9" x14ac:dyDescent="0.3">
      <c r="A55" s="26" t="str">
        <f>TariefOpbouwNaam7&amp;" "&amp;TariefOpbouwErvaring7</f>
        <v>Vakvolwassene regie specialist</v>
      </c>
      <c r="B55" s="17"/>
      <c r="C55" s="15">
        <f>TariefOpbouwTarief7</f>
        <v>0</v>
      </c>
      <c r="D55" s="17"/>
      <c r="E55" s="16">
        <f>TariefOpbouwTarief7</f>
        <v>0</v>
      </c>
    </row>
    <row r="56" spans="1:9" x14ac:dyDescent="0.3">
      <c r="A56" s="22" t="s">
        <v>90</v>
      </c>
      <c r="B56" s="89" t="str">
        <f>IF(SUM(B54:B55)=1,SUM(B54:B55),"ongeldig")</f>
        <v>ongeldig</v>
      </c>
      <c r="C56" s="159">
        <f>SUMPRODUCT(B54:B55,C54:C55)</f>
        <v>0</v>
      </c>
      <c r="D56" s="89" t="str">
        <f>IF(SUM(D54:D55)=1,SUM(D54:D55),"ongeldig")</f>
        <v>ongeldig</v>
      </c>
      <c r="E56" s="159">
        <f>SUMPRODUCT(D54:D55,E54:E55)</f>
        <v>0</v>
      </c>
      <c r="G56" t="s">
        <v>1598</v>
      </c>
    </row>
  </sheetData>
  <sheetProtection algorithmName="SHA-512" hashValue="sG9K6X6DLvQo6zuzpnv5M+G4Ct5XQuLGrQYeNgxHVMgpKeDE/Mr5/1XLkiX6vcw9YMixq47mXyL+eUqWKuqp9Q==" saltValue="TlcLcomEjIez1NQ+HDpBYA==" spinCount="100000" sheet="1" objects="1" scenarios="1" autoFilter="0"/>
  <mergeCells count="109">
    <mergeCell ref="B52:C52"/>
    <mergeCell ref="D52:E52"/>
    <mergeCell ref="N39:O39"/>
    <mergeCell ref="P39:Q39"/>
    <mergeCell ref="B45:C45"/>
    <mergeCell ref="D45:E45"/>
    <mergeCell ref="F45:G45"/>
    <mergeCell ref="B39:C39"/>
    <mergeCell ref="D39:E39"/>
    <mergeCell ref="F39:G39"/>
    <mergeCell ref="H39:I39"/>
    <mergeCell ref="J39:K39"/>
    <mergeCell ref="L39:M39"/>
    <mergeCell ref="N26:O26"/>
    <mergeCell ref="P26:Q26"/>
    <mergeCell ref="B35:C35"/>
    <mergeCell ref="D35:E35"/>
    <mergeCell ref="F35:G35"/>
    <mergeCell ref="H35:I35"/>
    <mergeCell ref="J35:K35"/>
    <mergeCell ref="L35:M35"/>
    <mergeCell ref="N35:O35"/>
    <mergeCell ref="P35:Q35"/>
    <mergeCell ref="B26:C26"/>
    <mergeCell ref="D26:E26"/>
    <mergeCell ref="F26:G26"/>
    <mergeCell ref="H26:I26"/>
    <mergeCell ref="J26:K26"/>
    <mergeCell ref="L26:M26"/>
    <mergeCell ref="N14:O14"/>
    <mergeCell ref="P14:Q14"/>
    <mergeCell ref="B19:C19"/>
    <mergeCell ref="D19:E19"/>
    <mergeCell ref="F19:G19"/>
    <mergeCell ref="H19:I19"/>
    <mergeCell ref="J19:K19"/>
    <mergeCell ref="L19:M19"/>
    <mergeCell ref="N19:O19"/>
    <mergeCell ref="P19:Q19"/>
    <mergeCell ref="B14:C14"/>
    <mergeCell ref="D14:E14"/>
    <mergeCell ref="F14:G14"/>
    <mergeCell ref="H14:I14"/>
    <mergeCell ref="J14:K14"/>
    <mergeCell ref="L14:M14"/>
    <mergeCell ref="N9:O9"/>
    <mergeCell ref="P9:Q9"/>
    <mergeCell ref="B12:C12"/>
    <mergeCell ref="D12:E12"/>
    <mergeCell ref="F12:G12"/>
    <mergeCell ref="H12:I12"/>
    <mergeCell ref="J12:K12"/>
    <mergeCell ref="L12:M12"/>
    <mergeCell ref="N12:O12"/>
    <mergeCell ref="P12:Q12"/>
    <mergeCell ref="B9:C9"/>
    <mergeCell ref="D9:E9"/>
    <mergeCell ref="F9:G9"/>
    <mergeCell ref="H9:I9"/>
    <mergeCell ref="J9:K9"/>
    <mergeCell ref="L9:M9"/>
    <mergeCell ref="N7:O7"/>
    <mergeCell ref="P7:Q7"/>
    <mergeCell ref="B8:C8"/>
    <mergeCell ref="D8:E8"/>
    <mergeCell ref="F8:G8"/>
    <mergeCell ref="H8:I8"/>
    <mergeCell ref="J8:K8"/>
    <mergeCell ref="L8:M8"/>
    <mergeCell ref="N8:O8"/>
    <mergeCell ref="P8:Q8"/>
    <mergeCell ref="B7:C7"/>
    <mergeCell ref="D7:E7"/>
    <mergeCell ref="F7:G7"/>
    <mergeCell ref="H7:I7"/>
    <mergeCell ref="J7:K7"/>
    <mergeCell ref="L7:M7"/>
    <mergeCell ref="N5:O5"/>
    <mergeCell ref="P5:Q5"/>
    <mergeCell ref="B6:C6"/>
    <mergeCell ref="D6:E6"/>
    <mergeCell ref="F6:G6"/>
    <mergeCell ref="H6:I6"/>
    <mergeCell ref="J6:K6"/>
    <mergeCell ref="L6:M6"/>
    <mergeCell ref="N6:O6"/>
    <mergeCell ref="P6:Q6"/>
    <mergeCell ref="B5:C5"/>
    <mergeCell ref="D5:E5"/>
    <mergeCell ref="F5:G5"/>
    <mergeCell ref="H5:I5"/>
    <mergeCell ref="J5:K5"/>
    <mergeCell ref="L5:M5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  <pageSetup scale="65" orientation="landscape" r:id="rId1"/>
  <headerFooter>
    <oddFooter>&amp;LStichting Onderwijsgroep Amersfoort                         &amp;ROpmaakdatum: 07-07-2025
Intexso - Plantageweg 23E - Leusden
+31 (33) 2778485</oddFooter>
  </headerFooter>
  <rowBreaks count="1" manualBreakCount="1">
    <brk id="4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4E06D-223A-441C-B586-2565E9EE9A06}">
  <dimension ref="A1:H61"/>
  <sheetViews>
    <sheetView workbookViewId="0"/>
  </sheetViews>
  <sheetFormatPr defaultRowHeight="13.5" x14ac:dyDescent="0.3"/>
  <cols>
    <col min="1" max="1" width="7.61328125" customWidth="1"/>
    <col min="2" max="2" width="6.61328125" customWidth="1"/>
    <col min="3" max="3" width="4.61328125" customWidth="1"/>
    <col min="4" max="4" width="50.61328125" customWidth="1"/>
    <col min="5" max="6" width="11.61328125" customWidth="1"/>
    <col min="7" max="7" width="9.61328125" customWidth="1"/>
    <col min="8" max="8" width="11.61328125" customWidth="1"/>
  </cols>
  <sheetData>
    <row r="1" spans="1:8" x14ac:dyDescent="0.3">
      <c r="A1" s="1" t="str">
        <f>CONCATENATE("Bijlage I.1: ",tabeltype," categorienormen")</f>
        <v>Bijlage I.1: Invultabel categorienormen</v>
      </c>
    </row>
    <row r="3" spans="1:8" ht="40.5" x14ac:dyDescent="0.3">
      <c r="A3" s="27" t="s">
        <v>91</v>
      </c>
      <c r="B3" s="27" t="s">
        <v>92</v>
      </c>
      <c r="C3" s="27" t="s">
        <v>93</v>
      </c>
      <c r="D3" s="27" t="s">
        <v>94</v>
      </c>
      <c r="E3" s="27" t="s">
        <v>95</v>
      </c>
      <c r="F3" s="27" t="s">
        <v>96</v>
      </c>
      <c r="G3" s="27" t="s">
        <v>97</v>
      </c>
      <c r="H3" s="27" t="s">
        <v>98</v>
      </c>
    </row>
    <row r="4" spans="1:8" x14ac:dyDescent="0.3">
      <c r="A4" s="28"/>
      <c r="B4" s="29"/>
      <c r="C4" s="29"/>
      <c r="D4" s="29"/>
      <c r="E4" s="29"/>
      <c r="F4" s="29"/>
      <c r="G4" s="29"/>
      <c r="H4" s="30"/>
    </row>
    <row r="5" spans="1:8" x14ac:dyDescent="0.3">
      <c r="A5" s="31" t="s">
        <v>99</v>
      </c>
      <c r="B5" s="32"/>
      <c r="C5" s="32"/>
      <c r="D5" s="32"/>
      <c r="E5" s="32"/>
      <c r="F5" s="32"/>
      <c r="G5" s="32"/>
      <c r="H5" s="33"/>
    </row>
    <row r="6" spans="1:8" x14ac:dyDescent="0.3">
      <c r="A6" s="34" t="s">
        <v>100</v>
      </c>
      <c r="B6" s="35" t="s">
        <v>101</v>
      </c>
      <c r="C6" s="34">
        <v>1</v>
      </c>
      <c r="D6" s="34" t="s">
        <v>102</v>
      </c>
      <c r="E6" s="36"/>
      <c r="F6" s="37"/>
      <c r="G6" s="34" t="s">
        <v>103</v>
      </c>
      <c r="H6" s="38">
        <f t="shared" ref="H6:H53" si="0">Tariefopbouw1</f>
        <v>0</v>
      </c>
    </row>
    <row r="7" spans="1:8" x14ac:dyDescent="0.3">
      <c r="A7" s="39" t="s">
        <v>104</v>
      </c>
      <c r="B7" s="40" t="s">
        <v>101</v>
      </c>
      <c r="C7" s="39">
        <v>40</v>
      </c>
      <c r="D7" s="39" t="s">
        <v>105</v>
      </c>
      <c r="E7" s="41"/>
      <c r="F7" s="42"/>
      <c r="G7" s="39" t="s">
        <v>103</v>
      </c>
      <c r="H7" s="43">
        <f t="shared" si="0"/>
        <v>0</v>
      </c>
    </row>
    <row r="8" spans="1:8" x14ac:dyDescent="0.3">
      <c r="A8" s="39" t="s">
        <v>104</v>
      </c>
      <c r="B8" s="40" t="s">
        <v>101</v>
      </c>
      <c r="C8" s="39">
        <v>42</v>
      </c>
      <c r="D8" s="39" t="s">
        <v>105</v>
      </c>
      <c r="E8" s="41"/>
      <c r="F8" s="42"/>
      <c r="G8" s="39" t="s">
        <v>103</v>
      </c>
      <c r="H8" s="43">
        <f t="shared" si="0"/>
        <v>0</v>
      </c>
    </row>
    <row r="9" spans="1:8" x14ac:dyDescent="0.3">
      <c r="A9" s="39" t="s">
        <v>106</v>
      </c>
      <c r="B9" s="40" t="s">
        <v>101</v>
      </c>
      <c r="C9" s="39">
        <v>1</v>
      </c>
      <c r="D9" s="39" t="s">
        <v>107</v>
      </c>
      <c r="E9" s="41"/>
      <c r="F9" s="42"/>
      <c r="G9" s="39" t="s">
        <v>103</v>
      </c>
      <c r="H9" s="43">
        <f t="shared" si="0"/>
        <v>0</v>
      </c>
    </row>
    <row r="10" spans="1:8" x14ac:dyDescent="0.3">
      <c r="A10" s="39" t="s">
        <v>108</v>
      </c>
      <c r="B10" s="40" t="s">
        <v>101</v>
      </c>
      <c r="C10" s="39">
        <v>40</v>
      </c>
      <c r="D10" s="39" t="s">
        <v>109</v>
      </c>
      <c r="E10" s="41"/>
      <c r="F10" s="42"/>
      <c r="G10" s="39" t="s">
        <v>103</v>
      </c>
      <c r="H10" s="43">
        <f t="shared" si="0"/>
        <v>0</v>
      </c>
    </row>
    <row r="11" spans="1:8" x14ac:dyDescent="0.3">
      <c r="A11" s="39" t="s">
        <v>110</v>
      </c>
      <c r="B11" s="40" t="s">
        <v>101</v>
      </c>
      <c r="C11" s="39">
        <v>1</v>
      </c>
      <c r="D11" s="39" t="s">
        <v>111</v>
      </c>
      <c r="E11" s="41"/>
      <c r="F11" s="42"/>
      <c r="G11" s="39" t="s">
        <v>103</v>
      </c>
      <c r="H11" s="43">
        <f t="shared" si="0"/>
        <v>0</v>
      </c>
    </row>
    <row r="12" spans="1:8" x14ac:dyDescent="0.3">
      <c r="A12" s="39" t="s">
        <v>112</v>
      </c>
      <c r="B12" s="40" t="s">
        <v>101</v>
      </c>
      <c r="C12" s="39">
        <v>40</v>
      </c>
      <c r="D12" s="39" t="s">
        <v>113</v>
      </c>
      <c r="E12" s="41"/>
      <c r="F12" s="42"/>
      <c r="G12" s="39" t="s">
        <v>103</v>
      </c>
      <c r="H12" s="43">
        <f t="shared" si="0"/>
        <v>0</v>
      </c>
    </row>
    <row r="13" spans="1:8" x14ac:dyDescent="0.3">
      <c r="A13" s="39" t="s">
        <v>114</v>
      </c>
      <c r="B13" s="40" t="s">
        <v>101</v>
      </c>
      <c r="C13" s="39">
        <v>1</v>
      </c>
      <c r="D13" s="39" t="s">
        <v>115</v>
      </c>
      <c r="E13" s="41"/>
      <c r="F13" s="42"/>
      <c r="G13" s="39" t="s">
        <v>103</v>
      </c>
      <c r="H13" s="43">
        <f t="shared" si="0"/>
        <v>0</v>
      </c>
    </row>
    <row r="14" spans="1:8" x14ac:dyDescent="0.3">
      <c r="A14" s="39" t="s">
        <v>116</v>
      </c>
      <c r="B14" s="40" t="s">
        <v>101</v>
      </c>
      <c r="C14" s="39">
        <v>40</v>
      </c>
      <c r="D14" s="39" t="s">
        <v>117</v>
      </c>
      <c r="E14" s="41"/>
      <c r="F14" s="42"/>
      <c r="G14" s="39" t="s">
        <v>103</v>
      </c>
      <c r="H14" s="43">
        <f t="shared" si="0"/>
        <v>0</v>
      </c>
    </row>
    <row r="15" spans="1:8" x14ac:dyDescent="0.3">
      <c r="A15" s="39" t="s">
        <v>118</v>
      </c>
      <c r="B15" s="40" t="s">
        <v>101</v>
      </c>
      <c r="C15" s="39">
        <v>1</v>
      </c>
      <c r="D15" s="39" t="s">
        <v>119</v>
      </c>
      <c r="E15" s="41"/>
      <c r="F15" s="42"/>
      <c r="G15" s="39" t="s">
        <v>103</v>
      </c>
      <c r="H15" s="43">
        <f t="shared" si="0"/>
        <v>0</v>
      </c>
    </row>
    <row r="16" spans="1:8" x14ac:dyDescent="0.3">
      <c r="A16" s="39" t="s">
        <v>120</v>
      </c>
      <c r="B16" s="40" t="s">
        <v>101</v>
      </c>
      <c r="C16" s="39">
        <v>40</v>
      </c>
      <c r="D16" s="39" t="s">
        <v>121</v>
      </c>
      <c r="E16" s="41"/>
      <c r="F16" s="42"/>
      <c r="G16" s="39" t="s">
        <v>103</v>
      </c>
      <c r="H16" s="43">
        <f t="shared" si="0"/>
        <v>0</v>
      </c>
    </row>
    <row r="17" spans="1:8" x14ac:dyDescent="0.3">
      <c r="A17" s="39" t="s">
        <v>122</v>
      </c>
      <c r="B17" s="40" t="s">
        <v>123</v>
      </c>
      <c r="C17" s="39">
        <v>1</v>
      </c>
      <c r="D17" s="39" t="s">
        <v>124</v>
      </c>
      <c r="E17" s="41"/>
      <c r="F17" s="42"/>
      <c r="G17" s="39" t="s">
        <v>103</v>
      </c>
      <c r="H17" s="43">
        <f t="shared" si="0"/>
        <v>0</v>
      </c>
    </row>
    <row r="18" spans="1:8" x14ac:dyDescent="0.3">
      <c r="A18" s="39" t="s">
        <v>125</v>
      </c>
      <c r="B18" s="40" t="s">
        <v>123</v>
      </c>
      <c r="C18" s="39">
        <v>40</v>
      </c>
      <c r="D18" s="39" t="s">
        <v>126</v>
      </c>
      <c r="E18" s="41"/>
      <c r="F18" s="42"/>
      <c r="G18" s="39" t="s">
        <v>103</v>
      </c>
      <c r="H18" s="43">
        <f t="shared" si="0"/>
        <v>0</v>
      </c>
    </row>
    <row r="19" spans="1:8" x14ac:dyDescent="0.3">
      <c r="A19" s="39" t="s">
        <v>127</v>
      </c>
      <c r="B19" s="40" t="s">
        <v>128</v>
      </c>
      <c r="C19" s="39">
        <v>1</v>
      </c>
      <c r="D19" s="39" t="s">
        <v>129</v>
      </c>
      <c r="E19" s="41"/>
      <c r="F19" s="42"/>
      <c r="G19" s="39" t="s">
        <v>103</v>
      </c>
      <c r="H19" s="43">
        <f t="shared" si="0"/>
        <v>0</v>
      </c>
    </row>
    <row r="20" spans="1:8" x14ac:dyDescent="0.3">
      <c r="A20" s="39" t="s">
        <v>130</v>
      </c>
      <c r="B20" s="40" t="s">
        <v>128</v>
      </c>
      <c r="C20" s="39">
        <v>40</v>
      </c>
      <c r="D20" s="39" t="s">
        <v>131</v>
      </c>
      <c r="E20" s="41"/>
      <c r="F20" s="42"/>
      <c r="G20" s="39" t="s">
        <v>103</v>
      </c>
      <c r="H20" s="43">
        <f t="shared" si="0"/>
        <v>0</v>
      </c>
    </row>
    <row r="21" spans="1:8" x14ac:dyDescent="0.3">
      <c r="A21" s="39" t="s">
        <v>132</v>
      </c>
      <c r="B21" s="40" t="s">
        <v>128</v>
      </c>
      <c r="C21" s="39">
        <v>1</v>
      </c>
      <c r="D21" s="39" t="s">
        <v>133</v>
      </c>
      <c r="E21" s="41"/>
      <c r="F21" s="42"/>
      <c r="G21" s="39" t="s">
        <v>103</v>
      </c>
      <c r="H21" s="43">
        <f t="shared" si="0"/>
        <v>0</v>
      </c>
    </row>
    <row r="22" spans="1:8" x14ac:dyDescent="0.3">
      <c r="A22" s="39" t="s">
        <v>134</v>
      </c>
      <c r="B22" s="40" t="s">
        <v>128</v>
      </c>
      <c r="C22" s="39">
        <v>40</v>
      </c>
      <c r="D22" s="39" t="s">
        <v>135</v>
      </c>
      <c r="E22" s="41"/>
      <c r="F22" s="42"/>
      <c r="G22" s="39" t="s">
        <v>103</v>
      </c>
      <c r="H22" s="43">
        <f t="shared" si="0"/>
        <v>0</v>
      </c>
    </row>
    <row r="23" spans="1:8" x14ac:dyDescent="0.3">
      <c r="A23" s="39" t="s">
        <v>136</v>
      </c>
      <c r="B23" s="40" t="s">
        <v>137</v>
      </c>
      <c r="C23" s="39">
        <v>1</v>
      </c>
      <c r="D23" s="39" t="s">
        <v>138</v>
      </c>
      <c r="E23" s="41"/>
      <c r="F23" s="42"/>
      <c r="G23" s="39" t="s">
        <v>103</v>
      </c>
      <c r="H23" s="43">
        <f t="shared" si="0"/>
        <v>0</v>
      </c>
    </row>
    <row r="24" spans="1:8" x14ac:dyDescent="0.3">
      <c r="A24" s="39" t="s">
        <v>139</v>
      </c>
      <c r="B24" s="40" t="s">
        <v>137</v>
      </c>
      <c r="C24" s="39">
        <v>40</v>
      </c>
      <c r="D24" s="39" t="s">
        <v>140</v>
      </c>
      <c r="E24" s="41"/>
      <c r="F24" s="42"/>
      <c r="G24" s="39" t="s">
        <v>103</v>
      </c>
      <c r="H24" s="43">
        <f t="shared" si="0"/>
        <v>0</v>
      </c>
    </row>
    <row r="25" spans="1:8" x14ac:dyDescent="0.3">
      <c r="A25" s="39" t="s">
        <v>141</v>
      </c>
      <c r="B25" s="40" t="s">
        <v>137</v>
      </c>
      <c r="C25" s="39">
        <v>1</v>
      </c>
      <c r="D25" s="39" t="s">
        <v>142</v>
      </c>
      <c r="E25" s="41"/>
      <c r="F25" s="42"/>
      <c r="G25" s="39" t="s">
        <v>103</v>
      </c>
      <c r="H25" s="43">
        <f t="shared" si="0"/>
        <v>0</v>
      </c>
    </row>
    <row r="26" spans="1:8" x14ac:dyDescent="0.3">
      <c r="A26" s="39" t="s">
        <v>143</v>
      </c>
      <c r="B26" s="40" t="s">
        <v>137</v>
      </c>
      <c r="C26" s="39">
        <v>40</v>
      </c>
      <c r="D26" s="39" t="s">
        <v>144</v>
      </c>
      <c r="E26" s="41"/>
      <c r="F26" s="42"/>
      <c r="G26" s="39" t="s">
        <v>103</v>
      </c>
      <c r="H26" s="43">
        <f t="shared" si="0"/>
        <v>0</v>
      </c>
    </row>
    <row r="27" spans="1:8" x14ac:dyDescent="0.3">
      <c r="A27" s="39" t="s">
        <v>145</v>
      </c>
      <c r="B27" s="40" t="s">
        <v>137</v>
      </c>
      <c r="C27" s="39">
        <v>1</v>
      </c>
      <c r="D27" s="39" t="s">
        <v>146</v>
      </c>
      <c r="E27" s="41"/>
      <c r="F27" s="42"/>
      <c r="G27" s="39" t="s">
        <v>103</v>
      </c>
      <c r="H27" s="43">
        <f t="shared" si="0"/>
        <v>0</v>
      </c>
    </row>
    <row r="28" spans="1:8" x14ac:dyDescent="0.3">
      <c r="A28" s="39" t="s">
        <v>147</v>
      </c>
      <c r="B28" s="40" t="s">
        <v>137</v>
      </c>
      <c r="C28" s="39">
        <v>40</v>
      </c>
      <c r="D28" s="39" t="s">
        <v>148</v>
      </c>
      <c r="E28" s="41"/>
      <c r="F28" s="42"/>
      <c r="G28" s="39" t="s">
        <v>103</v>
      </c>
      <c r="H28" s="43">
        <f t="shared" si="0"/>
        <v>0</v>
      </c>
    </row>
    <row r="29" spans="1:8" x14ac:dyDescent="0.3">
      <c r="A29" s="39" t="s">
        <v>149</v>
      </c>
      <c r="B29" s="40" t="s">
        <v>150</v>
      </c>
      <c r="C29" s="39">
        <v>1</v>
      </c>
      <c r="D29" s="39" t="s">
        <v>151</v>
      </c>
      <c r="E29" s="41"/>
      <c r="F29" s="42"/>
      <c r="G29" s="39" t="s">
        <v>103</v>
      </c>
      <c r="H29" s="43">
        <f t="shared" si="0"/>
        <v>0</v>
      </c>
    </row>
    <row r="30" spans="1:8" x14ac:dyDescent="0.3">
      <c r="A30" s="39" t="s">
        <v>152</v>
      </c>
      <c r="B30" s="40" t="s">
        <v>150</v>
      </c>
      <c r="C30" s="39">
        <v>40</v>
      </c>
      <c r="D30" s="39" t="s">
        <v>153</v>
      </c>
      <c r="E30" s="41"/>
      <c r="F30" s="42"/>
      <c r="G30" s="39" t="s">
        <v>103</v>
      </c>
      <c r="H30" s="43">
        <f t="shared" si="0"/>
        <v>0</v>
      </c>
    </row>
    <row r="31" spans="1:8" x14ac:dyDescent="0.3">
      <c r="A31" s="39" t="s">
        <v>154</v>
      </c>
      <c r="B31" s="40" t="s">
        <v>150</v>
      </c>
      <c r="C31" s="39">
        <v>1</v>
      </c>
      <c r="D31" s="39" t="s">
        <v>155</v>
      </c>
      <c r="E31" s="41"/>
      <c r="F31" s="42"/>
      <c r="G31" s="39" t="s">
        <v>103</v>
      </c>
      <c r="H31" s="43">
        <f t="shared" si="0"/>
        <v>0</v>
      </c>
    </row>
    <row r="32" spans="1:8" x14ac:dyDescent="0.3">
      <c r="A32" s="39" t="s">
        <v>156</v>
      </c>
      <c r="B32" s="40" t="s">
        <v>150</v>
      </c>
      <c r="C32" s="39">
        <v>40</v>
      </c>
      <c r="D32" s="39" t="s">
        <v>157</v>
      </c>
      <c r="E32" s="41"/>
      <c r="F32" s="42"/>
      <c r="G32" s="39" t="s">
        <v>103</v>
      </c>
      <c r="H32" s="43">
        <f t="shared" si="0"/>
        <v>0</v>
      </c>
    </row>
    <row r="33" spans="1:8" x14ac:dyDescent="0.3">
      <c r="A33" s="39" t="s">
        <v>158</v>
      </c>
      <c r="B33" s="40" t="s">
        <v>150</v>
      </c>
      <c r="C33" s="39">
        <v>1</v>
      </c>
      <c r="D33" s="39" t="s">
        <v>159</v>
      </c>
      <c r="E33" s="41"/>
      <c r="F33" s="42"/>
      <c r="G33" s="39" t="s">
        <v>103</v>
      </c>
      <c r="H33" s="43">
        <f t="shared" si="0"/>
        <v>0</v>
      </c>
    </row>
    <row r="34" spans="1:8" x14ac:dyDescent="0.3">
      <c r="A34" s="39" t="s">
        <v>160</v>
      </c>
      <c r="B34" s="40" t="s">
        <v>150</v>
      </c>
      <c r="C34" s="39">
        <v>40</v>
      </c>
      <c r="D34" s="39" t="s">
        <v>161</v>
      </c>
      <c r="E34" s="41"/>
      <c r="F34" s="42"/>
      <c r="G34" s="39" t="s">
        <v>103</v>
      </c>
      <c r="H34" s="43">
        <f t="shared" si="0"/>
        <v>0</v>
      </c>
    </row>
    <row r="35" spans="1:8" x14ac:dyDescent="0.3">
      <c r="A35" s="39" t="s">
        <v>162</v>
      </c>
      <c r="B35" s="40" t="s">
        <v>150</v>
      </c>
      <c r="C35" s="39">
        <v>1</v>
      </c>
      <c r="D35" s="39" t="s">
        <v>163</v>
      </c>
      <c r="E35" s="41"/>
      <c r="F35" s="42"/>
      <c r="G35" s="39" t="s">
        <v>103</v>
      </c>
      <c r="H35" s="43">
        <f t="shared" si="0"/>
        <v>0</v>
      </c>
    </row>
    <row r="36" spans="1:8" x14ac:dyDescent="0.3">
      <c r="A36" s="39" t="s">
        <v>164</v>
      </c>
      <c r="B36" s="40" t="s">
        <v>150</v>
      </c>
      <c r="C36" s="39">
        <v>40</v>
      </c>
      <c r="D36" s="39" t="s">
        <v>165</v>
      </c>
      <c r="E36" s="41"/>
      <c r="F36" s="42"/>
      <c r="G36" s="39" t="s">
        <v>103</v>
      </c>
      <c r="H36" s="43">
        <f t="shared" si="0"/>
        <v>0</v>
      </c>
    </row>
    <row r="37" spans="1:8" x14ac:dyDescent="0.3">
      <c r="A37" s="39" t="s">
        <v>166</v>
      </c>
      <c r="B37" s="40" t="s">
        <v>150</v>
      </c>
      <c r="C37" s="39">
        <v>1</v>
      </c>
      <c r="D37" s="39" t="s">
        <v>167</v>
      </c>
      <c r="E37" s="41"/>
      <c r="F37" s="42"/>
      <c r="G37" s="39" t="s">
        <v>103</v>
      </c>
      <c r="H37" s="43">
        <f t="shared" si="0"/>
        <v>0</v>
      </c>
    </row>
    <row r="38" spans="1:8" x14ac:dyDescent="0.3">
      <c r="A38" s="39" t="s">
        <v>168</v>
      </c>
      <c r="B38" s="40" t="s">
        <v>150</v>
      </c>
      <c r="C38" s="39">
        <v>40</v>
      </c>
      <c r="D38" s="39" t="s">
        <v>169</v>
      </c>
      <c r="E38" s="41"/>
      <c r="F38" s="42"/>
      <c r="G38" s="39" t="s">
        <v>103</v>
      </c>
      <c r="H38" s="43">
        <f t="shared" si="0"/>
        <v>0</v>
      </c>
    </row>
    <row r="39" spans="1:8" x14ac:dyDescent="0.3">
      <c r="A39" s="39" t="s">
        <v>170</v>
      </c>
      <c r="B39" s="40" t="s">
        <v>150</v>
      </c>
      <c r="C39" s="39">
        <v>1</v>
      </c>
      <c r="D39" s="39" t="s">
        <v>171</v>
      </c>
      <c r="E39" s="41"/>
      <c r="F39" s="42"/>
      <c r="G39" s="39" t="s">
        <v>103</v>
      </c>
      <c r="H39" s="43">
        <f t="shared" si="0"/>
        <v>0</v>
      </c>
    </row>
    <row r="40" spans="1:8" x14ac:dyDescent="0.3">
      <c r="A40" s="39" t="s">
        <v>172</v>
      </c>
      <c r="B40" s="40" t="s">
        <v>150</v>
      </c>
      <c r="C40" s="39">
        <v>40</v>
      </c>
      <c r="D40" s="39" t="s">
        <v>173</v>
      </c>
      <c r="E40" s="41"/>
      <c r="F40" s="42"/>
      <c r="G40" s="39" t="s">
        <v>103</v>
      </c>
      <c r="H40" s="43">
        <f t="shared" si="0"/>
        <v>0</v>
      </c>
    </row>
    <row r="41" spans="1:8" x14ac:dyDescent="0.3">
      <c r="A41" s="39" t="s">
        <v>174</v>
      </c>
      <c r="B41" s="40" t="s">
        <v>150</v>
      </c>
      <c r="C41" s="39">
        <v>1</v>
      </c>
      <c r="D41" s="39" t="s">
        <v>175</v>
      </c>
      <c r="E41" s="41"/>
      <c r="F41" s="42"/>
      <c r="G41" s="39" t="s">
        <v>103</v>
      </c>
      <c r="H41" s="43">
        <f t="shared" si="0"/>
        <v>0</v>
      </c>
    </row>
    <row r="42" spans="1:8" x14ac:dyDescent="0.3">
      <c r="A42" s="39" t="s">
        <v>176</v>
      </c>
      <c r="B42" s="40" t="s">
        <v>150</v>
      </c>
      <c r="C42" s="39">
        <v>10</v>
      </c>
      <c r="D42" s="39" t="s">
        <v>177</v>
      </c>
      <c r="E42" s="41"/>
      <c r="F42" s="42"/>
      <c r="G42" s="39" t="s">
        <v>103</v>
      </c>
      <c r="H42" s="43">
        <f t="shared" si="0"/>
        <v>0</v>
      </c>
    </row>
    <row r="43" spans="1:8" x14ac:dyDescent="0.3">
      <c r="A43" s="39" t="s">
        <v>176</v>
      </c>
      <c r="B43" s="40" t="s">
        <v>150</v>
      </c>
      <c r="C43" s="39">
        <v>40</v>
      </c>
      <c r="D43" s="39" t="s">
        <v>177</v>
      </c>
      <c r="E43" s="41"/>
      <c r="F43" s="42"/>
      <c r="G43" s="39" t="s">
        <v>103</v>
      </c>
      <c r="H43" s="43">
        <f t="shared" si="0"/>
        <v>0</v>
      </c>
    </row>
    <row r="44" spans="1:8" x14ac:dyDescent="0.3">
      <c r="A44" s="39" t="s">
        <v>178</v>
      </c>
      <c r="B44" s="40" t="s">
        <v>150</v>
      </c>
      <c r="C44" s="39">
        <v>1</v>
      </c>
      <c r="D44" s="39" t="s">
        <v>179</v>
      </c>
      <c r="E44" s="41"/>
      <c r="F44" s="42"/>
      <c r="G44" s="39" t="s">
        <v>103</v>
      </c>
      <c r="H44" s="43">
        <f t="shared" si="0"/>
        <v>0</v>
      </c>
    </row>
    <row r="45" spans="1:8" x14ac:dyDescent="0.3">
      <c r="A45" s="39" t="s">
        <v>180</v>
      </c>
      <c r="B45" s="40" t="s">
        <v>150</v>
      </c>
      <c r="C45" s="39">
        <v>40</v>
      </c>
      <c r="D45" s="39" t="s">
        <v>181</v>
      </c>
      <c r="E45" s="41"/>
      <c r="F45" s="42"/>
      <c r="G45" s="39" t="s">
        <v>103</v>
      </c>
      <c r="H45" s="43">
        <f t="shared" si="0"/>
        <v>0</v>
      </c>
    </row>
    <row r="46" spans="1:8" x14ac:dyDescent="0.3">
      <c r="A46" s="39" t="s">
        <v>182</v>
      </c>
      <c r="B46" s="40" t="s">
        <v>150</v>
      </c>
      <c r="C46" s="39">
        <v>1</v>
      </c>
      <c r="D46" s="39" t="s">
        <v>183</v>
      </c>
      <c r="E46" s="41"/>
      <c r="F46" s="42"/>
      <c r="G46" s="39" t="s">
        <v>103</v>
      </c>
      <c r="H46" s="43">
        <f t="shared" si="0"/>
        <v>0</v>
      </c>
    </row>
    <row r="47" spans="1:8" x14ac:dyDescent="0.3">
      <c r="A47" s="39" t="s">
        <v>184</v>
      </c>
      <c r="B47" s="40" t="s">
        <v>150</v>
      </c>
      <c r="C47" s="39">
        <v>40</v>
      </c>
      <c r="D47" s="39" t="s">
        <v>185</v>
      </c>
      <c r="E47" s="41"/>
      <c r="F47" s="42"/>
      <c r="G47" s="39" t="s">
        <v>103</v>
      </c>
      <c r="H47" s="43">
        <f t="shared" si="0"/>
        <v>0</v>
      </c>
    </row>
    <row r="48" spans="1:8" x14ac:dyDescent="0.3">
      <c r="A48" s="39" t="s">
        <v>186</v>
      </c>
      <c r="B48" s="40" t="s">
        <v>150</v>
      </c>
      <c r="C48" s="39">
        <v>1</v>
      </c>
      <c r="D48" s="39" t="s">
        <v>187</v>
      </c>
      <c r="E48" s="41"/>
      <c r="F48" s="42"/>
      <c r="G48" s="39" t="s">
        <v>103</v>
      </c>
      <c r="H48" s="43">
        <f t="shared" si="0"/>
        <v>0</v>
      </c>
    </row>
    <row r="49" spans="1:8" x14ac:dyDescent="0.3">
      <c r="A49" s="39" t="s">
        <v>188</v>
      </c>
      <c r="B49" s="40" t="s">
        <v>150</v>
      </c>
      <c r="C49" s="39">
        <v>40</v>
      </c>
      <c r="D49" s="39" t="s">
        <v>189</v>
      </c>
      <c r="E49" s="41"/>
      <c r="F49" s="42"/>
      <c r="G49" s="39" t="s">
        <v>103</v>
      </c>
      <c r="H49" s="43">
        <f t="shared" si="0"/>
        <v>0</v>
      </c>
    </row>
    <row r="50" spans="1:8" x14ac:dyDescent="0.3">
      <c r="A50" s="39" t="s">
        <v>190</v>
      </c>
      <c r="B50" s="40" t="s">
        <v>150</v>
      </c>
      <c r="C50" s="39">
        <v>1</v>
      </c>
      <c r="D50" s="39" t="s">
        <v>191</v>
      </c>
      <c r="E50" s="41"/>
      <c r="F50" s="42"/>
      <c r="G50" s="39" t="s">
        <v>103</v>
      </c>
      <c r="H50" s="43">
        <f t="shared" si="0"/>
        <v>0</v>
      </c>
    </row>
    <row r="51" spans="1:8" x14ac:dyDescent="0.3">
      <c r="A51" s="39" t="s">
        <v>192</v>
      </c>
      <c r="B51" s="40" t="s">
        <v>150</v>
      </c>
      <c r="C51" s="39">
        <v>40</v>
      </c>
      <c r="D51" s="39" t="s">
        <v>193</v>
      </c>
      <c r="E51" s="41"/>
      <c r="F51" s="42"/>
      <c r="G51" s="39" t="s">
        <v>103</v>
      </c>
      <c r="H51" s="43">
        <f t="shared" si="0"/>
        <v>0</v>
      </c>
    </row>
    <row r="52" spans="1:8" x14ac:dyDescent="0.3">
      <c r="A52" s="39" t="s">
        <v>194</v>
      </c>
      <c r="B52" s="40" t="s">
        <v>150</v>
      </c>
      <c r="C52" s="39">
        <v>1</v>
      </c>
      <c r="D52" s="39" t="s">
        <v>195</v>
      </c>
      <c r="E52" s="41"/>
      <c r="F52" s="42"/>
      <c r="G52" s="39" t="s">
        <v>103</v>
      </c>
      <c r="H52" s="43">
        <f t="shared" si="0"/>
        <v>0</v>
      </c>
    </row>
    <row r="53" spans="1:8" x14ac:dyDescent="0.3">
      <c r="A53" s="44" t="s">
        <v>196</v>
      </c>
      <c r="B53" s="45" t="s">
        <v>150</v>
      </c>
      <c r="C53" s="44">
        <v>40</v>
      </c>
      <c r="D53" s="44" t="s">
        <v>197</v>
      </c>
      <c r="E53" s="46"/>
      <c r="F53" s="47"/>
      <c r="G53" s="44" t="s">
        <v>103</v>
      </c>
      <c r="H53" s="48">
        <f t="shared" si="0"/>
        <v>0</v>
      </c>
    </row>
    <row r="54" spans="1:8" x14ac:dyDescent="0.3">
      <c r="A54" s="28"/>
      <c r="B54" s="29"/>
      <c r="C54" s="29"/>
      <c r="D54" s="29"/>
      <c r="E54" s="29"/>
      <c r="F54" s="29"/>
      <c r="G54" s="29"/>
      <c r="H54" s="30"/>
    </row>
    <row r="55" spans="1:8" x14ac:dyDescent="0.3">
      <c r="A55" s="31" t="s">
        <v>198</v>
      </c>
      <c r="B55" s="32"/>
      <c r="C55" s="32"/>
      <c r="D55" s="32"/>
      <c r="E55" s="32"/>
      <c r="F55" s="32"/>
      <c r="G55" s="32"/>
      <c r="H55" s="33"/>
    </row>
    <row r="56" spans="1:8" x14ac:dyDescent="0.3">
      <c r="A56" s="34" t="s">
        <v>199</v>
      </c>
      <c r="B56" s="35" t="s">
        <v>101</v>
      </c>
      <c r="C56" s="34">
        <v>1</v>
      </c>
      <c r="D56" s="34" t="s">
        <v>102</v>
      </c>
      <c r="E56" s="36"/>
      <c r="F56" s="37"/>
      <c r="G56" s="34" t="s">
        <v>103</v>
      </c>
      <c r="H56" s="38">
        <f t="shared" ref="H56:H61" si="1">Tariefopbouw1</f>
        <v>0</v>
      </c>
    </row>
    <row r="57" spans="1:8" x14ac:dyDescent="0.3">
      <c r="A57" s="39" t="s">
        <v>200</v>
      </c>
      <c r="B57" s="40" t="s">
        <v>101</v>
      </c>
      <c r="C57" s="39">
        <v>2</v>
      </c>
      <c r="D57" s="39" t="s">
        <v>105</v>
      </c>
      <c r="E57" s="41"/>
      <c r="F57" s="42"/>
      <c r="G57" s="39" t="s">
        <v>103</v>
      </c>
      <c r="H57" s="43">
        <f t="shared" si="1"/>
        <v>0</v>
      </c>
    </row>
    <row r="58" spans="1:8" x14ac:dyDescent="0.3">
      <c r="A58" s="39" t="s">
        <v>201</v>
      </c>
      <c r="B58" s="40" t="s">
        <v>137</v>
      </c>
      <c r="C58" s="39">
        <v>1</v>
      </c>
      <c r="D58" s="39" t="s">
        <v>146</v>
      </c>
      <c r="E58" s="41"/>
      <c r="F58" s="42"/>
      <c r="G58" s="39" t="s">
        <v>103</v>
      </c>
      <c r="H58" s="43">
        <f t="shared" si="1"/>
        <v>0</v>
      </c>
    </row>
    <row r="59" spans="1:8" x14ac:dyDescent="0.3">
      <c r="A59" s="39" t="s">
        <v>202</v>
      </c>
      <c r="B59" s="40" t="s">
        <v>137</v>
      </c>
      <c r="C59" s="39">
        <v>2</v>
      </c>
      <c r="D59" s="39" t="s">
        <v>148</v>
      </c>
      <c r="E59" s="41"/>
      <c r="F59" s="42"/>
      <c r="G59" s="39" t="s">
        <v>103</v>
      </c>
      <c r="H59" s="43">
        <f t="shared" si="1"/>
        <v>0</v>
      </c>
    </row>
    <row r="60" spans="1:8" x14ac:dyDescent="0.3">
      <c r="A60" s="39" t="s">
        <v>203</v>
      </c>
      <c r="B60" s="40" t="s">
        <v>150</v>
      </c>
      <c r="C60" s="39">
        <v>1</v>
      </c>
      <c r="D60" s="39" t="s">
        <v>191</v>
      </c>
      <c r="E60" s="41"/>
      <c r="F60" s="42"/>
      <c r="G60" s="39" t="s">
        <v>103</v>
      </c>
      <c r="H60" s="43">
        <f t="shared" si="1"/>
        <v>0</v>
      </c>
    </row>
    <row r="61" spans="1:8" x14ac:dyDescent="0.3">
      <c r="A61" s="44" t="s">
        <v>204</v>
      </c>
      <c r="B61" s="45" t="s">
        <v>150</v>
      </c>
      <c r="C61" s="44">
        <v>2</v>
      </c>
      <c r="D61" s="44" t="s">
        <v>193</v>
      </c>
      <c r="E61" s="46"/>
      <c r="F61" s="47"/>
      <c r="G61" s="44" t="s">
        <v>103</v>
      </c>
      <c r="H61" s="48">
        <f t="shared" si="1"/>
        <v>0</v>
      </c>
    </row>
  </sheetData>
  <sheetProtection algorithmName="SHA-512" hashValue="yjfyofx8d7D5byGmSlvOCRJlKB5lg+v0J/NhCVPup8jxzhvxNfcJ6w4kyRaUXKdN+muVruVcPuUGcxDI/L5waQ==" saltValue="4ojoYXcNyfUX5lFK7G7NeA==" spinCount="100000" sheet="1" objects="1" scenarios="1" autoFilter="0"/>
  <pageMargins left="0.7" right="0.7" top="0.75" bottom="0.75" header="0.3" footer="0.3"/>
  <pageSetup scale="70" orientation="landscape" r:id="rId1"/>
  <headerFooter>
    <oddFooter>&amp;LStichting Onderwijsgroep Amersfoort                         &amp;ROpmaakdatum: 07-07-2025
Intexso - Plantageweg 23E - Leusden
+31 (33) 2778485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0E4A0-D0FF-480B-ACD4-8FFBB57163B1}">
  <dimension ref="A1:N53"/>
  <sheetViews>
    <sheetView workbookViewId="0"/>
  </sheetViews>
  <sheetFormatPr defaultRowHeight="13.5" x14ac:dyDescent="0.3"/>
  <cols>
    <col min="1" max="1" width="7.61328125" customWidth="1"/>
    <col min="2" max="2" width="6.61328125" customWidth="1"/>
    <col min="3" max="3" width="12.61328125" customWidth="1"/>
    <col min="4" max="4" width="35.61328125" customWidth="1"/>
    <col min="5" max="5" width="12.61328125" customWidth="1"/>
    <col min="6" max="8" width="11.61328125" customWidth="1"/>
    <col min="9" max="9" width="9.61328125" customWidth="1"/>
    <col min="10" max="12" width="11.61328125" customWidth="1"/>
    <col min="13" max="13" width="12.61328125" customWidth="1"/>
    <col min="14" max="14" width="14.61328125" customWidth="1"/>
  </cols>
  <sheetData>
    <row r="1" spans="1:14" x14ac:dyDescent="0.3">
      <c r="A1" s="1" t="str">
        <f>CONCATENATE("Bijlage I.2: ",tabeltype," regulier werk")</f>
        <v>Bijlage I.2: Invultabel regulier werk</v>
      </c>
    </row>
    <row r="3" spans="1:14" ht="40.5" x14ac:dyDescent="0.3">
      <c r="A3" s="27" t="s">
        <v>205</v>
      </c>
      <c r="B3" s="27" t="s">
        <v>7</v>
      </c>
      <c r="C3" s="27" t="s">
        <v>206</v>
      </c>
      <c r="D3" s="27" t="s">
        <v>94</v>
      </c>
      <c r="E3" s="27" t="s">
        <v>207</v>
      </c>
      <c r="F3" s="27" t="s">
        <v>208</v>
      </c>
      <c r="G3" s="27" t="s">
        <v>95</v>
      </c>
      <c r="H3" s="27" t="s">
        <v>96</v>
      </c>
      <c r="I3" s="27" t="s">
        <v>97</v>
      </c>
      <c r="J3" s="27" t="s">
        <v>98</v>
      </c>
      <c r="K3" s="27" t="s">
        <v>209</v>
      </c>
      <c r="L3" s="27" t="s">
        <v>210</v>
      </c>
      <c r="M3" s="27" t="s">
        <v>211</v>
      </c>
      <c r="N3" s="27" t="s">
        <v>212</v>
      </c>
    </row>
    <row r="4" spans="1:14" x14ac:dyDescent="0.3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30"/>
    </row>
    <row r="5" spans="1:14" x14ac:dyDescent="0.3">
      <c r="A5" s="31" t="s">
        <v>99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3"/>
    </row>
    <row r="6" spans="1:14" x14ac:dyDescent="0.3">
      <c r="A6" s="34" t="s">
        <v>213</v>
      </c>
      <c r="B6" s="34" t="s">
        <v>11</v>
      </c>
      <c r="C6" s="34" t="s">
        <v>214</v>
      </c>
      <c r="D6" s="34" t="s">
        <v>215</v>
      </c>
      <c r="E6" s="49">
        <v>3409.5</v>
      </c>
      <c r="F6" s="49">
        <f t="shared" ref="F6:F36" si="0">E6*VLOOKUP(B6,dagsoorttabel1,2,FALSE)</f>
        <v>2674.1176470588234</v>
      </c>
      <c r="G6" s="50">
        <f>IF(AND(catpn_1_AHB_1&gt;0,catpn_1_AHV_40&gt;0),(dagenperjaar1*VLOOKUP(B6,dagsoorttabel1,2,FALSE))/(((dagenperjaar1*VLOOKUP(B6,dagsoorttabel1,2,FALSE))-catfd_1_AHV_40)/catpn_1_AHB_1+catfd_1_AHV_40/catpn_1_AHV_40),0)</f>
        <v>0</v>
      </c>
      <c r="H6" s="51">
        <f>IF(AND(catpn_1_AHB_1&gt;0,catpn_1_AHV_40&gt;0),(catdw_1_AHB_1*((dagenperjaar1*VLOOKUP(B6,dagsoorttabel1,2,FALSE))-catfd_1_AHV_40)/catpn_1_AHB_1+catdw_1_AHV_40*catfd_1_AHV_40/catpn_1_AHV_40)/(((dagenperjaar1*VLOOKUP(B6,dagsoorttabel1,2,FALSE))-catfd_1_AHV_40)/catpn_1_AHB_1+catfd_1_AHV_40/catpn_1_AHV_40),0)</f>
        <v>0</v>
      </c>
      <c r="I6" s="34" t="s">
        <v>103</v>
      </c>
      <c r="J6" s="38">
        <f>IF(AND(catpn_1_AHB_1&gt;0,catpn_1_AHV_40&gt;0),(cattf_1_AHB_1*((dagenperjaar1*VLOOKUP(B6,dagsoorttabel1,2,FALSE))-catfd_1_AHV_40)/catpn_1_AHB_1+cattf_1_AHV_40*catfd_1_AHV_40/catpn_1_AHV_40)/(((dagenperjaar1*VLOOKUP(B6,dagsoorttabel1,2,FALSE))-catfd_1_AHV_40)/catpn_1_AHB_1+catfd_1_AHV_40/catpn_1_AHV_40),0)</f>
        <v>0</v>
      </c>
      <c r="K6" s="49">
        <f t="shared" ref="K6:K36" si="1">IF(OR(ISBLANK(G6),G6=0),0,F6/ROUND(G6,4))</f>
        <v>0</v>
      </c>
      <c r="L6" s="38">
        <f t="shared" ref="L6:L36" si="2">ROUND(J6,2)*K6</f>
        <v>0</v>
      </c>
      <c r="M6" s="49">
        <f t="shared" ref="M6:M36" si="3">K6*dagenperjaar1</f>
        <v>0</v>
      </c>
      <c r="N6" s="38">
        <f t="shared" ref="N6:N36" si="4">M6*ROUND(J6,2)</f>
        <v>0</v>
      </c>
    </row>
    <row r="7" spans="1:14" x14ac:dyDescent="0.3">
      <c r="A7" s="39" t="s">
        <v>216</v>
      </c>
      <c r="B7" s="39" t="s">
        <v>11</v>
      </c>
      <c r="C7" s="39" t="s">
        <v>214</v>
      </c>
      <c r="D7" s="39" t="s">
        <v>217</v>
      </c>
      <c r="E7" s="52">
        <v>3987.18</v>
      </c>
      <c r="F7" s="52">
        <f t="shared" si="0"/>
        <v>3127.2</v>
      </c>
      <c r="G7" s="53">
        <f>IF(AND(catpn_1_BHB_1&gt;0,catpn_1_BHV_40&gt;0),(dagenperjaar1*VLOOKUP(B7,dagsoorttabel1,2,FALSE))/(((dagenperjaar1*VLOOKUP(B7,dagsoorttabel1,2,FALSE))-catfd_1_BHV_40)/catpn_1_BHB_1+catfd_1_BHV_40/catpn_1_BHV_40),0)</f>
        <v>0</v>
      </c>
      <c r="H7" s="54">
        <f>IF(AND(catpn_1_BHB_1&gt;0,catpn_1_BHV_40&gt;0),(catdw_1_BHB_1*((dagenperjaar1*VLOOKUP(B7,dagsoorttabel1,2,FALSE))-catfd_1_BHV_40)/catpn_1_BHB_1+catdw_1_BHV_40*catfd_1_BHV_40/catpn_1_BHV_40)/(((dagenperjaar1*VLOOKUP(B7,dagsoorttabel1,2,FALSE))-catfd_1_BHV_40)/catpn_1_BHB_1+catfd_1_BHV_40/catpn_1_BHV_40),0)</f>
        <v>0</v>
      </c>
      <c r="I7" s="39" t="s">
        <v>103</v>
      </c>
      <c r="J7" s="43">
        <f>IF(AND(catpn_1_BHB_1&gt;0,catpn_1_BHV_40&gt;0),(cattf_1_BHB_1*((dagenperjaar1*VLOOKUP(B7,dagsoorttabel1,2,FALSE))-catfd_1_BHV_40)/catpn_1_BHB_1+cattf_1_BHV_40*catfd_1_BHV_40/catpn_1_BHV_40)/(((dagenperjaar1*VLOOKUP(B7,dagsoorttabel1,2,FALSE))-catfd_1_BHV_40)/catpn_1_BHB_1+catfd_1_BHV_40/catpn_1_BHV_40),0)</f>
        <v>0</v>
      </c>
      <c r="K7" s="52">
        <f t="shared" si="1"/>
        <v>0</v>
      </c>
      <c r="L7" s="43">
        <f t="shared" si="2"/>
        <v>0</v>
      </c>
      <c r="M7" s="52">
        <f t="shared" si="3"/>
        <v>0</v>
      </c>
      <c r="N7" s="43">
        <f t="shared" si="4"/>
        <v>0</v>
      </c>
    </row>
    <row r="8" spans="1:14" x14ac:dyDescent="0.3">
      <c r="A8" s="39" t="s">
        <v>216</v>
      </c>
      <c r="B8" s="39" t="s">
        <v>18</v>
      </c>
      <c r="C8" s="39" t="s">
        <v>214</v>
      </c>
      <c r="D8" s="39" t="s">
        <v>217</v>
      </c>
      <c r="E8" s="52">
        <v>14.5</v>
      </c>
      <c r="F8" s="52">
        <f t="shared" si="0"/>
        <v>2.2745098039215685</v>
      </c>
      <c r="G8" s="53">
        <f>IF(AND(catpn_1_BHB_1&gt;0,catpn_1_BHV_40&gt;0),(dagenperjaar1*VLOOKUP(B8,dagsoorttabel1,2,FALSE))/(((dagenperjaar1*VLOOKUP(B8,dagsoorttabel1,2,FALSE))-catfd_1_BHV_40)/catpn_1_BHB_1+catfd_1_BHV_40/catpn_1_BHV_40),0)</f>
        <v>0</v>
      </c>
      <c r="H8" s="54">
        <f>IF(AND(catpn_1_BHB_1&gt;0,catpn_1_BHV_40&gt;0),(catdw_1_BHB_1*((dagenperjaar1*VLOOKUP(B8,dagsoorttabel1,2,FALSE))-catfd_1_BHV_40)/catpn_1_BHB_1+catdw_1_BHV_40*catfd_1_BHV_40/catpn_1_BHV_40)/(((dagenperjaar1*VLOOKUP(B8,dagsoorttabel1,2,FALSE))-catfd_1_BHV_40)/catpn_1_BHB_1+catfd_1_BHV_40/catpn_1_BHV_40),0)</f>
        <v>0</v>
      </c>
      <c r="I8" s="39" t="s">
        <v>103</v>
      </c>
      <c r="J8" s="43">
        <f>IF(AND(catpn_1_BHB_1&gt;0,catpn_1_BHV_40&gt;0),(cattf_1_BHB_1*((dagenperjaar1*VLOOKUP(B8,dagsoorttabel1,2,FALSE))-catfd_1_BHV_40)/catpn_1_BHB_1+cattf_1_BHV_40*catfd_1_BHV_40/catpn_1_BHV_40)/(((dagenperjaar1*VLOOKUP(B8,dagsoorttabel1,2,FALSE))-catfd_1_BHV_40)/catpn_1_BHB_1+catfd_1_BHV_40/catpn_1_BHV_40),0)</f>
        <v>0</v>
      </c>
      <c r="K8" s="52">
        <f t="shared" si="1"/>
        <v>0</v>
      </c>
      <c r="L8" s="43">
        <f t="shared" si="2"/>
        <v>0</v>
      </c>
      <c r="M8" s="52">
        <f t="shared" si="3"/>
        <v>0</v>
      </c>
      <c r="N8" s="43">
        <f t="shared" si="4"/>
        <v>0</v>
      </c>
    </row>
    <row r="9" spans="1:14" x14ac:dyDescent="0.3">
      <c r="A9" s="39" t="s">
        <v>216</v>
      </c>
      <c r="B9" s="39" t="s">
        <v>16</v>
      </c>
      <c r="C9" s="39" t="s">
        <v>214</v>
      </c>
      <c r="D9" s="39" t="s">
        <v>217</v>
      </c>
      <c r="E9" s="52">
        <v>529.90000000000009</v>
      </c>
      <c r="F9" s="52">
        <f t="shared" si="0"/>
        <v>166.243137254902</v>
      </c>
      <c r="G9" s="53">
        <f>IF(AND(catpn_1_BHB_1&gt;0,catpn_1_BHV_40&gt;0),(dagenperjaar1*VLOOKUP(B9,dagsoorttabel1,2,FALSE))/(((dagenperjaar1*VLOOKUP(B9,dagsoorttabel1,2,FALSE))-catfd_1_BHV_40)/catpn_1_BHB_1+catfd_1_BHV_40/catpn_1_BHV_40),0)</f>
        <v>0</v>
      </c>
      <c r="H9" s="54">
        <f>IF(AND(catpn_1_BHB_1&gt;0,catpn_1_BHV_40&gt;0),(catdw_1_BHB_1*((dagenperjaar1*VLOOKUP(B9,dagsoorttabel1,2,FALSE))-catfd_1_BHV_40)/catpn_1_BHB_1+catdw_1_BHV_40*catfd_1_BHV_40/catpn_1_BHV_40)/(((dagenperjaar1*VLOOKUP(B9,dagsoorttabel1,2,FALSE))-catfd_1_BHV_40)/catpn_1_BHB_1+catfd_1_BHV_40/catpn_1_BHV_40),0)</f>
        <v>0</v>
      </c>
      <c r="I9" s="39" t="s">
        <v>103</v>
      </c>
      <c r="J9" s="43">
        <f>IF(AND(catpn_1_BHB_1&gt;0,catpn_1_BHV_40&gt;0),(cattf_1_BHB_1*((dagenperjaar1*VLOOKUP(B9,dagsoorttabel1,2,FALSE))-catfd_1_BHV_40)/catpn_1_BHB_1+cattf_1_BHV_40*catfd_1_BHV_40/catpn_1_BHV_40)/(((dagenperjaar1*VLOOKUP(B9,dagsoorttabel1,2,FALSE))-catfd_1_BHV_40)/catpn_1_BHB_1+catfd_1_BHV_40/catpn_1_BHV_40),0)</f>
        <v>0</v>
      </c>
      <c r="K9" s="52">
        <f t="shared" si="1"/>
        <v>0</v>
      </c>
      <c r="L9" s="43">
        <f t="shared" si="2"/>
        <v>0</v>
      </c>
      <c r="M9" s="52">
        <f t="shared" si="3"/>
        <v>0</v>
      </c>
      <c r="N9" s="43">
        <f t="shared" si="4"/>
        <v>0</v>
      </c>
    </row>
    <row r="10" spans="1:14" x14ac:dyDescent="0.3">
      <c r="A10" s="39" t="s">
        <v>216</v>
      </c>
      <c r="B10" s="39" t="s">
        <v>15</v>
      </c>
      <c r="C10" s="39" t="s">
        <v>214</v>
      </c>
      <c r="D10" s="39" t="s">
        <v>217</v>
      </c>
      <c r="E10" s="52">
        <v>30</v>
      </c>
      <c r="F10" s="52">
        <f t="shared" si="0"/>
        <v>9.882352941176471</v>
      </c>
      <c r="G10" s="53">
        <f>IF(AND(catpn_1_BHB_1&gt;0,catpn_1_BHV_42&gt;0),(dagenperjaar1*VLOOKUP(B10,dagsoorttabel1,2,FALSE))/(((dagenperjaar1*VLOOKUP(B10,dagsoorttabel1,2,FALSE))-catfd_1_BHV_42)/catpn_1_BHB_1+catfd_1_BHV_42/catpn_1_BHV_42),0)</f>
        <v>0</v>
      </c>
      <c r="H10" s="54">
        <f>IF(AND(catpn_1_BHB_1&gt;0,catpn_1_BHV_42&gt;0),(catdw_1_BHB_1*((dagenperjaar1*VLOOKUP(B10,dagsoorttabel1,2,FALSE))-catfd_1_BHV_42)/catpn_1_BHB_1+catdw_1_BHV_42*catfd_1_BHV_42/catpn_1_BHV_42)/(((dagenperjaar1*VLOOKUP(B10,dagsoorttabel1,2,FALSE))-catfd_1_BHV_42)/catpn_1_BHB_1+catfd_1_BHV_42/catpn_1_BHV_42),0)</f>
        <v>0</v>
      </c>
      <c r="I10" s="39" t="s">
        <v>103</v>
      </c>
      <c r="J10" s="43">
        <f>IF(AND(catpn_1_BHB_1&gt;0,catpn_1_BHV_42&gt;0),(cattf_1_BHB_1*((dagenperjaar1*VLOOKUP(B10,dagsoorttabel1,2,FALSE))-catfd_1_BHV_42)/catpn_1_BHB_1+cattf_1_BHV_42*catfd_1_BHV_42/catpn_1_BHV_42)/(((dagenperjaar1*VLOOKUP(B10,dagsoorttabel1,2,FALSE))-catfd_1_BHV_42)/catpn_1_BHB_1+catfd_1_BHV_42/catpn_1_BHV_42),0)</f>
        <v>0</v>
      </c>
      <c r="K10" s="52">
        <f t="shared" si="1"/>
        <v>0</v>
      </c>
      <c r="L10" s="43">
        <f t="shared" si="2"/>
        <v>0</v>
      </c>
      <c r="M10" s="52">
        <f t="shared" si="3"/>
        <v>0</v>
      </c>
      <c r="N10" s="43">
        <f t="shared" si="4"/>
        <v>0</v>
      </c>
    </row>
    <row r="11" spans="1:14" x14ac:dyDescent="0.3">
      <c r="A11" s="39" t="s">
        <v>218</v>
      </c>
      <c r="B11" s="39" t="s">
        <v>11</v>
      </c>
      <c r="C11" s="39" t="s">
        <v>214</v>
      </c>
      <c r="D11" s="39" t="s">
        <v>219</v>
      </c>
      <c r="E11" s="52">
        <v>123.9</v>
      </c>
      <c r="F11" s="52">
        <f t="shared" si="0"/>
        <v>97.176470588235304</v>
      </c>
      <c r="G11" s="53">
        <f>IF(AND(catpn_1_CHB_1&gt;0,catpn_1_CHV_40&gt;0),(dagenperjaar1*VLOOKUP(B11,dagsoorttabel1,2,FALSE))/(((dagenperjaar1*VLOOKUP(B11,dagsoorttabel1,2,FALSE))-catfd_1_CHV_40)/catpn_1_CHB_1+catfd_1_CHV_40/catpn_1_CHV_40),0)</f>
        <v>0</v>
      </c>
      <c r="H11" s="54">
        <f>IF(AND(catpn_1_CHB_1&gt;0,catpn_1_CHV_40&gt;0),(catdw_1_CHB_1*((dagenperjaar1*VLOOKUP(B11,dagsoorttabel1,2,FALSE))-catfd_1_CHV_40)/catpn_1_CHB_1+catdw_1_CHV_40*catfd_1_CHV_40/catpn_1_CHV_40)/(((dagenperjaar1*VLOOKUP(B11,dagsoorttabel1,2,FALSE))-catfd_1_CHV_40)/catpn_1_CHB_1+catfd_1_CHV_40/catpn_1_CHV_40),0)</f>
        <v>0</v>
      </c>
      <c r="I11" s="39" t="s">
        <v>103</v>
      </c>
      <c r="J11" s="43">
        <f>IF(AND(catpn_1_CHB_1&gt;0,catpn_1_CHV_40&gt;0),(cattf_1_CHB_1*((dagenperjaar1*VLOOKUP(B11,dagsoorttabel1,2,FALSE))-catfd_1_CHV_40)/catpn_1_CHB_1+cattf_1_CHV_40*catfd_1_CHV_40/catpn_1_CHV_40)/(((dagenperjaar1*VLOOKUP(B11,dagsoorttabel1,2,FALSE))-catfd_1_CHV_40)/catpn_1_CHB_1+catfd_1_CHV_40/catpn_1_CHV_40),0)</f>
        <v>0</v>
      </c>
      <c r="K11" s="52">
        <f t="shared" si="1"/>
        <v>0</v>
      </c>
      <c r="L11" s="43">
        <f t="shared" si="2"/>
        <v>0</v>
      </c>
      <c r="M11" s="52">
        <f t="shared" si="3"/>
        <v>0</v>
      </c>
      <c r="N11" s="43">
        <f t="shared" si="4"/>
        <v>0</v>
      </c>
    </row>
    <row r="12" spans="1:14" x14ac:dyDescent="0.3">
      <c r="A12" s="39" t="s">
        <v>220</v>
      </c>
      <c r="B12" s="39" t="s">
        <v>11</v>
      </c>
      <c r="C12" s="39" t="s">
        <v>214</v>
      </c>
      <c r="D12" s="39" t="s">
        <v>221</v>
      </c>
      <c r="E12" s="52">
        <v>68.37</v>
      </c>
      <c r="F12" s="52">
        <f t="shared" si="0"/>
        <v>53.623529411764707</v>
      </c>
      <c r="G12" s="53">
        <f>IF(AND(catpn_1_DHB_1&gt;0,catpn_1_DHV_40&gt;0),(dagenperjaar1*VLOOKUP(B12,dagsoorttabel1,2,FALSE))/(((dagenperjaar1*VLOOKUP(B12,dagsoorttabel1,2,FALSE))-catfd_1_DHV_40)/catpn_1_DHB_1+catfd_1_DHV_40/catpn_1_DHV_40),0)</f>
        <v>0</v>
      </c>
      <c r="H12" s="54">
        <f>IF(AND(catpn_1_DHB_1&gt;0,catpn_1_DHV_40&gt;0),(catdw_1_DHB_1*((dagenperjaar1*VLOOKUP(B12,dagsoorttabel1,2,FALSE))-catfd_1_DHV_40)/catpn_1_DHB_1+catdw_1_DHV_40*catfd_1_DHV_40/catpn_1_DHV_40)/(((dagenperjaar1*VLOOKUP(B12,dagsoorttabel1,2,FALSE))-catfd_1_DHV_40)/catpn_1_DHB_1+catfd_1_DHV_40/catpn_1_DHV_40),0)</f>
        <v>0</v>
      </c>
      <c r="I12" s="39" t="s">
        <v>103</v>
      </c>
      <c r="J12" s="43">
        <f>IF(AND(catpn_1_DHB_1&gt;0,catpn_1_DHV_40&gt;0),(cattf_1_DHB_1*((dagenperjaar1*VLOOKUP(B12,dagsoorttabel1,2,FALSE))-catfd_1_DHV_40)/catpn_1_DHB_1+cattf_1_DHV_40*catfd_1_DHV_40/catpn_1_DHV_40)/(((dagenperjaar1*VLOOKUP(B12,dagsoorttabel1,2,FALSE))-catfd_1_DHV_40)/catpn_1_DHB_1+catfd_1_DHV_40/catpn_1_DHV_40),0)</f>
        <v>0</v>
      </c>
      <c r="K12" s="52">
        <f t="shared" si="1"/>
        <v>0</v>
      </c>
      <c r="L12" s="43">
        <f t="shared" si="2"/>
        <v>0</v>
      </c>
      <c r="M12" s="52">
        <f t="shared" si="3"/>
        <v>0</v>
      </c>
      <c r="N12" s="43">
        <f t="shared" si="4"/>
        <v>0</v>
      </c>
    </row>
    <row r="13" spans="1:14" x14ac:dyDescent="0.3">
      <c r="A13" s="39" t="s">
        <v>222</v>
      </c>
      <c r="B13" s="39" t="s">
        <v>11</v>
      </c>
      <c r="C13" s="39" t="s">
        <v>214</v>
      </c>
      <c r="D13" s="39" t="s">
        <v>223</v>
      </c>
      <c r="E13" s="52">
        <v>383.58</v>
      </c>
      <c r="F13" s="52">
        <f t="shared" si="0"/>
        <v>300.84705882352938</v>
      </c>
      <c r="G13" s="53">
        <f>IF(AND(catpn_1_EHB_1&gt;0,catpn_1_EHV_40&gt;0),(dagenperjaar1*VLOOKUP(B13,dagsoorttabel1,2,FALSE))/(((dagenperjaar1*VLOOKUP(B13,dagsoorttabel1,2,FALSE))-catfd_1_EHV_40)/catpn_1_EHB_1+catfd_1_EHV_40/catpn_1_EHV_40),0)</f>
        <v>0</v>
      </c>
      <c r="H13" s="54">
        <f>IF(AND(catpn_1_EHB_1&gt;0,catpn_1_EHV_40&gt;0),(catdw_1_EHB_1*((dagenperjaar1*VLOOKUP(B13,dagsoorttabel1,2,FALSE))-catfd_1_EHV_40)/catpn_1_EHB_1+catdw_1_EHV_40*catfd_1_EHV_40/catpn_1_EHV_40)/(((dagenperjaar1*VLOOKUP(B13,dagsoorttabel1,2,FALSE))-catfd_1_EHV_40)/catpn_1_EHB_1+catfd_1_EHV_40/catpn_1_EHV_40),0)</f>
        <v>0</v>
      </c>
      <c r="I13" s="39" t="s">
        <v>103</v>
      </c>
      <c r="J13" s="43">
        <f>IF(AND(catpn_1_EHB_1&gt;0,catpn_1_EHV_40&gt;0),(cattf_1_EHB_1*((dagenperjaar1*VLOOKUP(B13,dagsoorttabel1,2,FALSE))-catfd_1_EHV_40)/catpn_1_EHB_1+cattf_1_EHV_40*catfd_1_EHV_40/catpn_1_EHV_40)/(((dagenperjaar1*VLOOKUP(B13,dagsoorttabel1,2,FALSE))-catfd_1_EHV_40)/catpn_1_EHB_1+catfd_1_EHV_40/catpn_1_EHV_40),0)</f>
        <v>0</v>
      </c>
      <c r="K13" s="52">
        <f t="shared" si="1"/>
        <v>0</v>
      </c>
      <c r="L13" s="43">
        <f t="shared" si="2"/>
        <v>0</v>
      </c>
      <c r="M13" s="52">
        <f t="shared" si="3"/>
        <v>0</v>
      </c>
      <c r="N13" s="43">
        <f t="shared" si="4"/>
        <v>0</v>
      </c>
    </row>
    <row r="14" spans="1:14" x14ac:dyDescent="0.3">
      <c r="A14" s="39" t="s">
        <v>224</v>
      </c>
      <c r="B14" s="39" t="s">
        <v>11</v>
      </c>
      <c r="C14" s="39" t="s">
        <v>214</v>
      </c>
      <c r="D14" s="39" t="s">
        <v>225</v>
      </c>
      <c r="E14" s="52">
        <v>131.12</v>
      </c>
      <c r="F14" s="52">
        <f t="shared" si="0"/>
        <v>102.83921568627451</v>
      </c>
      <c r="G14" s="53">
        <f>IF(AND(catpn_1_EZB_1&gt;0,catpn_1_EZV_40&gt;0),(dagenperjaar1*VLOOKUP(B14,dagsoorttabel1,2,FALSE))/(((dagenperjaar1*VLOOKUP(B14,dagsoorttabel1,2,FALSE))-catfd_1_EZV_40)/catpn_1_EZB_1+catfd_1_EZV_40/catpn_1_EZV_40),0)</f>
        <v>0</v>
      </c>
      <c r="H14" s="54">
        <f>IF(AND(catpn_1_EZB_1&gt;0,catpn_1_EZV_40&gt;0),(catdw_1_EZB_1*((dagenperjaar1*VLOOKUP(B14,dagsoorttabel1,2,FALSE))-catfd_1_EZV_40)/catpn_1_EZB_1+catdw_1_EZV_40*catfd_1_EZV_40/catpn_1_EZV_40)/(((dagenperjaar1*VLOOKUP(B14,dagsoorttabel1,2,FALSE))-catfd_1_EZV_40)/catpn_1_EZB_1+catfd_1_EZV_40/catpn_1_EZV_40),0)</f>
        <v>0</v>
      </c>
      <c r="I14" s="39" t="s">
        <v>103</v>
      </c>
      <c r="J14" s="43">
        <f>IF(AND(catpn_1_EZB_1&gt;0,catpn_1_EZV_40&gt;0),(cattf_1_EZB_1*((dagenperjaar1*VLOOKUP(B14,dagsoorttabel1,2,FALSE))-catfd_1_EZV_40)/catpn_1_EZB_1+cattf_1_EZV_40*catfd_1_EZV_40/catpn_1_EZV_40)/(((dagenperjaar1*VLOOKUP(B14,dagsoorttabel1,2,FALSE))-catfd_1_EZV_40)/catpn_1_EZB_1+catfd_1_EZV_40/catpn_1_EZV_40),0)</f>
        <v>0</v>
      </c>
      <c r="K14" s="52">
        <f t="shared" si="1"/>
        <v>0</v>
      </c>
      <c r="L14" s="43">
        <f t="shared" si="2"/>
        <v>0</v>
      </c>
      <c r="M14" s="52">
        <f t="shared" si="3"/>
        <v>0</v>
      </c>
      <c r="N14" s="43">
        <f t="shared" si="4"/>
        <v>0</v>
      </c>
    </row>
    <row r="15" spans="1:14" x14ac:dyDescent="0.3">
      <c r="A15" s="39" t="s">
        <v>226</v>
      </c>
      <c r="B15" s="39" t="s">
        <v>11</v>
      </c>
      <c r="C15" s="39" t="s">
        <v>214</v>
      </c>
      <c r="D15" s="39" t="s">
        <v>227</v>
      </c>
      <c r="E15" s="52">
        <v>37.4</v>
      </c>
      <c r="F15" s="52">
        <f t="shared" si="0"/>
        <v>29.333333333333332</v>
      </c>
      <c r="G15" s="53">
        <f>IF(AND(catpn_1_FZB_1&gt;0,catpn_1_FZV_40&gt;0),(dagenperjaar1*VLOOKUP(B15,dagsoorttabel1,2,FALSE))/(((dagenperjaar1*VLOOKUP(B15,dagsoorttabel1,2,FALSE))-catfd_1_FZV_40)/catpn_1_FZB_1+catfd_1_FZV_40/catpn_1_FZV_40),0)</f>
        <v>0</v>
      </c>
      <c r="H15" s="54">
        <f>IF(AND(catpn_1_FZB_1&gt;0,catpn_1_FZV_40&gt;0),(catdw_1_FZB_1*((dagenperjaar1*VLOOKUP(B15,dagsoorttabel1,2,FALSE))-catfd_1_FZV_40)/catpn_1_FZB_1+catdw_1_FZV_40*catfd_1_FZV_40/catpn_1_FZV_40)/(((dagenperjaar1*VLOOKUP(B15,dagsoorttabel1,2,FALSE))-catfd_1_FZV_40)/catpn_1_FZB_1+catfd_1_FZV_40/catpn_1_FZV_40),0)</f>
        <v>0</v>
      </c>
      <c r="I15" s="39" t="s">
        <v>103</v>
      </c>
      <c r="J15" s="43">
        <f>IF(AND(catpn_1_FZB_1&gt;0,catpn_1_FZV_40&gt;0),(cattf_1_FZB_1*((dagenperjaar1*VLOOKUP(B15,dagsoorttabel1,2,FALSE))-catfd_1_FZV_40)/catpn_1_FZB_1+cattf_1_FZV_40*catfd_1_FZV_40/catpn_1_FZV_40)/(((dagenperjaar1*VLOOKUP(B15,dagsoorttabel1,2,FALSE))-catfd_1_FZV_40)/catpn_1_FZB_1+catfd_1_FZV_40/catpn_1_FZV_40),0)</f>
        <v>0</v>
      </c>
      <c r="K15" s="52">
        <f t="shared" si="1"/>
        <v>0</v>
      </c>
      <c r="L15" s="43">
        <f t="shared" si="2"/>
        <v>0</v>
      </c>
      <c r="M15" s="52">
        <f t="shared" si="3"/>
        <v>0</v>
      </c>
      <c r="N15" s="43">
        <f t="shared" si="4"/>
        <v>0</v>
      </c>
    </row>
    <row r="16" spans="1:14" x14ac:dyDescent="0.3">
      <c r="A16" s="39" t="s">
        <v>228</v>
      </c>
      <c r="B16" s="39" t="s">
        <v>11</v>
      </c>
      <c r="C16" s="39" t="s">
        <v>214</v>
      </c>
      <c r="D16" s="39" t="s">
        <v>229</v>
      </c>
      <c r="E16" s="52">
        <v>3160.9400000000005</v>
      </c>
      <c r="F16" s="52">
        <f t="shared" si="0"/>
        <v>2479.1686274509807</v>
      </c>
      <c r="G16" s="53">
        <f>IF(AND(catpn_1_GHB_1&gt;0,catpn_1_GHV_40&gt;0),(dagenperjaar1*VLOOKUP(B16,dagsoorttabel1,2,FALSE))/(((dagenperjaar1*VLOOKUP(B16,dagsoorttabel1,2,FALSE))-catfd_1_GHV_40)/catpn_1_GHB_1+catfd_1_GHV_40/catpn_1_GHV_40),0)</f>
        <v>0</v>
      </c>
      <c r="H16" s="54">
        <f>IF(AND(catpn_1_GHB_1&gt;0,catpn_1_GHV_40&gt;0),(catdw_1_GHB_1*((dagenperjaar1*VLOOKUP(B16,dagsoorttabel1,2,FALSE))-catfd_1_GHV_40)/catpn_1_GHB_1+catdw_1_GHV_40*catfd_1_GHV_40/catpn_1_GHV_40)/(((dagenperjaar1*VLOOKUP(B16,dagsoorttabel1,2,FALSE))-catfd_1_GHV_40)/catpn_1_GHB_1+catfd_1_GHV_40/catpn_1_GHV_40),0)</f>
        <v>0</v>
      </c>
      <c r="I16" s="39" t="s">
        <v>103</v>
      </c>
      <c r="J16" s="43">
        <f>IF(AND(catpn_1_GHB_1&gt;0,catpn_1_GHV_40&gt;0),(cattf_1_GHB_1*((dagenperjaar1*VLOOKUP(B16,dagsoorttabel1,2,FALSE))-catfd_1_GHV_40)/catpn_1_GHB_1+cattf_1_GHV_40*catfd_1_GHV_40/catpn_1_GHV_40)/(((dagenperjaar1*VLOOKUP(B16,dagsoorttabel1,2,FALSE))-catfd_1_GHV_40)/catpn_1_GHB_1+catfd_1_GHV_40/catpn_1_GHV_40),0)</f>
        <v>0</v>
      </c>
      <c r="K16" s="52">
        <f t="shared" si="1"/>
        <v>0</v>
      </c>
      <c r="L16" s="43">
        <f t="shared" si="2"/>
        <v>0</v>
      </c>
      <c r="M16" s="52">
        <f t="shared" si="3"/>
        <v>0</v>
      </c>
      <c r="N16" s="43">
        <f t="shared" si="4"/>
        <v>0</v>
      </c>
    </row>
    <row r="17" spans="1:14" x14ac:dyDescent="0.3">
      <c r="A17" s="39" t="s">
        <v>228</v>
      </c>
      <c r="B17" s="39" t="s">
        <v>18</v>
      </c>
      <c r="C17" s="39" t="s">
        <v>214</v>
      </c>
      <c r="D17" s="39" t="s">
        <v>229</v>
      </c>
      <c r="E17" s="52">
        <v>270.63</v>
      </c>
      <c r="F17" s="52">
        <f t="shared" si="0"/>
        <v>42.451764705882354</v>
      </c>
      <c r="G17" s="53">
        <f>catpn_1_GHV_40</f>
        <v>0</v>
      </c>
      <c r="H17" s="54">
        <f>catdw_1_GHV_40</f>
        <v>0</v>
      </c>
      <c r="I17" s="39" t="s">
        <v>103</v>
      </c>
      <c r="J17" s="43">
        <f>cattf_1_GHV_40</f>
        <v>0</v>
      </c>
      <c r="K17" s="52">
        <f t="shared" si="1"/>
        <v>0</v>
      </c>
      <c r="L17" s="43">
        <f t="shared" si="2"/>
        <v>0</v>
      </c>
      <c r="M17" s="52">
        <f t="shared" si="3"/>
        <v>0</v>
      </c>
      <c r="N17" s="43">
        <f t="shared" si="4"/>
        <v>0</v>
      </c>
    </row>
    <row r="18" spans="1:14" x14ac:dyDescent="0.3">
      <c r="A18" s="39" t="s">
        <v>230</v>
      </c>
      <c r="B18" s="39" t="s">
        <v>11</v>
      </c>
      <c r="C18" s="39" t="s">
        <v>214</v>
      </c>
      <c r="D18" s="39" t="s">
        <v>231</v>
      </c>
      <c r="E18" s="52">
        <v>24.71</v>
      </c>
      <c r="F18" s="52">
        <f t="shared" si="0"/>
        <v>19.380392156862744</v>
      </c>
      <c r="G18" s="53">
        <f>IF(AND(catpn_1_IHB_1&gt;0,catpn_1_IHV_40&gt;0),(dagenperjaar1*VLOOKUP(B18,dagsoorttabel1,2,FALSE))/(((dagenperjaar1*VLOOKUP(B18,dagsoorttabel1,2,FALSE))-catfd_1_IHV_40)/catpn_1_IHB_1+catfd_1_IHV_40/catpn_1_IHV_40),0)</f>
        <v>0</v>
      </c>
      <c r="H18" s="54">
        <f>IF(AND(catpn_1_IHB_1&gt;0,catpn_1_IHV_40&gt;0),(catdw_1_IHB_1*((dagenperjaar1*VLOOKUP(B18,dagsoorttabel1,2,FALSE))-catfd_1_IHV_40)/catpn_1_IHB_1+catdw_1_IHV_40*catfd_1_IHV_40/catpn_1_IHV_40)/(((dagenperjaar1*VLOOKUP(B18,dagsoorttabel1,2,FALSE))-catfd_1_IHV_40)/catpn_1_IHB_1+catfd_1_IHV_40/catpn_1_IHV_40),0)</f>
        <v>0</v>
      </c>
      <c r="I18" s="39" t="s">
        <v>103</v>
      </c>
      <c r="J18" s="43">
        <f>IF(AND(catpn_1_IHB_1&gt;0,catpn_1_IHV_40&gt;0),(cattf_1_IHB_1*((dagenperjaar1*VLOOKUP(B18,dagsoorttabel1,2,FALSE))-catfd_1_IHV_40)/catpn_1_IHB_1+cattf_1_IHV_40*catfd_1_IHV_40/catpn_1_IHV_40)/(((dagenperjaar1*VLOOKUP(B18,dagsoorttabel1,2,FALSE))-catfd_1_IHV_40)/catpn_1_IHB_1+catfd_1_IHV_40/catpn_1_IHV_40),0)</f>
        <v>0</v>
      </c>
      <c r="K18" s="52">
        <f t="shared" si="1"/>
        <v>0</v>
      </c>
      <c r="L18" s="43">
        <f t="shared" si="2"/>
        <v>0</v>
      </c>
      <c r="M18" s="52">
        <f t="shared" si="3"/>
        <v>0</v>
      </c>
      <c r="N18" s="43">
        <f t="shared" si="4"/>
        <v>0</v>
      </c>
    </row>
    <row r="19" spans="1:14" x14ac:dyDescent="0.3">
      <c r="A19" s="39" t="s">
        <v>230</v>
      </c>
      <c r="B19" s="39" t="s">
        <v>18</v>
      </c>
      <c r="C19" s="39" t="s">
        <v>214</v>
      </c>
      <c r="D19" s="39" t="s">
        <v>231</v>
      </c>
      <c r="E19" s="52">
        <v>4.2</v>
      </c>
      <c r="F19" s="52">
        <f t="shared" si="0"/>
        <v>0.6588235294117647</v>
      </c>
      <c r="G19" s="53">
        <f>IF(AND(catpn_1_IHB_1&gt;0,catpn_1_IHV_40&gt;0),(dagenperjaar1*VLOOKUP(B19,dagsoorttabel1,2,FALSE))/(((dagenperjaar1*VLOOKUP(B19,dagsoorttabel1,2,FALSE))-catfd_1_IHV_40)/catpn_1_IHB_1+catfd_1_IHV_40/catpn_1_IHV_40),0)</f>
        <v>0</v>
      </c>
      <c r="H19" s="54">
        <f>IF(AND(catpn_1_IHB_1&gt;0,catpn_1_IHV_40&gt;0),(catdw_1_IHB_1*((dagenperjaar1*VLOOKUP(B19,dagsoorttabel1,2,FALSE))-catfd_1_IHV_40)/catpn_1_IHB_1+catdw_1_IHV_40*catfd_1_IHV_40/catpn_1_IHV_40)/(((dagenperjaar1*VLOOKUP(B19,dagsoorttabel1,2,FALSE))-catfd_1_IHV_40)/catpn_1_IHB_1+catfd_1_IHV_40/catpn_1_IHV_40),0)</f>
        <v>0</v>
      </c>
      <c r="I19" s="39" t="s">
        <v>103</v>
      </c>
      <c r="J19" s="43">
        <f>IF(AND(catpn_1_IHB_1&gt;0,catpn_1_IHV_40&gt;0),(cattf_1_IHB_1*((dagenperjaar1*VLOOKUP(B19,dagsoorttabel1,2,FALSE))-catfd_1_IHV_40)/catpn_1_IHB_1+cattf_1_IHV_40*catfd_1_IHV_40/catpn_1_IHV_40)/(((dagenperjaar1*VLOOKUP(B19,dagsoorttabel1,2,FALSE))-catfd_1_IHV_40)/catpn_1_IHB_1+catfd_1_IHV_40/catpn_1_IHV_40),0)</f>
        <v>0</v>
      </c>
      <c r="K19" s="52">
        <f t="shared" si="1"/>
        <v>0</v>
      </c>
      <c r="L19" s="43">
        <f t="shared" si="2"/>
        <v>0</v>
      </c>
      <c r="M19" s="52">
        <f t="shared" si="3"/>
        <v>0</v>
      </c>
      <c r="N19" s="43">
        <f t="shared" si="4"/>
        <v>0</v>
      </c>
    </row>
    <row r="20" spans="1:14" x14ac:dyDescent="0.3">
      <c r="A20" s="39" t="s">
        <v>232</v>
      </c>
      <c r="B20" s="39" t="s">
        <v>11</v>
      </c>
      <c r="C20" s="39" t="s">
        <v>214</v>
      </c>
      <c r="D20" s="39" t="s">
        <v>233</v>
      </c>
      <c r="E20" s="52">
        <v>513.72</v>
      </c>
      <c r="F20" s="52">
        <f t="shared" si="0"/>
        <v>402.91764705882355</v>
      </c>
      <c r="G20" s="53">
        <f>IF(AND(catpn_1_KHB_1&gt;0,catpn_1_KHV_40&gt;0),(dagenperjaar1*VLOOKUP(B20,dagsoorttabel1,2,FALSE))/(((dagenperjaar1*VLOOKUP(B20,dagsoorttabel1,2,FALSE))-catfd_1_KHV_40)/catpn_1_KHB_1+catfd_1_KHV_40/catpn_1_KHV_40),0)</f>
        <v>0</v>
      </c>
      <c r="H20" s="54">
        <f>IF(AND(catpn_1_KHB_1&gt;0,catpn_1_KHV_40&gt;0),(catdw_1_KHB_1*((dagenperjaar1*VLOOKUP(B20,dagsoorttabel1,2,FALSE))-catfd_1_KHV_40)/catpn_1_KHB_1+catdw_1_KHV_40*catfd_1_KHV_40/catpn_1_KHV_40)/(((dagenperjaar1*VLOOKUP(B20,dagsoorttabel1,2,FALSE))-catfd_1_KHV_40)/catpn_1_KHB_1+catfd_1_KHV_40/catpn_1_KHV_40),0)</f>
        <v>0</v>
      </c>
      <c r="I20" s="39" t="s">
        <v>103</v>
      </c>
      <c r="J20" s="43">
        <f>IF(AND(catpn_1_KHB_1&gt;0,catpn_1_KHV_40&gt;0),(cattf_1_KHB_1*((dagenperjaar1*VLOOKUP(B20,dagsoorttabel1,2,FALSE))-catfd_1_KHV_40)/catpn_1_KHB_1+cattf_1_KHV_40*catfd_1_KHV_40/catpn_1_KHV_40)/(((dagenperjaar1*VLOOKUP(B20,dagsoorttabel1,2,FALSE))-catfd_1_KHV_40)/catpn_1_KHB_1+catfd_1_KHV_40/catpn_1_KHV_40),0)</f>
        <v>0</v>
      </c>
      <c r="K20" s="52">
        <f t="shared" si="1"/>
        <v>0</v>
      </c>
      <c r="L20" s="43">
        <f t="shared" si="2"/>
        <v>0</v>
      </c>
      <c r="M20" s="52">
        <f t="shared" si="3"/>
        <v>0</v>
      </c>
      <c r="N20" s="43">
        <f t="shared" si="4"/>
        <v>0</v>
      </c>
    </row>
    <row r="21" spans="1:14" x14ac:dyDescent="0.3">
      <c r="A21" s="39" t="s">
        <v>234</v>
      </c>
      <c r="B21" s="39" t="s">
        <v>13</v>
      </c>
      <c r="C21" s="39" t="s">
        <v>214</v>
      </c>
      <c r="D21" s="39" t="s">
        <v>235</v>
      </c>
      <c r="E21" s="52">
        <v>28</v>
      </c>
      <c r="F21" s="52">
        <f t="shared" si="0"/>
        <v>13.176470588235293</v>
      </c>
      <c r="G21" s="53">
        <f>IF(AND(catpn_1_LHB_1&gt;0,catpn_1_LHV_40&gt;0),(dagenperjaar1*VLOOKUP(B21,dagsoorttabel1,2,FALSE))/(((dagenperjaar1*VLOOKUP(B21,dagsoorttabel1,2,FALSE))-catfd_1_LHV_40)/catpn_1_LHB_1+catfd_1_LHV_40/catpn_1_LHV_40),0)</f>
        <v>0</v>
      </c>
      <c r="H21" s="54">
        <f>IF(AND(catpn_1_LHB_1&gt;0,catpn_1_LHV_40&gt;0),(catdw_1_LHB_1*((dagenperjaar1*VLOOKUP(B21,dagsoorttabel1,2,FALSE))-catfd_1_LHV_40)/catpn_1_LHB_1+catdw_1_LHV_40*catfd_1_LHV_40/catpn_1_LHV_40)/(((dagenperjaar1*VLOOKUP(B21,dagsoorttabel1,2,FALSE))-catfd_1_LHV_40)/catpn_1_LHB_1+catfd_1_LHV_40/catpn_1_LHV_40),0)</f>
        <v>0</v>
      </c>
      <c r="I21" s="39" t="s">
        <v>103</v>
      </c>
      <c r="J21" s="43">
        <f>IF(AND(catpn_1_LHB_1&gt;0,catpn_1_LHV_40&gt;0),(cattf_1_LHB_1*((dagenperjaar1*VLOOKUP(B21,dagsoorttabel1,2,FALSE))-catfd_1_LHV_40)/catpn_1_LHB_1+cattf_1_LHV_40*catfd_1_LHV_40/catpn_1_LHV_40)/(((dagenperjaar1*VLOOKUP(B21,dagsoorttabel1,2,FALSE))-catfd_1_LHV_40)/catpn_1_LHB_1+catfd_1_LHV_40/catpn_1_LHV_40),0)</f>
        <v>0</v>
      </c>
      <c r="K21" s="52">
        <f t="shared" si="1"/>
        <v>0</v>
      </c>
      <c r="L21" s="43">
        <f t="shared" si="2"/>
        <v>0</v>
      </c>
      <c r="M21" s="52">
        <f t="shared" si="3"/>
        <v>0</v>
      </c>
      <c r="N21" s="43">
        <f t="shared" si="4"/>
        <v>0</v>
      </c>
    </row>
    <row r="22" spans="1:14" x14ac:dyDescent="0.3">
      <c r="A22" s="39" t="s">
        <v>234</v>
      </c>
      <c r="B22" s="39" t="s">
        <v>11</v>
      </c>
      <c r="C22" s="39" t="s">
        <v>214</v>
      </c>
      <c r="D22" s="39" t="s">
        <v>235</v>
      </c>
      <c r="E22" s="52">
        <v>10865.83</v>
      </c>
      <c r="F22" s="52">
        <f t="shared" si="0"/>
        <v>8522.2196078431371</v>
      </c>
      <c r="G22" s="53">
        <f>IF(AND(catpn_1_LHB_1&gt;0,catpn_1_LHV_40&gt;0),(dagenperjaar1*VLOOKUP(B22,dagsoorttabel1,2,FALSE))/(((dagenperjaar1*VLOOKUP(B22,dagsoorttabel1,2,FALSE))-catfd_1_LHV_40)/catpn_1_LHB_1+catfd_1_LHV_40/catpn_1_LHV_40),0)</f>
        <v>0</v>
      </c>
      <c r="H22" s="54">
        <f>IF(AND(catpn_1_LHB_1&gt;0,catpn_1_LHV_40&gt;0),(catdw_1_LHB_1*((dagenperjaar1*VLOOKUP(B22,dagsoorttabel1,2,FALSE))-catfd_1_LHV_40)/catpn_1_LHB_1+catdw_1_LHV_40*catfd_1_LHV_40/catpn_1_LHV_40)/(((dagenperjaar1*VLOOKUP(B22,dagsoorttabel1,2,FALSE))-catfd_1_LHV_40)/catpn_1_LHB_1+catfd_1_LHV_40/catpn_1_LHV_40),0)</f>
        <v>0</v>
      </c>
      <c r="I22" s="39" t="s">
        <v>103</v>
      </c>
      <c r="J22" s="43">
        <f>IF(AND(catpn_1_LHB_1&gt;0,catpn_1_LHV_40&gt;0),(cattf_1_LHB_1*((dagenperjaar1*VLOOKUP(B22,dagsoorttabel1,2,FALSE))-catfd_1_LHV_40)/catpn_1_LHB_1+cattf_1_LHV_40*catfd_1_LHV_40/catpn_1_LHV_40)/(((dagenperjaar1*VLOOKUP(B22,dagsoorttabel1,2,FALSE))-catfd_1_LHV_40)/catpn_1_LHB_1+catfd_1_LHV_40/catpn_1_LHV_40),0)</f>
        <v>0</v>
      </c>
      <c r="K22" s="52">
        <f t="shared" si="1"/>
        <v>0</v>
      </c>
      <c r="L22" s="43">
        <f t="shared" si="2"/>
        <v>0</v>
      </c>
      <c r="M22" s="52">
        <f t="shared" si="3"/>
        <v>0</v>
      </c>
      <c r="N22" s="43">
        <f t="shared" si="4"/>
        <v>0</v>
      </c>
    </row>
    <row r="23" spans="1:14" x14ac:dyDescent="0.3">
      <c r="A23" s="39" t="s">
        <v>236</v>
      </c>
      <c r="B23" s="39" t="s">
        <v>11</v>
      </c>
      <c r="C23" s="39" t="s">
        <v>214</v>
      </c>
      <c r="D23" s="39" t="s">
        <v>237</v>
      </c>
      <c r="E23" s="52">
        <v>794.74</v>
      </c>
      <c r="F23" s="52">
        <f t="shared" si="0"/>
        <v>623.32549019607848</v>
      </c>
      <c r="G23" s="53">
        <f>IF(AND(catpn_1_MHB_1&gt;0,catpn_1_MHV_40&gt;0),(dagenperjaar1*VLOOKUP(B23,dagsoorttabel1,2,FALSE))/(((dagenperjaar1*VLOOKUP(B23,dagsoorttabel1,2,FALSE))-catfd_1_MHV_40)/catpn_1_MHB_1+catfd_1_MHV_40/catpn_1_MHV_40),0)</f>
        <v>0</v>
      </c>
      <c r="H23" s="54">
        <f>IF(AND(catpn_1_MHB_1&gt;0,catpn_1_MHV_40&gt;0),(catdw_1_MHB_1*((dagenperjaar1*VLOOKUP(B23,dagsoorttabel1,2,FALSE))-catfd_1_MHV_40)/catpn_1_MHB_1+catdw_1_MHV_40*catfd_1_MHV_40/catpn_1_MHV_40)/(((dagenperjaar1*VLOOKUP(B23,dagsoorttabel1,2,FALSE))-catfd_1_MHV_40)/catpn_1_MHB_1+catfd_1_MHV_40/catpn_1_MHV_40),0)</f>
        <v>0</v>
      </c>
      <c r="I23" s="39" t="s">
        <v>103</v>
      </c>
      <c r="J23" s="43">
        <f>IF(AND(catpn_1_MHB_1&gt;0,catpn_1_MHV_40&gt;0),(cattf_1_MHB_1*((dagenperjaar1*VLOOKUP(B23,dagsoorttabel1,2,FALSE))-catfd_1_MHV_40)/catpn_1_MHB_1+cattf_1_MHV_40*catfd_1_MHV_40/catpn_1_MHV_40)/(((dagenperjaar1*VLOOKUP(B23,dagsoorttabel1,2,FALSE))-catfd_1_MHV_40)/catpn_1_MHB_1+catfd_1_MHV_40/catpn_1_MHV_40),0)</f>
        <v>0</v>
      </c>
      <c r="K23" s="52">
        <f t="shared" si="1"/>
        <v>0</v>
      </c>
      <c r="L23" s="43">
        <f t="shared" si="2"/>
        <v>0</v>
      </c>
      <c r="M23" s="52">
        <f t="shared" si="3"/>
        <v>0</v>
      </c>
      <c r="N23" s="43">
        <f t="shared" si="4"/>
        <v>0</v>
      </c>
    </row>
    <row r="24" spans="1:14" x14ac:dyDescent="0.3">
      <c r="A24" s="39" t="s">
        <v>238</v>
      </c>
      <c r="B24" s="39" t="s">
        <v>21</v>
      </c>
      <c r="C24" s="39" t="s">
        <v>214</v>
      </c>
      <c r="D24" s="39" t="s">
        <v>239</v>
      </c>
      <c r="E24" s="52">
        <v>330.59999999999997</v>
      </c>
      <c r="F24" s="52">
        <f t="shared" si="0"/>
        <v>12.96470588235294</v>
      </c>
      <c r="G24" s="53">
        <f>IF(AND(catpn_1_OHB_1&gt;0,catpn_1_OHV_10&gt;0),(dagenperjaar1*VLOOKUP(B24,dagsoorttabel1,2,FALSE))/(((dagenperjaar1*VLOOKUP(B24,dagsoorttabel1,2,FALSE))-catfd_1_OHV_10)/catpn_1_OHB_1+catfd_1_OHV_10/catpn_1_OHV_10),0)</f>
        <v>0</v>
      </c>
      <c r="H24" s="54">
        <f>IF(AND(catpn_1_OHB_1&gt;0,catpn_1_OHV_10&gt;0),(catdw_1_OHB_1*((dagenperjaar1*VLOOKUP(B24,dagsoorttabel1,2,FALSE))-catfd_1_OHV_10)/catpn_1_OHB_1+catdw_1_OHV_10*catfd_1_OHV_10/catpn_1_OHV_10)/(((dagenperjaar1*VLOOKUP(B24,dagsoorttabel1,2,FALSE))-catfd_1_OHV_10)/catpn_1_OHB_1+catfd_1_OHV_10/catpn_1_OHV_10),0)</f>
        <v>0</v>
      </c>
      <c r="I24" s="39" t="s">
        <v>103</v>
      </c>
      <c r="J24" s="43">
        <f>IF(AND(catpn_1_OHB_1&gt;0,catpn_1_OHV_10&gt;0),(cattf_1_OHB_1*((dagenperjaar1*VLOOKUP(B24,dagsoorttabel1,2,FALSE))-catfd_1_OHV_10)/catpn_1_OHB_1+cattf_1_OHV_10*catfd_1_OHV_10/catpn_1_OHV_10)/(((dagenperjaar1*VLOOKUP(B24,dagsoorttabel1,2,FALSE))-catfd_1_OHV_10)/catpn_1_OHB_1+catfd_1_OHV_10/catpn_1_OHV_10),0)</f>
        <v>0</v>
      </c>
      <c r="K24" s="52">
        <f t="shared" si="1"/>
        <v>0</v>
      </c>
      <c r="L24" s="43">
        <f t="shared" si="2"/>
        <v>0</v>
      </c>
      <c r="M24" s="52">
        <f t="shared" si="3"/>
        <v>0</v>
      </c>
      <c r="N24" s="43">
        <f t="shared" si="4"/>
        <v>0</v>
      </c>
    </row>
    <row r="25" spans="1:14" x14ac:dyDescent="0.3">
      <c r="A25" s="39" t="s">
        <v>238</v>
      </c>
      <c r="B25" s="39" t="s">
        <v>18</v>
      </c>
      <c r="C25" s="39" t="s">
        <v>214</v>
      </c>
      <c r="D25" s="39" t="s">
        <v>239</v>
      </c>
      <c r="E25" s="52">
        <v>116.2</v>
      </c>
      <c r="F25" s="52">
        <f t="shared" si="0"/>
        <v>18.227450980392156</v>
      </c>
      <c r="G25" s="53">
        <f>IF(AND(catpn_1_OHB_1&gt;0,catpn_1_OHV_40&gt;0),(dagenperjaar1*VLOOKUP(B25,dagsoorttabel1,2,FALSE))/(((dagenperjaar1*VLOOKUP(B25,dagsoorttabel1,2,FALSE))-catfd_1_OHV_40)/catpn_1_OHB_1+catfd_1_OHV_40/catpn_1_OHV_40),0)</f>
        <v>0</v>
      </c>
      <c r="H25" s="54">
        <f>IF(AND(catpn_1_OHB_1&gt;0,catpn_1_OHV_40&gt;0),(catdw_1_OHB_1*((dagenperjaar1*VLOOKUP(B25,dagsoorttabel1,2,FALSE))-catfd_1_OHV_40)/catpn_1_OHB_1+catdw_1_OHV_40*catfd_1_OHV_40/catpn_1_OHV_40)/(((dagenperjaar1*VLOOKUP(B25,dagsoorttabel1,2,FALSE))-catfd_1_OHV_40)/catpn_1_OHB_1+catfd_1_OHV_40/catpn_1_OHV_40),0)</f>
        <v>0</v>
      </c>
      <c r="I25" s="39" t="s">
        <v>103</v>
      </c>
      <c r="J25" s="43">
        <f>IF(AND(catpn_1_OHB_1&gt;0,catpn_1_OHV_40&gt;0),(cattf_1_OHB_1*((dagenperjaar1*VLOOKUP(B25,dagsoorttabel1,2,FALSE))-catfd_1_OHV_40)/catpn_1_OHB_1+cattf_1_OHV_40*catfd_1_OHV_40/catpn_1_OHV_40)/(((dagenperjaar1*VLOOKUP(B25,dagsoorttabel1,2,FALSE))-catfd_1_OHV_40)/catpn_1_OHB_1+catfd_1_OHV_40/catpn_1_OHV_40),0)</f>
        <v>0</v>
      </c>
      <c r="K25" s="52">
        <f t="shared" si="1"/>
        <v>0</v>
      </c>
      <c r="L25" s="43">
        <f t="shared" si="2"/>
        <v>0</v>
      </c>
      <c r="M25" s="52">
        <f t="shared" si="3"/>
        <v>0</v>
      </c>
      <c r="N25" s="43">
        <f t="shared" si="4"/>
        <v>0</v>
      </c>
    </row>
    <row r="26" spans="1:14" x14ac:dyDescent="0.3">
      <c r="A26" s="39" t="s">
        <v>240</v>
      </c>
      <c r="B26" s="39" t="s">
        <v>11</v>
      </c>
      <c r="C26" s="39" t="s">
        <v>214</v>
      </c>
      <c r="D26" s="39" t="s">
        <v>241</v>
      </c>
      <c r="E26" s="52">
        <v>1900.7299999999998</v>
      </c>
      <c r="F26" s="52">
        <f t="shared" si="0"/>
        <v>1490.7686274509801</v>
      </c>
      <c r="G26" s="53">
        <f>IF(AND(catpn_1_OLHB_1&gt;0,catpn_1_OLHV_40&gt;0),(dagenperjaar1*VLOOKUP(B26,dagsoorttabel1,2,FALSE))/(((dagenperjaar1*VLOOKUP(B26,dagsoorttabel1,2,FALSE))-catfd_1_OLHV_40)/catpn_1_OLHB_1+catfd_1_OLHV_40/catpn_1_OLHV_40),0)</f>
        <v>0</v>
      </c>
      <c r="H26" s="54">
        <f>IF(AND(catpn_1_OLHB_1&gt;0,catpn_1_OLHV_40&gt;0),(catdw_1_OLHB_1*((dagenperjaar1*VLOOKUP(B26,dagsoorttabel1,2,FALSE))-catfd_1_OLHV_40)/catpn_1_OLHB_1+catdw_1_OLHV_40*catfd_1_OLHV_40/catpn_1_OLHV_40)/(((dagenperjaar1*VLOOKUP(B26,dagsoorttabel1,2,FALSE))-catfd_1_OLHV_40)/catpn_1_OLHB_1+catfd_1_OLHV_40/catpn_1_OLHV_40),0)</f>
        <v>0</v>
      </c>
      <c r="I26" s="39" t="s">
        <v>103</v>
      </c>
      <c r="J26" s="43">
        <f>IF(AND(catpn_1_OLHB_1&gt;0,catpn_1_OLHV_40&gt;0),(cattf_1_OLHB_1*((dagenperjaar1*VLOOKUP(B26,dagsoorttabel1,2,FALSE))-catfd_1_OLHV_40)/catpn_1_OLHB_1+cattf_1_OLHV_40*catfd_1_OLHV_40/catpn_1_OLHV_40)/(((dagenperjaar1*VLOOKUP(B26,dagsoorttabel1,2,FALSE))-catfd_1_OLHV_40)/catpn_1_OLHB_1+catfd_1_OLHV_40/catpn_1_OLHV_40),0)</f>
        <v>0</v>
      </c>
      <c r="K26" s="52">
        <f t="shared" si="1"/>
        <v>0</v>
      </c>
      <c r="L26" s="43">
        <f t="shared" si="2"/>
        <v>0</v>
      </c>
      <c r="M26" s="52">
        <f t="shared" si="3"/>
        <v>0</v>
      </c>
      <c r="N26" s="43">
        <f t="shared" si="4"/>
        <v>0</v>
      </c>
    </row>
    <row r="27" spans="1:14" x14ac:dyDescent="0.3">
      <c r="A27" s="39" t="s">
        <v>242</v>
      </c>
      <c r="B27" s="39" t="s">
        <v>11</v>
      </c>
      <c r="C27" s="39" t="s">
        <v>214</v>
      </c>
      <c r="D27" s="39" t="s">
        <v>243</v>
      </c>
      <c r="E27" s="52">
        <v>126.22</v>
      </c>
      <c r="F27" s="52">
        <f t="shared" si="0"/>
        <v>98.996078431372553</v>
      </c>
      <c r="G27" s="53">
        <f>IF(AND(catpn_1_PHB_1&gt;0,catpn_1_PHV_40&gt;0),(dagenperjaar1*VLOOKUP(B27,dagsoorttabel1,2,FALSE))/(((dagenperjaar1*VLOOKUP(B27,dagsoorttabel1,2,FALSE))-catfd_1_PHV_40)/catpn_1_PHB_1+catfd_1_PHV_40/catpn_1_PHV_40),0)</f>
        <v>0</v>
      </c>
      <c r="H27" s="54">
        <f>IF(AND(catpn_1_PHB_1&gt;0,catpn_1_PHV_40&gt;0),(catdw_1_PHB_1*((dagenperjaar1*VLOOKUP(B27,dagsoorttabel1,2,FALSE))-catfd_1_PHV_40)/catpn_1_PHB_1+catdw_1_PHV_40*catfd_1_PHV_40/catpn_1_PHV_40)/(((dagenperjaar1*VLOOKUP(B27,dagsoorttabel1,2,FALSE))-catfd_1_PHV_40)/catpn_1_PHB_1+catfd_1_PHV_40/catpn_1_PHV_40),0)</f>
        <v>0</v>
      </c>
      <c r="I27" s="39" t="s">
        <v>103</v>
      </c>
      <c r="J27" s="43">
        <f>IF(AND(catpn_1_PHB_1&gt;0,catpn_1_PHV_40&gt;0),(cattf_1_PHB_1*((dagenperjaar1*VLOOKUP(B27,dagsoorttabel1,2,FALSE))-catfd_1_PHV_40)/catpn_1_PHB_1+cattf_1_PHV_40*catfd_1_PHV_40/catpn_1_PHV_40)/(((dagenperjaar1*VLOOKUP(B27,dagsoorttabel1,2,FALSE))-catfd_1_PHV_40)/catpn_1_PHB_1+catfd_1_PHV_40/catpn_1_PHV_40),0)</f>
        <v>0</v>
      </c>
      <c r="K27" s="52">
        <f t="shared" si="1"/>
        <v>0</v>
      </c>
      <c r="L27" s="43">
        <f t="shared" si="2"/>
        <v>0</v>
      </c>
      <c r="M27" s="52">
        <f t="shared" si="3"/>
        <v>0</v>
      </c>
      <c r="N27" s="43">
        <f t="shared" si="4"/>
        <v>0</v>
      </c>
    </row>
    <row r="28" spans="1:14" x14ac:dyDescent="0.3">
      <c r="A28" s="39" t="s">
        <v>244</v>
      </c>
      <c r="B28" s="39" t="s">
        <v>11</v>
      </c>
      <c r="C28" s="39" t="s">
        <v>214</v>
      </c>
      <c r="D28" s="39" t="s">
        <v>245</v>
      </c>
      <c r="E28" s="52">
        <v>1009.5</v>
      </c>
      <c r="F28" s="52">
        <f t="shared" si="0"/>
        <v>791.76470588235293</v>
      </c>
      <c r="G28" s="53">
        <f>IF(AND(catpn_1_PMHB_1&gt;0,catpn_1_PMHV_40&gt;0),(dagenperjaar1*VLOOKUP(B28,dagsoorttabel1,2,FALSE))/(((dagenperjaar1*VLOOKUP(B28,dagsoorttabel1,2,FALSE))-catfd_1_PMHV_40)/catpn_1_PMHB_1+catfd_1_PMHV_40/catpn_1_PMHV_40),0)</f>
        <v>0</v>
      </c>
      <c r="H28" s="54">
        <f>IF(AND(catpn_1_PMHB_1&gt;0,catpn_1_PMHV_40&gt;0),(catdw_1_PMHB_1*((dagenperjaar1*VLOOKUP(B28,dagsoorttabel1,2,FALSE))-catfd_1_PMHV_40)/catpn_1_PMHB_1+catdw_1_PMHV_40*catfd_1_PMHV_40/catpn_1_PMHV_40)/(((dagenperjaar1*VLOOKUP(B28,dagsoorttabel1,2,FALSE))-catfd_1_PMHV_40)/catpn_1_PMHB_1+catfd_1_PMHV_40/catpn_1_PMHV_40),0)</f>
        <v>0</v>
      </c>
      <c r="I28" s="39" t="s">
        <v>103</v>
      </c>
      <c r="J28" s="43">
        <f>IF(AND(catpn_1_PMHB_1&gt;0,catpn_1_PMHV_40&gt;0),(cattf_1_PMHB_1*((dagenperjaar1*VLOOKUP(B28,dagsoorttabel1,2,FALSE))-catfd_1_PMHV_40)/catpn_1_PMHB_1+cattf_1_PMHV_40*catfd_1_PMHV_40/catpn_1_PMHV_40)/(((dagenperjaar1*VLOOKUP(B28,dagsoorttabel1,2,FALSE))-catfd_1_PMHV_40)/catpn_1_PMHB_1+catfd_1_PMHV_40/catpn_1_PMHV_40),0)</f>
        <v>0</v>
      </c>
      <c r="K28" s="52">
        <f t="shared" si="1"/>
        <v>0</v>
      </c>
      <c r="L28" s="43">
        <f t="shared" si="2"/>
        <v>0</v>
      </c>
      <c r="M28" s="52">
        <f t="shared" si="3"/>
        <v>0</v>
      </c>
      <c r="N28" s="43">
        <f t="shared" si="4"/>
        <v>0</v>
      </c>
    </row>
    <row r="29" spans="1:14" x14ac:dyDescent="0.3">
      <c r="A29" s="39" t="s">
        <v>246</v>
      </c>
      <c r="B29" s="39" t="s">
        <v>11</v>
      </c>
      <c r="C29" s="39" t="s">
        <v>214</v>
      </c>
      <c r="D29" s="39" t="s">
        <v>247</v>
      </c>
      <c r="E29" s="52">
        <v>255.6</v>
      </c>
      <c r="F29" s="52">
        <f t="shared" si="0"/>
        <v>200.47058823529412</v>
      </c>
      <c r="G29" s="53">
        <f>IF(AND(catpn_1_PSHB_1&gt;0,catpn_1_PSHV_40&gt;0),(dagenperjaar1*VLOOKUP(B29,dagsoorttabel1,2,FALSE))/(((dagenperjaar1*VLOOKUP(B29,dagsoorttabel1,2,FALSE))-catfd_1_PSHV_40)/catpn_1_PSHB_1+catfd_1_PSHV_40/catpn_1_PSHV_40),0)</f>
        <v>0</v>
      </c>
      <c r="H29" s="54">
        <f>IF(AND(catpn_1_PSHB_1&gt;0,catpn_1_PSHV_40&gt;0),(catdw_1_PSHB_1*((dagenperjaar1*VLOOKUP(B29,dagsoorttabel1,2,FALSE))-catfd_1_PSHV_40)/catpn_1_PSHB_1+catdw_1_PSHV_40*catfd_1_PSHV_40/catpn_1_PSHV_40)/(((dagenperjaar1*VLOOKUP(B29,dagsoorttabel1,2,FALSE))-catfd_1_PSHV_40)/catpn_1_PSHB_1+catfd_1_PSHV_40/catpn_1_PSHV_40),0)</f>
        <v>0</v>
      </c>
      <c r="I29" s="39" t="s">
        <v>103</v>
      </c>
      <c r="J29" s="43">
        <f>IF(AND(catpn_1_PSHB_1&gt;0,catpn_1_PSHV_40&gt;0),(cattf_1_PSHB_1*((dagenperjaar1*VLOOKUP(B29,dagsoorttabel1,2,FALSE))-catfd_1_PSHV_40)/catpn_1_PSHB_1+cattf_1_PSHV_40*catfd_1_PSHV_40/catpn_1_PSHV_40)/(((dagenperjaar1*VLOOKUP(B29,dagsoorttabel1,2,FALSE))-catfd_1_PSHV_40)/catpn_1_PSHB_1+catfd_1_PSHV_40/catpn_1_PSHV_40),0)</f>
        <v>0</v>
      </c>
      <c r="K29" s="52">
        <f t="shared" si="1"/>
        <v>0</v>
      </c>
      <c r="L29" s="43">
        <f t="shared" si="2"/>
        <v>0</v>
      </c>
      <c r="M29" s="52">
        <f t="shared" si="3"/>
        <v>0</v>
      </c>
      <c r="N29" s="43">
        <f t="shared" si="4"/>
        <v>0</v>
      </c>
    </row>
    <row r="30" spans="1:14" x14ac:dyDescent="0.3">
      <c r="A30" s="39" t="s">
        <v>248</v>
      </c>
      <c r="B30" s="39" t="s">
        <v>11</v>
      </c>
      <c r="C30" s="39" t="s">
        <v>214</v>
      </c>
      <c r="D30" s="39" t="s">
        <v>249</v>
      </c>
      <c r="E30" s="52">
        <v>2389.6200000000003</v>
      </c>
      <c r="F30" s="52">
        <f t="shared" si="0"/>
        <v>1874.2117647058826</v>
      </c>
      <c r="G30" s="53">
        <f>IF(AND(catpn_1_PUHB_1&gt;0,catpn_1_PUHV_40&gt;0),(dagenperjaar1*VLOOKUP(B30,dagsoorttabel1,2,FALSE))/(((dagenperjaar1*VLOOKUP(B30,dagsoorttabel1,2,FALSE))-catfd_1_PUHV_40)/catpn_1_PUHB_1+catfd_1_PUHV_40/catpn_1_PUHV_40),0)</f>
        <v>0</v>
      </c>
      <c r="H30" s="54">
        <f>IF(AND(catpn_1_PUHB_1&gt;0,catpn_1_PUHV_40&gt;0),(catdw_1_PUHB_1*((dagenperjaar1*VLOOKUP(B30,dagsoorttabel1,2,FALSE))-catfd_1_PUHV_40)/catpn_1_PUHB_1+catdw_1_PUHV_40*catfd_1_PUHV_40/catpn_1_PUHV_40)/(((dagenperjaar1*VLOOKUP(B30,dagsoorttabel1,2,FALSE))-catfd_1_PUHV_40)/catpn_1_PUHB_1+catfd_1_PUHV_40/catpn_1_PUHV_40),0)</f>
        <v>0</v>
      </c>
      <c r="I30" s="39" t="s">
        <v>103</v>
      </c>
      <c r="J30" s="43">
        <f>IF(AND(catpn_1_PUHB_1&gt;0,catpn_1_PUHV_40&gt;0),(cattf_1_PUHB_1*((dagenperjaar1*VLOOKUP(B30,dagsoorttabel1,2,FALSE))-catfd_1_PUHV_40)/catpn_1_PUHB_1+cattf_1_PUHV_40*catfd_1_PUHV_40/catpn_1_PUHV_40)/(((dagenperjaar1*VLOOKUP(B30,dagsoorttabel1,2,FALSE))-catfd_1_PUHV_40)/catpn_1_PUHB_1+catfd_1_PUHV_40/catpn_1_PUHV_40),0)</f>
        <v>0</v>
      </c>
      <c r="K30" s="52">
        <f t="shared" si="1"/>
        <v>0</v>
      </c>
      <c r="L30" s="43">
        <f t="shared" si="2"/>
        <v>0</v>
      </c>
      <c r="M30" s="52">
        <f t="shared" si="3"/>
        <v>0</v>
      </c>
      <c r="N30" s="43">
        <f t="shared" si="4"/>
        <v>0</v>
      </c>
    </row>
    <row r="31" spans="1:14" x14ac:dyDescent="0.3">
      <c r="A31" s="39" t="s">
        <v>250</v>
      </c>
      <c r="B31" s="39" t="s">
        <v>11</v>
      </c>
      <c r="C31" s="39" t="s">
        <v>214</v>
      </c>
      <c r="D31" s="39" t="s">
        <v>251</v>
      </c>
      <c r="E31" s="52">
        <v>833.88999999999987</v>
      </c>
      <c r="F31" s="52">
        <f t="shared" si="0"/>
        <v>654.03137254901947</v>
      </c>
      <c r="G31" s="53">
        <f>IF(AND(catpn_1_SHB_1&gt;0,catpn_1_SHV_40&gt;0),(dagenperjaar1*VLOOKUP(B31,dagsoorttabel1,2,FALSE))/(((dagenperjaar1*VLOOKUP(B31,dagsoorttabel1,2,FALSE))-catfd_1_SHV_40)/catpn_1_SHB_1+catfd_1_SHV_40/catpn_1_SHV_40),0)</f>
        <v>0</v>
      </c>
      <c r="H31" s="54">
        <f>IF(AND(catpn_1_SHB_1&gt;0,catpn_1_SHV_40&gt;0),(catdw_1_SHB_1*((dagenperjaar1*VLOOKUP(B31,dagsoorttabel1,2,FALSE))-catfd_1_SHV_40)/catpn_1_SHB_1+catdw_1_SHV_40*catfd_1_SHV_40/catpn_1_SHV_40)/(((dagenperjaar1*VLOOKUP(B31,dagsoorttabel1,2,FALSE))-catfd_1_SHV_40)/catpn_1_SHB_1+catfd_1_SHV_40/catpn_1_SHV_40),0)</f>
        <v>0</v>
      </c>
      <c r="I31" s="39" t="s">
        <v>103</v>
      </c>
      <c r="J31" s="43">
        <f>IF(AND(catpn_1_SHB_1&gt;0,catpn_1_SHV_40&gt;0),(cattf_1_SHB_1*((dagenperjaar1*VLOOKUP(B31,dagsoorttabel1,2,FALSE))-catfd_1_SHV_40)/catpn_1_SHB_1+cattf_1_SHV_40*catfd_1_SHV_40/catpn_1_SHV_40)/(((dagenperjaar1*VLOOKUP(B31,dagsoorttabel1,2,FALSE))-catfd_1_SHV_40)/catpn_1_SHB_1+catfd_1_SHV_40/catpn_1_SHV_40),0)</f>
        <v>0</v>
      </c>
      <c r="K31" s="52">
        <f t="shared" si="1"/>
        <v>0</v>
      </c>
      <c r="L31" s="43">
        <f t="shared" si="2"/>
        <v>0</v>
      </c>
      <c r="M31" s="52">
        <f t="shared" si="3"/>
        <v>0</v>
      </c>
      <c r="N31" s="43">
        <f t="shared" si="4"/>
        <v>0</v>
      </c>
    </row>
    <row r="32" spans="1:14" x14ac:dyDescent="0.3">
      <c r="A32" s="39" t="s">
        <v>252</v>
      </c>
      <c r="B32" s="39" t="s">
        <v>11</v>
      </c>
      <c r="C32" s="39" t="s">
        <v>214</v>
      </c>
      <c r="D32" s="39" t="s">
        <v>253</v>
      </c>
      <c r="E32" s="52">
        <v>877.86</v>
      </c>
      <c r="F32" s="52">
        <f t="shared" si="0"/>
        <v>688.51764705882351</v>
      </c>
      <c r="G32" s="53">
        <f>IF(AND(catpn_1_THB_1&gt;0,catpn_1_THV_40&gt;0),(dagenperjaar1*VLOOKUP(B32,dagsoorttabel1,2,FALSE))/(((dagenperjaar1*VLOOKUP(B32,dagsoorttabel1,2,FALSE))-catfd_1_THV_40)/catpn_1_THB_1+catfd_1_THV_40/catpn_1_THV_40),0)</f>
        <v>0</v>
      </c>
      <c r="H32" s="54">
        <f>IF(AND(catpn_1_THB_1&gt;0,catpn_1_THV_40&gt;0),(catdw_1_THB_1*((dagenperjaar1*VLOOKUP(B32,dagsoorttabel1,2,FALSE))-catfd_1_THV_40)/catpn_1_THB_1+catdw_1_THV_40*catfd_1_THV_40/catpn_1_THV_40)/(((dagenperjaar1*VLOOKUP(B32,dagsoorttabel1,2,FALSE))-catfd_1_THV_40)/catpn_1_THB_1+catfd_1_THV_40/catpn_1_THV_40),0)</f>
        <v>0</v>
      </c>
      <c r="I32" s="39" t="s">
        <v>103</v>
      </c>
      <c r="J32" s="43">
        <f>IF(AND(catpn_1_THB_1&gt;0,catpn_1_THV_40&gt;0),(cattf_1_THB_1*((dagenperjaar1*VLOOKUP(B32,dagsoorttabel1,2,FALSE))-catfd_1_THV_40)/catpn_1_THB_1+cattf_1_THV_40*catfd_1_THV_40/catpn_1_THV_40)/(((dagenperjaar1*VLOOKUP(B32,dagsoorttabel1,2,FALSE))-catfd_1_THV_40)/catpn_1_THB_1+catfd_1_THV_40/catpn_1_THV_40),0)</f>
        <v>0</v>
      </c>
      <c r="K32" s="52">
        <f t="shared" si="1"/>
        <v>0</v>
      </c>
      <c r="L32" s="43">
        <f t="shared" si="2"/>
        <v>0</v>
      </c>
      <c r="M32" s="52">
        <f t="shared" si="3"/>
        <v>0</v>
      </c>
      <c r="N32" s="43">
        <f t="shared" si="4"/>
        <v>0</v>
      </c>
    </row>
    <row r="33" spans="1:14" x14ac:dyDescent="0.3">
      <c r="A33" s="39" t="s">
        <v>254</v>
      </c>
      <c r="B33" s="39" t="s">
        <v>11</v>
      </c>
      <c r="C33" s="39" t="s">
        <v>214</v>
      </c>
      <c r="D33" s="39" t="s">
        <v>255</v>
      </c>
      <c r="E33" s="52">
        <v>11.4</v>
      </c>
      <c r="F33" s="52">
        <f t="shared" si="0"/>
        <v>8.9411764705882355</v>
      </c>
      <c r="G33" s="53">
        <f>IF(AND(catpn_1_TOHB_1&gt;0,catpn_1_TOHV_40&gt;0),(dagenperjaar1*VLOOKUP(B33,dagsoorttabel1,2,FALSE))/(((dagenperjaar1*VLOOKUP(B33,dagsoorttabel1,2,FALSE))-catfd_1_TOHV_40)/catpn_1_TOHB_1+catfd_1_TOHV_40/catpn_1_TOHV_40),0)</f>
        <v>0</v>
      </c>
      <c r="H33" s="54">
        <f>IF(AND(catpn_1_TOHB_1&gt;0,catpn_1_TOHV_40&gt;0),(catdw_1_TOHB_1*((dagenperjaar1*VLOOKUP(B33,dagsoorttabel1,2,FALSE))-catfd_1_TOHV_40)/catpn_1_TOHB_1+catdw_1_TOHV_40*catfd_1_TOHV_40/catpn_1_TOHV_40)/(((dagenperjaar1*VLOOKUP(B33,dagsoorttabel1,2,FALSE))-catfd_1_TOHV_40)/catpn_1_TOHB_1+catfd_1_TOHV_40/catpn_1_TOHV_40),0)</f>
        <v>0</v>
      </c>
      <c r="I33" s="39" t="s">
        <v>103</v>
      </c>
      <c r="J33" s="43">
        <f>IF(AND(catpn_1_TOHB_1&gt;0,catpn_1_TOHV_40&gt;0),(cattf_1_TOHB_1*((dagenperjaar1*VLOOKUP(B33,dagsoorttabel1,2,FALSE))-catfd_1_TOHV_40)/catpn_1_TOHB_1+cattf_1_TOHV_40*catfd_1_TOHV_40/catpn_1_TOHV_40)/(((dagenperjaar1*VLOOKUP(B33,dagsoorttabel1,2,FALSE))-catfd_1_TOHV_40)/catpn_1_TOHB_1+catfd_1_TOHV_40/catpn_1_TOHV_40),0)</f>
        <v>0</v>
      </c>
      <c r="K33" s="52">
        <f t="shared" si="1"/>
        <v>0</v>
      </c>
      <c r="L33" s="43">
        <f t="shared" si="2"/>
        <v>0</v>
      </c>
      <c r="M33" s="52">
        <f t="shared" si="3"/>
        <v>0</v>
      </c>
      <c r="N33" s="43">
        <f t="shared" si="4"/>
        <v>0</v>
      </c>
    </row>
    <row r="34" spans="1:14" x14ac:dyDescent="0.3">
      <c r="A34" s="39" t="s">
        <v>256</v>
      </c>
      <c r="B34" s="39" t="s">
        <v>11</v>
      </c>
      <c r="C34" s="39" t="s">
        <v>214</v>
      </c>
      <c r="D34" s="39" t="s">
        <v>257</v>
      </c>
      <c r="E34" s="52">
        <v>6403.66</v>
      </c>
      <c r="F34" s="52">
        <f t="shared" si="0"/>
        <v>5022.4784313725486</v>
      </c>
      <c r="G34" s="53">
        <f>IF(AND(catpn_1_VHB_1&gt;0,catpn_1_VHV_40&gt;0),(dagenperjaar1*VLOOKUP(B34,dagsoorttabel1,2,FALSE))/(((dagenperjaar1*VLOOKUP(B34,dagsoorttabel1,2,FALSE))-catfd_1_VHV_40)/catpn_1_VHB_1+catfd_1_VHV_40/catpn_1_VHV_40),0)</f>
        <v>0</v>
      </c>
      <c r="H34" s="54">
        <f>IF(AND(catpn_1_VHB_1&gt;0,catpn_1_VHV_40&gt;0),(catdw_1_VHB_1*((dagenperjaar1*VLOOKUP(B34,dagsoorttabel1,2,FALSE))-catfd_1_VHV_40)/catpn_1_VHB_1+catdw_1_VHV_40*catfd_1_VHV_40/catpn_1_VHV_40)/(((dagenperjaar1*VLOOKUP(B34,dagsoorttabel1,2,FALSE))-catfd_1_VHV_40)/catpn_1_VHB_1+catfd_1_VHV_40/catpn_1_VHV_40),0)</f>
        <v>0</v>
      </c>
      <c r="I34" s="39" t="s">
        <v>103</v>
      </c>
      <c r="J34" s="43">
        <f>IF(AND(catpn_1_VHB_1&gt;0,catpn_1_VHV_40&gt;0),(cattf_1_VHB_1*((dagenperjaar1*VLOOKUP(B34,dagsoorttabel1,2,FALSE))-catfd_1_VHV_40)/catpn_1_VHB_1+cattf_1_VHV_40*catfd_1_VHV_40/catpn_1_VHV_40)/(((dagenperjaar1*VLOOKUP(B34,dagsoorttabel1,2,FALSE))-catfd_1_VHV_40)/catpn_1_VHB_1+catfd_1_VHV_40/catpn_1_VHV_40),0)</f>
        <v>0</v>
      </c>
      <c r="K34" s="52">
        <f t="shared" si="1"/>
        <v>0</v>
      </c>
      <c r="L34" s="43">
        <f t="shared" si="2"/>
        <v>0</v>
      </c>
      <c r="M34" s="52">
        <f t="shared" si="3"/>
        <v>0</v>
      </c>
      <c r="N34" s="43">
        <f t="shared" si="4"/>
        <v>0</v>
      </c>
    </row>
    <row r="35" spans="1:14" x14ac:dyDescent="0.3">
      <c r="A35" s="39" t="s">
        <v>256</v>
      </c>
      <c r="B35" s="39" t="s">
        <v>16</v>
      </c>
      <c r="C35" s="39" t="s">
        <v>214</v>
      </c>
      <c r="D35" s="39" t="s">
        <v>257</v>
      </c>
      <c r="E35" s="52">
        <v>25</v>
      </c>
      <c r="F35" s="52">
        <f t="shared" si="0"/>
        <v>7.8431372549019605</v>
      </c>
      <c r="G35" s="53">
        <f>IF(AND(catpn_1_VHB_1&gt;0,catpn_1_VHV_40&gt;0),(dagenperjaar1*VLOOKUP(B35,dagsoorttabel1,2,FALSE))/(((dagenperjaar1*VLOOKUP(B35,dagsoorttabel1,2,FALSE))-catfd_1_VHV_40)/catpn_1_VHB_1+catfd_1_VHV_40/catpn_1_VHV_40),0)</f>
        <v>0</v>
      </c>
      <c r="H35" s="54">
        <f>IF(AND(catpn_1_VHB_1&gt;0,catpn_1_VHV_40&gt;0),(catdw_1_VHB_1*((dagenperjaar1*VLOOKUP(B35,dagsoorttabel1,2,FALSE))-catfd_1_VHV_40)/catpn_1_VHB_1+catdw_1_VHV_40*catfd_1_VHV_40/catpn_1_VHV_40)/(((dagenperjaar1*VLOOKUP(B35,dagsoorttabel1,2,FALSE))-catfd_1_VHV_40)/catpn_1_VHB_1+catfd_1_VHV_40/catpn_1_VHV_40),0)</f>
        <v>0</v>
      </c>
      <c r="I35" s="39" t="s">
        <v>103</v>
      </c>
      <c r="J35" s="43">
        <f>IF(AND(catpn_1_VHB_1&gt;0,catpn_1_VHV_40&gt;0),(cattf_1_VHB_1*((dagenperjaar1*VLOOKUP(B35,dagsoorttabel1,2,FALSE))-catfd_1_VHV_40)/catpn_1_VHB_1+cattf_1_VHV_40*catfd_1_VHV_40/catpn_1_VHV_40)/(((dagenperjaar1*VLOOKUP(B35,dagsoorttabel1,2,FALSE))-catfd_1_VHV_40)/catpn_1_VHB_1+catfd_1_VHV_40/catpn_1_VHV_40),0)</f>
        <v>0</v>
      </c>
      <c r="K35" s="52">
        <f t="shared" si="1"/>
        <v>0</v>
      </c>
      <c r="L35" s="43">
        <f t="shared" si="2"/>
        <v>0</v>
      </c>
      <c r="M35" s="52">
        <f t="shared" si="3"/>
        <v>0</v>
      </c>
      <c r="N35" s="43">
        <f t="shared" si="4"/>
        <v>0</v>
      </c>
    </row>
    <row r="36" spans="1:14" x14ac:dyDescent="0.3">
      <c r="A36" s="44" t="s">
        <v>258</v>
      </c>
      <c r="B36" s="44" t="s">
        <v>11</v>
      </c>
      <c r="C36" s="44" t="s">
        <v>214</v>
      </c>
      <c r="D36" s="44" t="s">
        <v>259</v>
      </c>
      <c r="E36" s="55">
        <v>15</v>
      </c>
      <c r="F36" s="55">
        <f t="shared" si="0"/>
        <v>11.76470588235294</v>
      </c>
      <c r="G36" s="56">
        <f>IF(AND(catpn_1_VZB_1&gt;0,catpn_1_VZV_40&gt;0),(dagenperjaar1*VLOOKUP(B36,dagsoorttabel1,2,FALSE))/(((dagenperjaar1*VLOOKUP(B36,dagsoorttabel1,2,FALSE))-catfd_1_VZV_40)/catpn_1_VZB_1+catfd_1_VZV_40/catpn_1_VZV_40),0)</f>
        <v>0</v>
      </c>
      <c r="H36" s="57">
        <f>IF(AND(catpn_1_VZB_1&gt;0,catpn_1_VZV_40&gt;0),(catdw_1_VZB_1*((dagenperjaar1*VLOOKUP(B36,dagsoorttabel1,2,FALSE))-catfd_1_VZV_40)/catpn_1_VZB_1+catdw_1_VZV_40*catfd_1_VZV_40/catpn_1_VZV_40)/(((dagenperjaar1*VLOOKUP(B36,dagsoorttabel1,2,FALSE))-catfd_1_VZV_40)/catpn_1_VZB_1+catfd_1_VZV_40/catpn_1_VZV_40),0)</f>
        <v>0</v>
      </c>
      <c r="I36" s="44" t="s">
        <v>103</v>
      </c>
      <c r="J36" s="48">
        <f>IF(AND(catpn_1_VZB_1&gt;0,catpn_1_VZV_40&gt;0),(cattf_1_VZB_1*((dagenperjaar1*VLOOKUP(B36,dagsoorttabel1,2,FALSE))-catfd_1_VZV_40)/catpn_1_VZB_1+cattf_1_VZV_40*catfd_1_VZV_40/catpn_1_VZV_40)/(((dagenperjaar1*VLOOKUP(B36,dagsoorttabel1,2,FALSE))-catfd_1_VZV_40)/catpn_1_VZB_1+catfd_1_VZV_40/catpn_1_VZV_40),0)</f>
        <v>0</v>
      </c>
      <c r="K36" s="55">
        <f t="shared" si="1"/>
        <v>0</v>
      </c>
      <c r="L36" s="48">
        <f t="shared" si="2"/>
        <v>0</v>
      </c>
      <c r="M36" s="55">
        <f t="shared" si="3"/>
        <v>0</v>
      </c>
      <c r="N36" s="48">
        <f t="shared" si="4"/>
        <v>0</v>
      </c>
    </row>
    <row r="37" spans="1:14" x14ac:dyDescent="0.3">
      <c r="A37" s="59" t="s">
        <v>260</v>
      </c>
      <c r="B37" s="60"/>
      <c r="C37" s="60"/>
      <c r="D37" s="60"/>
      <c r="E37" s="60"/>
      <c r="F37" s="60"/>
      <c r="G37" s="60"/>
      <c r="H37" s="60"/>
      <c r="I37" s="60"/>
      <c r="J37" s="60"/>
      <c r="K37" s="61">
        <f>SUM(K6:K36)</f>
        <v>0</v>
      </c>
      <c r="L37" s="62">
        <f>SUM(L6:L36)</f>
        <v>0</v>
      </c>
      <c r="M37" s="61">
        <f>SUM(M6:M36)</f>
        <v>0</v>
      </c>
      <c r="N37" s="63">
        <f>SUM(N6:N36)</f>
        <v>0</v>
      </c>
    </row>
    <row r="38" spans="1:14" x14ac:dyDescent="0.3">
      <c r="A38" s="64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5"/>
    </row>
    <row r="39" spans="1:14" x14ac:dyDescent="0.3">
      <c r="A39" s="59" t="s">
        <v>261</v>
      </c>
      <c r="B39" s="60"/>
      <c r="C39" s="60"/>
      <c r="D39" s="60"/>
      <c r="E39" s="60"/>
      <c r="F39" s="60"/>
      <c r="G39" s="60"/>
      <c r="H39" s="60"/>
      <c r="I39" s="60"/>
      <c r="J39" s="62">
        <f>IF(urenjaar1&gt;0,SUMIF(M6:M36,"&gt;0",N6:N36)/urenjaar1,0)</f>
        <v>0</v>
      </c>
      <c r="K39" s="60"/>
      <c r="L39" s="60"/>
      <c r="M39" s="60"/>
      <c r="N39" s="65"/>
    </row>
    <row r="40" spans="1:14" x14ac:dyDescent="0.3">
      <c r="A40" s="64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5"/>
    </row>
    <row r="41" spans="1:14" x14ac:dyDescent="0.3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30"/>
    </row>
    <row r="42" spans="1:14" x14ac:dyDescent="0.3">
      <c r="A42" s="31" t="s">
        <v>198</v>
      </c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3"/>
    </row>
    <row r="43" spans="1:14" x14ac:dyDescent="0.3">
      <c r="A43" s="34" t="s">
        <v>262</v>
      </c>
      <c r="B43" s="34" t="s">
        <v>21</v>
      </c>
      <c r="C43" s="34" t="s">
        <v>214</v>
      </c>
      <c r="D43" s="34" t="s">
        <v>217</v>
      </c>
      <c r="E43" s="49">
        <v>234.58</v>
      </c>
      <c r="F43" s="49">
        <f>E43*VLOOKUP(B43,dagsoorttabel1,2,FALSE)</f>
        <v>9.1992156862745098</v>
      </c>
      <c r="G43" s="50">
        <f>IF(AND(catpn_2_VBHB_1&gt;0,catpn_2_VBHV_2&gt;0),(dagenperjaar1*VLOOKUP(B43,dagsoorttabel1,2,FALSE))/(((dagenperjaar1*VLOOKUP(B43,dagsoorttabel1,2,FALSE))-catfd_2_VBHV_2)/catpn_2_VBHB_1+catfd_2_VBHV_2/catpn_2_VBHV_2),0)</f>
        <v>0</v>
      </c>
      <c r="H43" s="51">
        <f>IF(AND(catpn_2_VBHB_1&gt;0,catpn_2_VBHV_2&gt;0),(catdw_2_VBHB_1*((dagenperjaar1*VLOOKUP(B43,dagsoorttabel1,2,FALSE))-catfd_2_VBHV_2)/catpn_2_VBHB_1+catdw_2_VBHV_2*catfd_2_VBHV_2/catpn_2_VBHV_2)/(((dagenperjaar1*VLOOKUP(B43,dagsoorttabel1,2,FALSE))-catfd_2_VBHV_2)/catpn_2_VBHB_1+catfd_2_VBHV_2/catpn_2_VBHV_2),0)</f>
        <v>0</v>
      </c>
      <c r="I43" s="34" t="s">
        <v>103</v>
      </c>
      <c r="J43" s="38">
        <f>IF(AND(catpn_2_VBHB_1&gt;0,catpn_2_VBHV_2&gt;0),(cattf_2_VBHB_1*((dagenperjaar1*VLOOKUP(B43,dagsoorttabel1,2,FALSE))-catfd_2_VBHV_2)/catpn_2_VBHB_1+cattf_2_VBHV_2*catfd_2_VBHV_2/catpn_2_VBHV_2)/(((dagenperjaar1*VLOOKUP(B43,dagsoorttabel1,2,FALSE))-catfd_2_VBHV_2)/catpn_2_VBHB_1+catfd_2_VBHV_2/catpn_2_VBHV_2),0)</f>
        <v>0</v>
      </c>
      <c r="K43" s="49">
        <f>IF(OR(ISBLANK(G43),G43=0),0,F43/ROUND(G43,4))</f>
        <v>0</v>
      </c>
      <c r="L43" s="38">
        <f>ROUND(J43,2)*K43</f>
        <v>0</v>
      </c>
      <c r="M43" s="49">
        <f>K43*dagenperjaar1</f>
        <v>0</v>
      </c>
      <c r="N43" s="38">
        <f>M43*ROUND(J43,2)</f>
        <v>0</v>
      </c>
    </row>
    <row r="44" spans="1:14" x14ac:dyDescent="0.3">
      <c r="A44" s="39" t="s">
        <v>262</v>
      </c>
      <c r="B44" s="39" t="s">
        <v>23</v>
      </c>
      <c r="C44" s="39" t="s">
        <v>214</v>
      </c>
      <c r="D44" s="39" t="s">
        <v>217</v>
      </c>
      <c r="E44" s="52">
        <v>517.09999999999991</v>
      </c>
      <c r="F44" s="52">
        <f>E44*VLOOKUP(B44,dagsoorttabel1,2,FALSE)</f>
        <v>8.111372549019606</v>
      </c>
      <c r="G44" s="53">
        <f>IF(AND(catpn_2_VBHB_1&gt;0,catpn_2_VBHV_2&gt;0),(dagenperjaar1*VLOOKUP(B44,dagsoorttabel1,2,FALSE))/(((dagenperjaar1*VLOOKUP(B44,dagsoorttabel1,2,FALSE))-catfd_2_VBHV_2)/catpn_2_VBHB_1+catfd_2_VBHV_2/catpn_2_VBHV_2),0)</f>
        <v>0</v>
      </c>
      <c r="H44" s="54">
        <f>IF(AND(catpn_2_VBHB_1&gt;0,catpn_2_VBHV_2&gt;0),(catdw_2_VBHB_1*((dagenperjaar1*VLOOKUP(B44,dagsoorttabel1,2,FALSE))-catfd_2_VBHV_2)/catpn_2_VBHB_1+catdw_2_VBHV_2*catfd_2_VBHV_2/catpn_2_VBHV_2)/(((dagenperjaar1*VLOOKUP(B44,dagsoorttabel1,2,FALSE))-catfd_2_VBHV_2)/catpn_2_VBHB_1+catfd_2_VBHV_2/catpn_2_VBHV_2),0)</f>
        <v>0</v>
      </c>
      <c r="I44" s="39" t="s">
        <v>103</v>
      </c>
      <c r="J44" s="43">
        <f>IF(AND(catpn_2_VBHB_1&gt;0,catpn_2_VBHV_2&gt;0),(cattf_2_VBHB_1*((dagenperjaar1*VLOOKUP(B44,dagsoorttabel1,2,FALSE))-catfd_2_VBHV_2)/catpn_2_VBHB_1+cattf_2_VBHV_2*catfd_2_VBHV_2/catpn_2_VBHV_2)/(((dagenperjaar1*VLOOKUP(B44,dagsoorttabel1,2,FALSE))-catfd_2_VBHV_2)/catpn_2_VBHB_1+catfd_2_VBHV_2/catpn_2_VBHV_2),0)</f>
        <v>0</v>
      </c>
      <c r="K44" s="52">
        <f>IF(OR(ISBLANK(G44),G44=0),0,F44/ROUND(G44,4))</f>
        <v>0</v>
      </c>
      <c r="L44" s="43">
        <f>ROUND(J44,2)*K44</f>
        <v>0</v>
      </c>
      <c r="M44" s="52">
        <f>K44*dagenperjaar1</f>
        <v>0</v>
      </c>
      <c r="N44" s="43">
        <f>M44*ROUND(J44,2)</f>
        <v>0</v>
      </c>
    </row>
    <row r="45" spans="1:14" x14ac:dyDescent="0.3">
      <c r="A45" s="39" t="s">
        <v>263</v>
      </c>
      <c r="B45" s="39" t="s">
        <v>21</v>
      </c>
      <c r="C45" s="39" t="s">
        <v>214</v>
      </c>
      <c r="D45" s="39" t="s">
        <v>251</v>
      </c>
      <c r="E45" s="52">
        <v>30.88</v>
      </c>
      <c r="F45" s="52">
        <f>E45*VLOOKUP(B45,dagsoorttabel1,2,FALSE)</f>
        <v>1.2109803921568627</v>
      </c>
      <c r="G45" s="53">
        <f>IF(AND(catpn_2_VSHB_1&gt;0,catpn_2_VSHV_2&gt;0),(dagenperjaar1*VLOOKUP(B45,dagsoorttabel1,2,FALSE))/(((dagenperjaar1*VLOOKUP(B45,dagsoorttabel1,2,FALSE))-catfd_2_VSHV_2)/catpn_2_VSHB_1+catfd_2_VSHV_2/catpn_2_VSHV_2),0)</f>
        <v>0</v>
      </c>
      <c r="H45" s="54">
        <f>IF(AND(catpn_2_VSHB_1&gt;0,catpn_2_VSHV_2&gt;0),(catdw_2_VSHB_1*((dagenperjaar1*VLOOKUP(B45,dagsoorttabel1,2,FALSE))-catfd_2_VSHV_2)/catpn_2_VSHB_1+catdw_2_VSHV_2*catfd_2_VSHV_2/catpn_2_VSHV_2)/(((dagenperjaar1*VLOOKUP(B45,dagsoorttabel1,2,FALSE))-catfd_2_VSHV_2)/catpn_2_VSHB_1+catfd_2_VSHV_2/catpn_2_VSHV_2),0)</f>
        <v>0</v>
      </c>
      <c r="I45" s="39" t="s">
        <v>103</v>
      </c>
      <c r="J45" s="43">
        <f>IF(AND(catpn_2_VSHB_1&gt;0,catpn_2_VSHV_2&gt;0),(cattf_2_VSHB_1*((dagenperjaar1*VLOOKUP(B45,dagsoorttabel1,2,FALSE))-catfd_2_VSHV_2)/catpn_2_VSHB_1+cattf_2_VSHV_2*catfd_2_VSHV_2/catpn_2_VSHV_2)/(((dagenperjaar1*VLOOKUP(B45,dagsoorttabel1,2,FALSE))-catfd_2_VSHV_2)/catpn_2_VSHB_1+catfd_2_VSHV_2/catpn_2_VSHV_2),0)</f>
        <v>0</v>
      </c>
      <c r="K45" s="52">
        <f>IF(OR(ISBLANK(G45),G45=0),0,F45/ROUND(G45,4))</f>
        <v>0</v>
      </c>
      <c r="L45" s="43">
        <f>ROUND(J45,2)*K45</f>
        <v>0</v>
      </c>
      <c r="M45" s="52">
        <f>K45*dagenperjaar1</f>
        <v>0</v>
      </c>
      <c r="N45" s="43">
        <f>M45*ROUND(J45,2)</f>
        <v>0</v>
      </c>
    </row>
    <row r="46" spans="1:14" x14ac:dyDescent="0.3">
      <c r="A46" s="39" t="s">
        <v>264</v>
      </c>
      <c r="B46" s="39" t="s">
        <v>21</v>
      </c>
      <c r="C46" s="39" t="s">
        <v>214</v>
      </c>
      <c r="D46" s="39" t="s">
        <v>257</v>
      </c>
      <c r="E46" s="52">
        <v>14.51</v>
      </c>
      <c r="F46" s="52">
        <f>E46*VLOOKUP(B46,dagsoorttabel1,2,FALSE)</f>
        <v>0.56901960784313721</v>
      </c>
      <c r="G46" s="53">
        <f>IF(AND(catpn_2_VVHB_1&gt;0,catpn_2_VVHV_2&gt;0),(dagenperjaar1*VLOOKUP(B46,dagsoorttabel1,2,FALSE))/(((dagenperjaar1*VLOOKUP(B46,dagsoorttabel1,2,FALSE))-catfd_2_VVHV_2)/catpn_2_VVHB_1+catfd_2_VVHV_2/catpn_2_VVHV_2),0)</f>
        <v>0</v>
      </c>
      <c r="H46" s="54">
        <f>IF(AND(catpn_2_VVHB_1&gt;0,catpn_2_VVHV_2&gt;0),(catdw_2_VVHB_1*((dagenperjaar1*VLOOKUP(B46,dagsoorttabel1,2,FALSE))-catfd_2_VVHV_2)/catpn_2_VVHB_1+catdw_2_VVHV_2*catfd_2_VVHV_2/catpn_2_VVHV_2)/(((dagenperjaar1*VLOOKUP(B46,dagsoorttabel1,2,FALSE))-catfd_2_VVHV_2)/catpn_2_VVHB_1+catfd_2_VVHV_2/catpn_2_VVHV_2),0)</f>
        <v>0</v>
      </c>
      <c r="I46" s="39" t="s">
        <v>103</v>
      </c>
      <c r="J46" s="43">
        <f>IF(AND(catpn_2_VVHB_1&gt;0,catpn_2_VVHV_2&gt;0),(cattf_2_VVHB_1*((dagenperjaar1*VLOOKUP(B46,dagsoorttabel1,2,FALSE))-catfd_2_VVHV_2)/catpn_2_VVHB_1+cattf_2_VVHV_2*catfd_2_VVHV_2/catpn_2_VVHV_2)/(((dagenperjaar1*VLOOKUP(B46,dagsoorttabel1,2,FALSE))-catfd_2_VVHV_2)/catpn_2_VVHB_1+catfd_2_VVHV_2/catpn_2_VVHV_2),0)</f>
        <v>0</v>
      </c>
      <c r="K46" s="52">
        <f>IF(OR(ISBLANK(G46),G46=0),0,F46/ROUND(G46,4))</f>
        <v>0</v>
      </c>
      <c r="L46" s="43">
        <f>ROUND(J46,2)*K46</f>
        <v>0</v>
      </c>
      <c r="M46" s="52">
        <f>K46*dagenperjaar1</f>
        <v>0</v>
      </c>
      <c r="N46" s="43">
        <f>M46*ROUND(J46,2)</f>
        <v>0</v>
      </c>
    </row>
    <row r="47" spans="1:14" x14ac:dyDescent="0.3">
      <c r="A47" s="44" t="s">
        <v>264</v>
      </c>
      <c r="B47" s="44" t="s">
        <v>23</v>
      </c>
      <c r="C47" s="44" t="s">
        <v>214</v>
      </c>
      <c r="D47" s="44" t="s">
        <v>257</v>
      </c>
      <c r="E47" s="55">
        <v>174.3</v>
      </c>
      <c r="F47" s="55">
        <f>E47*VLOOKUP(B47,dagsoorttabel1,2,FALSE)</f>
        <v>2.7341176470588238</v>
      </c>
      <c r="G47" s="56">
        <f>IF(AND(catpn_2_VVHB_1&gt;0,catpn_2_VVHV_2&gt;0),(dagenperjaar1*VLOOKUP(B47,dagsoorttabel1,2,FALSE))/(((dagenperjaar1*VLOOKUP(B47,dagsoorttabel1,2,FALSE))-catfd_2_VVHV_2)/catpn_2_VVHB_1+catfd_2_VVHV_2/catpn_2_VVHV_2),0)</f>
        <v>0</v>
      </c>
      <c r="H47" s="57">
        <f>IF(AND(catpn_2_VVHB_1&gt;0,catpn_2_VVHV_2&gt;0),(catdw_2_VVHB_1*((dagenperjaar1*VLOOKUP(B47,dagsoorttabel1,2,FALSE))-catfd_2_VVHV_2)/catpn_2_VVHB_1+catdw_2_VVHV_2*catfd_2_VVHV_2/catpn_2_VVHV_2)/(((dagenperjaar1*VLOOKUP(B47,dagsoorttabel1,2,FALSE))-catfd_2_VVHV_2)/catpn_2_VVHB_1+catfd_2_VVHV_2/catpn_2_VVHV_2),0)</f>
        <v>0</v>
      </c>
      <c r="I47" s="44" t="s">
        <v>103</v>
      </c>
      <c r="J47" s="48">
        <f>IF(AND(catpn_2_VVHB_1&gt;0,catpn_2_VVHV_2&gt;0),(cattf_2_VVHB_1*((dagenperjaar1*VLOOKUP(B47,dagsoorttabel1,2,FALSE))-catfd_2_VVHV_2)/catpn_2_VVHB_1+cattf_2_VVHV_2*catfd_2_VVHV_2/catpn_2_VVHV_2)/(((dagenperjaar1*VLOOKUP(B47,dagsoorttabel1,2,FALSE))-catfd_2_VVHV_2)/catpn_2_VVHB_1+catfd_2_VVHV_2/catpn_2_VVHV_2),0)</f>
        <v>0</v>
      </c>
      <c r="K47" s="55">
        <f>IF(OR(ISBLANK(G47),G47=0),0,F47/ROUND(G47,4))</f>
        <v>0</v>
      </c>
      <c r="L47" s="48">
        <f>ROUND(J47,2)*K47</f>
        <v>0</v>
      </c>
      <c r="M47" s="55">
        <f>K47*dagenperjaar1</f>
        <v>0</v>
      </c>
      <c r="N47" s="48">
        <f>M47*ROUND(J47,2)</f>
        <v>0</v>
      </c>
    </row>
    <row r="48" spans="1:14" x14ac:dyDescent="0.3">
      <c r="A48" s="59" t="s">
        <v>265</v>
      </c>
      <c r="B48" s="60"/>
      <c r="C48" s="60"/>
      <c r="D48" s="60"/>
      <c r="E48" s="60"/>
      <c r="F48" s="60"/>
      <c r="G48" s="60"/>
      <c r="H48" s="60"/>
      <c r="I48" s="60"/>
      <c r="J48" s="60"/>
      <c r="K48" s="61">
        <f>SUM(K43:K47)</f>
        <v>0</v>
      </c>
      <c r="L48" s="62">
        <f>SUM(L43:L47)</f>
        <v>0</v>
      </c>
      <c r="M48" s="61">
        <f>SUM(M43:M47)</f>
        <v>0</v>
      </c>
      <c r="N48" s="63">
        <f>SUM(N43:N47)</f>
        <v>0</v>
      </c>
    </row>
    <row r="49" spans="1:14" x14ac:dyDescent="0.3">
      <c r="A49" s="64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5"/>
    </row>
    <row r="50" spans="1:14" x14ac:dyDescent="0.3">
      <c r="A50" s="59" t="s">
        <v>266</v>
      </c>
      <c r="B50" s="60"/>
      <c r="C50" s="60"/>
      <c r="D50" s="60"/>
      <c r="E50" s="60"/>
      <c r="F50" s="60"/>
      <c r="G50" s="60"/>
      <c r="H50" s="60"/>
      <c r="I50" s="60"/>
      <c r="J50" s="62">
        <f>IF(urenjaar2&gt;0,SUMIF(M43:M47,"&gt;0",N43:N47)/urenjaar2,0)</f>
        <v>0</v>
      </c>
      <c r="K50" s="60"/>
      <c r="L50" s="60"/>
      <c r="M50" s="60"/>
      <c r="N50" s="65"/>
    </row>
    <row r="51" spans="1:14" x14ac:dyDescent="0.3">
      <c r="A51" s="64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5"/>
    </row>
    <row r="53" spans="1:14" x14ac:dyDescent="0.3">
      <c r="A53" s="59" t="s">
        <v>267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1">
        <f>urenjaar1+urenjaar2</f>
        <v>0</v>
      </c>
      <c r="N53" s="62">
        <f>prijsjaar1+prijsjaar2</f>
        <v>0</v>
      </c>
    </row>
  </sheetData>
  <sheetProtection algorithmName="SHA-512" hashValue="tntVGj1xevaUfBoqHASmUAKTjIXP0oy8AWLIeUkuVEW0PBjqHrZDAV3c7M97rURuCuU7IPGyri6VAySlkXhmqA==" saltValue="LuouCXjY9HXVLgm9B2vM0Q==" spinCount="100000" sheet="1" objects="1" scenarios="1" autoFilter="0"/>
  <pageMargins left="0.7" right="0.7" top="0.75" bottom="0.75" header="0.3" footer="0.3"/>
  <pageSetup scale="70" orientation="landscape" r:id="rId1"/>
  <headerFooter>
    <oddFooter>&amp;LStichting Onderwijsgroep Amersfoort                         &amp;ROpmaakdatum: 07-07-2025
Intexso - Plantageweg 23E - Leusden
+31 (33) 2778485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D97F9-A0B7-420B-9112-2731912AAF72}">
  <dimension ref="A1:U1105"/>
  <sheetViews>
    <sheetView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4" sqref="E4"/>
    </sheetView>
  </sheetViews>
  <sheetFormatPr defaultRowHeight="13.5" x14ac:dyDescent="0.3"/>
  <cols>
    <col min="1" max="1" width="8.61328125" customWidth="1"/>
    <col min="2" max="3" width="7.61328125" customWidth="1"/>
    <col min="4" max="4" width="10.61328125" customWidth="1"/>
    <col min="5" max="5" width="25.61328125" customWidth="1"/>
    <col min="6" max="6" width="11.61328125" customWidth="1"/>
    <col min="7" max="7" width="7.61328125" customWidth="1"/>
    <col min="8" max="8" width="6.61328125" customWidth="1"/>
    <col min="9" max="9" width="8.61328125" customWidth="1"/>
    <col min="10" max="10" width="40.61328125" customWidth="1"/>
    <col min="11" max="12" width="10.61328125" customWidth="1"/>
    <col min="13" max="14" width="11.61328125" customWidth="1"/>
    <col min="15" max="15" width="9.61328125" customWidth="1"/>
    <col min="16" max="19" width="11.61328125" customWidth="1"/>
    <col min="20" max="20" width="12.61328125" customWidth="1"/>
    <col min="21" max="21" width="14.61328125" customWidth="1"/>
  </cols>
  <sheetData>
    <row r="1" spans="1:21" x14ac:dyDescent="0.3">
      <c r="A1" s="1" t="str">
        <f>CONCATENATE("Bijlage I.3: ",tabeltype," ruimten werkdag")</f>
        <v>Bijlage I.3: Invultabel ruimten werkdag</v>
      </c>
    </row>
    <row r="3" spans="1:21" ht="40.5" x14ac:dyDescent="0.3">
      <c r="A3" s="66" t="s">
        <v>268</v>
      </c>
      <c r="B3" s="27" t="s">
        <v>269</v>
      </c>
      <c r="C3" s="27" t="s">
        <v>270</v>
      </c>
      <c r="D3" s="27" t="s">
        <v>271</v>
      </c>
      <c r="E3" s="27" t="s">
        <v>272</v>
      </c>
      <c r="F3" s="27" t="s">
        <v>273</v>
      </c>
      <c r="G3" s="27" t="s">
        <v>205</v>
      </c>
      <c r="H3" s="27" t="s">
        <v>7</v>
      </c>
      <c r="I3" s="27" t="s">
        <v>274</v>
      </c>
      <c r="J3" s="27" t="s">
        <v>275</v>
      </c>
      <c r="K3" s="27" t="s">
        <v>207</v>
      </c>
      <c r="L3" s="27" t="s">
        <v>208</v>
      </c>
      <c r="M3" s="27" t="s">
        <v>95</v>
      </c>
      <c r="N3" s="27" t="s">
        <v>96</v>
      </c>
      <c r="O3" s="27" t="s">
        <v>97</v>
      </c>
      <c r="P3" s="27" t="s">
        <v>98</v>
      </c>
      <c r="Q3" s="27" t="s">
        <v>209</v>
      </c>
      <c r="R3" s="27" t="s">
        <v>276</v>
      </c>
      <c r="S3" s="27" t="s">
        <v>210</v>
      </c>
      <c r="T3" s="27" t="s">
        <v>211</v>
      </c>
      <c r="U3" s="67" t="s">
        <v>212</v>
      </c>
    </row>
    <row r="4" spans="1:21" x14ac:dyDescent="0.3">
      <c r="A4" s="68" t="s">
        <v>277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58"/>
    </row>
    <row r="5" spans="1:21" x14ac:dyDescent="0.3">
      <c r="A5" s="69" t="s">
        <v>278</v>
      </c>
      <c r="B5" s="70" t="s">
        <v>279</v>
      </c>
      <c r="C5" s="70" t="s">
        <v>280</v>
      </c>
      <c r="D5" s="70" t="s">
        <v>281</v>
      </c>
      <c r="E5" s="71" t="s">
        <v>282</v>
      </c>
      <c r="F5" s="70" t="s">
        <v>283</v>
      </c>
      <c r="G5" s="70" t="s">
        <v>236</v>
      </c>
      <c r="H5" s="70" t="s">
        <v>11</v>
      </c>
      <c r="I5" s="70" t="s">
        <v>214</v>
      </c>
      <c r="J5" s="71" t="s">
        <v>237</v>
      </c>
      <c r="K5" s="72">
        <v>221.9</v>
      </c>
      <c r="L5" s="72">
        <f t="shared" ref="L5:L12" si="0">K5*VLOOKUP(H5,dagsoorttabel1,2,FALSE)</f>
        <v>174.0392156862745</v>
      </c>
      <c r="M5" s="73">
        <f>prodnorm22</f>
        <v>0</v>
      </c>
      <c r="N5" s="74">
        <f>dagwerk22</f>
        <v>0</v>
      </c>
      <c r="O5" s="70" t="s">
        <v>103</v>
      </c>
      <c r="P5" s="75">
        <f>uurtarief22</f>
        <v>0</v>
      </c>
      <c r="Q5" s="72" t="e">
        <f t="shared" ref="Q5:Q12" si="1">IF(ISBLANK(M5),0,L5/ROUND(M5,4))</f>
        <v>#DIV/0!</v>
      </c>
      <c r="R5" s="72" t="e">
        <f t="shared" ref="R5:R12" si="2">IF(ISBLANK(M5),0,Q5*ROUND(N5,2))</f>
        <v>#DIV/0!</v>
      </c>
      <c r="S5" s="75" t="e">
        <f t="shared" ref="S5:S12" si="3">ROUND(P5,2)*Q5</f>
        <v>#DIV/0!</v>
      </c>
      <c r="T5" s="72" t="e">
        <f t="shared" ref="T5:T12" si="4">Q5*dagenperjaar1</f>
        <v>#DIV/0!</v>
      </c>
      <c r="U5" s="76" t="e">
        <f t="shared" ref="U5:U12" si="5">T5*ROUND(P5,2)</f>
        <v>#DIV/0!</v>
      </c>
    </row>
    <row r="6" spans="1:21" x14ac:dyDescent="0.3">
      <c r="A6" s="77" t="s">
        <v>278</v>
      </c>
      <c r="B6" s="78" t="s">
        <v>279</v>
      </c>
      <c r="C6" s="78" t="s">
        <v>280</v>
      </c>
      <c r="D6" s="78" t="s">
        <v>284</v>
      </c>
      <c r="E6" s="79" t="s">
        <v>285</v>
      </c>
      <c r="F6" s="78" t="s">
        <v>283</v>
      </c>
      <c r="G6" s="78" t="s">
        <v>252</v>
      </c>
      <c r="H6" s="78" t="s">
        <v>11</v>
      </c>
      <c r="I6" s="78" t="s">
        <v>214</v>
      </c>
      <c r="J6" s="79" t="s">
        <v>253</v>
      </c>
      <c r="K6" s="80">
        <v>16</v>
      </c>
      <c r="L6" s="80">
        <f t="shared" si="0"/>
        <v>12.549019607843137</v>
      </c>
      <c r="M6" s="81">
        <f>prodnorm31</f>
        <v>0</v>
      </c>
      <c r="N6" s="82">
        <f>dagwerk31</f>
        <v>0</v>
      </c>
      <c r="O6" s="78" t="s">
        <v>103</v>
      </c>
      <c r="P6" s="15">
        <f>uurtarief31</f>
        <v>0</v>
      </c>
      <c r="Q6" s="80" t="e">
        <f t="shared" si="1"/>
        <v>#DIV/0!</v>
      </c>
      <c r="R6" s="80" t="e">
        <f t="shared" si="2"/>
        <v>#DIV/0!</v>
      </c>
      <c r="S6" s="15" t="e">
        <f t="shared" si="3"/>
        <v>#DIV/0!</v>
      </c>
      <c r="T6" s="80" t="e">
        <f t="shared" si="4"/>
        <v>#DIV/0!</v>
      </c>
      <c r="U6" s="16" t="e">
        <f t="shared" si="5"/>
        <v>#DIV/0!</v>
      </c>
    </row>
    <row r="7" spans="1:21" x14ac:dyDescent="0.3">
      <c r="A7" s="77" t="s">
        <v>278</v>
      </c>
      <c r="B7" s="78" t="s">
        <v>279</v>
      </c>
      <c r="C7" s="78" t="s">
        <v>280</v>
      </c>
      <c r="D7" s="78" t="s">
        <v>286</v>
      </c>
      <c r="E7" s="79" t="s">
        <v>287</v>
      </c>
      <c r="F7" s="78" t="s">
        <v>288</v>
      </c>
      <c r="G7" s="78" t="s">
        <v>252</v>
      </c>
      <c r="H7" s="78" t="s">
        <v>11</v>
      </c>
      <c r="I7" s="78" t="s">
        <v>214</v>
      </c>
      <c r="J7" s="79" t="s">
        <v>253</v>
      </c>
      <c r="K7" s="80">
        <v>10</v>
      </c>
      <c r="L7" s="80">
        <f t="shared" si="0"/>
        <v>7.8431372549019605</v>
      </c>
      <c r="M7" s="81">
        <f>prodnorm31</f>
        <v>0</v>
      </c>
      <c r="N7" s="82">
        <f>dagwerk31</f>
        <v>0</v>
      </c>
      <c r="O7" s="78" t="s">
        <v>103</v>
      </c>
      <c r="P7" s="15">
        <f>uurtarief31</f>
        <v>0</v>
      </c>
      <c r="Q7" s="80" t="e">
        <f t="shared" si="1"/>
        <v>#DIV/0!</v>
      </c>
      <c r="R7" s="80" t="e">
        <f t="shared" si="2"/>
        <v>#DIV/0!</v>
      </c>
      <c r="S7" s="15" t="e">
        <f t="shared" si="3"/>
        <v>#DIV/0!</v>
      </c>
      <c r="T7" s="80" t="e">
        <f t="shared" si="4"/>
        <v>#DIV/0!</v>
      </c>
      <c r="U7" s="16" t="e">
        <f t="shared" si="5"/>
        <v>#DIV/0!</v>
      </c>
    </row>
    <row r="8" spans="1:21" x14ac:dyDescent="0.3">
      <c r="A8" s="77" t="s">
        <v>278</v>
      </c>
      <c r="B8" s="78" t="s">
        <v>279</v>
      </c>
      <c r="C8" s="78" t="s">
        <v>280</v>
      </c>
      <c r="D8" s="78" t="s">
        <v>289</v>
      </c>
      <c r="E8" s="79" t="s">
        <v>290</v>
      </c>
      <c r="F8" s="78" t="s">
        <v>283</v>
      </c>
      <c r="G8" s="78" t="s">
        <v>234</v>
      </c>
      <c r="H8" s="78" t="s">
        <v>11</v>
      </c>
      <c r="I8" s="78" t="s">
        <v>214</v>
      </c>
      <c r="J8" s="79" t="s">
        <v>235</v>
      </c>
      <c r="K8" s="80">
        <v>52.1</v>
      </c>
      <c r="L8" s="80">
        <f t="shared" si="0"/>
        <v>40.86274509803922</v>
      </c>
      <c r="M8" s="81">
        <f>prodnorm21</f>
        <v>0</v>
      </c>
      <c r="N8" s="82">
        <f>dagwerk21</f>
        <v>0</v>
      </c>
      <c r="O8" s="78" t="s">
        <v>103</v>
      </c>
      <c r="P8" s="15">
        <f>uurtarief21</f>
        <v>0</v>
      </c>
      <c r="Q8" s="80" t="e">
        <f t="shared" si="1"/>
        <v>#DIV/0!</v>
      </c>
      <c r="R8" s="80" t="e">
        <f t="shared" si="2"/>
        <v>#DIV/0!</v>
      </c>
      <c r="S8" s="15" t="e">
        <f t="shared" si="3"/>
        <v>#DIV/0!</v>
      </c>
      <c r="T8" s="80" t="e">
        <f t="shared" si="4"/>
        <v>#DIV/0!</v>
      </c>
      <c r="U8" s="16" t="e">
        <f t="shared" si="5"/>
        <v>#DIV/0!</v>
      </c>
    </row>
    <row r="9" spans="1:21" x14ac:dyDescent="0.3">
      <c r="A9" s="77" t="s">
        <v>278</v>
      </c>
      <c r="B9" s="78" t="s">
        <v>279</v>
      </c>
      <c r="C9" s="78" t="s">
        <v>280</v>
      </c>
      <c r="D9" s="78" t="s">
        <v>291</v>
      </c>
      <c r="E9" s="79" t="s">
        <v>290</v>
      </c>
      <c r="F9" s="78" t="s">
        <v>283</v>
      </c>
      <c r="G9" s="78" t="s">
        <v>234</v>
      </c>
      <c r="H9" s="78" t="s">
        <v>11</v>
      </c>
      <c r="I9" s="78" t="s">
        <v>214</v>
      </c>
      <c r="J9" s="79" t="s">
        <v>235</v>
      </c>
      <c r="K9" s="80">
        <v>52.1</v>
      </c>
      <c r="L9" s="80">
        <f t="shared" si="0"/>
        <v>40.86274509803922</v>
      </c>
      <c r="M9" s="81">
        <f>prodnorm21</f>
        <v>0</v>
      </c>
      <c r="N9" s="82">
        <f>dagwerk21</f>
        <v>0</v>
      </c>
      <c r="O9" s="78" t="s">
        <v>103</v>
      </c>
      <c r="P9" s="15">
        <f>uurtarief21</f>
        <v>0</v>
      </c>
      <c r="Q9" s="80" t="e">
        <f t="shared" si="1"/>
        <v>#DIV/0!</v>
      </c>
      <c r="R9" s="80" t="e">
        <f t="shared" si="2"/>
        <v>#DIV/0!</v>
      </c>
      <c r="S9" s="15" t="e">
        <f t="shared" si="3"/>
        <v>#DIV/0!</v>
      </c>
      <c r="T9" s="80" t="e">
        <f t="shared" si="4"/>
        <v>#DIV/0!</v>
      </c>
      <c r="U9" s="16" t="e">
        <f t="shared" si="5"/>
        <v>#DIV/0!</v>
      </c>
    </row>
    <row r="10" spans="1:21" ht="27" x14ac:dyDescent="0.3">
      <c r="A10" s="77" t="s">
        <v>278</v>
      </c>
      <c r="B10" s="78" t="s">
        <v>279</v>
      </c>
      <c r="C10" s="78" t="s">
        <v>280</v>
      </c>
      <c r="D10" s="78" t="s">
        <v>292</v>
      </c>
      <c r="E10" s="79" t="s">
        <v>293</v>
      </c>
      <c r="F10" s="78" t="s">
        <v>283</v>
      </c>
      <c r="G10" s="78" t="s">
        <v>256</v>
      </c>
      <c r="H10" s="78" t="s">
        <v>11</v>
      </c>
      <c r="I10" s="78" t="s">
        <v>214</v>
      </c>
      <c r="J10" s="79" t="s">
        <v>257</v>
      </c>
      <c r="K10" s="80">
        <v>15.6</v>
      </c>
      <c r="L10" s="80">
        <f t="shared" si="0"/>
        <v>12.235294117647058</v>
      </c>
      <c r="M10" s="81">
        <f>prodnorm33</f>
        <v>0</v>
      </c>
      <c r="N10" s="82">
        <f>dagwerk33</f>
        <v>0</v>
      </c>
      <c r="O10" s="78" t="s">
        <v>103</v>
      </c>
      <c r="P10" s="15">
        <f>uurtarief33</f>
        <v>0</v>
      </c>
      <c r="Q10" s="80" t="e">
        <f t="shared" si="1"/>
        <v>#DIV/0!</v>
      </c>
      <c r="R10" s="80" t="e">
        <f t="shared" si="2"/>
        <v>#DIV/0!</v>
      </c>
      <c r="S10" s="15" t="e">
        <f t="shared" si="3"/>
        <v>#DIV/0!</v>
      </c>
      <c r="T10" s="80" t="e">
        <f t="shared" si="4"/>
        <v>#DIV/0!</v>
      </c>
      <c r="U10" s="16" t="e">
        <f t="shared" si="5"/>
        <v>#DIV/0!</v>
      </c>
    </row>
    <row r="11" spans="1:21" x14ac:dyDescent="0.3">
      <c r="A11" s="77" t="s">
        <v>278</v>
      </c>
      <c r="B11" s="78" t="s">
        <v>279</v>
      </c>
      <c r="C11" s="78" t="s">
        <v>280</v>
      </c>
      <c r="D11" s="78" t="s">
        <v>294</v>
      </c>
      <c r="E11" s="79" t="s">
        <v>295</v>
      </c>
      <c r="F11" s="78" t="s">
        <v>283</v>
      </c>
      <c r="G11" s="78" t="s">
        <v>216</v>
      </c>
      <c r="H11" s="78" t="s">
        <v>11</v>
      </c>
      <c r="I11" s="78" t="s">
        <v>214</v>
      </c>
      <c r="J11" s="79" t="s">
        <v>217</v>
      </c>
      <c r="K11" s="80">
        <v>12.3</v>
      </c>
      <c r="L11" s="80">
        <f t="shared" si="0"/>
        <v>9.647058823529413</v>
      </c>
      <c r="M11" s="81">
        <f>prodnorm6</f>
        <v>0</v>
      </c>
      <c r="N11" s="82">
        <f>dagwerk6</f>
        <v>0</v>
      </c>
      <c r="O11" s="78" t="s">
        <v>103</v>
      </c>
      <c r="P11" s="15">
        <f>uurtarief6</f>
        <v>0</v>
      </c>
      <c r="Q11" s="80" t="e">
        <f t="shared" si="1"/>
        <v>#DIV/0!</v>
      </c>
      <c r="R11" s="80" t="e">
        <f t="shared" si="2"/>
        <v>#DIV/0!</v>
      </c>
      <c r="S11" s="15" t="e">
        <f t="shared" si="3"/>
        <v>#DIV/0!</v>
      </c>
      <c r="T11" s="80" t="e">
        <f t="shared" si="4"/>
        <v>#DIV/0!</v>
      </c>
      <c r="U11" s="16" t="e">
        <f t="shared" si="5"/>
        <v>#DIV/0!</v>
      </c>
    </row>
    <row r="12" spans="1:21" ht="27" x14ac:dyDescent="0.3">
      <c r="A12" s="77" t="s">
        <v>278</v>
      </c>
      <c r="B12" s="78" t="s">
        <v>279</v>
      </c>
      <c r="C12" s="78" t="s">
        <v>280</v>
      </c>
      <c r="D12" s="78" t="s">
        <v>296</v>
      </c>
      <c r="E12" s="79" t="s">
        <v>297</v>
      </c>
      <c r="F12" s="78" t="s">
        <v>283</v>
      </c>
      <c r="G12" s="78" t="s">
        <v>256</v>
      </c>
      <c r="H12" s="78" t="s">
        <v>11</v>
      </c>
      <c r="I12" s="78" t="s">
        <v>214</v>
      </c>
      <c r="J12" s="79" t="s">
        <v>257</v>
      </c>
      <c r="K12" s="80">
        <v>31.5</v>
      </c>
      <c r="L12" s="80">
        <f t="shared" si="0"/>
        <v>24.705882352941178</v>
      </c>
      <c r="M12" s="81">
        <f>prodnorm33</f>
        <v>0</v>
      </c>
      <c r="N12" s="82">
        <f>dagwerk33</f>
        <v>0</v>
      </c>
      <c r="O12" s="78" t="s">
        <v>103</v>
      </c>
      <c r="P12" s="15">
        <f>uurtarief33</f>
        <v>0</v>
      </c>
      <c r="Q12" s="80" t="e">
        <f t="shared" si="1"/>
        <v>#DIV/0!</v>
      </c>
      <c r="R12" s="80" t="e">
        <f t="shared" si="2"/>
        <v>#DIV/0!</v>
      </c>
      <c r="S12" s="15" t="e">
        <f t="shared" si="3"/>
        <v>#DIV/0!</v>
      </c>
      <c r="T12" s="80" t="e">
        <f t="shared" si="4"/>
        <v>#DIV/0!</v>
      </c>
      <c r="U12" s="16" t="e">
        <f t="shared" si="5"/>
        <v>#DIV/0!</v>
      </c>
    </row>
    <row r="13" spans="1:21" x14ac:dyDescent="0.3">
      <c r="A13" s="77" t="s">
        <v>278</v>
      </c>
      <c r="B13" s="78" t="s">
        <v>279</v>
      </c>
      <c r="C13" s="78" t="s">
        <v>280</v>
      </c>
      <c r="D13" s="78" t="s">
        <v>298</v>
      </c>
      <c r="E13" s="79" t="s">
        <v>299</v>
      </c>
      <c r="F13" s="78" t="s">
        <v>288</v>
      </c>
      <c r="G13" s="78" t="s">
        <v>300</v>
      </c>
      <c r="H13" s="78"/>
      <c r="I13" s="78"/>
      <c r="J13" s="78"/>
      <c r="K13" s="80">
        <v>0</v>
      </c>
      <c r="L13" s="80"/>
      <c r="M13" s="81"/>
      <c r="N13" s="82"/>
      <c r="O13" s="78"/>
      <c r="P13" s="15"/>
      <c r="Q13" s="80"/>
      <c r="R13" s="80"/>
      <c r="S13" s="15"/>
      <c r="T13" s="83"/>
      <c r="U13" s="16"/>
    </row>
    <row r="14" spans="1:21" x14ac:dyDescent="0.3">
      <c r="A14" s="77" t="s">
        <v>278</v>
      </c>
      <c r="B14" s="78" t="s">
        <v>279</v>
      </c>
      <c r="C14" s="78" t="s">
        <v>280</v>
      </c>
      <c r="D14" s="78" t="s">
        <v>301</v>
      </c>
      <c r="E14" s="79" t="s">
        <v>302</v>
      </c>
      <c r="F14" s="78" t="s">
        <v>303</v>
      </c>
      <c r="G14" s="78" t="s">
        <v>250</v>
      </c>
      <c r="H14" s="78" t="s">
        <v>11</v>
      </c>
      <c r="I14" s="78" t="s">
        <v>214</v>
      </c>
      <c r="J14" s="79" t="s">
        <v>251</v>
      </c>
      <c r="K14" s="80">
        <v>12.2</v>
      </c>
      <c r="L14" s="80">
        <f>K14*VLOOKUP(H14,dagsoorttabel1,2,FALSE)</f>
        <v>9.5686274509803919</v>
      </c>
      <c r="M14" s="81">
        <f>prodnorm30</f>
        <v>0</v>
      </c>
      <c r="N14" s="82">
        <f>dagwerk30</f>
        <v>0</v>
      </c>
      <c r="O14" s="78" t="s">
        <v>103</v>
      </c>
      <c r="P14" s="15">
        <f>uurtarief30</f>
        <v>0</v>
      </c>
      <c r="Q14" s="80" t="e">
        <f>IF(ISBLANK(M14),0,L14/ROUND(M14,4))</f>
        <v>#DIV/0!</v>
      </c>
      <c r="R14" s="80" t="e">
        <f>IF(ISBLANK(M14),0,Q14*ROUND(N14,2))</f>
        <v>#DIV/0!</v>
      </c>
      <c r="S14" s="15" t="e">
        <f>ROUND(P14,2)*Q14</f>
        <v>#DIV/0!</v>
      </c>
      <c r="T14" s="80" t="e">
        <f>Q14*dagenperjaar1</f>
        <v>#DIV/0!</v>
      </c>
      <c r="U14" s="16" t="e">
        <f>T14*ROUND(P14,2)</f>
        <v>#DIV/0!</v>
      </c>
    </row>
    <row r="15" spans="1:21" x14ac:dyDescent="0.3">
      <c r="A15" s="77" t="s">
        <v>278</v>
      </c>
      <c r="B15" s="78" t="s">
        <v>279</v>
      </c>
      <c r="C15" s="78" t="s">
        <v>280</v>
      </c>
      <c r="D15" s="78" t="s">
        <v>304</v>
      </c>
      <c r="E15" s="79" t="s">
        <v>305</v>
      </c>
      <c r="F15" s="78" t="s">
        <v>283</v>
      </c>
      <c r="G15" s="78" t="s">
        <v>222</v>
      </c>
      <c r="H15" s="78" t="s">
        <v>11</v>
      </c>
      <c r="I15" s="78" t="s">
        <v>214</v>
      </c>
      <c r="J15" s="79" t="s">
        <v>223</v>
      </c>
      <c r="K15" s="80">
        <v>190.3</v>
      </c>
      <c r="L15" s="80">
        <f>K15*VLOOKUP(H15,dagsoorttabel1,2,FALSE)</f>
        <v>149.25490196078431</v>
      </c>
      <c r="M15" s="81">
        <f>prodnorm12</f>
        <v>0</v>
      </c>
      <c r="N15" s="82">
        <f>dagwerk12</f>
        <v>0</v>
      </c>
      <c r="O15" s="78" t="s">
        <v>103</v>
      </c>
      <c r="P15" s="15">
        <f>uurtarief12</f>
        <v>0</v>
      </c>
      <c r="Q15" s="80" t="e">
        <f>IF(ISBLANK(M15),0,L15/ROUND(M15,4))</f>
        <v>#DIV/0!</v>
      </c>
      <c r="R15" s="80" t="e">
        <f>IF(ISBLANK(M15),0,Q15*ROUND(N15,2))</f>
        <v>#DIV/0!</v>
      </c>
      <c r="S15" s="15" t="e">
        <f>ROUND(P15,2)*Q15</f>
        <v>#DIV/0!</v>
      </c>
      <c r="T15" s="80" t="e">
        <f>Q15*dagenperjaar1</f>
        <v>#DIV/0!</v>
      </c>
      <c r="U15" s="16" t="e">
        <f>T15*ROUND(P15,2)</f>
        <v>#DIV/0!</v>
      </c>
    </row>
    <row r="16" spans="1:21" x14ac:dyDescent="0.3">
      <c r="A16" s="77" t="s">
        <v>278</v>
      </c>
      <c r="B16" s="78" t="s">
        <v>279</v>
      </c>
      <c r="C16" s="78" t="s">
        <v>280</v>
      </c>
      <c r="D16" s="78" t="s">
        <v>306</v>
      </c>
      <c r="E16" s="79" t="s">
        <v>287</v>
      </c>
      <c r="F16" s="78" t="s">
        <v>288</v>
      </c>
      <c r="G16" s="78" t="s">
        <v>252</v>
      </c>
      <c r="H16" s="78" t="s">
        <v>11</v>
      </c>
      <c r="I16" s="78" t="s">
        <v>214</v>
      </c>
      <c r="J16" s="79" t="s">
        <v>253</v>
      </c>
      <c r="K16" s="80">
        <v>10</v>
      </c>
      <c r="L16" s="80">
        <f>K16*VLOOKUP(H16,dagsoorttabel1,2,FALSE)</f>
        <v>7.8431372549019605</v>
      </c>
      <c r="M16" s="81">
        <f>prodnorm31</f>
        <v>0</v>
      </c>
      <c r="N16" s="82">
        <f>dagwerk31</f>
        <v>0</v>
      </c>
      <c r="O16" s="78" t="s">
        <v>103</v>
      </c>
      <c r="P16" s="15">
        <f>uurtarief31</f>
        <v>0</v>
      </c>
      <c r="Q16" s="80" t="e">
        <f>IF(ISBLANK(M16),0,L16/ROUND(M16,4))</f>
        <v>#DIV/0!</v>
      </c>
      <c r="R16" s="80" t="e">
        <f>IF(ISBLANK(M16),0,Q16*ROUND(N16,2))</f>
        <v>#DIV/0!</v>
      </c>
      <c r="S16" s="15" t="e">
        <f>ROUND(P16,2)*Q16</f>
        <v>#DIV/0!</v>
      </c>
      <c r="T16" s="80" t="e">
        <f>Q16*dagenperjaar1</f>
        <v>#DIV/0!</v>
      </c>
      <c r="U16" s="16" t="e">
        <f>T16*ROUND(P16,2)</f>
        <v>#DIV/0!</v>
      </c>
    </row>
    <row r="17" spans="1:21" x14ac:dyDescent="0.3">
      <c r="A17" s="77" t="s">
        <v>278</v>
      </c>
      <c r="B17" s="78" t="s">
        <v>279</v>
      </c>
      <c r="C17" s="78" t="s">
        <v>280</v>
      </c>
      <c r="D17" s="78" t="s">
        <v>307</v>
      </c>
      <c r="E17" s="79" t="s">
        <v>308</v>
      </c>
      <c r="F17" s="78" t="s">
        <v>288</v>
      </c>
      <c r="G17" s="78" t="s">
        <v>300</v>
      </c>
      <c r="H17" s="78"/>
      <c r="I17" s="78"/>
      <c r="J17" s="78"/>
      <c r="K17" s="80">
        <v>0</v>
      </c>
      <c r="L17" s="80"/>
      <c r="M17" s="81"/>
      <c r="N17" s="82"/>
      <c r="O17" s="78"/>
      <c r="P17" s="15"/>
      <c r="Q17" s="80"/>
      <c r="R17" s="80"/>
      <c r="S17" s="15"/>
      <c r="T17" s="83"/>
      <c r="U17" s="16"/>
    </row>
    <row r="18" spans="1:21" ht="27" x14ac:dyDescent="0.3">
      <c r="A18" s="77" t="s">
        <v>278</v>
      </c>
      <c r="B18" s="78" t="s">
        <v>279</v>
      </c>
      <c r="C18" s="78" t="s">
        <v>280</v>
      </c>
      <c r="D18" s="78" t="s">
        <v>309</v>
      </c>
      <c r="E18" s="79" t="s">
        <v>310</v>
      </c>
      <c r="F18" s="78" t="s">
        <v>283</v>
      </c>
      <c r="G18" s="78" t="s">
        <v>256</v>
      </c>
      <c r="H18" s="78" t="s">
        <v>11</v>
      </c>
      <c r="I18" s="78" t="s">
        <v>214</v>
      </c>
      <c r="J18" s="79" t="s">
        <v>257</v>
      </c>
      <c r="K18" s="80">
        <v>11.3</v>
      </c>
      <c r="L18" s="80">
        <f>K18*VLOOKUP(H18,dagsoorttabel1,2,FALSE)</f>
        <v>8.8627450980392162</v>
      </c>
      <c r="M18" s="81">
        <f>prodnorm33</f>
        <v>0</v>
      </c>
      <c r="N18" s="82">
        <f>dagwerk33</f>
        <v>0</v>
      </c>
      <c r="O18" s="78" t="s">
        <v>103</v>
      </c>
      <c r="P18" s="15">
        <f>uurtarief33</f>
        <v>0</v>
      </c>
      <c r="Q18" s="80" t="e">
        <f>IF(ISBLANK(M18),0,L18/ROUND(M18,4))</f>
        <v>#DIV/0!</v>
      </c>
      <c r="R18" s="80" t="e">
        <f>IF(ISBLANK(M18),0,Q18*ROUND(N18,2))</f>
        <v>#DIV/0!</v>
      </c>
      <c r="S18" s="15" t="e">
        <f>ROUND(P18,2)*Q18</f>
        <v>#DIV/0!</v>
      </c>
      <c r="T18" s="80" t="e">
        <f>Q18*dagenperjaar1</f>
        <v>#DIV/0!</v>
      </c>
      <c r="U18" s="16" t="e">
        <f>T18*ROUND(P18,2)</f>
        <v>#DIV/0!</v>
      </c>
    </row>
    <row r="19" spans="1:21" x14ac:dyDescent="0.3">
      <c r="A19" s="77" t="s">
        <v>278</v>
      </c>
      <c r="B19" s="78" t="s">
        <v>279</v>
      </c>
      <c r="C19" s="78" t="s">
        <v>280</v>
      </c>
      <c r="D19" s="78" t="s">
        <v>311</v>
      </c>
      <c r="E19" s="79" t="s">
        <v>312</v>
      </c>
      <c r="F19" s="78" t="s">
        <v>288</v>
      </c>
      <c r="G19" s="78" t="s">
        <v>300</v>
      </c>
      <c r="H19" s="78"/>
      <c r="I19" s="78"/>
      <c r="J19" s="78"/>
      <c r="K19" s="80">
        <v>5.2</v>
      </c>
      <c r="L19" s="80"/>
      <c r="M19" s="81"/>
      <c r="N19" s="82"/>
      <c r="O19" s="78"/>
      <c r="P19" s="15"/>
      <c r="Q19" s="80"/>
      <c r="R19" s="80"/>
      <c r="S19" s="15"/>
      <c r="T19" s="83"/>
      <c r="U19" s="16"/>
    </row>
    <row r="20" spans="1:21" x14ac:dyDescent="0.3">
      <c r="A20" s="77" t="s">
        <v>278</v>
      </c>
      <c r="B20" s="78" t="s">
        <v>279</v>
      </c>
      <c r="C20" s="78" t="s">
        <v>280</v>
      </c>
      <c r="D20" s="78" t="s">
        <v>313</v>
      </c>
      <c r="E20" s="79" t="s">
        <v>314</v>
      </c>
      <c r="F20" s="78" t="s">
        <v>40</v>
      </c>
      <c r="G20" s="78" t="s">
        <v>300</v>
      </c>
      <c r="H20" s="78"/>
      <c r="I20" s="78"/>
      <c r="J20" s="78"/>
      <c r="K20" s="80">
        <v>5.2</v>
      </c>
      <c r="L20" s="80"/>
      <c r="M20" s="81"/>
      <c r="N20" s="82"/>
      <c r="O20" s="78"/>
      <c r="P20" s="15"/>
      <c r="Q20" s="80"/>
      <c r="R20" s="80"/>
      <c r="S20" s="15"/>
      <c r="T20" s="83"/>
      <c r="U20" s="16"/>
    </row>
    <row r="21" spans="1:21" x14ac:dyDescent="0.3">
      <c r="A21" s="77" t="s">
        <v>278</v>
      </c>
      <c r="B21" s="78" t="s">
        <v>279</v>
      </c>
      <c r="C21" s="78" t="s">
        <v>280</v>
      </c>
      <c r="D21" s="78" t="s">
        <v>315</v>
      </c>
      <c r="E21" s="79" t="s">
        <v>316</v>
      </c>
      <c r="F21" s="78" t="s">
        <v>303</v>
      </c>
      <c r="G21" s="78" t="s">
        <v>250</v>
      </c>
      <c r="H21" s="78" t="s">
        <v>11</v>
      </c>
      <c r="I21" s="78" t="s">
        <v>214</v>
      </c>
      <c r="J21" s="79" t="s">
        <v>251</v>
      </c>
      <c r="K21" s="80">
        <v>5.2</v>
      </c>
      <c r="L21" s="80">
        <f>K21*VLOOKUP(H21,dagsoorttabel1,2,FALSE)</f>
        <v>4.0784313725490193</v>
      </c>
      <c r="M21" s="81">
        <f>prodnorm30</f>
        <v>0</v>
      </c>
      <c r="N21" s="82">
        <f>dagwerk30</f>
        <v>0</v>
      </c>
      <c r="O21" s="78" t="s">
        <v>103</v>
      </c>
      <c r="P21" s="15">
        <f>uurtarief30</f>
        <v>0</v>
      </c>
      <c r="Q21" s="80" t="e">
        <f>IF(ISBLANK(M21),0,L21/ROUND(M21,4))</f>
        <v>#DIV/0!</v>
      </c>
      <c r="R21" s="80" t="e">
        <f>IF(ISBLANK(M21),0,Q21*ROUND(N21,2))</f>
        <v>#DIV/0!</v>
      </c>
      <c r="S21" s="15" t="e">
        <f>ROUND(P21,2)*Q21</f>
        <v>#DIV/0!</v>
      </c>
      <c r="T21" s="80" t="e">
        <f>Q21*dagenperjaar1</f>
        <v>#DIV/0!</v>
      </c>
      <c r="U21" s="16" t="e">
        <f>T21*ROUND(P21,2)</f>
        <v>#DIV/0!</v>
      </c>
    </row>
    <row r="22" spans="1:21" x14ac:dyDescent="0.3">
      <c r="A22" s="77" t="s">
        <v>278</v>
      </c>
      <c r="B22" s="78" t="s">
        <v>279</v>
      </c>
      <c r="C22" s="78" t="s">
        <v>280</v>
      </c>
      <c r="D22" s="78" t="s">
        <v>317</v>
      </c>
      <c r="E22" s="79" t="s">
        <v>318</v>
      </c>
      <c r="F22" s="78" t="s">
        <v>40</v>
      </c>
      <c r="G22" s="78" t="s">
        <v>300</v>
      </c>
      <c r="H22" s="78"/>
      <c r="I22" s="78"/>
      <c r="J22" s="78"/>
      <c r="K22" s="80">
        <v>0</v>
      </c>
      <c r="L22" s="80"/>
      <c r="M22" s="81"/>
      <c r="N22" s="82"/>
      <c r="O22" s="78"/>
      <c r="P22" s="15"/>
      <c r="Q22" s="80"/>
      <c r="R22" s="80"/>
      <c r="S22" s="15"/>
      <c r="T22" s="83"/>
      <c r="U22" s="16"/>
    </row>
    <row r="23" spans="1:21" x14ac:dyDescent="0.3">
      <c r="A23" s="77" t="s">
        <v>278</v>
      </c>
      <c r="B23" s="78" t="s">
        <v>279</v>
      </c>
      <c r="C23" s="78" t="s">
        <v>280</v>
      </c>
      <c r="D23" s="78" t="s">
        <v>319</v>
      </c>
      <c r="E23" s="79" t="s">
        <v>320</v>
      </c>
      <c r="F23" s="78" t="s">
        <v>321</v>
      </c>
      <c r="G23" s="78" t="s">
        <v>213</v>
      </c>
      <c r="H23" s="78" t="s">
        <v>11</v>
      </c>
      <c r="I23" s="78" t="s">
        <v>214</v>
      </c>
      <c r="J23" s="79" t="s">
        <v>215</v>
      </c>
      <c r="K23" s="80">
        <v>381.3</v>
      </c>
      <c r="L23" s="80">
        <f>K23*VLOOKUP(H23,dagsoorttabel1,2,FALSE)</f>
        <v>299.05882352941177</v>
      </c>
      <c r="M23" s="81">
        <f>prodnorm5</f>
        <v>0</v>
      </c>
      <c r="N23" s="82">
        <f>dagwerk5</f>
        <v>0</v>
      </c>
      <c r="O23" s="78" t="s">
        <v>103</v>
      </c>
      <c r="P23" s="15">
        <f>uurtarief5</f>
        <v>0</v>
      </c>
      <c r="Q23" s="80" t="e">
        <f>IF(ISBLANK(M23),0,L23/ROUND(M23,4))</f>
        <v>#DIV/0!</v>
      </c>
      <c r="R23" s="80" t="e">
        <f>IF(ISBLANK(M23),0,Q23*ROUND(N23,2))</f>
        <v>#DIV/0!</v>
      </c>
      <c r="S23" s="15" t="e">
        <f>ROUND(P23,2)*Q23</f>
        <v>#DIV/0!</v>
      </c>
      <c r="T23" s="80" t="e">
        <f>Q23*dagenperjaar1</f>
        <v>#DIV/0!</v>
      </c>
      <c r="U23" s="16" t="e">
        <f>T23*ROUND(P23,2)</f>
        <v>#DIV/0!</v>
      </c>
    </row>
    <row r="24" spans="1:21" ht="27" x14ac:dyDescent="0.3">
      <c r="A24" s="77" t="s">
        <v>278</v>
      </c>
      <c r="B24" s="78" t="s">
        <v>279</v>
      </c>
      <c r="C24" s="78" t="s">
        <v>280</v>
      </c>
      <c r="D24" s="78" t="s">
        <v>322</v>
      </c>
      <c r="E24" s="79" t="s">
        <v>297</v>
      </c>
      <c r="F24" s="78" t="s">
        <v>321</v>
      </c>
      <c r="G24" s="78" t="s">
        <v>256</v>
      </c>
      <c r="H24" s="78" t="s">
        <v>11</v>
      </c>
      <c r="I24" s="78" t="s">
        <v>214</v>
      </c>
      <c r="J24" s="79" t="s">
        <v>257</v>
      </c>
      <c r="K24" s="80">
        <v>11.1</v>
      </c>
      <c r="L24" s="80">
        <f>K24*VLOOKUP(H24,dagsoorttabel1,2,FALSE)</f>
        <v>8.7058823529411757</v>
      </c>
      <c r="M24" s="81">
        <f>prodnorm33</f>
        <v>0</v>
      </c>
      <c r="N24" s="82">
        <f>dagwerk33</f>
        <v>0</v>
      </c>
      <c r="O24" s="78" t="s">
        <v>103</v>
      </c>
      <c r="P24" s="15">
        <f>uurtarief33</f>
        <v>0</v>
      </c>
      <c r="Q24" s="80" t="e">
        <f>IF(ISBLANK(M24),0,L24/ROUND(M24,4))</f>
        <v>#DIV/0!</v>
      </c>
      <c r="R24" s="80" t="e">
        <f>IF(ISBLANK(M24),0,Q24*ROUND(N24,2))</f>
        <v>#DIV/0!</v>
      </c>
      <c r="S24" s="15" t="e">
        <f>ROUND(P24,2)*Q24</f>
        <v>#DIV/0!</v>
      </c>
      <c r="T24" s="80" t="e">
        <f>Q24*dagenperjaar1</f>
        <v>#DIV/0!</v>
      </c>
      <c r="U24" s="16" t="e">
        <f>T24*ROUND(P24,2)</f>
        <v>#DIV/0!</v>
      </c>
    </row>
    <row r="25" spans="1:21" x14ac:dyDescent="0.3">
      <c r="A25" s="77" t="s">
        <v>278</v>
      </c>
      <c r="B25" s="78" t="s">
        <v>279</v>
      </c>
      <c r="C25" s="78" t="s">
        <v>280</v>
      </c>
      <c r="D25" s="78" t="s">
        <v>323</v>
      </c>
      <c r="E25" s="79" t="s">
        <v>312</v>
      </c>
      <c r="F25" s="78" t="s">
        <v>288</v>
      </c>
      <c r="G25" s="78" t="s">
        <v>300</v>
      </c>
      <c r="H25" s="78"/>
      <c r="I25" s="78"/>
      <c r="J25" s="78"/>
      <c r="K25" s="80">
        <v>11.1</v>
      </c>
      <c r="L25" s="80"/>
      <c r="M25" s="81"/>
      <c r="N25" s="82"/>
      <c r="O25" s="78"/>
      <c r="P25" s="15"/>
      <c r="Q25" s="80"/>
      <c r="R25" s="80"/>
      <c r="S25" s="15"/>
      <c r="T25" s="83"/>
      <c r="U25" s="16"/>
    </row>
    <row r="26" spans="1:21" x14ac:dyDescent="0.3">
      <c r="A26" s="77" t="s">
        <v>278</v>
      </c>
      <c r="B26" s="78" t="s">
        <v>279</v>
      </c>
      <c r="C26" s="78" t="s">
        <v>280</v>
      </c>
      <c r="D26" s="78" t="s">
        <v>324</v>
      </c>
      <c r="E26" s="79" t="s">
        <v>299</v>
      </c>
      <c r="F26" s="78" t="s">
        <v>288</v>
      </c>
      <c r="G26" s="78" t="s">
        <v>300</v>
      </c>
      <c r="H26" s="78"/>
      <c r="I26" s="78"/>
      <c r="J26" s="78"/>
      <c r="K26" s="80">
        <v>0</v>
      </c>
      <c r="L26" s="80"/>
      <c r="M26" s="81"/>
      <c r="N26" s="82"/>
      <c r="O26" s="78"/>
      <c r="P26" s="15"/>
      <c r="Q26" s="80"/>
      <c r="R26" s="80"/>
      <c r="S26" s="15"/>
      <c r="T26" s="83"/>
      <c r="U26" s="16"/>
    </row>
    <row r="27" spans="1:21" x14ac:dyDescent="0.3">
      <c r="A27" s="77" t="s">
        <v>278</v>
      </c>
      <c r="B27" s="78" t="s">
        <v>279</v>
      </c>
      <c r="C27" s="78" t="s">
        <v>280</v>
      </c>
      <c r="D27" s="78" t="s">
        <v>325</v>
      </c>
      <c r="E27" s="79" t="s">
        <v>302</v>
      </c>
      <c r="F27" s="78" t="s">
        <v>303</v>
      </c>
      <c r="G27" s="78" t="s">
        <v>250</v>
      </c>
      <c r="H27" s="78" t="s">
        <v>11</v>
      </c>
      <c r="I27" s="78" t="s">
        <v>214</v>
      </c>
      <c r="J27" s="79" t="s">
        <v>251</v>
      </c>
      <c r="K27" s="80">
        <v>12.3</v>
      </c>
      <c r="L27" s="80">
        <f t="shared" ref="L27:L46" si="6">K27*VLOOKUP(H27,dagsoorttabel1,2,FALSE)</f>
        <v>9.647058823529413</v>
      </c>
      <c r="M27" s="81">
        <f>prodnorm30</f>
        <v>0</v>
      </c>
      <c r="N27" s="82">
        <f>dagwerk30</f>
        <v>0</v>
      </c>
      <c r="O27" s="78" t="s">
        <v>103</v>
      </c>
      <c r="P27" s="15">
        <f>uurtarief30</f>
        <v>0</v>
      </c>
      <c r="Q27" s="80" t="e">
        <f t="shared" ref="Q27:Q46" si="7">IF(ISBLANK(M27),0,L27/ROUND(M27,4))</f>
        <v>#DIV/0!</v>
      </c>
      <c r="R27" s="80" t="e">
        <f t="shared" ref="R27:R46" si="8">IF(ISBLANK(M27),0,Q27*ROUND(N27,2))</f>
        <v>#DIV/0!</v>
      </c>
      <c r="S27" s="15" t="e">
        <f t="shared" ref="S27:S46" si="9">ROUND(P27,2)*Q27</f>
        <v>#DIV/0!</v>
      </c>
      <c r="T27" s="80" t="e">
        <f t="shared" ref="T27:T46" si="10">Q27*dagenperjaar1</f>
        <v>#DIV/0!</v>
      </c>
      <c r="U27" s="16" t="e">
        <f t="shared" ref="U27:U46" si="11">T27*ROUND(P27,2)</f>
        <v>#DIV/0!</v>
      </c>
    </row>
    <row r="28" spans="1:21" x14ac:dyDescent="0.3">
      <c r="A28" s="77" t="s">
        <v>278</v>
      </c>
      <c r="B28" s="78" t="s">
        <v>279</v>
      </c>
      <c r="C28" s="78" t="s">
        <v>280</v>
      </c>
      <c r="D28" s="78" t="s">
        <v>326</v>
      </c>
      <c r="E28" s="79" t="s">
        <v>327</v>
      </c>
      <c r="F28" s="78" t="s">
        <v>283</v>
      </c>
      <c r="G28" s="78" t="s">
        <v>216</v>
      </c>
      <c r="H28" s="78" t="s">
        <v>11</v>
      </c>
      <c r="I28" s="78" t="s">
        <v>214</v>
      </c>
      <c r="J28" s="79" t="s">
        <v>217</v>
      </c>
      <c r="K28" s="80">
        <v>12.3</v>
      </c>
      <c r="L28" s="80">
        <f t="shared" si="6"/>
        <v>9.647058823529413</v>
      </c>
      <c r="M28" s="81">
        <f>prodnorm6</f>
        <v>0</v>
      </c>
      <c r="N28" s="82">
        <f>dagwerk6</f>
        <v>0</v>
      </c>
      <c r="O28" s="78" t="s">
        <v>103</v>
      </c>
      <c r="P28" s="15">
        <f>uurtarief6</f>
        <v>0</v>
      </c>
      <c r="Q28" s="80" t="e">
        <f t="shared" si="7"/>
        <v>#DIV/0!</v>
      </c>
      <c r="R28" s="80" t="e">
        <f t="shared" si="8"/>
        <v>#DIV/0!</v>
      </c>
      <c r="S28" s="15" t="e">
        <f t="shared" si="9"/>
        <v>#DIV/0!</v>
      </c>
      <c r="T28" s="80" t="e">
        <f t="shared" si="10"/>
        <v>#DIV/0!</v>
      </c>
      <c r="U28" s="16" t="e">
        <f t="shared" si="11"/>
        <v>#DIV/0!</v>
      </c>
    </row>
    <row r="29" spans="1:21" x14ac:dyDescent="0.3">
      <c r="A29" s="77" t="s">
        <v>278</v>
      </c>
      <c r="B29" s="78" t="s">
        <v>279</v>
      </c>
      <c r="C29" s="78" t="s">
        <v>280</v>
      </c>
      <c r="D29" s="78" t="s">
        <v>328</v>
      </c>
      <c r="E29" s="79" t="s">
        <v>290</v>
      </c>
      <c r="F29" s="78" t="s">
        <v>283</v>
      </c>
      <c r="G29" s="78" t="s">
        <v>234</v>
      </c>
      <c r="H29" s="78" t="s">
        <v>11</v>
      </c>
      <c r="I29" s="78" t="s">
        <v>214</v>
      </c>
      <c r="J29" s="79" t="s">
        <v>235</v>
      </c>
      <c r="K29" s="80">
        <v>52.1</v>
      </c>
      <c r="L29" s="80">
        <f t="shared" si="6"/>
        <v>40.86274509803922</v>
      </c>
      <c r="M29" s="81">
        <f>prodnorm21</f>
        <v>0</v>
      </c>
      <c r="N29" s="82">
        <f>dagwerk21</f>
        <v>0</v>
      </c>
      <c r="O29" s="78" t="s">
        <v>103</v>
      </c>
      <c r="P29" s="15">
        <f>uurtarief21</f>
        <v>0</v>
      </c>
      <c r="Q29" s="80" t="e">
        <f t="shared" si="7"/>
        <v>#DIV/0!</v>
      </c>
      <c r="R29" s="80" t="e">
        <f t="shared" si="8"/>
        <v>#DIV/0!</v>
      </c>
      <c r="S29" s="15" t="e">
        <f t="shared" si="9"/>
        <v>#DIV/0!</v>
      </c>
      <c r="T29" s="80" t="e">
        <f t="shared" si="10"/>
        <v>#DIV/0!</v>
      </c>
      <c r="U29" s="16" t="e">
        <f t="shared" si="11"/>
        <v>#DIV/0!</v>
      </c>
    </row>
    <row r="30" spans="1:21" ht="27" x14ac:dyDescent="0.3">
      <c r="A30" s="77" t="s">
        <v>278</v>
      </c>
      <c r="B30" s="78" t="s">
        <v>279</v>
      </c>
      <c r="C30" s="78" t="s">
        <v>280</v>
      </c>
      <c r="D30" s="78" t="s">
        <v>329</v>
      </c>
      <c r="E30" s="79" t="s">
        <v>293</v>
      </c>
      <c r="F30" s="78" t="s">
        <v>283</v>
      </c>
      <c r="G30" s="78" t="s">
        <v>256</v>
      </c>
      <c r="H30" s="78" t="s">
        <v>11</v>
      </c>
      <c r="I30" s="78" t="s">
        <v>214</v>
      </c>
      <c r="J30" s="79" t="s">
        <v>257</v>
      </c>
      <c r="K30" s="80">
        <v>10.1</v>
      </c>
      <c r="L30" s="80">
        <f t="shared" si="6"/>
        <v>7.9215686274509798</v>
      </c>
      <c r="M30" s="81">
        <f>prodnorm33</f>
        <v>0</v>
      </c>
      <c r="N30" s="82">
        <f>dagwerk33</f>
        <v>0</v>
      </c>
      <c r="O30" s="78" t="s">
        <v>103</v>
      </c>
      <c r="P30" s="15">
        <f>uurtarief33</f>
        <v>0</v>
      </c>
      <c r="Q30" s="80" t="e">
        <f t="shared" si="7"/>
        <v>#DIV/0!</v>
      </c>
      <c r="R30" s="80" t="e">
        <f t="shared" si="8"/>
        <v>#DIV/0!</v>
      </c>
      <c r="S30" s="15" t="e">
        <f t="shared" si="9"/>
        <v>#DIV/0!</v>
      </c>
      <c r="T30" s="80" t="e">
        <f t="shared" si="10"/>
        <v>#DIV/0!</v>
      </c>
      <c r="U30" s="16" t="e">
        <f t="shared" si="11"/>
        <v>#DIV/0!</v>
      </c>
    </row>
    <row r="31" spans="1:21" x14ac:dyDescent="0.3">
      <c r="A31" s="77" t="s">
        <v>278</v>
      </c>
      <c r="B31" s="78" t="s">
        <v>279</v>
      </c>
      <c r="C31" s="78" t="s">
        <v>280</v>
      </c>
      <c r="D31" s="78" t="s">
        <v>330</v>
      </c>
      <c r="E31" s="79" t="s">
        <v>331</v>
      </c>
      <c r="F31" s="78" t="s">
        <v>283</v>
      </c>
      <c r="G31" s="78" t="s">
        <v>216</v>
      </c>
      <c r="H31" s="78" t="s">
        <v>11</v>
      </c>
      <c r="I31" s="78" t="s">
        <v>214</v>
      </c>
      <c r="J31" s="79" t="s">
        <v>217</v>
      </c>
      <c r="K31" s="80">
        <v>153.69999999999999</v>
      </c>
      <c r="L31" s="80">
        <f t="shared" si="6"/>
        <v>120.54901960784312</v>
      </c>
      <c r="M31" s="81">
        <f>prodnorm6</f>
        <v>0</v>
      </c>
      <c r="N31" s="82">
        <f>dagwerk6</f>
        <v>0</v>
      </c>
      <c r="O31" s="78" t="s">
        <v>103</v>
      </c>
      <c r="P31" s="15">
        <f>uurtarief6</f>
        <v>0</v>
      </c>
      <c r="Q31" s="80" t="e">
        <f t="shared" si="7"/>
        <v>#DIV/0!</v>
      </c>
      <c r="R31" s="80" t="e">
        <f t="shared" si="8"/>
        <v>#DIV/0!</v>
      </c>
      <c r="S31" s="15" t="e">
        <f t="shared" si="9"/>
        <v>#DIV/0!</v>
      </c>
      <c r="T31" s="80" t="e">
        <f t="shared" si="10"/>
        <v>#DIV/0!</v>
      </c>
      <c r="U31" s="16" t="e">
        <f t="shared" si="11"/>
        <v>#DIV/0!</v>
      </c>
    </row>
    <row r="32" spans="1:21" x14ac:dyDescent="0.3">
      <c r="A32" s="77" t="s">
        <v>278</v>
      </c>
      <c r="B32" s="78" t="s">
        <v>279</v>
      </c>
      <c r="C32" s="78" t="s">
        <v>280</v>
      </c>
      <c r="D32" s="78" t="s">
        <v>332</v>
      </c>
      <c r="E32" s="79" t="s">
        <v>333</v>
      </c>
      <c r="F32" s="78" t="s">
        <v>283</v>
      </c>
      <c r="G32" s="78" t="s">
        <v>240</v>
      </c>
      <c r="H32" s="78" t="s">
        <v>11</v>
      </c>
      <c r="I32" s="78" t="s">
        <v>214</v>
      </c>
      <c r="J32" s="79" t="s">
        <v>241</v>
      </c>
      <c r="K32" s="80">
        <v>46.5</v>
      </c>
      <c r="L32" s="80">
        <f t="shared" si="6"/>
        <v>36.470588235294116</v>
      </c>
      <c r="M32" s="81">
        <f>prodnorm25</f>
        <v>0</v>
      </c>
      <c r="N32" s="82">
        <f>dagwerk25</f>
        <v>0</v>
      </c>
      <c r="O32" s="78" t="s">
        <v>103</v>
      </c>
      <c r="P32" s="15">
        <f>uurtarief25</f>
        <v>0</v>
      </c>
      <c r="Q32" s="80" t="e">
        <f t="shared" si="7"/>
        <v>#DIV/0!</v>
      </c>
      <c r="R32" s="80" t="e">
        <f t="shared" si="8"/>
        <v>#DIV/0!</v>
      </c>
      <c r="S32" s="15" t="e">
        <f t="shared" si="9"/>
        <v>#DIV/0!</v>
      </c>
      <c r="T32" s="80" t="e">
        <f t="shared" si="10"/>
        <v>#DIV/0!</v>
      </c>
      <c r="U32" s="16" t="e">
        <f t="shared" si="11"/>
        <v>#DIV/0!</v>
      </c>
    </row>
    <row r="33" spans="1:21" x14ac:dyDescent="0.3">
      <c r="A33" s="77" t="s">
        <v>278</v>
      </c>
      <c r="B33" s="78" t="s">
        <v>279</v>
      </c>
      <c r="C33" s="78" t="s">
        <v>280</v>
      </c>
      <c r="D33" s="78" t="s">
        <v>334</v>
      </c>
      <c r="E33" s="79" t="s">
        <v>335</v>
      </c>
      <c r="F33" s="78" t="s">
        <v>283</v>
      </c>
      <c r="G33" s="78" t="s">
        <v>216</v>
      </c>
      <c r="H33" s="78" t="s">
        <v>11</v>
      </c>
      <c r="I33" s="78" t="s">
        <v>214</v>
      </c>
      <c r="J33" s="79" t="s">
        <v>217</v>
      </c>
      <c r="K33" s="80">
        <v>24.1</v>
      </c>
      <c r="L33" s="80">
        <f t="shared" si="6"/>
        <v>18.901960784313726</v>
      </c>
      <c r="M33" s="81">
        <f>prodnorm6</f>
        <v>0</v>
      </c>
      <c r="N33" s="82">
        <f>dagwerk6</f>
        <v>0</v>
      </c>
      <c r="O33" s="78" t="s">
        <v>103</v>
      </c>
      <c r="P33" s="15">
        <f>uurtarief6</f>
        <v>0</v>
      </c>
      <c r="Q33" s="80" t="e">
        <f t="shared" si="7"/>
        <v>#DIV/0!</v>
      </c>
      <c r="R33" s="80" t="e">
        <f t="shared" si="8"/>
        <v>#DIV/0!</v>
      </c>
      <c r="S33" s="15" t="e">
        <f t="shared" si="9"/>
        <v>#DIV/0!</v>
      </c>
      <c r="T33" s="80" t="e">
        <f t="shared" si="10"/>
        <v>#DIV/0!</v>
      </c>
      <c r="U33" s="16" t="e">
        <f t="shared" si="11"/>
        <v>#DIV/0!</v>
      </c>
    </row>
    <row r="34" spans="1:21" x14ac:dyDescent="0.3">
      <c r="A34" s="77" t="s">
        <v>278</v>
      </c>
      <c r="B34" s="78" t="s">
        <v>279</v>
      </c>
      <c r="C34" s="78" t="s">
        <v>280</v>
      </c>
      <c r="D34" s="78" t="s">
        <v>336</v>
      </c>
      <c r="E34" s="79" t="s">
        <v>290</v>
      </c>
      <c r="F34" s="78" t="s">
        <v>283</v>
      </c>
      <c r="G34" s="78" t="s">
        <v>234</v>
      </c>
      <c r="H34" s="78" t="s">
        <v>11</v>
      </c>
      <c r="I34" s="78" t="s">
        <v>214</v>
      </c>
      <c r="J34" s="79" t="s">
        <v>235</v>
      </c>
      <c r="K34" s="80">
        <v>52.6</v>
      </c>
      <c r="L34" s="80">
        <f t="shared" si="6"/>
        <v>41.254901960784316</v>
      </c>
      <c r="M34" s="81">
        <f>prodnorm21</f>
        <v>0</v>
      </c>
      <c r="N34" s="82">
        <f>dagwerk21</f>
        <v>0</v>
      </c>
      <c r="O34" s="78" t="s">
        <v>103</v>
      </c>
      <c r="P34" s="15">
        <f>uurtarief21</f>
        <v>0</v>
      </c>
      <c r="Q34" s="80" t="e">
        <f t="shared" si="7"/>
        <v>#DIV/0!</v>
      </c>
      <c r="R34" s="80" t="e">
        <f t="shared" si="8"/>
        <v>#DIV/0!</v>
      </c>
      <c r="S34" s="15" t="e">
        <f t="shared" si="9"/>
        <v>#DIV/0!</v>
      </c>
      <c r="T34" s="80" t="e">
        <f t="shared" si="10"/>
        <v>#DIV/0!</v>
      </c>
      <c r="U34" s="16" t="e">
        <f t="shared" si="11"/>
        <v>#DIV/0!</v>
      </c>
    </row>
    <row r="35" spans="1:21" x14ac:dyDescent="0.3">
      <c r="A35" s="77" t="s">
        <v>278</v>
      </c>
      <c r="B35" s="78" t="s">
        <v>279</v>
      </c>
      <c r="C35" s="78" t="s">
        <v>280</v>
      </c>
      <c r="D35" s="78" t="s">
        <v>337</v>
      </c>
      <c r="E35" s="79" t="s">
        <v>287</v>
      </c>
      <c r="F35" s="78" t="s">
        <v>288</v>
      </c>
      <c r="G35" s="78" t="s">
        <v>252</v>
      </c>
      <c r="H35" s="78" t="s">
        <v>11</v>
      </c>
      <c r="I35" s="78" t="s">
        <v>214</v>
      </c>
      <c r="J35" s="79" t="s">
        <v>253</v>
      </c>
      <c r="K35" s="80">
        <v>10</v>
      </c>
      <c r="L35" s="80">
        <f t="shared" si="6"/>
        <v>7.8431372549019605</v>
      </c>
      <c r="M35" s="81">
        <f>prodnorm31</f>
        <v>0</v>
      </c>
      <c r="N35" s="82">
        <f>dagwerk31</f>
        <v>0</v>
      </c>
      <c r="O35" s="78" t="s">
        <v>103</v>
      </c>
      <c r="P35" s="15">
        <f>uurtarief31</f>
        <v>0</v>
      </c>
      <c r="Q35" s="80" t="e">
        <f t="shared" si="7"/>
        <v>#DIV/0!</v>
      </c>
      <c r="R35" s="80" t="e">
        <f t="shared" si="8"/>
        <v>#DIV/0!</v>
      </c>
      <c r="S35" s="15" t="e">
        <f t="shared" si="9"/>
        <v>#DIV/0!</v>
      </c>
      <c r="T35" s="80" t="e">
        <f t="shared" si="10"/>
        <v>#DIV/0!</v>
      </c>
      <c r="U35" s="16" t="e">
        <f t="shared" si="11"/>
        <v>#DIV/0!</v>
      </c>
    </row>
    <row r="36" spans="1:21" ht="27" x14ac:dyDescent="0.3">
      <c r="A36" s="77" t="s">
        <v>278</v>
      </c>
      <c r="B36" s="78" t="s">
        <v>279</v>
      </c>
      <c r="C36" s="78" t="s">
        <v>280</v>
      </c>
      <c r="D36" s="78" t="s">
        <v>337</v>
      </c>
      <c r="E36" s="79" t="s">
        <v>293</v>
      </c>
      <c r="F36" s="78" t="s">
        <v>283</v>
      </c>
      <c r="G36" s="78" t="s">
        <v>256</v>
      </c>
      <c r="H36" s="78" t="s">
        <v>11</v>
      </c>
      <c r="I36" s="78" t="s">
        <v>214</v>
      </c>
      <c r="J36" s="79" t="s">
        <v>257</v>
      </c>
      <c r="K36" s="80">
        <v>15.9</v>
      </c>
      <c r="L36" s="80">
        <f t="shared" si="6"/>
        <v>12.470588235294118</v>
      </c>
      <c r="M36" s="81">
        <f>prodnorm33</f>
        <v>0</v>
      </c>
      <c r="N36" s="82">
        <f>dagwerk33</f>
        <v>0</v>
      </c>
      <c r="O36" s="78" t="s">
        <v>103</v>
      </c>
      <c r="P36" s="15">
        <f>uurtarief33</f>
        <v>0</v>
      </c>
      <c r="Q36" s="80" t="e">
        <f t="shared" si="7"/>
        <v>#DIV/0!</v>
      </c>
      <c r="R36" s="80" t="e">
        <f t="shared" si="8"/>
        <v>#DIV/0!</v>
      </c>
      <c r="S36" s="15" t="e">
        <f t="shared" si="9"/>
        <v>#DIV/0!</v>
      </c>
      <c r="T36" s="80" t="e">
        <f t="shared" si="10"/>
        <v>#DIV/0!</v>
      </c>
      <c r="U36" s="16" t="e">
        <f t="shared" si="11"/>
        <v>#DIV/0!</v>
      </c>
    </row>
    <row r="37" spans="1:21" x14ac:dyDescent="0.3">
      <c r="A37" s="77" t="s">
        <v>278</v>
      </c>
      <c r="B37" s="78" t="s">
        <v>279</v>
      </c>
      <c r="C37" s="78" t="s">
        <v>338</v>
      </c>
      <c r="D37" s="78" t="s">
        <v>339</v>
      </c>
      <c r="E37" s="79" t="s">
        <v>290</v>
      </c>
      <c r="F37" s="78" t="s">
        <v>283</v>
      </c>
      <c r="G37" s="78" t="s">
        <v>234</v>
      </c>
      <c r="H37" s="78" t="s">
        <v>11</v>
      </c>
      <c r="I37" s="78" t="s">
        <v>214</v>
      </c>
      <c r="J37" s="79" t="s">
        <v>235</v>
      </c>
      <c r="K37" s="80">
        <v>52.6</v>
      </c>
      <c r="L37" s="80">
        <f t="shared" si="6"/>
        <v>41.254901960784316</v>
      </c>
      <c r="M37" s="81">
        <f>prodnorm21</f>
        <v>0</v>
      </c>
      <c r="N37" s="82">
        <f>dagwerk21</f>
        <v>0</v>
      </c>
      <c r="O37" s="78" t="s">
        <v>103</v>
      </c>
      <c r="P37" s="15">
        <f>uurtarief21</f>
        <v>0</v>
      </c>
      <c r="Q37" s="80" t="e">
        <f t="shared" si="7"/>
        <v>#DIV/0!</v>
      </c>
      <c r="R37" s="80" t="e">
        <f t="shared" si="8"/>
        <v>#DIV/0!</v>
      </c>
      <c r="S37" s="15" t="e">
        <f t="shared" si="9"/>
        <v>#DIV/0!</v>
      </c>
      <c r="T37" s="80" t="e">
        <f t="shared" si="10"/>
        <v>#DIV/0!</v>
      </c>
      <c r="U37" s="16" t="e">
        <f t="shared" si="11"/>
        <v>#DIV/0!</v>
      </c>
    </row>
    <row r="38" spans="1:21" x14ac:dyDescent="0.3">
      <c r="A38" s="77" t="s">
        <v>278</v>
      </c>
      <c r="B38" s="78" t="s">
        <v>279</v>
      </c>
      <c r="C38" s="78" t="s">
        <v>338</v>
      </c>
      <c r="D38" s="78" t="s">
        <v>340</v>
      </c>
      <c r="E38" s="79" t="s">
        <v>290</v>
      </c>
      <c r="F38" s="78" t="s">
        <v>283</v>
      </c>
      <c r="G38" s="78" t="s">
        <v>234</v>
      </c>
      <c r="H38" s="78" t="s">
        <v>11</v>
      </c>
      <c r="I38" s="78" t="s">
        <v>214</v>
      </c>
      <c r="J38" s="79" t="s">
        <v>235</v>
      </c>
      <c r="K38" s="80">
        <v>51.7</v>
      </c>
      <c r="L38" s="80">
        <f t="shared" si="6"/>
        <v>40.549019607843142</v>
      </c>
      <c r="M38" s="81">
        <f>prodnorm21</f>
        <v>0</v>
      </c>
      <c r="N38" s="82">
        <f>dagwerk21</f>
        <v>0</v>
      </c>
      <c r="O38" s="78" t="s">
        <v>103</v>
      </c>
      <c r="P38" s="15">
        <f>uurtarief21</f>
        <v>0</v>
      </c>
      <c r="Q38" s="80" t="e">
        <f t="shared" si="7"/>
        <v>#DIV/0!</v>
      </c>
      <c r="R38" s="80" t="e">
        <f t="shared" si="8"/>
        <v>#DIV/0!</v>
      </c>
      <c r="S38" s="15" t="e">
        <f t="shared" si="9"/>
        <v>#DIV/0!</v>
      </c>
      <c r="T38" s="80" t="e">
        <f t="shared" si="10"/>
        <v>#DIV/0!</v>
      </c>
      <c r="U38" s="16" t="e">
        <f t="shared" si="11"/>
        <v>#DIV/0!</v>
      </c>
    </row>
    <row r="39" spans="1:21" ht="27" x14ac:dyDescent="0.3">
      <c r="A39" s="77" t="s">
        <v>278</v>
      </c>
      <c r="B39" s="78" t="s">
        <v>279</v>
      </c>
      <c r="C39" s="78" t="s">
        <v>338</v>
      </c>
      <c r="D39" s="78" t="s">
        <v>341</v>
      </c>
      <c r="E39" s="79" t="s">
        <v>293</v>
      </c>
      <c r="F39" s="78" t="s">
        <v>283</v>
      </c>
      <c r="G39" s="78" t="s">
        <v>256</v>
      </c>
      <c r="H39" s="78" t="s">
        <v>11</v>
      </c>
      <c r="I39" s="78" t="s">
        <v>214</v>
      </c>
      <c r="J39" s="79" t="s">
        <v>257</v>
      </c>
      <c r="K39" s="80">
        <v>16.2</v>
      </c>
      <c r="L39" s="80">
        <f t="shared" si="6"/>
        <v>12.705882352941176</v>
      </c>
      <c r="M39" s="81">
        <f>prodnorm33</f>
        <v>0</v>
      </c>
      <c r="N39" s="82">
        <f>dagwerk33</f>
        <v>0</v>
      </c>
      <c r="O39" s="78" t="s">
        <v>103</v>
      </c>
      <c r="P39" s="15">
        <f>uurtarief33</f>
        <v>0</v>
      </c>
      <c r="Q39" s="80" t="e">
        <f t="shared" si="7"/>
        <v>#DIV/0!</v>
      </c>
      <c r="R39" s="80" t="e">
        <f t="shared" si="8"/>
        <v>#DIV/0!</v>
      </c>
      <c r="S39" s="15" t="e">
        <f t="shared" si="9"/>
        <v>#DIV/0!</v>
      </c>
      <c r="T39" s="80" t="e">
        <f t="shared" si="10"/>
        <v>#DIV/0!</v>
      </c>
      <c r="U39" s="16" t="e">
        <f t="shared" si="11"/>
        <v>#DIV/0!</v>
      </c>
    </row>
    <row r="40" spans="1:21" x14ac:dyDescent="0.3">
      <c r="A40" s="77" t="s">
        <v>278</v>
      </c>
      <c r="B40" s="78" t="s">
        <v>279</v>
      </c>
      <c r="C40" s="78" t="s">
        <v>338</v>
      </c>
      <c r="D40" s="78" t="s">
        <v>342</v>
      </c>
      <c r="E40" s="79" t="s">
        <v>343</v>
      </c>
      <c r="F40" s="78" t="s">
        <v>283</v>
      </c>
      <c r="G40" s="78" t="s">
        <v>248</v>
      </c>
      <c r="H40" s="78" t="s">
        <v>11</v>
      </c>
      <c r="I40" s="78" t="s">
        <v>214</v>
      </c>
      <c r="J40" s="79" t="s">
        <v>249</v>
      </c>
      <c r="K40" s="80">
        <v>116.8</v>
      </c>
      <c r="L40" s="80">
        <f t="shared" si="6"/>
        <v>91.607843137254903</v>
      </c>
      <c r="M40" s="81">
        <f>prodnorm29</f>
        <v>0</v>
      </c>
      <c r="N40" s="82">
        <f>dagwerk29</f>
        <v>0</v>
      </c>
      <c r="O40" s="78" t="s">
        <v>103</v>
      </c>
      <c r="P40" s="15">
        <f>uurtarief29</f>
        <v>0</v>
      </c>
      <c r="Q40" s="80" t="e">
        <f t="shared" si="7"/>
        <v>#DIV/0!</v>
      </c>
      <c r="R40" s="80" t="e">
        <f t="shared" si="8"/>
        <v>#DIV/0!</v>
      </c>
      <c r="S40" s="15" t="e">
        <f t="shared" si="9"/>
        <v>#DIV/0!</v>
      </c>
      <c r="T40" s="80" t="e">
        <f t="shared" si="10"/>
        <v>#DIV/0!</v>
      </c>
      <c r="U40" s="16" t="e">
        <f t="shared" si="11"/>
        <v>#DIV/0!</v>
      </c>
    </row>
    <row r="41" spans="1:21" x14ac:dyDescent="0.3">
      <c r="A41" s="77" t="s">
        <v>278</v>
      </c>
      <c r="B41" s="78" t="s">
        <v>279</v>
      </c>
      <c r="C41" s="78" t="s">
        <v>338</v>
      </c>
      <c r="D41" s="78" t="s">
        <v>344</v>
      </c>
      <c r="E41" s="79" t="s">
        <v>290</v>
      </c>
      <c r="F41" s="78" t="s">
        <v>283</v>
      </c>
      <c r="G41" s="78" t="s">
        <v>234</v>
      </c>
      <c r="H41" s="78" t="s">
        <v>11</v>
      </c>
      <c r="I41" s="78" t="s">
        <v>214</v>
      </c>
      <c r="J41" s="79" t="s">
        <v>235</v>
      </c>
      <c r="K41" s="80">
        <v>52.4</v>
      </c>
      <c r="L41" s="80">
        <f t="shared" si="6"/>
        <v>41.098039215686271</v>
      </c>
      <c r="M41" s="81">
        <f>prodnorm21</f>
        <v>0</v>
      </c>
      <c r="N41" s="82">
        <f>dagwerk21</f>
        <v>0</v>
      </c>
      <c r="O41" s="78" t="s">
        <v>103</v>
      </c>
      <c r="P41" s="15">
        <f>uurtarief21</f>
        <v>0</v>
      </c>
      <c r="Q41" s="80" t="e">
        <f t="shared" si="7"/>
        <v>#DIV/0!</v>
      </c>
      <c r="R41" s="80" t="e">
        <f t="shared" si="8"/>
        <v>#DIV/0!</v>
      </c>
      <c r="S41" s="15" t="e">
        <f t="shared" si="9"/>
        <v>#DIV/0!</v>
      </c>
      <c r="T41" s="80" t="e">
        <f t="shared" si="10"/>
        <v>#DIV/0!</v>
      </c>
      <c r="U41" s="16" t="e">
        <f t="shared" si="11"/>
        <v>#DIV/0!</v>
      </c>
    </row>
    <row r="42" spans="1:21" x14ac:dyDescent="0.3">
      <c r="A42" s="77" t="s">
        <v>278</v>
      </c>
      <c r="B42" s="78" t="s">
        <v>279</v>
      </c>
      <c r="C42" s="78" t="s">
        <v>338</v>
      </c>
      <c r="D42" s="78" t="s">
        <v>345</v>
      </c>
      <c r="E42" s="79" t="s">
        <v>290</v>
      </c>
      <c r="F42" s="78" t="s">
        <v>283</v>
      </c>
      <c r="G42" s="78" t="s">
        <v>234</v>
      </c>
      <c r="H42" s="78" t="s">
        <v>11</v>
      </c>
      <c r="I42" s="78" t="s">
        <v>214</v>
      </c>
      <c r="J42" s="79" t="s">
        <v>235</v>
      </c>
      <c r="K42" s="80">
        <v>51.8</v>
      </c>
      <c r="L42" s="80">
        <f t="shared" si="6"/>
        <v>40.627450980392155</v>
      </c>
      <c r="M42" s="81">
        <f>prodnorm21</f>
        <v>0</v>
      </c>
      <c r="N42" s="82">
        <f>dagwerk21</f>
        <v>0</v>
      </c>
      <c r="O42" s="78" t="s">
        <v>103</v>
      </c>
      <c r="P42" s="15">
        <f>uurtarief21</f>
        <v>0</v>
      </c>
      <c r="Q42" s="80" t="e">
        <f t="shared" si="7"/>
        <v>#DIV/0!</v>
      </c>
      <c r="R42" s="80" t="e">
        <f t="shared" si="8"/>
        <v>#DIV/0!</v>
      </c>
      <c r="S42" s="15" t="e">
        <f t="shared" si="9"/>
        <v>#DIV/0!</v>
      </c>
      <c r="T42" s="80" t="e">
        <f t="shared" si="10"/>
        <v>#DIV/0!</v>
      </c>
      <c r="U42" s="16" t="e">
        <f t="shared" si="11"/>
        <v>#DIV/0!</v>
      </c>
    </row>
    <row r="43" spans="1:21" ht="27" x14ac:dyDescent="0.3">
      <c r="A43" s="77" t="s">
        <v>278</v>
      </c>
      <c r="B43" s="78" t="s">
        <v>279</v>
      </c>
      <c r="C43" s="78" t="s">
        <v>338</v>
      </c>
      <c r="D43" s="78" t="s">
        <v>346</v>
      </c>
      <c r="E43" s="79" t="s">
        <v>293</v>
      </c>
      <c r="F43" s="78" t="s">
        <v>283</v>
      </c>
      <c r="G43" s="78" t="s">
        <v>256</v>
      </c>
      <c r="H43" s="78" t="s">
        <v>11</v>
      </c>
      <c r="I43" s="78" t="s">
        <v>214</v>
      </c>
      <c r="J43" s="79" t="s">
        <v>257</v>
      </c>
      <c r="K43" s="80">
        <v>15.2</v>
      </c>
      <c r="L43" s="80">
        <f t="shared" si="6"/>
        <v>11.921568627450979</v>
      </c>
      <c r="M43" s="81">
        <f>prodnorm33</f>
        <v>0</v>
      </c>
      <c r="N43" s="82">
        <f>dagwerk33</f>
        <v>0</v>
      </c>
      <c r="O43" s="78" t="s">
        <v>103</v>
      </c>
      <c r="P43" s="15">
        <f>uurtarief33</f>
        <v>0</v>
      </c>
      <c r="Q43" s="80" t="e">
        <f t="shared" si="7"/>
        <v>#DIV/0!</v>
      </c>
      <c r="R43" s="80" t="e">
        <f t="shared" si="8"/>
        <v>#DIV/0!</v>
      </c>
      <c r="S43" s="15" t="e">
        <f t="shared" si="9"/>
        <v>#DIV/0!</v>
      </c>
      <c r="T43" s="80" t="e">
        <f t="shared" si="10"/>
        <v>#DIV/0!</v>
      </c>
      <c r="U43" s="16" t="e">
        <f t="shared" si="11"/>
        <v>#DIV/0!</v>
      </c>
    </row>
    <row r="44" spans="1:21" x14ac:dyDescent="0.3">
      <c r="A44" s="77" t="s">
        <v>278</v>
      </c>
      <c r="B44" s="78" t="s">
        <v>279</v>
      </c>
      <c r="C44" s="78" t="s">
        <v>338</v>
      </c>
      <c r="D44" s="78" t="s">
        <v>347</v>
      </c>
      <c r="E44" s="79" t="s">
        <v>335</v>
      </c>
      <c r="F44" s="78" t="s">
        <v>283</v>
      </c>
      <c r="G44" s="78" t="s">
        <v>216</v>
      </c>
      <c r="H44" s="78" t="s">
        <v>11</v>
      </c>
      <c r="I44" s="78" t="s">
        <v>214</v>
      </c>
      <c r="J44" s="79" t="s">
        <v>217</v>
      </c>
      <c r="K44" s="80">
        <v>12.2</v>
      </c>
      <c r="L44" s="80">
        <f t="shared" si="6"/>
        <v>9.5686274509803919</v>
      </c>
      <c r="M44" s="81">
        <f>prodnorm6</f>
        <v>0</v>
      </c>
      <c r="N44" s="82">
        <f>dagwerk6</f>
        <v>0</v>
      </c>
      <c r="O44" s="78" t="s">
        <v>103</v>
      </c>
      <c r="P44" s="15">
        <f>uurtarief6</f>
        <v>0</v>
      </c>
      <c r="Q44" s="80" t="e">
        <f t="shared" si="7"/>
        <v>#DIV/0!</v>
      </c>
      <c r="R44" s="80" t="e">
        <f t="shared" si="8"/>
        <v>#DIV/0!</v>
      </c>
      <c r="S44" s="15" t="e">
        <f t="shared" si="9"/>
        <v>#DIV/0!</v>
      </c>
      <c r="T44" s="80" t="e">
        <f t="shared" si="10"/>
        <v>#DIV/0!</v>
      </c>
      <c r="U44" s="16" t="e">
        <f t="shared" si="11"/>
        <v>#DIV/0!</v>
      </c>
    </row>
    <row r="45" spans="1:21" x14ac:dyDescent="0.3">
      <c r="A45" s="77" t="s">
        <v>278</v>
      </c>
      <c r="B45" s="78" t="s">
        <v>279</v>
      </c>
      <c r="C45" s="78" t="s">
        <v>338</v>
      </c>
      <c r="D45" s="78" t="s">
        <v>348</v>
      </c>
      <c r="E45" s="79" t="s">
        <v>302</v>
      </c>
      <c r="F45" s="78" t="s">
        <v>303</v>
      </c>
      <c r="G45" s="78" t="s">
        <v>250</v>
      </c>
      <c r="H45" s="78" t="s">
        <v>11</v>
      </c>
      <c r="I45" s="78" t="s">
        <v>214</v>
      </c>
      <c r="J45" s="79" t="s">
        <v>251</v>
      </c>
      <c r="K45" s="80">
        <v>12.1</v>
      </c>
      <c r="L45" s="80">
        <f t="shared" si="6"/>
        <v>9.4901960784313726</v>
      </c>
      <c r="M45" s="81">
        <f>prodnorm30</f>
        <v>0</v>
      </c>
      <c r="N45" s="82">
        <f>dagwerk30</f>
        <v>0</v>
      </c>
      <c r="O45" s="78" t="s">
        <v>103</v>
      </c>
      <c r="P45" s="15">
        <f>uurtarief30</f>
        <v>0</v>
      </c>
      <c r="Q45" s="80" t="e">
        <f t="shared" si="7"/>
        <v>#DIV/0!</v>
      </c>
      <c r="R45" s="80" t="e">
        <f t="shared" si="8"/>
        <v>#DIV/0!</v>
      </c>
      <c r="S45" s="15" t="e">
        <f t="shared" si="9"/>
        <v>#DIV/0!</v>
      </c>
      <c r="T45" s="80" t="e">
        <f t="shared" si="10"/>
        <v>#DIV/0!</v>
      </c>
      <c r="U45" s="16" t="e">
        <f t="shared" si="11"/>
        <v>#DIV/0!</v>
      </c>
    </row>
    <row r="46" spans="1:21" ht="27" x14ac:dyDescent="0.3">
      <c r="A46" s="77" t="s">
        <v>278</v>
      </c>
      <c r="B46" s="78" t="s">
        <v>279</v>
      </c>
      <c r="C46" s="78" t="s">
        <v>338</v>
      </c>
      <c r="D46" s="78" t="s">
        <v>349</v>
      </c>
      <c r="E46" s="79" t="s">
        <v>297</v>
      </c>
      <c r="F46" s="78" t="s">
        <v>283</v>
      </c>
      <c r="G46" s="78" t="s">
        <v>256</v>
      </c>
      <c r="H46" s="78" t="s">
        <v>11</v>
      </c>
      <c r="I46" s="78" t="s">
        <v>214</v>
      </c>
      <c r="J46" s="79" t="s">
        <v>257</v>
      </c>
      <c r="K46" s="80">
        <v>31.5</v>
      </c>
      <c r="L46" s="80">
        <f t="shared" si="6"/>
        <v>24.705882352941178</v>
      </c>
      <c r="M46" s="81">
        <f>prodnorm33</f>
        <v>0</v>
      </c>
      <c r="N46" s="82">
        <f>dagwerk33</f>
        <v>0</v>
      </c>
      <c r="O46" s="78" t="s">
        <v>103</v>
      </c>
      <c r="P46" s="15">
        <f>uurtarief33</f>
        <v>0</v>
      </c>
      <c r="Q46" s="80" t="e">
        <f t="shared" si="7"/>
        <v>#DIV/0!</v>
      </c>
      <c r="R46" s="80" t="e">
        <f t="shared" si="8"/>
        <v>#DIV/0!</v>
      </c>
      <c r="S46" s="15" t="e">
        <f t="shared" si="9"/>
        <v>#DIV/0!</v>
      </c>
      <c r="T46" s="80" t="e">
        <f t="shared" si="10"/>
        <v>#DIV/0!</v>
      </c>
      <c r="U46" s="16" t="e">
        <f t="shared" si="11"/>
        <v>#DIV/0!</v>
      </c>
    </row>
    <row r="47" spans="1:21" x14ac:dyDescent="0.3">
      <c r="A47" s="77" t="s">
        <v>278</v>
      </c>
      <c r="B47" s="78" t="s">
        <v>279</v>
      </c>
      <c r="C47" s="78" t="s">
        <v>338</v>
      </c>
      <c r="D47" s="78" t="s">
        <v>350</v>
      </c>
      <c r="E47" s="79" t="s">
        <v>299</v>
      </c>
      <c r="F47" s="78" t="s">
        <v>288</v>
      </c>
      <c r="G47" s="78" t="s">
        <v>300</v>
      </c>
      <c r="H47" s="78"/>
      <c r="I47" s="78"/>
      <c r="J47" s="78"/>
      <c r="K47" s="80">
        <v>0</v>
      </c>
      <c r="L47" s="80"/>
      <c r="M47" s="81"/>
      <c r="N47" s="82"/>
      <c r="O47" s="78"/>
      <c r="P47" s="15"/>
      <c r="Q47" s="80"/>
      <c r="R47" s="80"/>
      <c r="S47" s="15"/>
      <c r="T47" s="83"/>
      <c r="U47" s="16"/>
    </row>
    <row r="48" spans="1:21" x14ac:dyDescent="0.3">
      <c r="A48" s="77" t="s">
        <v>278</v>
      </c>
      <c r="B48" s="78" t="s">
        <v>279</v>
      </c>
      <c r="C48" s="78" t="s">
        <v>338</v>
      </c>
      <c r="D48" s="78" t="s">
        <v>351</v>
      </c>
      <c r="E48" s="79" t="s">
        <v>333</v>
      </c>
      <c r="F48" s="78" t="s">
        <v>283</v>
      </c>
      <c r="G48" s="78" t="s">
        <v>240</v>
      </c>
      <c r="H48" s="78" t="s">
        <v>11</v>
      </c>
      <c r="I48" s="78" t="s">
        <v>214</v>
      </c>
      <c r="J48" s="79" t="s">
        <v>241</v>
      </c>
      <c r="K48" s="80">
        <v>198</v>
      </c>
      <c r="L48" s="80">
        <f>K48*VLOOKUP(H48,dagsoorttabel1,2,FALSE)</f>
        <v>155.29411764705881</v>
      </c>
      <c r="M48" s="81">
        <f>prodnorm25</f>
        <v>0</v>
      </c>
      <c r="N48" s="82">
        <f>dagwerk25</f>
        <v>0</v>
      </c>
      <c r="O48" s="78" t="s">
        <v>103</v>
      </c>
      <c r="P48" s="15">
        <f>uurtarief25</f>
        <v>0</v>
      </c>
      <c r="Q48" s="80" t="e">
        <f>IF(ISBLANK(M48),0,L48/ROUND(M48,4))</f>
        <v>#DIV/0!</v>
      </c>
      <c r="R48" s="80" t="e">
        <f>IF(ISBLANK(M48),0,Q48*ROUND(N48,2))</f>
        <v>#DIV/0!</v>
      </c>
      <c r="S48" s="15" t="e">
        <f>ROUND(P48,2)*Q48</f>
        <v>#DIV/0!</v>
      </c>
      <c r="T48" s="80" t="e">
        <f>Q48*dagenperjaar1</f>
        <v>#DIV/0!</v>
      </c>
      <c r="U48" s="16" t="e">
        <f>T48*ROUND(P48,2)</f>
        <v>#DIV/0!</v>
      </c>
    </row>
    <row r="49" spans="1:21" x14ac:dyDescent="0.3">
      <c r="A49" s="77" t="s">
        <v>278</v>
      </c>
      <c r="B49" s="78" t="s">
        <v>279</v>
      </c>
      <c r="C49" s="78" t="s">
        <v>338</v>
      </c>
      <c r="D49" s="78" t="s">
        <v>352</v>
      </c>
      <c r="E49" s="79" t="s">
        <v>353</v>
      </c>
      <c r="F49" s="78" t="s">
        <v>288</v>
      </c>
      <c r="G49" s="78" t="s">
        <v>300</v>
      </c>
      <c r="H49" s="78"/>
      <c r="I49" s="78"/>
      <c r="J49" s="78"/>
      <c r="K49" s="80">
        <v>21.7</v>
      </c>
      <c r="L49" s="80"/>
      <c r="M49" s="81"/>
      <c r="N49" s="82"/>
      <c r="O49" s="78"/>
      <c r="P49" s="15"/>
      <c r="Q49" s="80"/>
      <c r="R49" s="80"/>
      <c r="S49" s="15"/>
      <c r="T49" s="83"/>
      <c r="U49" s="16"/>
    </row>
    <row r="50" spans="1:21" x14ac:dyDescent="0.3">
      <c r="A50" s="77" t="s">
        <v>278</v>
      </c>
      <c r="B50" s="78" t="s">
        <v>279</v>
      </c>
      <c r="C50" s="78" t="s">
        <v>338</v>
      </c>
      <c r="D50" s="78" t="s">
        <v>354</v>
      </c>
      <c r="E50" s="79" t="s">
        <v>308</v>
      </c>
      <c r="F50" s="78" t="s">
        <v>288</v>
      </c>
      <c r="G50" s="78" t="s">
        <v>300</v>
      </c>
      <c r="H50" s="78"/>
      <c r="I50" s="78"/>
      <c r="J50" s="78"/>
      <c r="K50" s="80">
        <v>3.9</v>
      </c>
      <c r="L50" s="80"/>
      <c r="M50" s="81"/>
      <c r="N50" s="82"/>
      <c r="O50" s="78"/>
      <c r="P50" s="15"/>
      <c r="Q50" s="80"/>
      <c r="R50" s="80"/>
      <c r="S50" s="15"/>
      <c r="T50" s="83"/>
      <c r="U50" s="16"/>
    </row>
    <row r="51" spans="1:21" x14ac:dyDescent="0.3">
      <c r="A51" s="77" t="s">
        <v>278</v>
      </c>
      <c r="B51" s="78" t="s">
        <v>279</v>
      </c>
      <c r="C51" s="78" t="s">
        <v>338</v>
      </c>
      <c r="D51" s="78" t="s">
        <v>355</v>
      </c>
      <c r="E51" s="79" t="s">
        <v>308</v>
      </c>
      <c r="F51" s="78" t="s">
        <v>288</v>
      </c>
      <c r="G51" s="78" t="s">
        <v>300</v>
      </c>
      <c r="H51" s="78"/>
      <c r="I51" s="78"/>
      <c r="J51" s="78"/>
      <c r="K51" s="80">
        <v>6.8</v>
      </c>
      <c r="L51" s="80"/>
      <c r="M51" s="81"/>
      <c r="N51" s="82"/>
      <c r="O51" s="78"/>
      <c r="P51" s="15"/>
      <c r="Q51" s="80"/>
      <c r="R51" s="80"/>
      <c r="S51" s="15"/>
      <c r="T51" s="83"/>
      <c r="U51" s="16"/>
    </row>
    <row r="52" spans="1:21" x14ac:dyDescent="0.3">
      <c r="A52" s="77" t="s">
        <v>278</v>
      </c>
      <c r="B52" s="78" t="s">
        <v>279</v>
      </c>
      <c r="C52" s="78" t="s">
        <v>338</v>
      </c>
      <c r="D52" s="78" t="s">
        <v>356</v>
      </c>
      <c r="E52" s="79" t="s">
        <v>290</v>
      </c>
      <c r="F52" s="78" t="s">
        <v>283</v>
      </c>
      <c r="G52" s="78" t="s">
        <v>234</v>
      </c>
      <c r="H52" s="78" t="s">
        <v>11</v>
      </c>
      <c r="I52" s="78" t="s">
        <v>214</v>
      </c>
      <c r="J52" s="79" t="s">
        <v>235</v>
      </c>
      <c r="K52" s="80">
        <v>50.8</v>
      </c>
      <c r="L52" s="80">
        <f>K52*VLOOKUP(H52,dagsoorttabel1,2,FALSE)</f>
        <v>39.843137254901961</v>
      </c>
      <c r="M52" s="81">
        <f>prodnorm21</f>
        <v>0</v>
      </c>
      <c r="N52" s="82">
        <f>dagwerk21</f>
        <v>0</v>
      </c>
      <c r="O52" s="78" t="s">
        <v>103</v>
      </c>
      <c r="P52" s="15">
        <f>uurtarief21</f>
        <v>0</v>
      </c>
      <c r="Q52" s="80" t="e">
        <f>IF(ISBLANK(M52),0,L52/ROUND(M52,4))</f>
        <v>#DIV/0!</v>
      </c>
      <c r="R52" s="80" t="e">
        <f>IF(ISBLANK(M52),0,Q52*ROUND(N52,2))</f>
        <v>#DIV/0!</v>
      </c>
      <c r="S52" s="15" t="e">
        <f>ROUND(P52,2)*Q52</f>
        <v>#DIV/0!</v>
      </c>
      <c r="T52" s="80" t="e">
        <f>Q52*dagenperjaar1</f>
        <v>#DIV/0!</v>
      </c>
      <c r="U52" s="16" t="e">
        <f>T52*ROUND(P52,2)</f>
        <v>#DIV/0!</v>
      </c>
    </row>
    <row r="53" spans="1:21" x14ac:dyDescent="0.3">
      <c r="A53" s="77" t="s">
        <v>278</v>
      </c>
      <c r="B53" s="78" t="s">
        <v>279</v>
      </c>
      <c r="C53" s="78" t="s">
        <v>338</v>
      </c>
      <c r="D53" s="78" t="s">
        <v>357</v>
      </c>
      <c r="E53" s="79" t="s">
        <v>290</v>
      </c>
      <c r="F53" s="78" t="s">
        <v>283</v>
      </c>
      <c r="G53" s="78" t="s">
        <v>234</v>
      </c>
      <c r="H53" s="78" t="s">
        <v>11</v>
      </c>
      <c r="I53" s="78" t="s">
        <v>214</v>
      </c>
      <c r="J53" s="79" t="s">
        <v>235</v>
      </c>
      <c r="K53" s="80">
        <v>50.8</v>
      </c>
      <c r="L53" s="80">
        <f>K53*VLOOKUP(H53,dagsoorttabel1,2,FALSE)</f>
        <v>39.843137254901961</v>
      </c>
      <c r="M53" s="81">
        <f>prodnorm21</f>
        <v>0</v>
      </c>
      <c r="N53" s="82">
        <f>dagwerk21</f>
        <v>0</v>
      </c>
      <c r="O53" s="78" t="s">
        <v>103</v>
      </c>
      <c r="P53" s="15">
        <f>uurtarief21</f>
        <v>0</v>
      </c>
      <c r="Q53" s="80" t="e">
        <f>IF(ISBLANK(M53),0,L53/ROUND(M53,4))</f>
        <v>#DIV/0!</v>
      </c>
      <c r="R53" s="80" t="e">
        <f>IF(ISBLANK(M53),0,Q53*ROUND(N53,2))</f>
        <v>#DIV/0!</v>
      </c>
      <c r="S53" s="15" t="e">
        <f>ROUND(P53,2)*Q53</f>
        <v>#DIV/0!</v>
      </c>
      <c r="T53" s="80" t="e">
        <f>Q53*dagenperjaar1</f>
        <v>#DIV/0!</v>
      </c>
      <c r="U53" s="16" t="e">
        <f>T53*ROUND(P53,2)</f>
        <v>#DIV/0!</v>
      </c>
    </row>
    <row r="54" spans="1:21" x14ac:dyDescent="0.3">
      <c r="A54" s="77" t="s">
        <v>278</v>
      </c>
      <c r="B54" s="78" t="s">
        <v>279</v>
      </c>
      <c r="C54" s="78" t="s">
        <v>338</v>
      </c>
      <c r="D54" s="78" t="s">
        <v>358</v>
      </c>
      <c r="E54" s="79" t="s">
        <v>359</v>
      </c>
      <c r="F54" s="78" t="s">
        <v>283</v>
      </c>
      <c r="G54" s="78" t="s">
        <v>216</v>
      </c>
      <c r="H54" s="78" t="s">
        <v>11</v>
      </c>
      <c r="I54" s="78" t="s">
        <v>214</v>
      </c>
      <c r="J54" s="79" t="s">
        <v>217</v>
      </c>
      <c r="K54" s="80">
        <v>12.2</v>
      </c>
      <c r="L54" s="80">
        <f>K54*VLOOKUP(H54,dagsoorttabel1,2,FALSE)</f>
        <v>9.5686274509803919</v>
      </c>
      <c r="M54" s="81">
        <f>prodnorm6</f>
        <v>0</v>
      </c>
      <c r="N54" s="82">
        <f>dagwerk6</f>
        <v>0</v>
      </c>
      <c r="O54" s="78" t="s">
        <v>103</v>
      </c>
      <c r="P54" s="15">
        <f>uurtarief6</f>
        <v>0</v>
      </c>
      <c r="Q54" s="80" t="e">
        <f>IF(ISBLANK(M54),0,L54/ROUND(M54,4))</f>
        <v>#DIV/0!</v>
      </c>
      <c r="R54" s="80" t="e">
        <f>IF(ISBLANK(M54),0,Q54*ROUND(N54,2))</f>
        <v>#DIV/0!</v>
      </c>
      <c r="S54" s="15" t="e">
        <f>ROUND(P54,2)*Q54</f>
        <v>#DIV/0!</v>
      </c>
      <c r="T54" s="80" t="e">
        <f>Q54*dagenperjaar1</f>
        <v>#DIV/0!</v>
      </c>
      <c r="U54" s="16" t="e">
        <f>T54*ROUND(P54,2)</f>
        <v>#DIV/0!</v>
      </c>
    </row>
    <row r="55" spans="1:21" x14ac:dyDescent="0.3">
      <c r="A55" s="77" t="s">
        <v>278</v>
      </c>
      <c r="B55" s="78" t="s">
        <v>279</v>
      </c>
      <c r="C55" s="78" t="s">
        <v>338</v>
      </c>
      <c r="D55" s="78" t="s">
        <v>360</v>
      </c>
      <c r="E55" s="79" t="s">
        <v>302</v>
      </c>
      <c r="F55" s="78" t="s">
        <v>303</v>
      </c>
      <c r="G55" s="78" t="s">
        <v>250</v>
      </c>
      <c r="H55" s="78" t="s">
        <v>11</v>
      </c>
      <c r="I55" s="78" t="s">
        <v>214</v>
      </c>
      <c r="J55" s="79" t="s">
        <v>251</v>
      </c>
      <c r="K55" s="80">
        <v>12.1</v>
      </c>
      <c r="L55" s="80">
        <f>K55*VLOOKUP(H55,dagsoorttabel1,2,FALSE)</f>
        <v>9.4901960784313726</v>
      </c>
      <c r="M55" s="81">
        <f>prodnorm30</f>
        <v>0</v>
      </c>
      <c r="N55" s="82">
        <f>dagwerk30</f>
        <v>0</v>
      </c>
      <c r="O55" s="78" t="s">
        <v>103</v>
      </c>
      <c r="P55" s="15">
        <f>uurtarief30</f>
        <v>0</v>
      </c>
      <c r="Q55" s="80" t="e">
        <f>IF(ISBLANK(M55),0,L55/ROUND(M55,4))</f>
        <v>#DIV/0!</v>
      </c>
      <c r="R55" s="80" t="e">
        <f>IF(ISBLANK(M55),0,Q55*ROUND(N55,2))</f>
        <v>#DIV/0!</v>
      </c>
      <c r="S55" s="15" t="e">
        <f>ROUND(P55,2)*Q55</f>
        <v>#DIV/0!</v>
      </c>
      <c r="T55" s="80" t="e">
        <f>Q55*dagenperjaar1</f>
        <v>#DIV/0!</v>
      </c>
      <c r="U55" s="16" t="e">
        <f>T55*ROUND(P55,2)</f>
        <v>#DIV/0!</v>
      </c>
    </row>
    <row r="56" spans="1:21" ht="27" x14ac:dyDescent="0.3">
      <c r="A56" s="77" t="s">
        <v>278</v>
      </c>
      <c r="B56" s="78" t="s">
        <v>279</v>
      </c>
      <c r="C56" s="78" t="s">
        <v>338</v>
      </c>
      <c r="D56" s="78" t="s">
        <v>361</v>
      </c>
      <c r="E56" s="79" t="s">
        <v>297</v>
      </c>
      <c r="F56" s="78" t="s">
        <v>283</v>
      </c>
      <c r="G56" s="78" t="s">
        <v>256</v>
      </c>
      <c r="H56" s="78" t="s">
        <v>11</v>
      </c>
      <c r="I56" s="78" t="s">
        <v>214</v>
      </c>
      <c r="J56" s="79" t="s">
        <v>257</v>
      </c>
      <c r="K56" s="80">
        <v>31.5</v>
      </c>
      <c r="L56" s="80">
        <f>K56*VLOOKUP(H56,dagsoorttabel1,2,FALSE)</f>
        <v>24.705882352941178</v>
      </c>
      <c r="M56" s="81">
        <f>prodnorm33</f>
        <v>0</v>
      </c>
      <c r="N56" s="82">
        <f>dagwerk33</f>
        <v>0</v>
      </c>
      <c r="O56" s="78" t="s">
        <v>103</v>
      </c>
      <c r="P56" s="15">
        <f>uurtarief33</f>
        <v>0</v>
      </c>
      <c r="Q56" s="80" t="e">
        <f>IF(ISBLANK(M56),0,L56/ROUND(M56,4))</f>
        <v>#DIV/0!</v>
      </c>
      <c r="R56" s="80" t="e">
        <f>IF(ISBLANK(M56),0,Q56*ROUND(N56,2))</f>
        <v>#DIV/0!</v>
      </c>
      <c r="S56" s="15" t="e">
        <f>ROUND(P56,2)*Q56</f>
        <v>#DIV/0!</v>
      </c>
      <c r="T56" s="80" t="e">
        <f>Q56*dagenperjaar1</f>
        <v>#DIV/0!</v>
      </c>
      <c r="U56" s="16" t="e">
        <f>T56*ROUND(P56,2)</f>
        <v>#DIV/0!</v>
      </c>
    </row>
    <row r="57" spans="1:21" x14ac:dyDescent="0.3">
      <c r="A57" s="77" t="s">
        <v>278</v>
      </c>
      <c r="B57" s="78" t="s">
        <v>279</v>
      </c>
      <c r="C57" s="78" t="s">
        <v>338</v>
      </c>
      <c r="D57" s="78" t="s">
        <v>362</v>
      </c>
      <c r="E57" s="79" t="s">
        <v>299</v>
      </c>
      <c r="F57" s="78" t="s">
        <v>288</v>
      </c>
      <c r="G57" s="78" t="s">
        <v>300</v>
      </c>
      <c r="H57" s="78"/>
      <c r="I57" s="78"/>
      <c r="J57" s="78"/>
      <c r="K57" s="80">
        <v>0</v>
      </c>
      <c r="L57" s="80"/>
      <c r="M57" s="81"/>
      <c r="N57" s="82"/>
      <c r="O57" s="78"/>
      <c r="P57" s="15"/>
      <c r="Q57" s="80"/>
      <c r="R57" s="80"/>
      <c r="S57" s="15"/>
      <c r="T57" s="83"/>
      <c r="U57" s="16"/>
    </row>
    <row r="58" spans="1:21" x14ac:dyDescent="0.3">
      <c r="A58" s="77" t="s">
        <v>278</v>
      </c>
      <c r="B58" s="78" t="s">
        <v>279</v>
      </c>
      <c r="C58" s="78" t="s">
        <v>338</v>
      </c>
      <c r="D58" s="78" t="s">
        <v>363</v>
      </c>
      <c r="E58" s="79" t="s">
        <v>364</v>
      </c>
      <c r="F58" s="78" t="s">
        <v>283</v>
      </c>
      <c r="G58" s="78" t="s">
        <v>216</v>
      </c>
      <c r="H58" s="78" t="s">
        <v>11</v>
      </c>
      <c r="I58" s="78" t="s">
        <v>214</v>
      </c>
      <c r="J58" s="79" t="s">
        <v>217</v>
      </c>
      <c r="K58" s="80">
        <v>34.299999999999997</v>
      </c>
      <c r="L58" s="80">
        <f t="shared" ref="L58:L73" si="12">K58*VLOOKUP(H58,dagsoorttabel1,2,FALSE)</f>
        <v>26.901960784313722</v>
      </c>
      <c r="M58" s="81">
        <f>prodnorm6</f>
        <v>0</v>
      </c>
      <c r="N58" s="82">
        <f>dagwerk6</f>
        <v>0</v>
      </c>
      <c r="O58" s="78" t="s">
        <v>103</v>
      </c>
      <c r="P58" s="15">
        <f>uurtarief6</f>
        <v>0</v>
      </c>
      <c r="Q58" s="80" t="e">
        <f t="shared" ref="Q58:Q73" si="13">IF(ISBLANK(M58),0,L58/ROUND(M58,4))</f>
        <v>#DIV/0!</v>
      </c>
      <c r="R58" s="80" t="e">
        <f t="shared" ref="R58:R73" si="14">IF(ISBLANK(M58),0,Q58*ROUND(N58,2))</f>
        <v>#DIV/0!</v>
      </c>
      <c r="S58" s="15" t="e">
        <f t="shared" ref="S58:S73" si="15">ROUND(P58,2)*Q58</f>
        <v>#DIV/0!</v>
      </c>
      <c r="T58" s="80" t="e">
        <f t="shared" ref="T58:T73" si="16">Q58*dagenperjaar1</f>
        <v>#DIV/0!</v>
      </c>
      <c r="U58" s="16" t="e">
        <f t="shared" ref="U58:U73" si="17">T58*ROUND(P58,2)</f>
        <v>#DIV/0!</v>
      </c>
    </row>
    <row r="59" spans="1:21" ht="27" x14ac:dyDescent="0.3">
      <c r="A59" s="77" t="s">
        <v>278</v>
      </c>
      <c r="B59" s="78" t="s">
        <v>279</v>
      </c>
      <c r="C59" s="78" t="s">
        <v>338</v>
      </c>
      <c r="D59" s="78" t="s">
        <v>365</v>
      </c>
      <c r="E59" s="79" t="s">
        <v>293</v>
      </c>
      <c r="F59" s="78" t="s">
        <v>283</v>
      </c>
      <c r="G59" s="78" t="s">
        <v>256</v>
      </c>
      <c r="H59" s="78" t="s">
        <v>11</v>
      </c>
      <c r="I59" s="78" t="s">
        <v>214</v>
      </c>
      <c r="J59" s="79" t="s">
        <v>257</v>
      </c>
      <c r="K59" s="80">
        <v>10.3</v>
      </c>
      <c r="L59" s="80">
        <f t="shared" si="12"/>
        <v>8.0784313725490193</v>
      </c>
      <c r="M59" s="81">
        <f>prodnorm33</f>
        <v>0</v>
      </c>
      <c r="N59" s="82">
        <f>dagwerk33</f>
        <v>0</v>
      </c>
      <c r="O59" s="78" t="s">
        <v>103</v>
      </c>
      <c r="P59" s="15">
        <f>uurtarief33</f>
        <v>0</v>
      </c>
      <c r="Q59" s="80" t="e">
        <f t="shared" si="13"/>
        <v>#DIV/0!</v>
      </c>
      <c r="R59" s="80" t="e">
        <f t="shared" si="14"/>
        <v>#DIV/0!</v>
      </c>
      <c r="S59" s="15" t="e">
        <f t="shared" si="15"/>
        <v>#DIV/0!</v>
      </c>
      <c r="T59" s="80" t="e">
        <f t="shared" si="16"/>
        <v>#DIV/0!</v>
      </c>
      <c r="U59" s="16" t="e">
        <f t="shared" si="17"/>
        <v>#DIV/0!</v>
      </c>
    </row>
    <row r="60" spans="1:21" x14ac:dyDescent="0.3">
      <c r="A60" s="77" t="s">
        <v>278</v>
      </c>
      <c r="B60" s="78" t="s">
        <v>279</v>
      </c>
      <c r="C60" s="78" t="s">
        <v>338</v>
      </c>
      <c r="D60" s="78" t="s">
        <v>366</v>
      </c>
      <c r="E60" s="79" t="s">
        <v>290</v>
      </c>
      <c r="F60" s="78" t="s">
        <v>283</v>
      </c>
      <c r="G60" s="78" t="s">
        <v>234</v>
      </c>
      <c r="H60" s="78" t="s">
        <v>11</v>
      </c>
      <c r="I60" s="78" t="s">
        <v>214</v>
      </c>
      <c r="J60" s="79" t="s">
        <v>235</v>
      </c>
      <c r="K60" s="80">
        <v>52.4</v>
      </c>
      <c r="L60" s="80">
        <f t="shared" si="12"/>
        <v>41.098039215686271</v>
      </c>
      <c r="M60" s="81">
        <f>prodnorm21</f>
        <v>0</v>
      </c>
      <c r="N60" s="82">
        <f>dagwerk21</f>
        <v>0</v>
      </c>
      <c r="O60" s="78" t="s">
        <v>103</v>
      </c>
      <c r="P60" s="15">
        <f>uurtarief21</f>
        <v>0</v>
      </c>
      <c r="Q60" s="80" t="e">
        <f t="shared" si="13"/>
        <v>#DIV/0!</v>
      </c>
      <c r="R60" s="80" t="e">
        <f t="shared" si="14"/>
        <v>#DIV/0!</v>
      </c>
      <c r="S60" s="15" t="e">
        <f t="shared" si="15"/>
        <v>#DIV/0!</v>
      </c>
      <c r="T60" s="80" t="e">
        <f t="shared" si="16"/>
        <v>#DIV/0!</v>
      </c>
      <c r="U60" s="16" t="e">
        <f t="shared" si="17"/>
        <v>#DIV/0!</v>
      </c>
    </row>
    <row r="61" spans="1:21" x14ac:dyDescent="0.3">
      <c r="A61" s="77" t="s">
        <v>278</v>
      </c>
      <c r="B61" s="78" t="s">
        <v>279</v>
      </c>
      <c r="C61" s="78" t="s">
        <v>338</v>
      </c>
      <c r="D61" s="78" t="s">
        <v>367</v>
      </c>
      <c r="E61" s="79" t="s">
        <v>333</v>
      </c>
      <c r="F61" s="78" t="s">
        <v>283</v>
      </c>
      <c r="G61" s="78" t="s">
        <v>240</v>
      </c>
      <c r="H61" s="78" t="s">
        <v>11</v>
      </c>
      <c r="I61" s="78" t="s">
        <v>214</v>
      </c>
      <c r="J61" s="79" t="s">
        <v>241</v>
      </c>
      <c r="K61" s="80">
        <v>107.5</v>
      </c>
      <c r="L61" s="80">
        <f t="shared" si="12"/>
        <v>84.313725490196077</v>
      </c>
      <c r="M61" s="81">
        <f>prodnorm25</f>
        <v>0</v>
      </c>
      <c r="N61" s="82">
        <f>dagwerk25</f>
        <v>0</v>
      </c>
      <c r="O61" s="78" t="s">
        <v>103</v>
      </c>
      <c r="P61" s="15">
        <f>uurtarief25</f>
        <v>0</v>
      </c>
      <c r="Q61" s="80" t="e">
        <f t="shared" si="13"/>
        <v>#DIV/0!</v>
      </c>
      <c r="R61" s="80" t="e">
        <f t="shared" si="14"/>
        <v>#DIV/0!</v>
      </c>
      <c r="S61" s="15" t="e">
        <f t="shared" si="15"/>
        <v>#DIV/0!</v>
      </c>
      <c r="T61" s="80" t="e">
        <f t="shared" si="16"/>
        <v>#DIV/0!</v>
      </c>
      <c r="U61" s="16" t="e">
        <f t="shared" si="17"/>
        <v>#DIV/0!</v>
      </c>
    </row>
    <row r="62" spans="1:21" x14ac:dyDescent="0.3">
      <c r="A62" s="77" t="s">
        <v>278</v>
      </c>
      <c r="B62" s="78" t="s">
        <v>279</v>
      </c>
      <c r="C62" s="78" t="s">
        <v>338</v>
      </c>
      <c r="D62" s="78" t="s">
        <v>368</v>
      </c>
      <c r="E62" s="79" t="s">
        <v>290</v>
      </c>
      <c r="F62" s="78" t="s">
        <v>283</v>
      </c>
      <c r="G62" s="78" t="s">
        <v>234</v>
      </c>
      <c r="H62" s="78" t="s">
        <v>11</v>
      </c>
      <c r="I62" s="78" t="s">
        <v>214</v>
      </c>
      <c r="J62" s="79" t="s">
        <v>235</v>
      </c>
      <c r="K62" s="80">
        <v>33.700000000000003</v>
      </c>
      <c r="L62" s="80">
        <f t="shared" si="12"/>
        <v>26.43137254901961</v>
      </c>
      <c r="M62" s="81">
        <f>prodnorm21</f>
        <v>0</v>
      </c>
      <c r="N62" s="82">
        <f>dagwerk21</f>
        <v>0</v>
      </c>
      <c r="O62" s="78" t="s">
        <v>103</v>
      </c>
      <c r="P62" s="15">
        <f>uurtarief21</f>
        <v>0</v>
      </c>
      <c r="Q62" s="80" t="e">
        <f t="shared" si="13"/>
        <v>#DIV/0!</v>
      </c>
      <c r="R62" s="80" t="e">
        <f t="shared" si="14"/>
        <v>#DIV/0!</v>
      </c>
      <c r="S62" s="15" t="e">
        <f t="shared" si="15"/>
        <v>#DIV/0!</v>
      </c>
      <c r="T62" s="80" t="e">
        <f t="shared" si="16"/>
        <v>#DIV/0!</v>
      </c>
      <c r="U62" s="16" t="e">
        <f t="shared" si="17"/>
        <v>#DIV/0!</v>
      </c>
    </row>
    <row r="63" spans="1:21" x14ac:dyDescent="0.3">
      <c r="A63" s="77" t="s">
        <v>278</v>
      </c>
      <c r="B63" s="78" t="s">
        <v>279</v>
      </c>
      <c r="C63" s="78" t="s">
        <v>338</v>
      </c>
      <c r="D63" s="78" t="s">
        <v>369</v>
      </c>
      <c r="E63" s="79" t="s">
        <v>290</v>
      </c>
      <c r="F63" s="78" t="s">
        <v>283</v>
      </c>
      <c r="G63" s="78" t="s">
        <v>234</v>
      </c>
      <c r="H63" s="78" t="s">
        <v>11</v>
      </c>
      <c r="I63" s="78" t="s">
        <v>214</v>
      </c>
      <c r="J63" s="79" t="s">
        <v>235</v>
      </c>
      <c r="K63" s="80">
        <v>51.7</v>
      </c>
      <c r="L63" s="80">
        <f t="shared" si="12"/>
        <v>40.549019607843142</v>
      </c>
      <c r="M63" s="81">
        <f>prodnorm21</f>
        <v>0</v>
      </c>
      <c r="N63" s="82">
        <f>dagwerk21</f>
        <v>0</v>
      </c>
      <c r="O63" s="78" t="s">
        <v>103</v>
      </c>
      <c r="P63" s="15">
        <f>uurtarief21</f>
        <v>0</v>
      </c>
      <c r="Q63" s="80" t="e">
        <f t="shared" si="13"/>
        <v>#DIV/0!</v>
      </c>
      <c r="R63" s="80" t="e">
        <f t="shared" si="14"/>
        <v>#DIV/0!</v>
      </c>
      <c r="S63" s="15" t="e">
        <f t="shared" si="15"/>
        <v>#DIV/0!</v>
      </c>
      <c r="T63" s="80" t="e">
        <f t="shared" si="16"/>
        <v>#DIV/0!</v>
      </c>
      <c r="U63" s="16" t="e">
        <f t="shared" si="17"/>
        <v>#DIV/0!</v>
      </c>
    </row>
    <row r="64" spans="1:21" ht="27" x14ac:dyDescent="0.3">
      <c r="A64" s="77" t="s">
        <v>278</v>
      </c>
      <c r="B64" s="78" t="s">
        <v>279</v>
      </c>
      <c r="C64" s="78" t="s">
        <v>338</v>
      </c>
      <c r="D64" s="78" t="s">
        <v>370</v>
      </c>
      <c r="E64" s="79" t="s">
        <v>293</v>
      </c>
      <c r="F64" s="78" t="s">
        <v>283</v>
      </c>
      <c r="G64" s="78" t="s">
        <v>256</v>
      </c>
      <c r="H64" s="78" t="s">
        <v>11</v>
      </c>
      <c r="I64" s="78" t="s">
        <v>214</v>
      </c>
      <c r="J64" s="79" t="s">
        <v>257</v>
      </c>
      <c r="K64" s="80">
        <v>15.9</v>
      </c>
      <c r="L64" s="80">
        <f t="shared" si="12"/>
        <v>12.470588235294118</v>
      </c>
      <c r="M64" s="81">
        <f>prodnorm33</f>
        <v>0</v>
      </c>
      <c r="N64" s="82">
        <f>dagwerk33</f>
        <v>0</v>
      </c>
      <c r="O64" s="78" t="s">
        <v>103</v>
      </c>
      <c r="P64" s="15">
        <f>uurtarief33</f>
        <v>0</v>
      </c>
      <c r="Q64" s="80" t="e">
        <f t="shared" si="13"/>
        <v>#DIV/0!</v>
      </c>
      <c r="R64" s="80" t="e">
        <f t="shared" si="14"/>
        <v>#DIV/0!</v>
      </c>
      <c r="S64" s="15" t="e">
        <f t="shared" si="15"/>
        <v>#DIV/0!</v>
      </c>
      <c r="T64" s="80" t="e">
        <f t="shared" si="16"/>
        <v>#DIV/0!</v>
      </c>
      <c r="U64" s="16" t="e">
        <f t="shared" si="17"/>
        <v>#DIV/0!</v>
      </c>
    </row>
    <row r="65" spans="1:21" x14ac:dyDescent="0.3">
      <c r="A65" s="77" t="s">
        <v>278</v>
      </c>
      <c r="B65" s="78" t="s">
        <v>279</v>
      </c>
      <c r="C65" s="78" t="s">
        <v>338</v>
      </c>
      <c r="D65" s="78" t="s">
        <v>371</v>
      </c>
      <c r="E65" s="79" t="s">
        <v>290</v>
      </c>
      <c r="F65" s="78" t="s">
        <v>283</v>
      </c>
      <c r="G65" s="78" t="s">
        <v>234</v>
      </c>
      <c r="H65" s="78" t="s">
        <v>11</v>
      </c>
      <c r="I65" s="78" t="s">
        <v>214</v>
      </c>
      <c r="J65" s="79" t="s">
        <v>235</v>
      </c>
      <c r="K65" s="80">
        <v>52.6</v>
      </c>
      <c r="L65" s="80">
        <f t="shared" si="12"/>
        <v>41.254901960784316</v>
      </c>
      <c r="M65" s="81">
        <f>prodnorm21</f>
        <v>0</v>
      </c>
      <c r="N65" s="82">
        <f>dagwerk21</f>
        <v>0</v>
      </c>
      <c r="O65" s="78" t="s">
        <v>103</v>
      </c>
      <c r="P65" s="15">
        <f>uurtarief21</f>
        <v>0</v>
      </c>
      <c r="Q65" s="80" t="e">
        <f t="shared" si="13"/>
        <v>#DIV/0!</v>
      </c>
      <c r="R65" s="80" t="e">
        <f t="shared" si="14"/>
        <v>#DIV/0!</v>
      </c>
      <c r="S65" s="15" t="e">
        <f t="shared" si="15"/>
        <v>#DIV/0!</v>
      </c>
      <c r="T65" s="80" t="e">
        <f t="shared" si="16"/>
        <v>#DIV/0!</v>
      </c>
      <c r="U65" s="16" t="e">
        <f t="shared" si="17"/>
        <v>#DIV/0!</v>
      </c>
    </row>
    <row r="66" spans="1:21" x14ac:dyDescent="0.3">
      <c r="A66" s="77" t="s">
        <v>278</v>
      </c>
      <c r="B66" s="78" t="s">
        <v>372</v>
      </c>
      <c r="C66" s="78" t="s">
        <v>373</v>
      </c>
      <c r="D66" s="78" t="s">
        <v>374</v>
      </c>
      <c r="E66" s="79" t="s">
        <v>375</v>
      </c>
      <c r="F66" s="78" t="s">
        <v>283</v>
      </c>
      <c r="G66" s="78" t="s">
        <v>248</v>
      </c>
      <c r="H66" s="78" t="s">
        <v>11</v>
      </c>
      <c r="I66" s="78" t="s">
        <v>214</v>
      </c>
      <c r="J66" s="79" t="s">
        <v>249</v>
      </c>
      <c r="K66" s="80">
        <v>53.1</v>
      </c>
      <c r="L66" s="80">
        <f t="shared" si="12"/>
        <v>41.647058823529413</v>
      </c>
      <c r="M66" s="81">
        <f>prodnorm29</f>
        <v>0</v>
      </c>
      <c r="N66" s="82">
        <f>dagwerk29</f>
        <v>0</v>
      </c>
      <c r="O66" s="78" t="s">
        <v>103</v>
      </c>
      <c r="P66" s="15">
        <f>uurtarief29</f>
        <v>0</v>
      </c>
      <c r="Q66" s="80" t="e">
        <f t="shared" si="13"/>
        <v>#DIV/0!</v>
      </c>
      <c r="R66" s="80" t="e">
        <f t="shared" si="14"/>
        <v>#DIV/0!</v>
      </c>
      <c r="S66" s="15" t="e">
        <f t="shared" si="15"/>
        <v>#DIV/0!</v>
      </c>
      <c r="T66" s="80" t="e">
        <f t="shared" si="16"/>
        <v>#DIV/0!</v>
      </c>
      <c r="U66" s="16" t="e">
        <f t="shared" si="17"/>
        <v>#DIV/0!</v>
      </c>
    </row>
    <row r="67" spans="1:21" x14ac:dyDescent="0.3">
      <c r="A67" s="77" t="s">
        <v>278</v>
      </c>
      <c r="B67" s="78" t="s">
        <v>372</v>
      </c>
      <c r="C67" s="78" t="s">
        <v>373</v>
      </c>
      <c r="D67" s="78" t="s">
        <v>374</v>
      </c>
      <c r="E67" s="79" t="s">
        <v>376</v>
      </c>
      <c r="F67" s="78" t="s">
        <v>283</v>
      </c>
      <c r="G67" s="78" t="s">
        <v>248</v>
      </c>
      <c r="H67" s="78" t="s">
        <v>11</v>
      </c>
      <c r="I67" s="78" t="s">
        <v>214</v>
      </c>
      <c r="J67" s="79" t="s">
        <v>249</v>
      </c>
      <c r="K67" s="80">
        <v>73</v>
      </c>
      <c r="L67" s="80">
        <f t="shared" si="12"/>
        <v>57.254901960784316</v>
      </c>
      <c r="M67" s="81">
        <f>prodnorm29</f>
        <v>0</v>
      </c>
      <c r="N67" s="82">
        <f>dagwerk29</f>
        <v>0</v>
      </c>
      <c r="O67" s="78" t="s">
        <v>103</v>
      </c>
      <c r="P67" s="15">
        <f>uurtarief29</f>
        <v>0</v>
      </c>
      <c r="Q67" s="80" t="e">
        <f t="shared" si="13"/>
        <v>#DIV/0!</v>
      </c>
      <c r="R67" s="80" t="e">
        <f t="shared" si="14"/>
        <v>#DIV/0!</v>
      </c>
      <c r="S67" s="15" t="e">
        <f t="shared" si="15"/>
        <v>#DIV/0!</v>
      </c>
      <c r="T67" s="80" t="e">
        <f t="shared" si="16"/>
        <v>#DIV/0!</v>
      </c>
      <c r="U67" s="16" t="e">
        <f t="shared" si="17"/>
        <v>#DIV/0!</v>
      </c>
    </row>
    <row r="68" spans="1:21" x14ac:dyDescent="0.3">
      <c r="A68" s="77" t="s">
        <v>278</v>
      </c>
      <c r="B68" s="78" t="s">
        <v>372</v>
      </c>
      <c r="C68" s="78" t="s">
        <v>373</v>
      </c>
      <c r="D68" s="78" t="s">
        <v>377</v>
      </c>
      <c r="E68" s="79" t="s">
        <v>378</v>
      </c>
      <c r="F68" s="78" t="s">
        <v>283</v>
      </c>
      <c r="G68" s="78" t="s">
        <v>234</v>
      </c>
      <c r="H68" s="78" t="s">
        <v>11</v>
      </c>
      <c r="I68" s="78" t="s">
        <v>214</v>
      </c>
      <c r="J68" s="79" t="s">
        <v>235</v>
      </c>
      <c r="K68" s="80">
        <v>89.1</v>
      </c>
      <c r="L68" s="80">
        <f t="shared" si="12"/>
        <v>69.882352941176464</v>
      </c>
      <c r="M68" s="81">
        <f>prodnorm21</f>
        <v>0</v>
      </c>
      <c r="N68" s="82">
        <f>dagwerk21</f>
        <v>0</v>
      </c>
      <c r="O68" s="78" t="s">
        <v>103</v>
      </c>
      <c r="P68" s="15">
        <f>uurtarief21</f>
        <v>0</v>
      </c>
      <c r="Q68" s="80" t="e">
        <f t="shared" si="13"/>
        <v>#DIV/0!</v>
      </c>
      <c r="R68" s="80" t="e">
        <f t="shared" si="14"/>
        <v>#DIV/0!</v>
      </c>
      <c r="S68" s="15" t="e">
        <f t="shared" si="15"/>
        <v>#DIV/0!</v>
      </c>
      <c r="T68" s="80" t="e">
        <f t="shared" si="16"/>
        <v>#DIV/0!</v>
      </c>
      <c r="U68" s="16" t="e">
        <f t="shared" si="17"/>
        <v>#DIV/0!</v>
      </c>
    </row>
    <row r="69" spans="1:21" ht="27" x14ac:dyDescent="0.3">
      <c r="A69" s="77" t="s">
        <v>278</v>
      </c>
      <c r="B69" s="78" t="s">
        <v>372</v>
      </c>
      <c r="C69" s="78" t="s">
        <v>373</v>
      </c>
      <c r="D69" s="78" t="s">
        <v>379</v>
      </c>
      <c r="E69" s="79" t="s">
        <v>380</v>
      </c>
      <c r="F69" s="78" t="s">
        <v>283</v>
      </c>
      <c r="G69" s="78" t="s">
        <v>256</v>
      </c>
      <c r="H69" s="78" t="s">
        <v>11</v>
      </c>
      <c r="I69" s="78" t="s">
        <v>214</v>
      </c>
      <c r="J69" s="79" t="s">
        <v>257</v>
      </c>
      <c r="K69" s="80">
        <v>49.3</v>
      </c>
      <c r="L69" s="80">
        <f t="shared" si="12"/>
        <v>38.666666666666664</v>
      </c>
      <c r="M69" s="81">
        <f>prodnorm33</f>
        <v>0</v>
      </c>
      <c r="N69" s="82">
        <f>dagwerk33</f>
        <v>0</v>
      </c>
      <c r="O69" s="78" t="s">
        <v>103</v>
      </c>
      <c r="P69" s="15">
        <f>uurtarief33</f>
        <v>0</v>
      </c>
      <c r="Q69" s="80" t="e">
        <f t="shared" si="13"/>
        <v>#DIV/0!</v>
      </c>
      <c r="R69" s="80" t="e">
        <f t="shared" si="14"/>
        <v>#DIV/0!</v>
      </c>
      <c r="S69" s="15" t="e">
        <f t="shared" si="15"/>
        <v>#DIV/0!</v>
      </c>
      <c r="T69" s="80" t="e">
        <f t="shared" si="16"/>
        <v>#DIV/0!</v>
      </c>
      <c r="U69" s="16" t="e">
        <f t="shared" si="17"/>
        <v>#DIV/0!</v>
      </c>
    </row>
    <row r="70" spans="1:21" x14ac:dyDescent="0.3">
      <c r="A70" s="77" t="s">
        <v>278</v>
      </c>
      <c r="B70" s="78" t="s">
        <v>372</v>
      </c>
      <c r="C70" s="78" t="s">
        <v>373</v>
      </c>
      <c r="D70" s="78" t="s">
        <v>381</v>
      </c>
      <c r="E70" s="79" t="s">
        <v>382</v>
      </c>
      <c r="F70" s="78" t="s">
        <v>283</v>
      </c>
      <c r="G70" s="78" t="s">
        <v>234</v>
      </c>
      <c r="H70" s="78" t="s">
        <v>11</v>
      </c>
      <c r="I70" s="78" t="s">
        <v>214</v>
      </c>
      <c r="J70" s="79" t="s">
        <v>235</v>
      </c>
      <c r="K70" s="80">
        <v>55.4</v>
      </c>
      <c r="L70" s="80">
        <f t="shared" si="12"/>
        <v>43.450980392156858</v>
      </c>
      <c r="M70" s="81">
        <f>prodnorm21</f>
        <v>0</v>
      </c>
      <c r="N70" s="82">
        <f>dagwerk21</f>
        <v>0</v>
      </c>
      <c r="O70" s="78" t="s">
        <v>103</v>
      </c>
      <c r="P70" s="15">
        <f>uurtarief21</f>
        <v>0</v>
      </c>
      <c r="Q70" s="80" t="e">
        <f t="shared" si="13"/>
        <v>#DIV/0!</v>
      </c>
      <c r="R70" s="80" t="e">
        <f t="shared" si="14"/>
        <v>#DIV/0!</v>
      </c>
      <c r="S70" s="15" t="e">
        <f t="shared" si="15"/>
        <v>#DIV/0!</v>
      </c>
      <c r="T70" s="80" t="e">
        <f t="shared" si="16"/>
        <v>#DIV/0!</v>
      </c>
      <c r="U70" s="16" t="e">
        <f t="shared" si="17"/>
        <v>#DIV/0!</v>
      </c>
    </row>
    <row r="71" spans="1:21" x14ac:dyDescent="0.3">
      <c r="A71" s="77" t="s">
        <v>278</v>
      </c>
      <c r="B71" s="78" t="s">
        <v>372</v>
      </c>
      <c r="C71" s="78" t="s">
        <v>373</v>
      </c>
      <c r="D71" s="78" t="s">
        <v>383</v>
      </c>
      <c r="E71" s="79" t="s">
        <v>384</v>
      </c>
      <c r="F71" s="78" t="s">
        <v>283</v>
      </c>
      <c r="G71" s="78" t="s">
        <v>216</v>
      </c>
      <c r="H71" s="78" t="s">
        <v>11</v>
      </c>
      <c r="I71" s="78" t="s">
        <v>214</v>
      </c>
      <c r="J71" s="79" t="s">
        <v>217</v>
      </c>
      <c r="K71" s="80">
        <v>18.100000000000001</v>
      </c>
      <c r="L71" s="80">
        <f t="shared" si="12"/>
        <v>14.19607843137255</v>
      </c>
      <c r="M71" s="81">
        <f>prodnorm6</f>
        <v>0</v>
      </c>
      <c r="N71" s="82">
        <f>dagwerk6</f>
        <v>0</v>
      </c>
      <c r="O71" s="78" t="s">
        <v>103</v>
      </c>
      <c r="P71" s="15">
        <f>uurtarief6</f>
        <v>0</v>
      </c>
      <c r="Q71" s="80" t="e">
        <f t="shared" si="13"/>
        <v>#DIV/0!</v>
      </c>
      <c r="R71" s="80" t="e">
        <f t="shared" si="14"/>
        <v>#DIV/0!</v>
      </c>
      <c r="S71" s="15" t="e">
        <f t="shared" si="15"/>
        <v>#DIV/0!</v>
      </c>
      <c r="T71" s="80" t="e">
        <f t="shared" si="16"/>
        <v>#DIV/0!</v>
      </c>
      <c r="U71" s="16" t="e">
        <f t="shared" si="17"/>
        <v>#DIV/0!</v>
      </c>
    </row>
    <row r="72" spans="1:21" x14ac:dyDescent="0.3">
      <c r="A72" s="77" t="s">
        <v>278</v>
      </c>
      <c r="B72" s="78" t="s">
        <v>372</v>
      </c>
      <c r="C72" s="78" t="s">
        <v>373</v>
      </c>
      <c r="D72" s="78" t="s">
        <v>385</v>
      </c>
      <c r="E72" s="79" t="s">
        <v>382</v>
      </c>
      <c r="F72" s="78" t="s">
        <v>283</v>
      </c>
      <c r="G72" s="78" t="s">
        <v>234</v>
      </c>
      <c r="H72" s="78" t="s">
        <v>11</v>
      </c>
      <c r="I72" s="78" t="s">
        <v>214</v>
      </c>
      <c r="J72" s="79" t="s">
        <v>235</v>
      </c>
      <c r="K72" s="80">
        <v>63.9</v>
      </c>
      <c r="L72" s="80">
        <f t="shared" si="12"/>
        <v>50.117647058823529</v>
      </c>
      <c r="M72" s="81">
        <f>prodnorm21</f>
        <v>0</v>
      </c>
      <c r="N72" s="82">
        <f>dagwerk21</f>
        <v>0</v>
      </c>
      <c r="O72" s="78" t="s">
        <v>103</v>
      </c>
      <c r="P72" s="15">
        <f>uurtarief21</f>
        <v>0</v>
      </c>
      <c r="Q72" s="80" t="e">
        <f t="shared" si="13"/>
        <v>#DIV/0!</v>
      </c>
      <c r="R72" s="80" t="e">
        <f t="shared" si="14"/>
        <v>#DIV/0!</v>
      </c>
      <c r="S72" s="15" t="e">
        <f t="shared" si="15"/>
        <v>#DIV/0!</v>
      </c>
      <c r="T72" s="80" t="e">
        <f t="shared" si="16"/>
        <v>#DIV/0!</v>
      </c>
      <c r="U72" s="16" t="e">
        <f t="shared" si="17"/>
        <v>#DIV/0!</v>
      </c>
    </row>
    <row r="73" spans="1:21" x14ac:dyDescent="0.3">
      <c r="A73" s="77" t="s">
        <v>278</v>
      </c>
      <c r="B73" s="78" t="s">
        <v>372</v>
      </c>
      <c r="C73" s="78" t="s">
        <v>373</v>
      </c>
      <c r="D73" s="78" t="s">
        <v>386</v>
      </c>
      <c r="E73" s="79" t="s">
        <v>302</v>
      </c>
      <c r="F73" s="78" t="s">
        <v>387</v>
      </c>
      <c r="G73" s="78" t="s">
        <v>250</v>
      </c>
      <c r="H73" s="78" t="s">
        <v>11</v>
      </c>
      <c r="I73" s="78" t="s">
        <v>214</v>
      </c>
      <c r="J73" s="79" t="s">
        <v>251</v>
      </c>
      <c r="K73" s="80">
        <v>16.5</v>
      </c>
      <c r="L73" s="80">
        <f t="shared" si="12"/>
        <v>12.941176470588236</v>
      </c>
      <c r="M73" s="81">
        <f>prodnorm30</f>
        <v>0</v>
      </c>
      <c r="N73" s="82">
        <f>dagwerk30</f>
        <v>0</v>
      </c>
      <c r="O73" s="78" t="s">
        <v>103</v>
      </c>
      <c r="P73" s="15">
        <f>uurtarief30</f>
        <v>0</v>
      </c>
      <c r="Q73" s="80" t="e">
        <f t="shared" si="13"/>
        <v>#DIV/0!</v>
      </c>
      <c r="R73" s="80" t="e">
        <f t="shared" si="14"/>
        <v>#DIV/0!</v>
      </c>
      <c r="S73" s="15" t="e">
        <f t="shared" si="15"/>
        <v>#DIV/0!</v>
      </c>
      <c r="T73" s="80" t="e">
        <f t="shared" si="16"/>
        <v>#DIV/0!</v>
      </c>
      <c r="U73" s="16" t="e">
        <f t="shared" si="17"/>
        <v>#DIV/0!</v>
      </c>
    </row>
    <row r="74" spans="1:21" x14ac:dyDescent="0.3">
      <c r="A74" s="77" t="s">
        <v>278</v>
      </c>
      <c r="B74" s="78" t="s">
        <v>372</v>
      </c>
      <c r="C74" s="78" t="s">
        <v>373</v>
      </c>
      <c r="D74" s="78" t="s">
        <v>388</v>
      </c>
      <c r="E74" s="79" t="s">
        <v>389</v>
      </c>
      <c r="F74" s="78" t="s">
        <v>288</v>
      </c>
      <c r="G74" s="78" t="s">
        <v>300</v>
      </c>
      <c r="H74" s="78"/>
      <c r="I74" s="78"/>
      <c r="J74" s="78"/>
      <c r="K74" s="80">
        <v>17</v>
      </c>
      <c r="L74" s="80"/>
      <c r="M74" s="81"/>
      <c r="N74" s="82"/>
      <c r="O74" s="78"/>
      <c r="P74" s="15"/>
      <c r="Q74" s="80"/>
      <c r="R74" s="80"/>
      <c r="S74" s="15"/>
      <c r="T74" s="83"/>
      <c r="U74" s="16"/>
    </row>
    <row r="75" spans="1:21" x14ac:dyDescent="0.3">
      <c r="A75" s="77" t="s">
        <v>278</v>
      </c>
      <c r="B75" s="78" t="s">
        <v>372</v>
      </c>
      <c r="C75" s="78" t="s">
        <v>373</v>
      </c>
      <c r="D75" s="78" t="s">
        <v>390</v>
      </c>
      <c r="E75" s="79" t="s">
        <v>391</v>
      </c>
      <c r="F75" s="78" t="s">
        <v>283</v>
      </c>
      <c r="G75" s="78" t="s">
        <v>216</v>
      </c>
      <c r="H75" s="78" t="s">
        <v>11</v>
      </c>
      <c r="I75" s="78" t="s">
        <v>214</v>
      </c>
      <c r="J75" s="79" t="s">
        <v>217</v>
      </c>
      <c r="K75" s="80">
        <v>12</v>
      </c>
      <c r="L75" s="80">
        <f>K75*VLOOKUP(H75,dagsoorttabel1,2,FALSE)</f>
        <v>9.4117647058823533</v>
      </c>
      <c r="M75" s="81">
        <f>prodnorm6</f>
        <v>0</v>
      </c>
      <c r="N75" s="82">
        <f>dagwerk6</f>
        <v>0</v>
      </c>
      <c r="O75" s="78" t="s">
        <v>103</v>
      </c>
      <c r="P75" s="15">
        <f>uurtarief6</f>
        <v>0</v>
      </c>
      <c r="Q75" s="80" t="e">
        <f>IF(ISBLANK(M75),0,L75/ROUND(M75,4))</f>
        <v>#DIV/0!</v>
      </c>
      <c r="R75" s="80" t="e">
        <f>IF(ISBLANK(M75),0,Q75*ROUND(N75,2))</f>
        <v>#DIV/0!</v>
      </c>
      <c r="S75" s="15" t="e">
        <f>ROUND(P75,2)*Q75</f>
        <v>#DIV/0!</v>
      </c>
      <c r="T75" s="80" t="e">
        <f>Q75*dagenperjaar1</f>
        <v>#DIV/0!</v>
      </c>
      <c r="U75" s="16" t="e">
        <f>T75*ROUND(P75,2)</f>
        <v>#DIV/0!</v>
      </c>
    </row>
    <row r="76" spans="1:21" x14ac:dyDescent="0.3">
      <c r="A76" s="77" t="s">
        <v>278</v>
      </c>
      <c r="B76" s="78" t="s">
        <v>372</v>
      </c>
      <c r="C76" s="78" t="s">
        <v>373</v>
      </c>
      <c r="D76" s="78" t="s">
        <v>392</v>
      </c>
      <c r="E76" s="79" t="s">
        <v>312</v>
      </c>
      <c r="F76" s="78" t="s">
        <v>283</v>
      </c>
      <c r="G76" s="78" t="s">
        <v>300</v>
      </c>
      <c r="H76" s="78"/>
      <c r="I76" s="78"/>
      <c r="J76" s="78"/>
      <c r="K76" s="80">
        <v>22.3</v>
      </c>
      <c r="L76" s="80"/>
      <c r="M76" s="81"/>
      <c r="N76" s="82"/>
      <c r="O76" s="78"/>
      <c r="P76" s="15"/>
      <c r="Q76" s="80"/>
      <c r="R76" s="80"/>
      <c r="S76" s="15"/>
      <c r="T76" s="83"/>
      <c r="U76" s="16"/>
    </row>
    <row r="77" spans="1:21" x14ac:dyDescent="0.3">
      <c r="A77" s="77" t="s">
        <v>278</v>
      </c>
      <c r="B77" s="78" t="s">
        <v>372</v>
      </c>
      <c r="C77" s="78" t="s">
        <v>373</v>
      </c>
      <c r="D77" s="78" t="s">
        <v>393</v>
      </c>
      <c r="E77" s="79" t="s">
        <v>394</v>
      </c>
      <c r="F77" s="78" t="s">
        <v>283</v>
      </c>
      <c r="G77" s="78" t="s">
        <v>300</v>
      </c>
      <c r="H77" s="78"/>
      <c r="I77" s="78"/>
      <c r="J77" s="78"/>
      <c r="K77" s="80">
        <v>17.3</v>
      </c>
      <c r="L77" s="80"/>
      <c r="M77" s="81"/>
      <c r="N77" s="82"/>
      <c r="O77" s="78"/>
      <c r="P77" s="15"/>
      <c r="Q77" s="80"/>
      <c r="R77" s="80"/>
      <c r="S77" s="15"/>
      <c r="T77" s="83"/>
      <c r="U77" s="16"/>
    </row>
    <row r="78" spans="1:21" x14ac:dyDescent="0.3">
      <c r="A78" s="77" t="s">
        <v>278</v>
      </c>
      <c r="B78" s="78" t="s">
        <v>372</v>
      </c>
      <c r="C78" s="78" t="s">
        <v>373</v>
      </c>
      <c r="D78" s="78" t="s">
        <v>395</v>
      </c>
      <c r="E78" s="79" t="s">
        <v>396</v>
      </c>
      <c r="F78" s="78" t="s">
        <v>283</v>
      </c>
      <c r="G78" s="78" t="s">
        <v>216</v>
      </c>
      <c r="H78" s="78" t="s">
        <v>11</v>
      </c>
      <c r="I78" s="78" t="s">
        <v>214</v>
      </c>
      <c r="J78" s="79" t="s">
        <v>217</v>
      </c>
      <c r="K78" s="80">
        <v>35.9</v>
      </c>
      <c r="L78" s="80">
        <f>K78*VLOOKUP(H78,dagsoorttabel1,2,FALSE)</f>
        <v>28.156862745098039</v>
      </c>
      <c r="M78" s="81">
        <f>prodnorm6</f>
        <v>0</v>
      </c>
      <c r="N78" s="82">
        <f>dagwerk6</f>
        <v>0</v>
      </c>
      <c r="O78" s="78" t="s">
        <v>103</v>
      </c>
      <c r="P78" s="15">
        <f>uurtarief6</f>
        <v>0</v>
      </c>
      <c r="Q78" s="80" t="e">
        <f>IF(ISBLANK(M78),0,L78/ROUND(M78,4))</f>
        <v>#DIV/0!</v>
      </c>
      <c r="R78" s="80" t="e">
        <f>IF(ISBLANK(M78),0,Q78*ROUND(N78,2))</f>
        <v>#DIV/0!</v>
      </c>
      <c r="S78" s="15" t="e">
        <f>ROUND(P78,2)*Q78</f>
        <v>#DIV/0!</v>
      </c>
      <c r="T78" s="80" t="e">
        <f>Q78*dagenperjaar1</f>
        <v>#DIV/0!</v>
      </c>
      <c r="U78" s="16" t="e">
        <f>T78*ROUND(P78,2)</f>
        <v>#DIV/0!</v>
      </c>
    </row>
    <row r="79" spans="1:21" x14ac:dyDescent="0.3">
      <c r="A79" s="77" t="s">
        <v>278</v>
      </c>
      <c r="B79" s="78" t="s">
        <v>372</v>
      </c>
      <c r="C79" s="78" t="s">
        <v>373</v>
      </c>
      <c r="D79" s="78" t="s">
        <v>397</v>
      </c>
      <c r="E79" s="79" t="s">
        <v>398</v>
      </c>
      <c r="F79" s="78" t="s">
        <v>288</v>
      </c>
      <c r="G79" s="78" t="s">
        <v>300</v>
      </c>
      <c r="H79" s="78"/>
      <c r="I79" s="78"/>
      <c r="J79" s="78"/>
      <c r="K79" s="80">
        <v>8.4</v>
      </c>
      <c r="L79" s="80"/>
      <c r="M79" s="81"/>
      <c r="N79" s="82"/>
      <c r="O79" s="78"/>
      <c r="P79" s="15"/>
      <c r="Q79" s="80"/>
      <c r="R79" s="80"/>
      <c r="S79" s="15"/>
      <c r="T79" s="83"/>
      <c r="U79" s="16"/>
    </row>
    <row r="80" spans="1:21" x14ac:dyDescent="0.3">
      <c r="A80" s="77" t="s">
        <v>278</v>
      </c>
      <c r="B80" s="78" t="s">
        <v>372</v>
      </c>
      <c r="C80" s="78" t="s">
        <v>373</v>
      </c>
      <c r="D80" s="78" t="s">
        <v>399</v>
      </c>
      <c r="E80" s="79" t="s">
        <v>400</v>
      </c>
      <c r="F80" s="78" t="s">
        <v>288</v>
      </c>
      <c r="G80" s="78" t="s">
        <v>300</v>
      </c>
      <c r="H80" s="78"/>
      <c r="I80" s="78"/>
      <c r="J80" s="78"/>
      <c r="K80" s="80">
        <v>8.9</v>
      </c>
      <c r="L80" s="80"/>
      <c r="M80" s="81"/>
      <c r="N80" s="82"/>
      <c r="O80" s="78"/>
      <c r="P80" s="15"/>
      <c r="Q80" s="80"/>
      <c r="R80" s="80"/>
      <c r="S80" s="15"/>
      <c r="T80" s="83"/>
      <c r="U80" s="16"/>
    </row>
    <row r="81" spans="1:21" x14ac:dyDescent="0.3">
      <c r="A81" s="77" t="s">
        <v>278</v>
      </c>
      <c r="B81" s="78" t="s">
        <v>372</v>
      </c>
      <c r="C81" s="78" t="s">
        <v>373</v>
      </c>
      <c r="D81" s="78" t="s">
        <v>401</v>
      </c>
      <c r="E81" s="79" t="s">
        <v>402</v>
      </c>
      <c r="F81" s="78" t="s">
        <v>387</v>
      </c>
      <c r="G81" s="78" t="s">
        <v>300</v>
      </c>
      <c r="H81" s="78"/>
      <c r="I81" s="78"/>
      <c r="J81" s="78"/>
      <c r="K81" s="80">
        <v>6.7</v>
      </c>
      <c r="L81" s="80"/>
      <c r="M81" s="81"/>
      <c r="N81" s="82"/>
      <c r="O81" s="78"/>
      <c r="P81" s="15"/>
      <c r="Q81" s="80"/>
      <c r="R81" s="80"/>
      <c r="S81" s="15"/>
      <c r="T81" s="83"/>
      <c r="U81" s="16"/>
    </row>
    <row r="82" spans="1:21" x14ac:dyDescent="0.3">
      <c r="A82" s="77" t="s">
        <v>278</v>
      </c>
      <c r="B82" s="78" t="s">
        <v>372</v>
      </c>
      <c r="C82" s="78" t="s">
        <v>373</v>
      </c>
      <c r="D82" s="78" t="s">
        <v>403</v>
      </c>
      <c r="E82" s="79" t="s">
        <v>316</v>
      </c>
      <c r="F82" s="78" t="s">
        <v>387</v>
      </c>
      <c r="G82" s="78" t="s">
        <v>250</v>
      </c>
      <c r="H82" s="78" t="s">
        <v>11</v>
      </c>
      <c r="I82" s="78" t="s">
        <v>214</v>
      </c>
      <c r="J82" s="79" t="s">
        <v>251</v>
      </c>
      <c r="K82" s="80">
        <v>4.3</v>
      </c>
      <c r="L82" s="80">
        <f>K82*VLOOKUP(H82,dagsoorttabel1,2,FALSE)</f>
        <v>3.3725490196078431</v>
      </c>
      <c r="M82" s="81">
        <f>prodnorm30</f>
        <v>0</v>
      </c>
      <c r="N82" s="82">
        <f>dagwerk30</f>
        <v>0</v>
      </c>
      <c r="O82" s="78" t="s">
        <v>103</v>
      </c>
      <c r="P82" s="15">
        <f>uurtarief30</f>
        <v>0</v>
      </c>
      <c r="Q82" s="80" t="e">
        <f>IF(ISBLANK(M82),0,L82/ROUND(M82,4))</f>
        <v>#DIV/0!</v>
      </c>
      <c r="R82" s="80" t="e">
        <f>IF(ISBLANK(M82),0,Q82*ROUND(N82,2))</f>
        <v>#DIV/0!</v>
      </c>
      <c r="S82" s="15" t="e">
        <f>ROUND(P82,2)*Q82</f>
        <v>#DIV/0!</v>
      </c>
      <c r="T82" s="80" t="e">
        <f>Q82*dagenperjaar1</f>
        <v>#DIV/0!</v>
      </c>
      <c r="U82" s="16" t="e">
        <f>T82*ROUND(P82,2)</f>
        <v>#DIV/0!</v>
      </c>
    </row>
    <row r="83" spans="1:21" x14ac:dyDescent="0.3">
      <c r="A83" s="77" t="s">
        <v>278</v>
      </c>
      <c r="B83" s="78" t="s">
        <v>372</v>
      </c>
      <c r="C83" s="78" t="s">
        <v>373</v>
      </c>
      <c r="D83" s="78" t="s">
        <v>403</v>
      </c>
      <c r="E83" s="79" t="s">
        <v>287</v>
      </c>
      <c r="F83" s="78" t="s">
        <v>404</v>
      </c>
      <c r="G83" s="78" t="s">
        <v>252</v>
      </c>
      <c r="H83" s="78" t="s">
        <v>11</v>
      </c>
      <c r="I83" s="78" t="s">
        <v>214</v>
      </c>
      <c r="J83" s="79" t="s">
        <v>253</v>
      </c>
      <c r="K83" s="80">
        <v>10</v>
      </c>
      <c r="L83" s="80">
        <f>K83*VLOOKUP(H83,dagsoorttabel1,2,FALSE)</f>
        <v>7.8431372549019605</v>
      </c>
      <c r="M83" s="81">
        <f>prodnorm31</f>
        <v>0</v>
      </c>
      <c r="N83" s="82">
        <f>dagwerk31</f>
        <v>0</v>
      </c>
      <c r="O83" s="78" t="s">
        <v>103</v>
      </c>
      <c r="P83" s="15">
        <f>uurtarief31</f>
        <v>0</v>
      </c>
      <c r="Q83" s="80" t="e">
        <f>IF(ISBLANK(M83),0,L83/ROUND(M83,4))</f>
        <v>#DIV/0!</v>
      </c>
      <c r="R83" s="80" t="e">
        <f>IF(ISBLANK(M83),0,Q83*ROUND(N83,2))</f>
        <v>#DIV/0!</v>
      </c>
      <c r="S83" s="15" t="e">
        <f>ROUND(P83,2)*Q83</f>
        <v>#DIV/0!</v>
      </c>
      <c r="T83" s="80" t="e">
        <f>Q83*dagenperjaar1</f>
        <v>#DIV/0!</v>
      </c>
      <c r="U83" s="16" t="e">
        <f>T83*ROUND(P83,2)</f>
        <v>#DIV/0!</v>
      </c>
    </row>
    <row r="84" spans="1:21" ht="27" x14ac:dyDescent="0.3">
      <c r="A84" s="77" t="s">
        <v>278</v>
      </c>
      <c r="B84" s="78" t="s">
        <v>372</v>
      </c>
      <c r="C84" s="78" t="s">
        <v>373</v>
      </c>
      <c r="D84" s="78" t="s">
        <v>403</v>
      </c>
      <c r="E84" s="79" t="s">
        <v>380</v>
      </c>
      <c r="F84" s="78" t="s">
        <v>283</v>
      </c>
      <c r="G84" s="78" t="s">
        <v>256</v>
      </c>
      <c r="H84" s="78" t="s">
        <v>11</v>
      </c>
      <c r="I84" s="78" t="s">
        <v>214</v>
      </c>
      <c r="J84" s="79" t="s">
        <v>257</v>
      </c>
      <c r="K84" s="80">
        <v>23.3</v>
      </c>
      <c r="L84" s="80">
        <f>K84*VLOOKUP(H84,dagsoorttabel1,2,FALSE)</f>
        <v>18.274509803921568</v>
      </c>
      <c r="M84" s="81">
        <f>prodnorm33</f>
        <v>0</v>
      </c>
      <c r="N84" s="82">
        <f>dagwerk33</f>
        <v>0</v>
      </c>
      <c r="O84" s="78" t="s">
        <v>103</v>
      </c>
      <c r="P84" s="15">
        <f>uurtarief33</f>
        <v>0</v>
      </c>
      <c r="Q84" s="80" t="e">
        <f>IF(ISBLANK(M84),0,L84/ROUND(M84,4))</f>
        <v>#DIV/0!</v>
      </c>
      <c r="R84" s="80" t="e">
        <f>IF(ISBLANK(M84),0,Q84*ROUND(N84,2))</f>
        <v>#DIV/0!</v>
      </c>
      <c r="S84" s="15" t="e">
        <f>ROUND(P84,2)*Q84</f>
        <v>#DIV/0!</v>
      </c>
      <c r="T84" s="80" t="e">
        <f>Q84*dagenperjaar1</f>
        <v>#DIV/0!</v>
      </c>
      <c r="U84" s="16" t="e">
        <f>T84*ROUND(P84,2)</f>
        <v>#DIV/0!</v>
      </c>
    </row>
    <row r="85" spans="1:21" x14ac:dyDescent="0.3">
      <c r="A85" s="77" t="s">
        <v>278</v>
      </c>
      <c r="B85" s="78" t="s">
        <v>372</v>
      </c>
      <c r="C85" s="78" t="s">
        <v>373</v>
      </c>
      <c r="D85" s="78" t="s">
        <v>405</v>
      </c>
      <c r="E85" s="79" t="s">
        <v>299</v>
      </c>
      <c r="F85" s="78" t="s">
        <v>387</v>
      </c>
      <c r="G85" s="78" t="s">
        <v>300</v>
      </c>
      <c r="H85" s="78"/>
      <c r="I85" s="78"/>
      <c r="J85" s="78"/>
      <c r="K85" s="80">
        <v>2</v>
      </c>
      <c r="L85" s="80"/>
      <c r="M85" s="81"/>
      <c r="N85" s="82"/>
      <c r="O85" s="78"/>
      <c r="P85" s="15"/>
      <c r="Q85" s="80"/>
      <c r="R85" s="80"/>
      <c r="S85" s="15"/>
      <c r="T85" s="83"/>
      <c r="U85" s="16"/>
    </row>
    <row r="86" spans="1:21" x14ac:dyDescent="0.3">
      <c r="A86" s="77" t="s">
        <v>278</v>
      </c>
      <c r="B86" s="78" t="s">
        <v>372</v>
      </c>
      <c r="C86" s="78" t="s">
        <v>280</v>
      </c>
      <c r="D86" s="78" t="s">
        <v>284</v>
      </c>
      <c r="E86" s="79" t="s">
        <v>406</v>
      </c>
      <c r="F86" s="78" t="s">
        <v>283</v>
      </c>
      <c r="G86" s="78" t="s">
        <v>248</v>
      </c>
      <c r="H86" s="78" t="s">
        <v>11</v>
      </c>
      <c r="I86" s="78" t="s">
        <v>214</v>
      </c>
      <c r="J86" s="79" t="s">
        <v>249</v>
      </c>
      <c r="K86" s="80">
        <v>72.599999999999994</v>
      </c>
      <c r="L86" s="80">
        <f t="shared" ref="L86:L113" si="18">K86*VLOOKUP(H86,dagsoorttabel1,2,FALSE)</f>
        <v>56.941176470588232</v>
      </c>
      <c r="M86" s="81">
        <f>prodnorm29</f>
        <v>0</v>
      </c>
      <c r="N86" s="82">
        <f>dagwerk29</f>
        <v>0</v>
      </c>
      <c r="O86" s="78" t="s">
        <v>103</v>
      </c>
      <c r="P86" s="15">
        <f>uurtarief29</f>
        <v>0</v>
      </c>
      <c r="Q86" s="80" t="e">
        <f t="shared" ref="Q86:Q113" si="19">IF(ISBLANK(M86),0,L86/ROUND(M86,4))</f>
        <v>#DIV/0!</v>
      </c>
      <c r="R86" s="80" t="e">
        <f t="shared" ref="R86:R113" si="20">IF(ISBLANK(M86),0,Q86*ROUND(N86,2))</f>
        <v>#DIV/0!</v>
      </c>
      <c r="S86" s="15" t="e">
        <f t="shared" ref="S86:S113" si="21">ROUND(P86,2)*Q86</f>
        <v>#DIV/0!</v>
      </c>
      <c r="T86" s="80" t="e">
        <f t="shared" ref="T86:T113" si="22">Q86*dagenperjaar1</f>
        <v>#DIV/0!</v>
      </c>
      <c r="U86" s="16" t="e">
        <f t="shared" ref="U86:U113" si="23">T86*ROUND(P86,2)</f>
        <v>#DIV/0!</v>
      </c>
    </row>
    <row r="87" spans="1:21" x14ac:dyDescent="0.3">
      <c r="A87" s="77" t="s">
        <v>278</v>
      </c>
      <c r="B87" s="78" t="s">
        <v>372</v>
      </c>
      <c r="C87" s="78" t="s">
        <v>280</v>
      </c>
      <c r="D87" s="78" t="s">
        <v>286</v>
      </c>
      <c r="E87" s="79" t="s">
        <v>378</v>
      </c>
      <c r="F87" s="78" t="s">
        <v>283</v>
      </c>
      <c r="G87" s="78" t="s">
        <v>234</v>
      </c>
      <c r="H87" s="78" t="s">
        <v>11</v>
      </c>
      <c r="I87" s="78" t="s">
        <v>214</v>
      </c>
      <c r="J87" s="79" t="s">
        <v>235</v>
      </c>
      <c r="K87" s="80">
        <v>70</v>
      </c>
      <c r="L87" s="80">
        <f t="shared" si="18"/>
        <v>54.901960784313722</v>
      </c>
      <c r="M87" s="81">
        <f>prodnorm21</f>
        <v>0</v>
      </c>
      <c r="N87" s="82">
        <f>dagwerk21</f>
        <v>0</v>
      </c>
      <c r="O87" s="78" t="s">
        <v>103</v>
      </c>
      <c r="P87" s="15">
        <f>uurtarief21</f>
        <v>0</v>
      </c>
      <c r="Q87" s="80" t="e">
        <f t="shared" si="19"/>
        <v>#DIV/0!</v>
      </c>
      <c r="R87" s="80" t="e">
        <f t="shared" si="20"/>
        <v>#DIV/0!</v>
      </c>
      <c r="S87" s="15" t="e">
        <f t="shared" si="21"/>
        <v>#DIV/0!</v>
      </c>
      <c r="T87" s="80" t="e">
        <f t="shared" si="22"/>
        <v>#DIV/0!</v>
      </c>
      <c r="U87" s="16" t="e">
        <f t="shared" si="23"/>
        <v>#DIV/0!</v>
      </c>
    </row>
    <row r="88" spans="1:21" x14ac:dyDescent="0.3">
      <c r="A88" s="77" t="s">
        <v>278</v>
      </c>
      <c r="B88" s="78" t="s">
        <v>372</v>
      </c>
      <c r="C88" s="78" t="s">
        <v>280</v>
      </c>
      <c r="D88" s="78" t="s">
        <v>289</v>
      </c>
      <c r="E88" s="79" t="s">
        <v>382</v>
      </c>
      <c r="F88" s="78" t="s">
        <v>283</v>
      </c>
      <c r="G88" s="78" t="s">
        <v>234</v>
      </c>
      <c r="H88" s="78" t="s">
        <v>11</v>
      </c>
      <c r="I88" s="78" t="s">
        <v>214</v>
      </c>
      <c r="J88" s="79" t="s">
        <v>235</v>
      </c>
      <c r="K88" s="80">
        <v>71.900000000000006</v>
      </c>
      <c r="L88" s="80">
        <f t="shared" si="18"/>
        <v>56.392156862745104</v>
      </c>
      <c r="M88" s="81">
        <f>prodnorm21</f>
        <v>0</v>
      </c>
      <c r="N88" s="82">
        <f>dagwerk21</f>
        <v>0</v>
      </c>
      <c r="O88" s="78" t="s">
        <v>103</v>
      </c>
      <c r="P88" s="15">
        <f>uurtarief21</f>
        <v>0</v>
      </c>
      <c r="Q88" s="80" t="e">
        <f t="shared" si="19"/>
        <v>#DIV/0!</v>
      </c>
      <c r="R88" s="80" t="e">
        <f t="shared" si="20"/>
        <v>#DIV/0!</v>
      </c>
      <c r="S88" s="15" t="e">
        <f t="shared" si="21"/>
        <v>#DIV/0!</v>
      </c>
      <c r="T88" s="80" t="e">
        <f t="shared" si="22"/>
        <v>#DIV/0!</v>
      </c>
      <c r="U88" s="16" t="e">
        <f t="shared" si="23"/>
        <v>#DIV/0!</v>
      </c>
    </row>
    <row r="89" spans="1:21" x14ac:dyDescent="0.3">
      <c r="A89" s="77" t="s">
        <v>278</v>
      </c>
      <c r="B89" s="78" t="s">
        <v>372</v>
      </c>
      <c r="C89" s="78" t="s">
        <v>280</v>
      </c>
      <c r="D89" s="78" t="s">
        <v>291</v>
      </c>
      <c r="E89" s="79" t="s">
        <v>391</v>
      </c>
      <c r="F89" s="78" t="s">
        <v>283</v>
      </c>
      <c r="G89" s="78" t="s">
        <v>216</v>
      </c>
      <c r="H89" s="78" t="s">
        <v>11</v>
      </c>
      <c r="I89" s="78" t="s">
        <v>214</v>
      </c>
      <c r="J89" s="79" t="s">
        <v>217</v>
      </c>
      <c r="K89" s="80">
        <v>8.5</v>
      </c>
      <c r="L89" s="80">
        <f t="shared" si="18"/>
        <v>6.666666666666667</v>
      </c>
      <c r="M89" s="81">
        <f>prodnorm6</f>
        <v>0</v>
      </c>
      <c r="N89" s="82">
        <f>dagwerk6</f>
        <v>0</v>
      </c>
      <c r="O89" s="78" t="s">
        <v>103</v>
      </c>
      <c r="P89" s="15">
        <f>uurtarief6</f>
        <v>0</v>
      </c>
      <c r="Q89" s="80" t="e">
        <f t="shared" si="19"/>
        <v>#DIV/0!</v>
      </c>
      <c r="R89" s="80" t="e">
        <f t="shared" si="20"/>
        <v>#DIV/0!</v>
      </c>
      <c r="S89" s="15" t="e">
        <f t="shared" si="21"/>
        <v>#DIV/0!</v>
      </c>
      <c r="T89" s="80" t="e">
        <f t="shared" si="22"/>
        <v>#DIV/0!</v>
      </c>
      <c r="U89" s="16" t="e">
        <f t="shared" si="23"/>
        <v>#DIV/0!</v>
      </c>
    </row>
    <row r="90" spans="1:21" x14ac:dyDescent="0.3">
      <c r="A90" s="77" t="s">
        <v>278</v>
      </c>
      <c r="B90" s="78" t="s">
        <v>372</v>
      </c>
      <c r="C90" s="78" t="s">
        <v>280</v>
      </c>
      <c r="D90" s="78" t="s">
        <v>292</v>
      </c>
      <c r="E90" s="79" t="s">
        <v>384</v>
      </c>
      <c r="F90" s="78" t="s">
        <v>283</v>
      </c>
      <c r="G90" s="78" t="s">
        <v>216</v>
      </c>
      <c r="H90" s="78" t="s">
        <v>11</v>
      </c>
      <c r="I90" s="78" t="s">
        <v>214</v>
      </c>
      <c r="J90" s="79" t="s">
        <v>217</v>
      </c>
      <c r="K90" s="80">
        <v>18.100000000000001</v>
      </c>
      <c r="L90" s="80">
        <f t="shared" si="18"/>
        <v>14.19607843137255</v>
      </c>
      <c r="M90" s="81">
        <f>prodnorm6</f>
        <v>0</v>
      </c>
      <c r="N90" s="82">
        <f>dagwerk6</f>
        <v>0</v>
      </c>
      <c r="O90" s="78" t="s">
        <v>103</v>
      </c>
      <c r="P90" s="15">
        <f>uurtarief6</f>
        <v>0</v>
      </c>
      <c r="Q90" s="80" t="e">
        <f t="shared" si="19"/>
        <v>#DIV/0!</v>
      </c>
      <c r="R90" s="80" t="e">
        <f t="shared" si="20"/>
        <v>#DIV/0!</v>
      </c>
      <c r="S90" s="15" t="e">
        <f t="shared" si="21"/>
        <v>#DIV/0!</v>
      </c>
      <c r="T90" s="80" t="e">
        <f t="shared" si="22"/>
        <v>#DIV/0!</v>
      </c>
      <c r="U90" s="16" t="e">
        <f t="shared" si="23"/>
        <v>#DIV/0!</v>
      </c>
    </row>
    <row r="91" spans="1:21" x14ac:dyDescent="0.3">
      <c r="A91" s="77" t="s">
        <v>278</v>
      </c>
      <c r="B91" s="78" t="s">
        <v>372</v>
      </c>
      <c r="C91" s="78" t="s">
        <v>280</v>
      </c>
      <c r="D91" s="78" t="s">
        <v>294</v>
      </c>
      <c r="E91" s="79" t="s">
        <v>407</v>
      </c>
      <c r="F91" s="78" t="s">
        <v>387</v>
      </c>
      <c r="G91" s="78" t="s">
        <v>250</v>
      </c>
      <c r="H91" s="78" t="s">
        <v>11</v>
      </c>
      <c r="I91" s="78" t="s">
        <v>214</v>
      </c>
      <c r="J91" s="79" t="s">
        <v>251</v>
      </c>
      <c r="K91" s="80">
        <v>26.4</v>
      </c>
      <c r="L91" s="80">
        <f t="shared" si="18"/>
        <v>20.705882352941174</v>
      </c>
      <c r="M91" s="81">
        <f>prodnorm30</f>
        <v>0</v>
      </c>
      <c r="N91" s="82">
        <f>dagwerk30</f>
        <v>0</v>
      </c>
      <c r="O91" s="78" t="s">
        <v>103</v>
      </c>
      <c r="P91" s="15">
        <f>uurtarief30</f>
        <v>0</v>
      </c>
      <c r="Q91" s="80" t="e">
        <f t="shared" si="19"/>
        <v>#DIV/0!</v>
      </c>
      <c r="R91" s="80" t="e">
        <f t="shared" si="20"/>
        <v>#DIV/0!</v>
      </c>
      <c r="S91" s="15" t="e">
        <f t="shared" si="21"/>
        <v>#DIV/0!</v>
      </c>
      <c r="T91" s="80" t="e">
        <f t="shared" si="22"/>
        <v>#DIV/0!</v>
      </c>
      <c r="U91" s="16" t="e">
        <f t="shared" si="23"/>
        <v>#DIV/0!</v>
      </c>
    </row>
    <row r="92" spans="1:21" x14ac:dyDescent="0.3">
      <c r="A92" s="77" t="s">
        <v>278</v>
      </c>
      <c r="B92" s="78" t="s">
        <v>372</v>
      </c>
      <c r="C92" s="78" t="s">
        <v>280</v>
      </c>
      <c r="D92" s="78" t="s">
        <v>296</v>
      </c>
      <c r="E92" s="79" t="s">
        <v>382</v>
      </c>
      <c r="F92" s="78" t="s">
        <v>283</v>
      </c>
      <c r="G92" s="78" t="s">
        <v>234</v>
      </c>
      <c r="H92" s="78" t="s">
        <v>11</v>
      </c>
      <c r="I92" s="78" t="s">
        <v>214</v>
      </c>
      <c r="J92" s="79" t="s">
        <v>235</v>
      </c>
      <c r="K92" s="80">
        <v>58.2</v>
      </c>
      <c r="L92" s="80">
        <f t="shared" si="18"/>
        <v>45.647058823529413</v>
      </c>
      <c r="M92" s="81">
        <f>prodnorm21</f>
        <v>0</v>
      </c>
      <c r="N92" s="82">
        <f>dagwerk21</f>
        <v>0</v>
      </c>
      <c r="O92" s="78" t="s">
        <v>103</v>
      </c>
      <c r="P92" s="15">
        <f>uurtarief21</f>
        <v>0</v>
      </c>
      <c r="Q92" s="80" t="e">
        <f t="shared" si="19"/>
        <v>#DIV/0!</v>
      </c>
      <c r="R92" s="80" t="e">
        <f t="shared" si="20"/>
        <v>#DIV/0!</v>
      </c>
      <c r="S92" s="15" t="e">
        <f t="shared" si="21"/>
        <v>#DIV/0!</v>
      </c>
      <c r="T92" s="80" t="e">
        <f t="shared" si="22"/>
        <v>#DIV/0!</v>
      </c>
      <c r="U92" s="16" t="e">
        <f t="shared" si="23"/>
        <v>#DIV/0!</v>
      </c>
    </row>
    <row r="93" spans="1:21" x14ac:dyDescent="0.3">
      <c r="A93" s="77" t="s">
        <v>278</v>
      </c>
      <c r="B93" s="78" t="s">
        <v>372</v>
      </c>
      <c r="C93" s="78" t="s">
        <v>280</v>
      </c>
      <c r="D93" s="78" t="s">
        <v>298</v>
      </c>
      <c r="E93" s="79" t="s">
        <v>287</v>
      </c>
      <c r="F93" s="78" t="s">
        <v>404</v>
      </c>
      <c r="G93" s="78" t="s">
        <v>252</v>
      </c>
      <c r="H93" s="78" t="s">
        <v>11</v>
      </c>
      <c r="I93" s="78" t="s">
        <v>214</v>
      </c>
      <c r="J93" s="79" t="s">
        <v>253</v>
      </c>
      <c r="K93" s="80">
        <v>10</v>
      </c>
      <c r="L93" s="80">
        <f t="shared" si="18"/>
        <v>7.8431372549019605</v>
      </c>
      <c r="M93" s="81">
        <f>prodnorm31</f>
        <v>0</v>
      </c>
      <c r="N93" s="82">
        <f>dagwerk31</f>
        <v>0</v>
      </c>
      <c r="O93" s="78" t="s">
        <v>103</v>
      </c>
      <c r="P93" s="15">
        <f>uurtarief31</f>
        <v>0</v>
      </c>
      <c r="Q93" s="80" t="e">
        <f t="shared" si="19"/>
        <v>#DIV/0!</v>
      </c>
      <c r="R93" s="80" t="e">
        <f t="shared" si="20"/>
        <v>#DIV/0!</v>
      </c>
      <c r="S93" s="15" t="e">
        <f t="shared" si="21"/>
        <v>#DIV/0!</v>
      </c>
      <c r="T93" s="80" t="e">
        <f t="shared" si="22"/>
        <v>#DIV/0!</v>
      </c>
      <c r="U93" s="16" t="e">
        <f t="shared" si="23"/>
        <v>#DIV/0!</v>
      </c>
    </row>
    <row r="94" spans="1:21" x14ac:dyDescent="0.3">
      <c r="A94" s="77" t="s">
        <v>278</v>
      </c>
      <c r="B94" s="78" t="s">
        <v>372</v>
      </c>
      <c r="C94" s="78" t="s">
        <v>280</v>
      </c>
      <c r="D94" s="78" t="s">
        <v>301</v>
      </c>
      <c r="E94" s="79" t="s">
        <v>382</v>
      </c>
      <c r="F94" s="78" t="s">
        <v>283</v>
      </c>
      <c r="G94" s="78" t="s">
        <v>234</v>
      </c>
      <c r="H94" s="78" t="s">
        <v>11</v>
      </c>
      <c r="I94" s="78" t="s">
        <v>214</v>
      </c>
      <c r="J94" s="79" t="s">
        <v>235</v>
      </c>
      <c r="K94" s="80">
        <v>55.4</v>
      </c>
      <c r="L94" s="80">
        <f t="shared" si="18"/>
        <v>43.450980392156858</v>
      </c>
      <c r="M94" s="81">
        <f>prodnorm21</f>
        <v>0</v>
      </c>
      <c r="N94" s="82">
        <f>dagwerk21</f>
        <v>0</v>
      </c>
      <c r="O94" s="78" t="s">
        <v>103</v>
      </c>
      <c r="P94" s="15">
        <f>uurtarief21</f>
        <v>0</v>
      </c>
      <c r="Q94" s="80" t="e">
        <f t="shared" si="19"/>
        <v>#DIV/0!</v>
      </c>
      <c r="R94" s="80" t="e">
        <f t="shared" si="20"/>
        <v>#DIV/0!</v>
      </c>
      <c r="S94" s="15" t="e">
        <f t="shared" si="21"/>
        <v>#DIV/0!</v>
      </c>
      <c r="T94" s="80" t="e">
        <f t="shared" si="22"/>
        <v>#DIV/0!</v>
      </c>
      <c r="U94" s="16" t="e">
        <f t="shared" si="23"/>
        <v>#DIV/0!</v>
      </c>
    </row>
    <row r="95" spans="1:21" x14ac:dyDescent="0.3">
      <c r="A95" s="77" t="s">
        <v>278</v>
      </c>
      <c r="B95" s="78" t="s">
        <v>372</v>
      </c>
      <c r="C95" s="78" t="s">
        <v>280</v>
      </c>
      <c r="D95" s="78" t="s">
        <v>408</v>
      </c>
      <c r="E95" s="79" t="s">
        <v>382</v>
      </c>
      <c r="F95" s="78" t="s">
        <v>283</v>
      </c>
      <c r="G95" s="78" t="s">
        <v>234</v>
      </c>
      <c r="H95" s="78" t="s">
        <v>11</v>
      </c>
      <c r="I95" s="78" t="s">
        <v>214</v>
      </c>
      <c r="J95" s="79" t="s">
        <v>235</v>
      </c>
      <c r="K95" s="80">
        <v>58.2</v>
      </c>
      <c r="L95" s="80">
        <f t="shared" si="18"/>
        <v>45.647058823529413</v>
      </c>
      <c r="M95" s="81">
        <f>prodnorm21</f>
        <v>0</v>
      </c>
      <c r="N95" s="82">
        <f>dagwerk21</f>
        <v>0</v>
      </c>
      <c r="O95" s="78" t="s">
        <v>103</v>
      </c>
      <c r="P95" s="15">
        <f>uurtarief21</f>
        <v>0</v>
      </c>
      <c r="Q95" s="80" t="e">
        <f t="shared" si="19"/>
        <v>#DIV/0!</v>
      </c>
      <c r="R95" s="80" t="e">
        <f t="shared" si="20"/>
        <v>#DIV/0!</v>
      </c>
      <c r="S95" s="15" t="e">
        <f t="shared" si="21"/>
        <v>#DIV/0!</v>
      </c>
      <c r="T95" s="80" t="e">
        <f t="shared" si="22"/>
        <v>#DIV/0!</v>
      </c>
      <c r="U95" s="16" t="e">
        <f t="shared" si="23"/>
        <v>#DIV/0!</v>
      </c>
    </row>
    <row r="96" spans="1:21" x14ac:dyDescent="0.3">
      <c r="A96" s="77" t="s">
        <v>278</v>
      </c>
      <c r="B96" s="78" t="s">
        <v>372</v>
      </c>
      <c r="C96" s="78" t="s">
        <v>280</v>
      </c>
      <c r="D96" s="78" t="s">
        <v>304</v>
      </c>
      <c r="E96" s="79" t="s">
        <v>384</v>
      </c>
      <c r="F96" s="78" t="s">
        <v>283</v>
      </c>
      <c r="G96" s="78" t="s">
        <v>216</v>
      </c>
      <c r="H96" s="78" t="s">
        <v>11</v>
      </c>
      <c r="I96" s="78" t="s">
        <v>214</v>
      </c>
      <c r="J96" s="79" t="s">
        <v>217</v>
      </c>
      <c r="K96" s="80">
        <v>18.2</v>
      </c>
      <c r="L96" s="80">
        <f t="shared" si="18"/>
        <v>14.274509803921568</v>
      </c>
      <c r="M96" s="81">
        <f>prodnorm6</f>
        <v>0</v>
      </c>
      <c r="N96" s="82">
        <f>dagwerk6</f>
        <v>0</v>
      </c>
      <c r="O96" s="78" t="s">
        <v>103</v>
      </c>
      <c r="P96" s="15">
        <f>uurtarief6</f>
        <v>0</v>
      </c>
      <c r="Q96" s="80" t="e">
        <f t="shared" si="19"/>
        <v>#DIV/0!</v>
      </c>
      <c r="R96" s="80" t="e">
        <f t="shared" si="20"/>
        <v>#DIV/0!</v>
      </c>
      <c r="S96" s="15" t="e">
        <f t="shared" si="21"/>
        <v>#DIV/0!</v>
      </c>
      <c r="T96" s="80" t="e">
        <f t="shared" si="22"/>
        <v>#DIV/0!</v>
      </c>
      <c r="U96" s="16" t="e">
        <f t="shared" si="23"/>
        <v>#DIV/0!</v>
      </c>
    </row>
    <row r="97" spans="1:21" x14ac:dyDescent="0.3">
      <c r="A97" s="77" t="s">
        <v>278</v>
      </c>
      <c r="B97" s="78" t="s">
        <v>372</v>
      </c>
      <c r="C97" s="78" t="s">
        <v>280</v>
      </c>
      <c r="D97" s="78" t="s">
        <v>311</v>
      </c>
      <c r="E97" s="79" t="s">
        <v>378</v>
      </c>
      <c r="F97" s="78" t="s">
        <v>283</v>
      </c>
      <c r="G97" s="78" t="s">
        <v>234</v>
      </c>
      <c r="H97" s="78" t="s">
        <v>11</v>
      </c>
      <c r="I97" s="78" t="s">
        <v>214</v>
      </c>
      <c r="J97" s="79" t="s">
        <v>235</v>
      </c>
      <c r="K97" s="80">
        <v>44.6</v>
      </c>
      <c r="L97" s="80">
        <f t="shared" si="18"/>
        <v>34.980392156862749</v>
      </c>
      <c r="M97" s="81">
        <f>prodnorm21</f>
        <v>0</v>
      </c>
      <c r="N97" s="82">
        <f>dagwerk21</f>
        <v>0</v>
      </c>
      <c r="O97" s="78" t="s">
        <v>103</v>
      </c>
      <c r="P97" s="15">
        <f>uurtarief21</f>
        <v>0</v>
      </c>
      <c r="Q97" s="80" t="e">
        <f t="shared" si="19"/>
        <v>#DIV/0!</v>
      </c>
      <c r="R97" s="80" t="e">
        <f t="shared" si="20"/>
        <v>#DIV/0!</v>
      </c>
      <c r="S97" s="15" t="e">
        <f t="shared" si="21"/>
        <v>#DIV/0!</v>
      </c>
      <c r="T97" s="80" t="e">
        <f t="shared" si="22"/>
        <v>#DIV/0!</v>
      </c>
      <c r="U97" s="16" t="e">
        <f t="shared" si="23"/>
        <v>#DIV/0!</v>
      </c>
    </row>
    <row r="98" spans="1:21" x14ac:dyDescent="0.3">
      <c r="A98" s="77" t="s">
        <v>278</v>
      </c>
      <c r="B98" s="78" t="s">
        <v>372</v>
      </c>
      <c r="C98" s="78" t="s">
        <v>280</v>
      </c>
      <c r="D98" s="78" t="s">
        <v>313</v>
      </c>
      <c r="E98" s="79" t="s">
        <v>391</v>
      </c>
      <c r="F98" s="78" t="s">
        <v>283</v>
      </c>
      <c r="G98" s="78" t="s">
        <v>216</v>
      </c>
      <c r="H98" s="78" t="s">
        <v>11</v>
      </c>
      <c r="I98" s="78" t="s">
        <v>214</v>
      </c>
      <c r="J98" s="79" t="s">
        <v>217</v>
      </c>
      <c r="K98" s="80">
        <v>12.6</v>
      </c>
      <c r="L98" s="80">
        <f t="shared" si="18"/>
        <v>9.882352941176471</v>
      </c>
      <c r="M98" s="81">
        <f>prodnorm6</f>
        <v>0</v>
      </c>
      <c r="N98" s="82">
        <f>dagwerk6</f>
        <v>0</v>
      </c>
      <c r="O98" s="78" t="s">
        <v>103</v>
      </c>
      <c r="P98" s="15">
        <f>uurtarief6</f>
        <v>0</v>
      </c>
      <c r="Q98" s="80" t="e">
        <f t="shared" si="19"/>
        <v>#DIV/0!</v>
      </c>
      <c r="R98" s="80" t="e">
        <f t="shared" si="20"/>
        <v>#DIV/0!</v>
      </c>
      <c r="S98" s="15" t="e">
        <f t="shared" si="21"/>
        <v>#DIV/0!</v>
      </c>
      <c r="T98" s="80" t="e">
        <f t="shared" si="22"/>
        <v>#DIV/0!</v>
      </c>
      <c r="U98" s="16" t="e">
        <f t="shared" si="23"/>
        <v>#DIV/0!</v>
      </c>
    </row>
    <row r="99" spans="1:21" x14ac:dyDescent="0.3">
      <c r="A99" s="77" t="s">
        <v>278</v>
      </c>
      <c r="B99" s="78" t="s">
        <v>372</v>
      </c>
      <c r="C99" s="78" t="s">
        <v>280</v>
      </c>
      <c r="D99" s="78" t="s">
        <v>315</v>
      </c>
      <c r="E99" s="79" t="s">
        <v>382</v>
      </c>
      <c r="F99" s="78" t="s">
        <v>283</v>
      </c>
      <c r="G99" s="78" t="s">
        <v>234</v>
      </c>
      <c r="H99" s="78" t="s">
        <v>11</v>
      </c>
      <c r="I99" s="78" t="s">
        <v>214</v>
      </c>
      <c r="J99" s="79" t="s">
        <v>235</v>
      </c>
      <c r="K99" s="80">
        <v>55.8</v>
      </c>
      <c r="L99" s="80">
        <f t="shared" si="18"/>
        <v>43.764705882352935</v>
      </c>
      <c r="M99" s="81">
        <f>prodnorm21</f>
        <v>0</v>
      </c>
      <c r="N99" s="82">
        <f>dagwerk21</f>
        <v>0</v>
      </c>
      <c r="O99" s="78" t="s">
        <v>103</v>
      </c>
      <c r="P99" s="15">
        <f>uurtarief21</f>
        <v>0</v>
      </c>
      <c r="Q99" s="80" t="e">
        <f t="shared" si="19"/>
        <v>#DIV/0!</v>
      </c>
      <c r="R99" s="80" t="e">
        <f t="shared" si="20"/>
        <v>#DIV/0!</v>
      </c>
      <c r="S99" s="15" t="e">
        <f t="shared" si="21"/>
        <v>#DIV/0!</v>
      </c>
      <c r="T99" s="80" t="e">
        <f t="shared" si="22"/>
        <v>#DIV/0!</v>
      </c>
      <c r="U99" s="16" t="e">
        <f t="shared" si="23"/>
        <v>#DIV/0!</v>
      </c>
    </row>
    <row r="100" spans="1:21" x14ac:dyDescent="0.3">
      <c r="A100" s="77" t="s">
        <v>278</v>
      </c>
      <c r="B100" s="78" t="s">
        <v>372</v>
      </c>
      <c r="C100" s="78" t="s">
        <v>280</v>
      </c>
      <c r="D100" s="78" t="s">
        <v>317</v>
      </c>
      <c r="E100" s="79" t="s">
        <v>384</v>
      </c>
      <c r="F100" s="78" t="s">
        <v>283</v>
      </c>
      <c r="G100" s="78" t="s">
        <v>216</v>
      </c>
      <c r="H100" s="78" t="s">
        <v>11</v>
      </c>
      <c r="I100" s="78" t="s">
        <v>214</v>
      </c>
      <c r="J100" s="79" t="s">
        <v>217</v>
      </c>
      <c r="K100" s="80">
        <v>18</v>
      </c>
      <c r="L100" s="80">
        <f t="shared" si="18"/>
        <v>14.117647058823529</v>
      </c>
      <c r="M100" s="81">
        <f>prodnorm6</f>
        <v>0</v>
      </c>
      <c r="N100" s="82">
        <f>dagwerk6</f>
        <v>0</v>
      </c>
      <c r="O100" s="78" t="s">
        <v>103</v>
      </c>
      <c r="P100" s="15">
        <f>uurtarief6</f>
        <v>0</v>
      </c>
      <c r="Q100" s="80" t="e">
        <f t="shared" si="19"/>
        <v>#DIV/0!</v>
      </c>
      <c r="R100" s="80" t="e">
        <f t="shared" si="20"/>
        <v>#DIV/0!</v>
      </c>
      <c r="S100" s="15" t="e">
        <f t="shared" si="21"/>
        <v>#DIV/0!</v>
      </c>
      <c r="T100" s="80" t="e">
        <f t="shared" si="22"/>
        <v>#DIV/0!</v>
      </c>
      <c r="U100" s="16" t="e">
        <f t="shared" si="23"/>
        <v>#DIV/0!</v>
      </c>
    </row>
    <row r="101" spans="1:21" x14ac:dyDescent="0.3">
      <c r="A101" s="77" t="s">
        <v>278</v>
      </c>
      <c r="B101" s="78" t="s">
        <v>372</v>
      </c>
      <c r="C101" s="78" t="s">
        <v>280</v>
      </c>
      <c r="D101" s="78" t="s">
        <v>319</v>
      </c>
      <c r="E101" s="79" t="s">
        <v>409</v>
      </c>
      <c r="F101" s="78" t="s">
        <v>283</v>
      </c>
      <c r="G101" s="78" t="s">
        <v>216</v>
      </c>
      <c r="H101" s="78" t="s">
        <v>11</v>
      </c>
      <c r="I101" s="78" t="s">
        <v>214</v>
      </c>
      <c r="J101" s="79" t="s">
        <v>217</v>
      </c>
      <c r="K101" s="80">
        <v>17.899999999999999</v>
      </c>
      <c r="L101" s="80">
        <f t="shared" si="18"/>
        <v>14.039215686274508</v>
      </c>
      <c r="M101" s="81">
        <f>prodnorm6</f>
        <v>0</v>
      </c>
      <c r="N101" s="82">
        <f>dagwerk6</f>
        <v>0</v>
      </c>
      <c r="O101" s="78" t="s">
        <v>103</v>
      </c>
      <c r="P101" s="15">
        <f>uurtarief6</f>
        <v>0</v>
      </c>
      <c r="Q101" s="80" t="e">
        <f t="shared" si="19"/>
        <v>#DIV/0!</v>
      </c>
      <c r="R101" s="80" t="e">
        <f t="shared" si="20"/>
        <v>#DIV/0!</v>
      </c>
      <c r="S101" s="15" t="e">
        <f t="shared" si="21"/>
        <v>#DIV/0!</v>
      </c>
      <c r="T101" s="80" t="e">
        <f t="shared" si="22"/>
        <v>#DIV/0!</v>
      </c>
      <c r="U101" s="16" t="e">
        <f t="shared" si="23"/>
        <v>#DIV/0!</v>
      </c>
    </row>
    <row r="102" spans="1:21" x14ac:dyDescent="0.3">
      <c r="A102" s="77" t="s">
        <v>278</v>
      </c>
      <c r="B102" s="78" t="s">
        <v>372</v>
      </c>
      <c r="C102" s="78" t="s">
        <v>280</v>
      </c>
      <c r="D102" s="78" t="s">
        <v>325</v>
      </c>
      <c r="E102" s="79" t="s">
        <v>396</v>
      </c>
      <c r="F102" s="78" t="s">
        <v>283</v>
      </c>
      <c r="G102" s="78" t="s">
        <v>216</v>
      </c>
      <c r="H102" s="78" t="s">
        <v>11</v>
      </c>
      <c r="I102" s="78" t="s">
        <v>214</v>
      </c>
      <c r="J102" s="79" t="s">
        <v>217</v>
      </c>
      <c r="K102" s="80">
        <v>36.799999999999997</v>
      </c>
      <c r="L102" s="80">
        <f t="shared" si="18"/>
        <v>28.862745098039213</v>
      </c>
      <c r="M102" s="81">
        <f>prodnorm6</f>
        <v>0</v>
      </c>
      <c r="N102" s="82">
        <f>dagwerk6</f>
        <v>0</v>
      </c>
      <c r="O102" s="78" t="s">
        <v>103</v>
      </c>
      <c r="P102" s="15">
        <f>uurtarief6</f>
        <v>0</v>
      </c>
      <c r="Q102" s="80" t="e">
        <f t="shared" si="19"/>
        <v>#DIV/0!</v>
      </c>
      <c r="R102" s="80" t="e">
        <f t="shared" si="20"/>
        <v>#DIV/0!</v>
      </c>
      <c r="S102" s="15" t="e">
        <f t="shared" si="21"/>
        <v>#DIV/0!</v>
      </c>
      <c r="T102" s="80" t="e">
        <f t="shared" si="22"/>
        <v>#DIV/0!</v>
      </c>
      <c r="U102" s="16" t="e">
        <f t="shared" si="23"/>
        <v>#DIV/0!</v>
      </c>
    </row>
    <row r="103" spans="1:21" x14ac:dyDescent="0.3">
      <c r="A103" s="77" t="s">
        <v>278</v>
      </c>
      <c r="B103" s="78" t="s">
        <v>372</v>
      </c>
      <c r="C103" s="78" t="s">
        <v>280</v>
      </c>
      <c r="D103" s="78" t="s">
        <v>410</v>
      </c>
      <c r="E103" s="79" t="s">
        <v>411</v>
      </c>
      <c r="F103" s="78" t="s">
        <v>404</v>
      </c>
      <c r="G103" s="78" t="s">
        <v>252</v>
      </c>
      <c r="H103" s="78" t="s">
        <v>11</v>
      </c>
      <c r="I103" s="78" t="s">
        <v>214</v>
      </c>
      <c r="J103" s="79" t="s">
        <v>253</v>
      </c>
      <c r="K103" s="80">
        <v>11</v>
      </c>
      <c r="L103" s="80">
        <f t="shared" si="18"/>
        <v>8.6274509803921564</v>
      </c>
      <c r="M103" s="81">
        <f>prodnorm31</f>
        <v>0</v>
      </c>
      <c r="N103" s="82">
        <f>dagwerk31</f>
        <v>0</v>
      </c>
      <c r="O103" s="78" t="s">
        <v>103</v>
      </c>
      <c r="P103" s="15">
        <f>uurtarief31</f>
        <v>0</v>
      </c>
      <c r="Q103" s="80" t="e">
        <f t="shared" si="19"/>
        <v>#DIV/0!</v>
      </c>
      <c r="R103" s="80" t="e">
        <f t="shared" si="20"/>
        <v>#DIV/0!</v>
      </c>
      <c r="S103" s="15" t="e">
        <f t="shared" si="21"/>
        <v>#DIV/0!</v>
      </c>
      <c r="T103" s="80" t="e">
        <f t="shared" si="22"/>
        <v>#DIV/0!</v>
      </c>
      <c r="U103" s="16" t="e">
        <f t="shared" si="23"/>
        <v>#DIV/0!</v>
      </c>
    </row>
    <row r="104" spans="1:21" ht="27" x14ac:dyDescent="0.3">
      <c r="A104" s="77" t="s">
        <v>278</v>
      </c>
      <c r="B104" s="78" t="s">
        <v>372</v>
      </c>
      <c r="C104" s="78" t="s">
        <v>280</v>
      </c>
      <c r="D104" s="78" t="s">
        <v>412</v>
      </c>
      <c r="E104" s="79" t="s">
        <v>380</v>
      </c>
      <c r="F104" s="78" t="s">
        <v>283</v>
      </c>
      <c r="G104" s="78" t="s">
        <v>256</v>
      </c>
      <c r="H104" s="78" t="s">
        <v>11</v>
      </c>
      <c r="I104" s="78" t="s">
        <v>214</v>
      </c>
      <c r="J104" s="79" t="s">
        <v>257</v>
      </c>
      <c r="K104" s="80">
        <v>49.1</v>
      </c>
      <c r="L104" s="80">
        <f t="shared" si="18"/>
        <v>38.509803921568626</v>
      </c>
      <c r="M104" s="81">
        <f>prodnorm33</f>
        <v>0</v>
      </c>
      <c r="N104" s="82">
        <f>dagwerk33</f>
        <v>0</v>
      </c>
      <c r="O104" s="78" t="s">
        <v>103</v>
      </c>
      <c r="P104" s="15">
        <f>uurtarief33</f>
        <v>0</v>
      </c>
      <c r="Q104" s="80" t="e">
        <f t="shared" si="19"/>
        <v>#DIV/0!</v>
      </c>
      <c r="R104" s="80" t="e">
        <f t="shared" si="20"/>
        <v>#DIV/0!</v>
      </c>
      <c r="S104" s="15" t="e">
        <f t="shared" si="21"/>
        <v>#DIV/0!</v>
      </c>
      <c r="T104" s="80" t="e">
        <f t="shared" si="22"/>
        <v>#DIV/0!</v>
      </c>
      <c r="U104" s="16" t="e">
        <f t="shared" si="23"/>
        <v>#DIV/0!</v>
      </c>
    </row>
    <row r="105" spans="1:21" ht="27" x14ac:dyDescent="0.3">
      <c r="A105" s="77" t="s">
        <v>278</v>
      </c>
      <c r="B105" s="78" t="s">
        <v>372</v>
      </c>
      <c r="C105" s="78" t="s">
        <v>280</v>
      </c>
      <c r="D105" s="78" t="s">
        <v>413</v>
      </c>
      <c r="E105" s="79" t="s">
        <v>380</v>
      </c>
      <c r="F105" s="78" t="s">
        <v>283</v>
      </c>
      <c r="G105" s="78" t="s">
        <v>256</v>
      </c>
      <c r="H105" s="78" t="s">
        <v>11</v>
      </c>
      <c r="I105" s="78" t="s">
        <v>214</v>
      </c>
      <c r="J105" s="79" t="s">
        <v>257</v>
      </c>
      <c r="K105" s="80">
        <v>18.399999999999999</v>
      </c>
      <c r="L105" s="80">
        <f t="shared" si="18"/>
        <v>14.431372549019606</v>
      </c>
      <c r="M105" s="81">
        <f>prodnorm33</f>
        <v>0</v>
      </c>
      <c r="N105" s="82">
        <f>dagwerk33</f>
        <v>0</v>
      </c>
      <c r="O105" s="78" t="s">
        <v>103</v>
      </c>
      <c r="P105" s="15">
        <f>uurtarief33</f>
        <v>0</v>
      </c>
      <c r="Q105" s="80" t="e">
        <f t="shared" si="19"/>
        <v>#DIV/0!</v>
      </c>
      <c r="R105" s="80" t="e">
        <f t="shared" si="20"/>
        <v>#DIV/0!</v>
      </c>
      <c r="S105" s="15" t="e">
        <f t="shared" si="21"/>
        <v>#DIV/0!</v>
      </c>
      <c r="T105" s="80" t="e">
        <f t="shared" si="22"/>
        <v>#DIV/0!</v>
      </c>
      <c r="U105" s="16" t="e">
        <f t="shared" si="23"/>
        <v>#DIV/0!</v>
      </c>
    </row>
    <row r="106" spans="1:21" x14ac:dyDescent="0.3">
      <c r="A106" s="77" t="s">
        <v>278</v>
      </c>
      <c r="B106" s="78" t="s">
        <v>372</v>
      </c>
      <c r="C106" s="78" t="s">
        <v>280</v>
      </c>
      <c r="D106" s="78" t="s">
        <v>326</v>
      </c>
      <c r="E106" s="79" t="s">
        <v>382</v>
      </c>
      <c r="F106" s="78" t="s">
        <v>283</v>
      </c>
      <c r="G106" s="78" t="s">
        <v>234</v>
      </c>
      <c r="H106" s="78" t="s">
        <v>11</v>
      </c>
      <c r="I106" s="78" t="s">
        <v>214</v>
      </c>
      <c r="J106" s="79" t="s">
        <v>235</v>
      </c>
      <c r="K106" s="80">
        <v>54.7</v>
      </c>
      <c r="L106" s="80">
        <f t="shared" si="18"/>
        <v>42.901960784313729</v>
      </c>
      <c r="M106" s="81">
        <f>prodnorm21</f>
        <v>0</v>
      </c>
      <c r="N106" s="82">
        <f>dagwerk21</f>
        <v>0</v>
      </c>
      <c r="O106" s="78" t="s">
        <v>103</v>
      </c>
      <c r="P106" s="15">
        <f>uurtarief21</f>
        <v>0</v>
      </c>
      <c r="Q106" s="80" t="e">
        <f t="shared" si="19"/>
        <v>#DIV/0!</v>
      </c>
      <c r="R106" s="80" t="e">
        <f t="shared" si="20"/>
        <v>#DIV/0!</v>
      </c>
      <c r="S106" s="15" t="e">
        <f t="shared" si="21"/>
        <v>#DIV/0!</v>
      </c>
      <c r="T106" s="80" t="e">
        <f t="shared" si="22"/>
        <v>#DIV/0!</v>
      </c>
      <c r="U106" s="16" t="e">
        <f t="shared" si="23"/>
        <v>#DIV/0!</v>
      </c>
    </row>
    <row r="107" spans="1:21" x14ac:dyDescent="0.3">
      <c r="A107" s="77" t="s">
        <v>278</v>
      </c>
      <c r="B107" s="78" t="s">
        <v>372</v>
      </c>
      <c r="C107" s="78" t="s">
        <v>280</v>
      </c>
      <c r="D107" s="78" t="s">
        <v>328</v>
      </c>
      <c r="E107" s="79" t="s">
        <v>384</v>
      </c>
      <c r="F107" s="78" t="s">
        <v>283</v>
      </c>
      <c r="G107" s="78" t="s">
        <v>216</v>
      </c>
      <c r="H107" s="78" t="s">
        <v>11</v>
      </c>
      <c r="I107" s="78" t="s">
        <v>214</v>
      </c>
      <c r="J107" s="79" t="s">
        <v>217</v>
      </c>
      <c r="K107" s="80">
        <v>18</v>
      </c>
      <c r="L107" s="80">
        <f t="shared" si="18"/>
        <v>14.117647058823529</v>
      </c>
      <c r="M107" s="81">
        <f>prodnorm6</f>
        <v>0</v>
      </c>
      <c r="N107" s="82">
        <f>dagwerk6</f>
        <v>0</v>
      </c>
      <c r="O107" s="78" t="s">
        <v>103</v>
      </c>
      <c r="P107" s="15">
        <f>uurtarief6</f>
        <v>0</v>
      </c>
      <c r="Q107" s="80" t="e">
        <f t="shared" si="19"/>
        <v>#DIV/0!</v>
      </c>
      <c r="R107" s="80" t="e">
        <f t="shared" si="20"/>
        <v>#DIV/0!</v>
      </c>
      <c r="S107" s="15" t="e">
        <f t="shared" si="21"/>
        <v>#DIV/0!</v>
      </c>
      <c r="T107" s="80" t="e">
        <f t="shared" si="22"/>
        <v>#DIV/0!</v>
      </c>
      <c r="U107" s="16" t="e">
        <f t="shared" si="23"/>
        <v>#DIV/0!</v>
      </c>
    </row>
    <row r="108" spans="1:21" x14ac:dyDescent="0.3">
      <c r="A108" s="77" t="s">
        <v>278</v>
      </c>
      <c r="B108" s="78" t="s">
        <v>372</v>
      </c>
      <c r="C108" s="78" t="s">
        <v>280</v>
      </c>
      <c r="D108" s="78" t="s">
        <v>329</v>
      </c>
      <c r="E108" s="79" t="s">
        <v>382</v>
      </c>
      <c r="F108" s="78" t="s">
        <v>283</v>
      </c>
      <c r="G108" s="78" t="s">
        <v>234</v>
      </c>
      <c r="H108" s="78" t="s">
        <v>11</v>
      </c>
      <c r="I108" s="78" t="s">
        <v>214</v>
      </c>
      <c r="J108" s="79" t="s">
        <v>235</v>
      </c>
      <c r="K108" s="80">
        <v>55.4</v>
      </c>
      <c r="L108" s="80">
        <f t="shared" si="18"/>
        <v>43.450980392156858</v>
      </c>
      <c r="M108" s="81">
        <f>prodnorm21</f>
        <v>0</v>
      </c>
      <c r="N108" s="82">
        <f>dagwerk21</f>
        <v>0</v>
      </c>
      <c r="O108" s="78" t="s">
        <v>103</v>
      </c>
      <c r="P108" s="15">
        <f>uurtarief21</f>
        <v>0</v>
      </c>
      <c r="Q108" s="80" t="e">
        <f t="shared" si="19"/>
        <v>#DIV/0!</v>
      </c>
      <c r="R108" s="80" t="e">
        <f t="shared" si="20"/>
        <v>#DIV/0!</v>
      </c>
      <c r="S108" s="15" t="e">
        <f t="shared" si="21"/>
        <v>#DIV/0!</v>
      </c>
      <c r="T108" s="80" t="e">
        <f t="shared" si="22"/>
        <v>#DIV/0!</v>
      </c>
      <c r="U108" s="16" t="e">
        <f t="shared" si="23"/>
        <v>#DIV/0!</v>
      </c>
    </row>
    <row r="109" spans="1:21" x14ac:dyDescent="0.3">
      <c r="A109" s="77" t="s">
        <v>278</v>
      </c>
      <c r="B109" s="78" t="s">
        <v>372</v>
      </c>
      <c r="C109" s="78" t="s">
        <v>280</v>
      </c>
      <c r="D109" s="78" t="s">
        <v>330</v>
      </c>
      <c r="E109" s="79" t="s">
        <v>312</v>
      </c>
      <c r="F109" s="78" t="s">
        <v>283</v>
      </c>
      <c r="G109" s="78" t="s">
        <v>238</v>
      </c>
      <c r="H109" s="78" t="s">
        <v>21</v>
      </c>
      <c r="I109" s="78" t="s">
        <v>214</v>
      </c>
      <c r="J109" s="79" t="s">
        <v>239</v>
      </c>
      <c r="K109" s="80">
        <v>12.2</v>
      </c>
      <c r="L109" s="80">
        <f t="shared" si="18"/>
        <v>0.47843137254901957</v>
      </c>
      <c r="M109" s="81">
        <f>prodnorm23</f>
        <v>0</v>
      </c>
      <c r="N109" s="82">
        <f>dagwerk23</f>
        <v>0</v>
      </c>
      <c r="O109" s="78" t="s">
        <v>103</v>
      </c>
      <c r="P109" s="15">
        <f>uurtarief23</f>
        <v>0</v>
      </c>
      <c r="Q109" s="80" t="e">
        <f t="shared" si="19"/>
        <v>#DIV/0!</v>
      </c>
      <c r="R109" s="80" t="e">
        <f t="shared" si="20"/>
        <v>#DIV/0!</v>
      </c>
      <c r="S109" s="15" t="e">
        <f t="shared" si="21"/>
        <v>#DIV/0!</v>
      </c>
      <c r="T109" s="80" t="e">
        <f t="shared" si="22"/>
        <v>#DIV/0!</v>
      </c>
      <c r="U109" s="16" t="e">
        <f t="shared" si="23"/>
        <v>#DIV/0!</v>
      </c>
    </row>
    <row r="110" spans="1:21" x14ac:dyDescent="0.3">
      <c r="A110" s="77" t="s">
        <v>278</v>
      </c>
      <c r="B110" s="78" t="s">
        <v>372</v>
      </c>
      <c r="C110" s="78" t="s">
        <v>280</v>
      </c>
      <c r="D110" s="78" t="s">
        <v>336</v>
      </c>
      <c r="E110" s="79" t="s">
        <v>414</v>
      </c>
      <c r="F110" s="78" t="s">
        <v>415</v>
      </c>
      <c r="G110" s="78" t="s">
        <v>224</v>
      </c>
      <c r="H110" s="78" t="s">
        <v>11</v>
      </c>
      <c r="I110" s="78" t="s">
        <v>214</v>
      </c>
      <c r="J110" s="79" t="s">
        <v>225</v>
      </c>
      <c r="K110" s="80">
        <v>8.6</v>
      </c>
      <c r="L110" s="80">
        <f t="shared" si="18"/>
        <v>6.7450980392156863</v>
      </c>
      <c r="M110" s="81">
        <f>prodnorm13</f>
        <v>0</v>
      </c>
      <c r="N110" s="82">
        <f>dagwerk13</f>
        <v>0</v>
      </c>
      <c r="O110" s="78" t="s">
        <v>103</v>
      </c>
      <c r="P110" s="15">
        <f>uurtarief13</f>
        <v>0</v>
      </c>
      <c r="Q110" s="80" t="e">
        <f t="shared" si="19"/>
        <v>#DIV/0!</v>
      </c>
      <c r="R110" s="80" t="e">
        <f t="shared" si="20"/>
        <v>#DIV/0!</v>
      </c>
      <c r="S110" s="15" t="e">
        <f t="shared" si="21"/>
        <v>#DIV/0!</v>
      </c>
      <c r="T110" s="80" t="e">
        <f t="shared" si="22"/>
        <v>#DIV/0!</v>
      </c>
      <c r="U110" s="16" t="e">
        <f t="shared" si="23"/>
        <v>#DIV/0!</v>
      </c>
    </row>
    <row r="111" spans="1:21" ht="27" x14ac:dyDescent="0.3">
      <c r="A111" s="77" t="s">
        <v>278</v>
      </c>
      <c r="B111" s="78" t="s">
        <v>372</v>
      </c>
      <c r="C111" s="78" t="s">
        <v>280</v>
      </c>
      <c r="D111" s="78" t="s">
        <v>337</v>
      </c>
      <c r="E111" s="79" t="s">
        <v>416</v>
      </c>
      <c r="F111" s="78" t="s">
        <v>283</v>
      </c>
      <c r="G111" s="78" t="s">
        <v>256</v>
      </c>
      <c r="H111" s="78" t="s">
        <v>11</v>
      </c>
      <c r="I111" s="78" t="s">
        <v>214</v>
      </c>
      <c r="J111" s="79" t="s">
        <v>257</v>
      </c>
      <c r="K111" s="80">
        <v>136.69999999999999</v>
      </c>
      <c r="L111" s="80">
        <f t="shared" si="18"/>
        <v>107.21568627450979</v>
      </c>
      <c r="M111" s="81">
        <f>prodnorm33</f>
        <v>0</v>
      </c>
      <c r="N111" s="82">
        <f>dagwerk33</f>
        <v>0</v>
      </c>
      <c r="O111" s="78" t="s">
        <v>103</v>
      </c>
      <c r="P111" s="15">
        <f>uurtarief33</f>
        <v>0</v>
      </c>
      <c r="Q111" s="80" t="e">
        <f t="shared" si="19"/>
        <v>#DIV/0!</v>
      </c>
      <c r="R111" s="80" t="e">
        <f t="shared" si="20"/>
        <v>#DIV/0!</v>
      </c>
      <c r="S111" s="15" t="e">
        <f t="shared" si="21"/>
        <v>#DIV/0!</v>
      </c>
      <c r="T111" s="80" t="e">
        <f t="shared" si="22"/>
        <v>#DIV/0!</v>
      </c>
      <c r="U111" s="16" t="e">
        <f t="shared" si="23"/>
        <v>#DIV/0!</v>
      </c>
    </row>
    <row r="112" spans="1:21" x14ac:dyDescent="0.3">
      <c r="A112" s="77" t="s">
        <v>278</v>
      </c>
      <c r="B112" s="78" t="s">
        <v>372</v>
      </c>
      <c r="C112" s="78" t="s">
        <v>280</v>
      </c>
      <c r="D112" s="78" t="s">
        <v>417</v>
      </c>
      <c r="E112" s="79" t="s">
        <v>316</v>
      </c>
      <c r="F112" s="78" t="s">
        <v>283</v>
      </c>
      <c r="G112" s="78" t="s">
        <v>250</v>
      </c>
      <c r="H112" s="78" t="s">
        <v>11</v>
      </c>
      <c r="I112" s="78" t="s">
        <v>214</v>
      </c>
      <c r="J112" s="79" t="s">
        <v>251</v>
      </c>
      <c r="K112" s="80">
        <v>4</v>
      </c>
      <c r="L112" s="80">
        <f t="shared" si="18"/>
        <v>3.1372549019607843</v>
      </c>
      <c r="M112" s="81">
        <f>prodnorm30</f>
        <v>0</v>
      </c>
      <c r="N112" s="82">
        <f>dagwerk30</f>
        <v>0</v>
      </c>
      <c r="O112" s="78" t="s">
        <v>103</v>
      </c>
      <c r="P112" s="15">
        <f>uurtarief30</f>
        <v>0</v>
      </c>
      <c r="Q112" s="80" t="e">
        <f t="shared" si="19"/>
        <v>#DIV/0!</v>
      </c>
      <c r="R112" s="80" t="e">
        <f t="shared" si="20"/>
        <v>#DIV/0!</v>
      </c>
      <c r="S112" s="15" t="e">
        <f t="shared" si="21"/>
        <v>#DIV/0!</v>
      </c>
      <c r="T112" s="80" t="e">
        <f t="shared" si="22"/>
        <v>#DIV/0!</v>
      </c>
      <c r="U112" s="16" t="e">
        <f t="shared" si="23"/>
        <v>#DIV/0!</v>
      </c>
    </row>
    <row r="113" spans="1:21" x14ac:dyDescent="0.3">
      <c r="A113" s="77" t="s">
        <v>278</v>
      </c>
      <c r="B113" s="78" t="s">
        <v>372</v>
      </c>
      <c r="C113" s="78" t="s">
        <v>280</v>
      </c>
      <c r="D113" s="78" t="s">
        <v>418</v>
      </c>
      <c r="E113" s="79" t="s">
        <v>419</v>
      </c>
      <c r="F113" s="78" t="s">
        <v>387</v>
      </c>
      <c r="G113" s="78" t="s">
        <v>250</v>
      </c>
      <c r="H113" s="78" t="s">
        <v>11</v>
      </c>
      <c r="I113" s="78" t="s">
        <v>214</v>
      </c>
      <c r="J113" s="79" t="s">
        <v>251</v>
      </c>
      <c r="K113" s="80">
        <v>1</v>
      </c>
      <c r="L113" s="80">
        <f t="shared" si="18"/>
        <v>0.78431372549019607</v>
      </c>
      <c r="M113" s="81">
        <f>prodnorm30</f>
        <v>0</v>
      </c>
      <c r="N113" s="82">
        <f>dagwerk30</f>
        <v>0</v>
      </c>
      <c r="O113" s="78" t="s">
        <v>103</v>
      </c>
      <c r="P113" s="15">
        <f>uurtarief30</f>
        <v>0</v>
      </c>
      <c r="Q113" s="80" t="e">
        <f t="shared" si="19"/>
        <v>#DIV/0!</v>
      </c>
      <c r="R113" s="80" t="e">
        <f t="shared" si="20"/>
        <v>#DIV/0!</v>
      </c>
      <c r="S113" s="15" t="e">
        <f t="shared" si="21"/>
        <v>#DIV/0!</v>
      </c>
      <c r="T113" s="80" t="e">
        <f t="shared" si="22"/>
        <v>#DIV/0!</v>
      </c>
      <c r="U113" s="16" t="e">
        <f t="shared" si="23"/>
        <v>#DIV/0!</v>
      </c>
    </row>
    <row r="114" spans="1:21" x14ac:dyDescent="0.3">
      <c r="A114" s="77" t="s">
        <v>278</v>
      </c>
      <c r="B114" s="78" t="s">
        <v>372</v>
      </c>
      <c r="C114" s="78" t="s">
        <v>280</v>
      </c>
      <c r="D114" s="78" t="s">
        <v>420</v>
      </c>
      <c r="E114" s="79" t="s">
        <v>299</v>
      </c>
      <c r="F114" s="78" t="s">
        <v>387</v>
      </c>
      <c r="G114" s="78" t="s">
        <v>300</v>
      </c>
      <c r="H114" s="78"/>
      <c r="I114" s="78"/>
      <c r="J114" s="78"/>
      <c r="K114" s="80">
        <v>1.1000000000000001</v>
      </c>
      <c r="L114" s="80"/>
      <c r="M114" s="81"/>
      <c r="N114" s="82"/>
      <c r="O114" s="78"/>
      <c r="P114" s="15"/>
      <c r="Q114" s="80"/>
      <c r="R114" s="80"/>
      <c r="S114" s="15"/>
      <c r="T114" s="83"/>
      <c r="U114" s="16"/>
    </row>
    <row r="115" spans="1:21" x14ac:dyDescent="0.3">
      <c r="A115" s="77" t="s">
        <v>278</v>
      </c>
      <c r="B115" s="78" t="s">
        <v>372</v>
      </c>
      <c r="C115" s="78" t="s">
        <v>338</v>
      </c>
      <c r="D115" s="78" t="s">
        <v>339</v>
      </c>
      <c r="E115" s="79" t="s">
        <v>421</v>
      </c>
      <c r="F115" s="78" t="s">
        <v>283</v>
      </c>
      <c r="G115" s="78" t="s">
        <v>234</v>
      </c>
      <c r="H115" s="78" t="s">
        <v>11</v>
      </c>
      <c r="I115" s="78" t="s">
        <v>214</v>
      </c>
      <c r="J115" s="79" t="s">
        <v>235</v>
      </c>
      <c r="K115" s="80">
        <v>55.4</v>
      </c>
      <c r="L115" s="80">
        <f t="shared" ref="L115:L132" si="24">K115*VLOOKUP(H115,dagsoorttabel1,2,FALSE)</f>
        <v>43.450980392156858</v>
      </c>
      <c r="M115" s="81">
        <f>prodnorm21</f>
        <v>0</v>
      </c>
      <c r="N115" s="82">
        <f>dagwerk21</f>
        <v>0</v>
      </c>
      <c r="O115" s="78" t="s">
        <v>103</v>
      </c>
      <c r="P115" s="15">
        <f>uurtarief21</f>
        <v>0</v>
      </c>
      <c r="Q115" s="80" t="e">
        <f t="shared" ref="Q115:Q132" si="25">IF(ISBLANK(M115),0,L115/ROUND(M115,4))</f>
        <v>#DIV/0!</v>
      </c>
      <c r="R115" s="80" t="e">
        <f t="shared" ref="R115:R132" si="26">IF(ISBLANK(M115),0,Q115*ROUND(N115,2))</f>
        <v>#DIV/0!</v>
      </c>
      <c r="S115" s="15" t="e">
        <f t="shared" ref="S115:S132" si="27">ROUND(P115,2)*Q115</f>
        <v>#DIV/0!</v>
      </c>
      <c r="T115" s="80" t="e">
        <f t="shared" ref="T115:T132" si="28">Q115*dagenperjaar1</f>
        <v>#DIV/0!</v>
      </c>
      <c r="U115" s="16" t="e">
        <f t="shared" ref="U115:U132" si="29">T115*ROUND(P115,2)</f>
        <v>#DIV/0!</v>
      </c>
    </row>
    <row r="116" spans="1:21" x14ac:dyDescent="0.3">
      <c r="A116" s="77" t="s">
        <v>278</v>
      </c>
      <c r="B116" s="78" t="s">
        <v>372</v>
      </c>
      <c r="C116" s="78" t="s">
        <v>338</v>
      </c>
      <c r="D116" s="78" t="s">
        <v>340</v>
      </c>
      <c r="E116" s="79" t="s">
        <v>422</v>
      </c>
      <c r="F116" s="78" t="s">
        <v>283</v>
      </c>
      <c r="G116" s="78" t="s">
        <v>234</v>
      </c>
      <c r="H116" s="78" t="s">
        <v>11</v>
      </c>
      <c r="I116" s="78" t="s">
        <v>214</v>
      </c>
      <c r="J116" s="79" t="s">
        <v>235</v>
      </c>
      <c r="K116" s="80">
        <v>70</v>
      </c>
      <c r="L116" s="80">
        <f t="shared" si="24"/>
        <v>54.901960784313722</v>
      </c>
      <c r="M116" s="81">
        <f>prodnorm21</f>
        <v>0</v>
      </c>
      <c r="N116" s="82">
        <f>dagwerk21</f>
        <v>0</v>
      </c>
      <c r="O116" s="78" t="s">
        <v>103</v>
      </c>
      <c r="P116" s="15">
        <f>uurtarief21</f>
        <v>0</v>
      </c>
      <c r="Q116" s="80" t="e">
        <f t="shared" si="25"/>
        <v>#DIV/0!</v>
      </c>
      <c r="R116" s="80" t="e">
        <f t="shared" si="26"/>
        <v>#DIV/0!</v>
      </c>
      <c r="S116" s="15" t="e">
        <f t="shared" si="27"/>
        <v>#DIV/0!</v>
      </c>
      <c r="T116" s="80" t="e">
        <f t="shared" si="28"/>
        <v>#DIV/0!</v>
      </c>
      <c r="U116" s="16" t="e">
        <f t="shared" si="29"/>
        <v>#DIV/0!</v>
      </c>
    </row>
    <row r="117" spans="1:21" x14ac:dyDescent="0.3">
      <c r="A117" s="77" t="s">
        <v>278</v>
      </c>
      <c r="B117" s="78" t="s">
        <v>372</v>
      </c>
      <c r="C117" s="78" t="s">
        <v>338</v>
      </c>
      <c r="D117" s="78" t="s">
        <v>341</v>
      </c>
      <c r="E117" s="79" t="s">
        <v>421</v>
      </c>
      <c r="F117" s="78" t="s">
        <v>283</v>
      </c>
      <c r="G117" s="78" t="s">
        <v>234</v>
      </c>
      <c r="H117" s="78" t="s">
        <v>11</v>
      </c>
      <c r="I117" s="78" t="s">
        <v>214</v>
      </c>
      <c r="J117" s="79" t="s">
        <v>235</v>
      </c>
      <c r="K117" s="80">
        <v>55.1</v>
      </c>
      <c r="L117" s="80">
        <f t="shared" si="24"/>
        <v>43.215686274509807</v>
      </c>
      <c r="M117" s="81">
        <f>prodnorm21</f>
        <v>0</v>
      </c>
      <c r="N117" s="82">
        <f>dagwerk21</f>
        <v>0</v>
      </c>
      <c r="O117" s="78" t="s">
        <v>103</v>
      </c>
      <c r="P117" s="15">
        <f>uurtarief21</f>
        <v>0</v>
      </c>
      <c r="Q117" s="80" t="e">
        <f t="shared" si="25"/>
        <v>#DIV/0!</v>
      </c>
      <c r="R117" s="80" t="e">
        <f t="shared" si="26"/>
        <v>#DIV/0!</v>
      </c>
      <c r="S117" s="15" t="e">
        <f t="shared" si="27"/>
        <v>#DIV/0!</v>
      </c>
      <c r="T117" s="80" t="e">
        <f t="shared" si="28"/>
        <v>#DIV/0!</v>
      </c>
      <c r="U117" s="16" t="e">
        <f t="shared" si="29"/>
        <v>#DIV/0!</v>
      </c>
    </row>
    <row r="118" spans="1:21" x14ac:dyDescent="0.3">
      <c r="A118" s="77" t="s">
        <v>278</v>
      </c>
      <c r="B118" s="78" t="s">
        <v>372</v>
      </c>
      <c r="C118" s="78" t="s">
        <v>338</v>
      </c>
      <c r="D118" s="78" t="s">
        <v>342</v>
      </c>
      <c r="E118" s="79" t="s">
        <v>423</v>
      </c>
      <c r="F118" s="78" t="s">
        <v>283</v>
      </c>
      <c r="G118" s="78" t="s">
        <v>216</v>
      </c>
      <c r="H118" s="78" t="s">
        <v>11</v>
      </c>
      <c r="I118" s="78" t="s">
        <v>214</v>
      </c>
      <c r="J118" s="79" t="s">
        <v>217</v>
      </c>
      <c r="K118" s="80">
        <v>18.2</v>
      </c>
      <c r="L118" s="80">
        <f t="shared" si="24"/>
        <v>14.274509803921568</v>
      </c>
      <c r="M118" s="81">
        <f>prodnorm6</f>
        <v>0</v>
      </c>
      <c r="N118" s="82">
        <f>dagwerk6</f>
        <v>0</v>
      </c>
      <c r="O118" s="78" t="s">
        <v>103</v>
      </c>
      <c r="P118" s="15">
        <f>uurtarief6</f>
        <v>0</v>
      </c>
      <c r="Q118" s="80" t="e">
        <f t="shared" si="25"/>
        <v>#DIV/0!</v>
      </c>
      <c r="R118" s="80" t="e">
        <f t="shared" si="26"/>
        <v>#DIV/0!</v>
      </c>
      <c r="S118" s="15" t="e">
        <f t="shared" si="27"/>
        <v>#DIV/0!</v>
      </c>
      <c r="T118" s="80" t="e">
        <f t="shared" si="28"/>
        <v>#DIV/0!</v>
      </c>
      <c r="U118" s="16" t="e">
        <f t="shared" si="29"/>
        <v>#DIV/0!</v>
      </c>
    </row>
    <row r="119" spans="1:21" x14ac:dyDescent="0.3">
      <c r="A119" s="77" t="s">
        <v>278</v>
      </c>
      <c r="B119" s="78" t="s">
        <v>372</v>
      </c>
      <c r="C119" s="78" t="s">
        <v>338</v>
      </c>
      <c r="D119" s="78" t="s">
        <v>344</v>
      </c>
      <c r="E119" s="79" t="s">
        <v>421</v>
      </c>
      <c r="F119" s="78" t="s">
        <v>283</v>
      </c>
      <c r="G119" s="78" t="s">
        <v>234</v>
      </c>
      <c r="H119" s="78" t="s">
        <v>11</v>
      </c>
      <c r="I119" s="78" t="s">
        <v>214</v>
      </c>
      <c r="J119" s="79" t="s">
        <v>235</v>
      </c>
      <c r="K119" s="80">
        <v>55.4</v>
      </c>
      <c r="L119" s="80">
        <f t="shared" si="24"/>
        <v>43.450980392156858</v>
      </c>
      <c r="M119" s="81">
        <f>prodnorm21</f>
        <v>0</v>
      </c>
      <c r="N119" s="82">
        <f>dagwerk21</f>
        <v>0</v>
      </c>
      <c r="O119" s="78" t="s">
        <v>103</v>
      </c>
      <c r="P119" s="15">
        <f>uurtarief21</f>
        <v>0</v>
      </c>
      <c r="Q119" s="80" t="e">
        <f t="shared" si="25"/>
        <v>#DIV/0!</v>
      </c>
      <c r="R119" s="80" t="e">
        <f t="shared" si="26"/>
        <v>#DIV/0!</v>
      </c>
      <c r="S119" s="15" t="e">
        <f t="shared" si="27"/>
        <v>#DIV/0!</v>
      </c>
      <c r="T119" s="80" t="e">
        <f t="shared" si="28"/>
        <v>#DIV/0!</v>
      </c>
      <c r="U119" s="16" t="e">
        <f t="shared" si="29"/>
        <v>#DIV/0!</v>
      </c>
    </row>
    <row r="120" spans="1:21" x14ac:dyDescent="0.3">
      <c r="A120" s="77" t="s">
        <v>278</v>
      </c>
      <c r="B120" s="78" t="s">
        <v>372</v>
      </c>
      <c r="C120" s="78" t="s">
        <v>338</v>
      </c>
      <c r="D120" s="78" t="s">
        <v>345</v>
      </c>
      <c r="E120" s="79" t="s">
        <v>302</v>
      </c>
      <c r="F120" s="78" t="s">
        <v>387</v>
      </c>
      <c r="G120" s="78" t="s">
        <v>250</v>
      </c>
      <c r="H120" s="78" t="s">
        <v>11</v>
      </c>
      <c r="I120" s="78" t="s">
        <v>214</v>
      </c>
      <c r="J120" s="79" t="s">
        <v>251</v>
      </c>
      <c r="K120" s="80">
        <v>26.4</v>
      </c>
      <c r="L120" s="80">
        <f t="shared" si="24"/>
        <v>20.705882352941174</v>
      </c>
      <c r="M120" s="81">
        <f>prodnorm30</f>
        <v>0</v>
      </c>
      <c r="N120" s="82">
        <f>dagwerk30</f>
        <v>0</v>
      </c>
      <c r="O120" s="78" t="s">
        <v>103</v>
      </c>
      <c r="P120" s="15">
        <f>uurtarief30</f>
        <v>0</v>
      </c>
      <c r="Q120" s="80" t="e">
        <f t="shared" si="25"/>
        <v>#DIV/0!</v>
      </c>
      <c r="R120" s="80" t="e">
        <f t="shared" si="26"/>
        <v>#DIV/0!</v>
      </c>
      <c r="S120" s="15" t="e">
        <f t="shared" si="27"/>
        <v>#DIV/0!</v>
      </c>
      <c r="T120" s="80" t="e">
        <f t="shared" si="28"/>
        <v>#DIV/0!</v>
      </c>
      <c r="U120" s="16" t="e">
        <f t="shared" si="29"/>
        <v>#DIV/0!</v>
      </c>
    </row>
    <row r="121" spans="1:21" x14ac:dyDescent="0.3">
      <c r="A121" s="77" t="s">
        <v>278</v>
      </c>
      <c r="B121" s="78" t="s">
        <v>372</v>
      </c>
      <c r="C121" s="78" t="s">
        <v>338</v>
      </c>
      <c r="D121" s="78" t="s">
        <v>346</v>
      </c>
      <c r="E121" s="79" t="s">
        <v>421</v>
      </c>
      <c r="F121" s="78" t="s">
        <v>283</v>
      </c>
      <c r="G121" s="78" t="s">
        <v>234</v>
      </c>
      <c r="H121" s="78" t="s">
        <v>11</v>
      </c>
      <c r="I121" s="78" t="s">
        <v>214</v>
      </c>
      <c r="J121" s="79" t="s">
        <v>235</v>
      </c>
      <c r="K121" s="80">
        <v>58.2</v>
      </c>
      <c r="L121" s="80">
        <f t="shared" si="24"/>
        <v>45.647058823529413</v>
      </c>
      <c r="M121" s="81">
        <f>prodnorm21</f>
        <v>0</v>
      </c>
      <c r="N121" s="82">
        <f>dagwerk21</f>
        <v>0</v>
      </c>
      <c r="O121" s="78" t="s">
        <v>103</v>
      </c>
      <c r="P121" s="15">
        <f>uurtarief21</f>
        <v>0</v>
      </c>
      <c r="Q121" s="80" t="e">
        <f t="shared" si="25"/>
        <v>#DIV/0!</v>
      </c>
      <c r="R121" s="80" t="e">
        <f t="shared" si="26"/>
        <v>#DIV/0!</v>
      </c>
      <c r="S121" s="15" t="e">
        <f t="shared" si="27"/>
        <v>#DIV/0!</v>
      </c>
      <c r="T121" s="80" t="e">
        <f t="shared" si="28"/>
        <v>#DIV/0!</v>
      </c>
      <c r="U121" s="16" t="e">
        <f t="shared" si="29"/>
        <v>#DIV/0!</v>
      </c>
    </row>
    <row r="122" spans="1:21" x14ac:dyDescent="0.3">
      <c r="A122" s="77" t="s">
        <v>278</v>
      </c>
      <c r="B122" s="78" t="s">
        <v>372</v>
      </c>
      <c r="C122" s="78" t="s">
        <v>338</v>
      </c>
      <c r="D122" s="78" t="s">
        <v>347</v>
      </c>
      <c r="E122" s="79" t="s">
        <v>424</v>
      </c>
      <c r="F122" s="78" t="s">
        <v>283</v>
      </c>
      <c r="G122" s="78" t="s">
        <v>216</v>
      </c>
      <c r="H122" s="78" t="s">
        <v>11</v>
      </c>
      <c r="I122" s="78" t="s">
        <v>214</v>
      </c>
      <c r="J122" s="79" t="s">
        <v>217</v>
      </c>
      <c r="K122" s="80">
        <v>8.5</v>
      </c>
      <c r="L122" s="80">
        <f t="shared" si="24"/>
        <v>6.666666666666667</v>
      </c>
      <c r="M122" s="81">
        <f>prodnorm6</f>
        <v>0</v>
      </c>
      <c r="N122" s="82">
        <f>dagwerk6</f>
        <v>0</v>
      </c>
      <c r="O122" s="78" t="s">
        <v>103</v>
      </c>
      <c r="P122" s="15">
        <f>uurtarief6</f>
        <v>0</v>
      </c>
      <c r="Q122" s="80" t="e">
        <f t="shared" si="25"/>
        <v>#DIV/0!</v>
      </c>
      <c r="R122" s="80" t="e">
        <f t="shared" si="26"/>
        <v>#DIV/0!</v>
      </c>
      <c r="S122" s="15" t="e">
        <f t="shared" si="27"/>
        <v>#DIV/0!</v>
      </c>
      <c r="T122" s="80" t="e">
        <f t="shared" si="28"/>
        <v>#DIV/0!</v>
      </c>
      <c r="U122" s="16" t="e">
        <f t="shared" si="29"/>
        <v>#DIV/0!</v>
      </c>
    </row>
    <row r="123" spans="1:21" x14ac:dyDescent="0.3">
      <c r="A123" s="77" t="s">
        <v>278</v>
      </c>
      <c r="B123" s="78" t="s">
        <v>372</v>
      </c>
      <c r="C123" s="78" t="s">
        <v>338</v>
      </c>
      <c r="D123" s="78" t="s">
        <v>348</v>
      </c>
      <c r="E123" s="79" t="s">
        <v>424</v>
      </c>
      <c r="F123" s="78" t="s">
        <v>283</v>
      </c>
      <c r="G123" s="78" t="s">
        <v>216</v>
      </c>
      <c r="H123" s="78" t="s">
        <v>11</v>
      </c>
      <c r="I123" s="78" t="s">
        <v>214</v>
      </c>
      <c r="J123" s="79" t="s">
        <v>217</v>
      </c>
      <c r="K123" s="80">
        <v>9.9</v>
      </c>
      <c r="L123" s="80">
        <f t="shared" si="24"/>
        <v>7.7647058823529411</v>
      </c>
      <c r="M123" s="81">
        <f>prodnorm6</f>
        <v>0</v>
      </c>
      <c r="N123" s="82">
        <f>dagwerk6</f>
        <v>0</v>
      </c>
      <c r="O123" s="78" t="s">
        <v>103</v>
      </c>
      <c r="P123" s="15">
        <f>uurtarief6</f>
        <v>0</v>
      </c>
      <c r="Q123" s="80" t="e">
        <f t="shared" si="25"/>
        <v>#DIV/0!</v>
      </c>
      <c r="R123" s="80" t="e">
        <f t="shared" si="26"/>
        <v>#DIV/0!</v>
      </c>
      <c r="S123" s="15" t="e">
        <f t="shared" si="27"/>
        <v>#DIV/0!</v>
      </c>
      <c r="T123" s="80" t="e">
        <f t="shared" si="28"/>
        <v>#DIV/0!</v>
      </c>
      <c r="U123" s="16" t="e">
        <f t="shared" si="29"/>
        <v>#DIV/0!</v>
      </c>
    </row>
    <row r="124" spans="1:21" x14ac:dyDescent="0.3">
      <c r="A124" s="77" t="s">
        <v>278</v>
      </c>
      <c r="B124" s="78" t="s">
        <v>372</v>
      </c>
      <c r="C124" s="78" t="s">
        <v>338</v>
      </c>
      <c r="D124" s="78" t="s">
        <v>349</v>
      </c>
      <c r="E124" s="79" t="s">
        <v>422</v>
      </c>
      <c r="F124" s="78" t="s">
        <v>283</v>
      </c>
      <c r="G124" s="78" t="s">
        <v>234</v>
      </c>
      <c r="H124" s="78" t="s">
        <v>11</v>
      </c>
      <c r="I124" s="78" t="s">
        <v>214</v>
      </c>
      <c r="J124" s="79" t="s">
        <v>235</v>
      </c>
      <c r="K124" s="80">
        <v>60.7</v>
      </c>
      <c r="L124" s="80">
        <f t="shared" si="24"/>
        <v>47.607843137254903</v>
      </c>
      <c r="M124" s="81">
        <f>prodnorm21</f>
        <v>0</v>
      </c>
      <c r="N124" s="82">
        <f>dagwerk21</f>
        <v>0</v>
      </c>
      <c r="O124" s="78" t="s">
        <v>103</v>
      </c>
      <c r="P124" s="15">
        <f>uurtarief21</f>
        <v>0</v>
      </c>
      <c r="Q124" s="80" t="e">
        <f t="shared" si="25"/>
        <v>#DIV/0!</v>
      </c>
      <c r="R124" s="80" t="e">
        <f t="shared" si="26"/>
        <v>#DIV/0!</v>
      </c>
      <c r="S124" s="15" t="e">
        <f t="shared" si="27"/>
        <v>#DIV/0!</v>
      </c>
      <c r="T124" s="80" t="e">
        <f t="shared" si="28"/>
        <v>#DIV/0!</v>
      </c>
      <c r="U124" s="16" t="e">
        <f t="shared" si="29"/>
        <v>#DIV/0!</v>
      </c>
    </row>
    <row r="125" spans="1:21" x14ac:dyDescent="0.3">
      <c r="A125" s="77" t="s">
        <v>278</v>
      </c>
      <c r="B125" s="78" t="s">
        <v>372</v>
      </c>
      <c r="C125" s="78" t="s">
        <v>338</v>
      </c>
      <c r="D125" s="78" t="s">
        <v>351</v>
      </c>
      <c r="E125" s="79" t="s">
        <v>421</v>
      </c>
      <c r="F125" s="78" t="s">
        <v>283</v>
      </c>
      <c r="G125" s="78" t="s">
        <v>234</v>
      </c>
      <c r="H125" s="78" t="s">
        <v>11</v>
      </c>
      <c r="I125" s="78" t="s">
        <v>214</v>
      </c>
      <c r="J125" s="79" t="s">
        <v>235</v>
      </c>
      <c r="K125" s="80">
        <v>58.2</v>
      </c>
      <c r="L125" s="80">
        <f t="shared" si="24"/>
        <v>45.647058823529413</v>
      </c>
      <c r="M125" s="81">
        <f>prodnorm21</f>
        <v>0</v>
      </c>
      <c r="N125" s="82">
        <f>dagwerk21</f>
        <v>0</v>
      </c>
      <c r="O125" s="78" t="s">
        <v>103</v>
      </c>
      <c r="P125" s="15">
        <f>uurtarief21</f>
        <v>0</v>
      </c>
      <c r="Q125" s="80" t="e">
        <f t="shared" si="25"/>
        <v>#DIV/0!</v>
      </c>
      <c r="R125" s="80" t="e">
        <f t="shared" si="26"/>
        <v>#DIV/0!</v>
      </c>
      <c r="S125" s="15" t="e">
        <f t="shared" si="27"/>
        <v>#DIV/0!</v>
      </c>
      <c r="T125" s="80" t="e">
        <f t="shared" si="28"/>
        <v>#DIV/0!</v>
      </c>
      <c r="U125" s="16" t="e">
        <f t="shared" si="29"/>
        <v>#DIV/0!</v>
      </c>
    </row>
    <row r="126" spans="1:21" x14ac:dyDescent="0.3">
      <c r="A126" s="77" t="s">
        <v>278</v>
      </c>
      <c r="B126" s="78" t="s">
        <v>372</v>
      </c>
      <c r="C126" s="78" t="s">
        <v>338</v>
      </c>
      <c r="D126" s="78" t="s">
        <v>352</v>
      </c>
      <c r="E126" s="79" t="s">
        <v>423</v>
      </c>
      <c r="F126" s="78" t="s">
        <v>283</v>
      </c>
      <c r="G126" s="78" t="s">
        <v>216</v>
      </c>
      <c r="H126" s="78" t="s">
        <v>11</v>
      </c>
      <c r="I126" s="78" t="s">
        <v>214</v>
      </c>
      <c r="J126" s="79" t="s">
        <v>217</v>
      </c>
      <c r="K126" s="80">
        <v>18.2</v>
      </c>
      <c r="L126" s="80">
        <f t="shared" si="24"/>
        <v>14.274509803921568</v>
      </c>
      <c r="M126" s="81">
        <f>prodnorm6</f>
        <v>0</v>
      </c>
      <c r="N126" s="82">
        <f>dagwerk6</f>
        <v>0</v>
      </c>
      <c r="O126" s="78" t="s">
        <v>103</v>
      </c>
      <c r="P126" s="15">
        <f>uurtarief6</f>
        <v>0</v>
      </c>
      <c r="Q126" s="80" t="e">
        <f t="shared" si="25"/>
        <v>#DIV/0!</v>
      </c>
      <c r="R126" s="80" t="e">
        <f t="shared" si="26"/>
        <v>#DIV/0!</v>
      </c>
      <c r="S126" s="15" t="e">
        <f t="shared" si="27"/>
        <v>#DIV/0!</v>
      </c>
      <c r="T126" s="80" t="e">
        <f t="shared" si="28"/>
        <v>#DIV/0!</v>
      </c>
      <c r="U126" s="16" t="e">
        <f t="shared" si="29"/>
        <v>#DIV/0!</v>
      </c>
    </row>
    <row r="127" spans="1:21" x14ac:dyDescent="0.3">
      <c r="A127" s="77" t="s">
        <v>278</v>
      </c>
      <c r="B127" s="78" t="s">
        <v>372</v>
      </c>
      <c r="C127" s="78" t="s">
        <v>338</v>
      </c>
      <c r="D127" s="78" t="s">
        <v>354</v>
      </c>
      <c r="E127" s="79" t="s">
        <v>421</v>
      </c>
      <c r="F127" s="78" t="s">
        <v>283</v>
      </c>
      <c r="G127" s="78" t="s">
        <v>234</v>
      </c>
      <c r="H127" s="78" t="s">
        <v>11</v>
      </c>
      <c r="I127" s="78" t="s">
        <v>214</v>
      </c>
      <c r="J127" s="79" t="s">
        <v>235</v>
      </c>
      <c r="K127" s="80">
        <v>30.1</v>
      </c>
      <c r="L127" s="80">
        <f t="shared" si="24"/>
        <v>23.607843137254903</v>
      </c>
      <c r="M127" s="81">
        <f>prodnorm21</f>
        <v>0</v>
      </c>
      <c r="N127" s="82">
        <f>dagwerk21</f>
        <v>0</v>
      </c>
      <c r="O127" s="78" t="s">
        <v>103</v>
      </c>
      <c r="P127" s="15">
        <f>uurtarief21</f>
        <v>0</v>
      </c>
      <c r="Q127" s="80" t="e">
        <f t="shared" si="25"/>
        <v>#DIV/0!</v>
      </c>
      <c r="R127" s="80" t="e">
        <f t="shared" si="26"/>
        <v>#DIV/0!</v>
      </c>
      <c r="S127" s="15" t="e">
        <f t="shared" si="27"/>
        <v>#DIV/0!</v>
      </c>
      <c r="T127" s="80" t="e">
        <f t="shared" si="28"/>
        <v>#DIV/0!</v>
      </c>
      <c r="U127" s="16" t="e">
        <f t="shared" si="29"/>
        <v>#DIV/0!</v>
      </c>
    </row>
    <row r="128" spans="1:21" x14ac:dyDescent="0.3">
      <c r="A128" s="77" t="s">
        <v>278</v>
      </c>
      <c r="B128" s="78" t="s">
        <v>372</v>
      </c>
      <c r="C128" s="78" t="s">
        <v>338</v>
      </c>
      <c r="D128" s="78" t="s">
        <v>355</v>
      </c>
      <c r="E128" s="79" t="s">
        <v>421</v>
      </c>
      <c r="F128" s="78" t="s">
        <v>283</v>
      </c>
      <c r="G128" s="78" t="s">
        <v>234</v>
      </c>
      <c r="H128" s="78" t="s">
        <v>11</v>
      </c>
      <c r="I128" s="78" t="s">
        <v>214</v>
      </c>
      <c r="J128" s="79" t="s">
        <v>235</v>
      </c>
      <c r="K128" s="80">
        <v>24.7</v>
      </c>
      <c r="L128" s="80">
        <f t="shared" si="24"/>
        <v>19.372549019607842</v>
      </c>
      <c r="M128" s="81">
        <f>prodnorm21</f>
        <v>0</v>
      </c>
      <c r="N128" s="82">
        <f>dagwerk21</f>
        <v>0</v>
      </c>
      <c r="O128" s="78" t="s">
        <v>103</v>
      </c>
      <c r="P128" s="15">
        <f>uurtarief21</f>
        <v>0</v>
      </c>
      <c r="Q128" s="80" t="e">
        <f t="shared" si="25"/>
        <v>#DIV/0!</v>
      </c>
      <c r="R128" s="80" t="e">
        <f t="shared" si="26"/>
        <v>#DIV/0!</v>
      </c>
      <c r="S128" s="15" t="e">
        <f t="shared" si="27"/>
        <v>#DIV/0!</v>
      </c>
      <c r="T128" s="80" t="e">
        <f t="shared" si="28"/>
        <v>#DIV/0!</v>
      </c>
      <c r="U128" s="16" t="e">
        <f t="shared" si="29"/>
        <v>#DIV/0!</v>
      </c>
    </row>
    <row r="129" spans="1:21" x14ac:dyDescent="0.3">
      <c r="A129" s="77" t="s">
        <v>278</v>
      </c>
      <c r="B129" s="78" t="s">
        <v>372</v>
      </c>
      <c r="C129" s="78" t="s">
        <v>338</v>
      </c>
      <c r="D129" s="78" t="s">
        <v>356</v>
      </c>
      <c r="E129" s="79" t="s">
        <v>421</v>
      </c>
      <c r="F129" s="78" t="s">
        <v>283</v>
      </c>
      <c r="G129" s="78" t="s">
        <v>234</v>
      </c>
      <c r="H129" s="78" t="s">
        <v>11</v>
      </c>
      <c r="I129" s="78" t="s">
        <v>214</v>
      </c>
      <c r="J129" s="79" t="s">
        <v>235</v>
      </c>
      <c r="K129" s="80">
        <v>55.4</v>
      </c>
      <c r="L129" s="80">
        <f t="shared" si="24"/>
        <v>43.450980392156858</v>
      </c>
      <c r="M129" s="81">
        <f>prodnorm21</f>
        <v>0</v>
      </c>
      <c r="N129" s="82">
        <f>dagwerk21</f>
        <v>0</v>
      </c>
      <c r="O129" s="78" t="s">
        <v>103</v>
      </c>
      <c r="P129" s="15">
        <f>uurtarief21</f>
        <v>0</v>
      </c>
      <c r="Q129" s="80" t="e">
        <f t="shared" si="25"/>
        <v>#DIV/0!</v>
      </c>
      <c r="R129" s="80" t="e">
        <f t="shared" si="26"/>
        <v>#DIV/0!</v>
      </c>
      <c r="S129" s="15" t="e">
        <f t="shared" si="27"/>
        <v>#DIV/0!</v>
      </c>
      <c r="T129" s="80" t="e">
        <f t="shared" si="28"/>
        <v>#DIV/0!</v>
      </c>
      <c r="U129" s="16" t="e">
        <f t="shared" si="29"/>
        <v>#DIV/0!</v>
      </c>
    </row>
    <row r="130" spans="1:21" ht="27" x14ac:dyDescent="0.3">
      <c r="A130" s="77" t="s">
        <v>278</v>
      </c>
      <c r="B130" s="78" t="s">
        <v>372</v>
      </c>
      <c r="C130" s="78" t="s">
        <v>338</v>
      </c>
      <c r="D130" s="78" t="s">
        <v>425</v>
      </c>
      <c r="E130" s="79" t="s">
        <v>380</v>
      </c>
      <c r="F130" s="78" t="s">
        <v>283</v>
      </c>
      <c r="G130" s="78" t="s">
        <v>256</v>
      </c>
      <c r="H130" s="78" t="s">
        <v>11</v>
      </c>
      <c r="I130" s="78" t="s">
        <v>214</v>
      </c>
      <c r="J130" s="79" t="s">
        <v>257</v>
      </c>
      <c r="K130" s="80">
        <v>53.2</v>
      </c>
      <c r="L130" s="80">
        <f t="shared" si="24"/>
        <v>41.725490196078432</v>
      </c>
      <c r="M130" s="81">
        <f>prodnorm33</f>
        <v>0</v>
      </c>
      <c r="N130" s="82">
        <f>dagwerk33</f>
        <v>0</v>
      </c>
      <c r="O130" s="78" t="s">
        <v>103</v>
      </c>
      <c r="P130" s="15">
        <f>uurtarief33</f>
        <v>0</v>
      </c>
      <c r="Q130" s="80" t="e">
        <f t="shared" si="25"/>
        <v>#DIV/0!</v>
      </c>
      <c r="R130" s="80" t="e">
        <f t="shared" si="26"/>
        <v>#DIV/0!</v>
      </c>
      <c r="S130" s="15" t="e">
        <f t="shared" si="27"/>
        <v>#DIV/0!</v>
      </c>
      <c r="T130" s="80" t="e">
        <f t="shared" si="28"/>
        <v>#DIV/0!</v>
      </c>
      <c r="U130" s="16" t="e">
        <f t="shared" si="29"/>
        <v>#DIV/0!</v>
      </c>
    </row>
    <row r="131" spans="1:21" x14ac:dyDescent="0.3">
      <c r="A131" s="77" t="s">
        <v>278</v>
      </c>
      <c r="B131" s="78" t="s">
        <v>372</v>
      </c>
      <c r="C131" s="78" t="s">
        <v>338</v>
      </c>
      <c r="D131" s="78" t="s">
        <v>357</v>
      </c>
      <c r="E131" s="79" t="s">
        <v>426</v>
      </c>
      <c r="F131" s="78" t="s">
        <v>283</v>
      </c>
      <c r="G131" s="78" t="s">
        <v>216</v>
      </c>
      <c r="H131" s="78" t="s">
        <v>11</v>
      </c>
      <c r="I131" s="78" t="s">
        <v>214</v>
      </c>
      <c r="J131" s="79" t="s">
        <v>217</v>
      </c>
      <c r="K131" s="80">
        <v>18</v>
      </c>
      <c r="L131" s="80">
        <f t="shared" si="24"/>
        <v>14.117647058823529</v>
      </c>
      <c r="M131" s="81">
        <f>prodnorm6</f>
        <v>0</v>
      </c>
      <c r="N131" s="82">
        <f>dagwerk6</f>
        <v>0</v>
      </c>
      <c r="O131" s="78" t="s">
        <v>103</v>
      </c>
      <c r="P131" s="15">
        <f>uurtarief6</f>
        <v>0</v>
      </c>
      <c r="Q131" s="80" t="e">
        <f t="shared" si="25"/>
        <v>#DIV/0!</v>
      </c>
      <c r="R131" s="80" t="e">
        <f t="shared" si="26"/>
        <v>#DIV/0!</v>
      </c>
      <c r="S131" s="15" t="e">
        <f t="shared" si="27"/>
        <v>#DIV/0!</v>
      </c>
      <c r="T131" s="80" t="e">
        <f t="shared" si="28"/>
        <v>#DIV/0!</v>
      </c>
      <c r="U131" s="16" t="e">
        <f t="shared" si="29"/>
        <v>#DIV/0!</v>
      </c>
    </row>
    <row r="132" spans="1:21" x14ac:dyDescent="0.3">
      <c r="A132" s="77" t="s">
        <v>278</v>
      </c>
      <c r="B132" s="78" t="s">
        <v>372</v>
      </c>
      <c r="C132" s="78" t="s">
        <v>338</v>
      </c>
      <c r="D132" s="78" t="s">
        <v>358</v>
      </c>
      <c r="E132" s="79" t="s">
        <v>409</v>
      </c>
      <c r="F132" s="78" t="s">
        <v>283</v>
      </c>
      <c r="G132" s="78" t="s">
        <v>216</v>
      </c>
      <c r="H132" s="78" t="s">
        <v>11</v>
      </c>
      <c r="I132" s="78" t="s">
        <v>214</v>
      </c>
      <c r="J132" s="79" t="s">
        <v>217</v>
      </c>
      <c r="K132" s="80">
        <v>17.899999999999999</v>
      </c>
      <c r="L132" s="80">
        <f t="shared" si="24"/>
        <v>14.039215686274508</v>
      </c>
      <c r="M132" s="81">
        <f>prodnorm6</f>
        <v>0</v>
      </c>
      <c r="N132" s="82">
        <f>dagwerk6</f>
        <v>0</v>
      </c>
      <c r="O132" s="78" t="s">
        <v>103</v>
      </c>
      <c r="P132" s="15">
        <f>uurtarief6</f>
        <v>0</v>
      </c>
      <c r="Q132" s="80" t="e">
        <f t="shared" si="25"/>
        <v>#DIV/0!</v>
      </c>
      <c r="R132" s="80" t="e">
        <f t="shared" si="26"/>
        <v>#DIV/0!</v>
      </c>
      <c r="S132" s="15" t="e">
        <f t="shared" si="27"/>
        <v>#DIV/0!</v>
      </c>
      <c r="T132" s="80" t="e">
        <f t="shared" si="28"/>
        <v>#DIV/0!</v>
      </c>
      <c r="U132" s="16" t="e">
        <f t="shared" si="29"/>
        <v>#DIV/0!</v>
      </c>
    </row>
    <row r="133" spans="1:21" x14ac:dyDescent="0.3">
      <c r="A133" s="77" t="s">
        <v>278</v>
      </c>
      <c r="B133" s="78" t="s">
        <v>372</v>
      </c>
      <c r="C133" s="78" t="s">
        <v>338</v>
      </c>
      <c r="D133" s="78" t="s">
        <v>360</v>
      </c>
      <c r="E133" s="79" t="s">
        <v>312</v>
      </c>
      <c r="F133" s="78" t="s">
        <v>283</v>
      </c>
      <c r="G133" s="78" t="s">
        <v>300</v>
      </c>
      <c r="H133" s="78"/>
      <c r="I133" s="78"/>
      <c r="J133" s="78"/>
      <c r="K133" s="80">
        <v>13.2</v>
      </c>
      <c r="L133" s="80"/>
      <c r="M133" s="81"/>
      <c r="N133" s="82"/>
      <c r="O133" s="78"/>
      <c r="P133" s="15"/>
      <c r="Q133" s="80"/>
      <c r="R133" s="80"/>
      <c r="S133" s="15"/>
      <c r="T133" s="83"/>
      <c r="U133" s="16"/>
    </row>
    <row r="134" spans="1:21" x14ac:dyDescent="0.3">
      <c r="A134" s="77" t="s">
        <v>278</v>
      </c>
      <c r="B134" s="78" t="s">
        <v>372</v>
      </c>
      <c r="C134" s="78" t="s">
        <v>338</v>
      </c>
      <c r="D134" s="78" t="s">
        <v>361</v>
      </c>
      <c r="E134" s="79" t="s">
        <v>427</v>
      </c>
      <c r="F134" s="78" t="s">
        <v>283</v>
      </c>
      <c r="G134" s="78" t="s">
        <v>248</v>
      </c>
      <c r="H134" s="78" t="s">
        <v>11</v>
      </c>
      <c r="I134" s="78" t="s">
        <v>214</v>
      </c>
      <c r="J134" s="79" t="s">
        <v>249</v>
      </c>
      <c r="K134" s="80">
        <v>56.1</v>
      </c>
      <c r="L134" s="80">
        <f>K134*VLOOKUP(H134,dagsoorttabel1,2,FALSE)</f>
        <v>44</v>
      </c>
      <c r="M134" s="81">
        <f>prodnorm29</f>
        <v>0</v>
      </c>
      <c r="N134" s="82">
        <f>dagwerk29</f>
        <v>0</v>
      </c>
      <c r="O134" s="78" t="s">
        <v>103</v>
      </c>
      <c r="P134" s="15">
        <f>uurtarief29</f>
        <v>0</v>
      </c>
      <c r="Q134" s="80" t="e">
        <f>IF(ISBLANK(M134),0,L134/ROUND(M134,4))</f>
        <v>#DIV/0!</v>
      </c>
      <c r="R134" s="80" t="e">
        <f>IF(ISBLANK(M134),0,Q134*ROUND(N134,2))</f>
        <v>#DIV/0!</v>
      </c>
      <c r="S134" s="15" t="e">
        <f>ROUND(P134,2)*Q134</f>
        <v>#DIV/0!</v>
      </c>
      <c r="T134" s="80" t="e">
        <f>Q134*dagenperjaar1</f>
        <v>#DIV/0!</v>
      </c>
      <c r="U134" s="16" t="e">
        <f>T134*ROUND(P134,2)</f>
        <v>#DIV/0!</v>
      </c>
    </row>
    <row r="135" spans="1:21" x14ac:dyDescent="0.3">
      <c r="A135" s="77" t="s">
        <v>278</v>
      </c>
      <c r="B135" s="78" t="s">
        <v>372</v>
      </c>
      <c r="C135" s="78" t="s">
        <v>338</v>
      </c>
      <c r="D135" s="78" t="s">
        <v>363</v>
      </c>
      <c r="E135" s="79" t="s">
        <v>421</v>
      </c>
      <c r="F135" s="78" t="s">
        <v>283</v>
      </c>
      <c r="G135" s="78" t="s">
        <v>234</v>
      </c>
      <c r="H135" s="78" t="s">
        <v>11</v>
      </c>
      <c r="I135" s="78" t="s">
        <v>214</v>
      </c>
      <c r="J135" s="79" t="s">
        <v>235</v>
      </c>
      <c r="K135" s="80">
        <v>54.5</v>
      </c>
      <c r="L135" s="80">
        <f>K135*VLOOKUP(H135,dagsoorttabel1,2,FALSE)</f>
        <v>42.745098039215684</v>
      </c>
      <c r="M135" s="81">
        <f>prodnorm21</f>
        <v>0</v>
      </c>
      <c r="N135" s="82">
        <f>dagwerk21</f>
        <v>0</v>
      </c>
      <c r="O135" s="78" t="s">
        <v>103</v>
      </c>
      <c r="P135" s="15">
        <f>uurtarief21</f>
        <v>0</v>
      </c>
      <c r="Q135" s="80" t="e">
        <f>IF(ISBLANK(M135),0,L135/ROUND(M135,4))</f>
        <v>#DIV/0!</v>
      </c>
      <c r="R135" s="80" t="e">
        <f>IF(ISBLANK(M135),0,Q135*ROUND(N135,2))</f>
        <v>#DIV/0!</v>
      </c>
      <c r="S135" s="15" t="e">
        <f>ROUND(P135,2)*Q135</f>
        <v>#DIV/0!</v>
      </c>
      <c r="T135" s="80" t="e">
        <f>Q135*dagenperjaar1</f>
        <v>#DIV/0!</v>
      </c>
      <c r="U135" s="16" t="e">
        <f>T135*ROUND(P135,2)</f>
        <v>#DIV/0!</v>
      </c>
    </row>
    <row r="136" spans="1:21" x14ac:dyDescent="0.3">
      <c r="A136" s="77" t="s">
        <v>278</v>
      </c>
      <c r="B136" s="78" t="s">
        <v>372</v>
      </c>
      <c r="C136" s="78" t="s">
        <v>338</v>
      </c>
      <c r="D136" s="78" t="s">
        <v>365</v>
      </c>
      <c r="E136" s="79" t="s">
        <v>423</v>
      </c>
      <c r="F136" s="78" t="s">
        <v>283</v>
      </c>
      <c r="G136" s="78" t="s">
        <v>216</v>
      </c>
      <c r="H136" s="78" t="s">
        <v>11</v>
      </c>
      <c r="I136" s="78" t="s">
        <v>214</v>
      </c>
      <c r="J136" s="79" t="s">
        <v>217</v>
      </c>
      <c r="K136" s="80">
        <v>18</v>
      </c>
      <c r="L136" s="80">
        <f>K136*VLOOKUP(H136,dagsoorttabel1,2,FALSE)</f>
        <v>14.117647058823529</v>
      </c>
      <c r="M136" s="81">
        <f>prodnorm6</f>
        <v>0</v>
      </c>
      <c r="N136" s="82">
        <f>dagwerk6</f>
        <v>0</v>
      </c>
      <c r="O136" s="78" t="s">
        <v>103</v>
      </c>
      <c r="P136" s="15">
        <f>uurtarief6</f>
        <v>0</v>
      </c>
      <c r="Q136" s="80" t="e">
        <f>IF(ISBLANK(M136),0,L136/ROUND(M136,4))</f>
        <v>#DIV/0!</v>
      </c>
      <c r="R136" s="80" t="e">
        <f>IF(ISBLANK(M136),0,Q136*ROUND(N136,2))</f>
        <v>#DIV/0!</v>
      </c>
      <c r="S136" s="15" t="e">
        <f>ROUND(P136,2)*Q136</f>
        <v>#DIV/0!</v>
      </c>
      <c r="T136" s="80" t="e">
        <f>Q136*dagenperjaar1</f>
        <v>#DIV/0!</v>
      </c>
      <c r="U136" s="16" t="e">
        <f>T136*ROUND(P136,2)</f>
        <v>#DIV/0!</v>
      </c>
    </row>
    <row r="137" spans="1:21" x14ac:dyDescent="0.3">
      <c r="A137" s="77" t="s">
        <v>278</v>
      </c>
      <c r="B137" s="78" t="s">
        <v>372</v>
      </c>
      <c r="C137" s="78" t="s">
        <v>338</v>
      </c>
      <c r="D137" s="78" t="s">
        <v>366</v>
      </c>
      <c r="E137" s="79" t="s">
        <v>398</v>
      </c>
      <c r="F137" s="78" t="s">
        <v>283</v>
      </c>
      <c r="G137" s="78" t="s">
        <v>300</v>
      </c>
      <c r="H137" s="78"/>
      <c r="I137" s="78"/>
      <c r="J137" s="78"/>
      <c r="K137" s="80">
        <v>6.4</v>
      </c>
      <c r="L137" s="80"/>
      <c r="M137" s="81"/>
      <c r="N137" s="82"/>
      <c r="O137" s="78"/>
      <c r="P137" s="15"/>
      <c r="Q137" s="80"/>
      <c r="R137" s="80"/>
      <c r="S137" s="15"/>
      <c r="T137" s="83"/>
      <c r="U137" s="16"/>
    </row>
    <row r="138" spans="1:21" x14ac:dyDescent="0.3">
      <c r="A138" s="77" t="s">
        <v>278</v>
      </c>
      <c r="B138" s="78" t="s">
        <v>372</v>
      </c>
      <c r="C138" s="78" t="s">
        <v>338</v>
      </c>
      <c r="D138" s="78" t="s">
        <v>428</v>
      </c>
      <c r="E138" s="79" t="s">
        <v>429</v>
      </c>
      <c r="F138" s="78" t="s">
        <v>40</v>
      </c>
      <c r="G138" s="78" t="s">
        <v>300</v>
      </c>
      <c r="H138" s="78"/>
      <c r="I138" s="78"/>
      <c r="J138" s="78"/>
      <c r="K138" s="80">
        <v>7.7</v>
      </c>
      <c r="L138" s="80"/>
      <c r="M138" s="81"/>
      <c r="N138" s="82"/>
      <c r="O138" s="78"/>
      <c r="P138" s="15"/>
      <c r="Q138" s="80"/>
      <c r="R138" s="80"/>
      <c r="S138" s="15"/>
      <c r="T138" s="83"/>
      <c r="U138" s="16"/>
    </row>
    <row r="139" spans="1:21" x14ac:dyDescent="0.3">
      <c r="A139" s="77" t="s">
        <v>278</v>
      </c>
      <c r="B139" s="78" t="s">
        <v>372</v>
      </c>
      <c r="C139" s="78" t="s">
        <v>338</v>
      </c>
      <c r="D139" s="78" t="s">
        <v>367</v>
      </c>
      <c r="E139" s="79" t="s">
        <v>430</v>
      </c>
      <c r="F139" s="78" t="s">
        <v>40</v>
      </c>
      <c r="G139" s="78" t="s">
        <v>300</v>
      </c>
      <c r="H139" s="78"/>
      <c r="I139" s="78"/>
      <c r="J139" s="78"/>
      <c r="K139" s="80">
        <v>2.4</v>
      </c>
      <c r="L139" s="80"/>
      <c r="M139" s="81"/>
      <c r="N139" s="82"/>
      <c r="O139" s="78"/>
      <c r="P139" s="15"/>
      <c r="Q139" s="80"/>
      <c r="R139" s="80"/>
      <c r="S139" s="15"/>
      <c r="T139" s="83"/>
      <c r="U139" s="16"/>
    </row>
    <row r="140" spans="1:21" ht="27" x14ac:dyDescent="0.3">
      <c r="A140" s="77" t="s">
        <v>278</v>
      </c>
      <c r="B140" s="78" t="s">
        <v>372</v>
      </c>
      <c r="C140" s="78" t="s">
        <v>338</v>
      </c>
      <c r="D140" s="78" t="s">
        <v>368</v>
      </c>
      <c r="E140" s="79" t="s">
        <v>380</v>
      </c>
      <c r="F140" s="78" t="s">
        <v>283</v>
      </c>
      <c r="G140" s="78" t="s">
        <v>256</v>
      </c>
      <c r="H140" s="78" t="s">
        <v>11</v>
      </c>
      <c r="I140" s="78" t="s">
        <v>214</v>
      </c>
      <c r="J140" s="79" t="s">
        <v>257</v>
      </c>
      <c r="K140" s="80">
        <v>53.2</v>
      </c>
      <c r="L140" s="80">
        <f t="shared" ref="L140:L147" si="30">K140*VLOOKUP(H140,dagsoorttabel1,2,FALSE)</f>
        <v>41.725490196078432</v>
      </c>
      <c r="M140" s="81">
        <f>prodnorm33</f>
        <v>0</v>
      </c>
      <c r="N140" s="82">
        <f>dagwerk33</f>
        <v>0</v>
      </c>
      <c r="O140" s="78" t="s">
        <v>103</v>
      </c>
      <c r="P140" s="15">
        <f>uurtarief33</f>
        <v>0</v>
      </c>
      <c r="Q140" s="80" t="e">
        <f t="shared" ref="Q140:Q147" si="31">IF(ISBLANK(M140),0,L140/ROUND(M140,4))</f>
        <v>#DIV/0!</v>
      </c>
      <c r="R140" s="80" t="e">
        <f t="shared" ref="R140:R147" si="32">IF(ISBLANK(M140),0,Q140*ROUND(N140,2))</f>
        <v>#DIV/0!</v>
      </c>
      <c r="S140" s="15" t="e">
        <f t="shared" ref="S140:S147" si="33">ROUND(P140,2)*Q140</f>
        <v>#DIV/0!</v>
      </c>
      <c r="T140" s="80" t="e">
        <f t="shared" ref="T140:T147" si="34">Q140*dagenperjaar1</f>
        <v>#DIV/0!</v>
      </c>
      <c r="U140" s="16" t="e">
        <f t="shared" ref="U140:U147" si="35">T140*ROUND(P140,2)</f>
        <v>#DIV/0!</v>
      </c>
    </row>
    <row r="141" spans="1:21" ht="27" x14ac:dyDescent="0.3">
      <c r="A141" s="77" t="s">
        <v>278</v>
      </c>
      <c r="B141" s="78" t="s">
        <v>372</v>
      </c>
      <c r="C141" s="78" t="s">
        <v>338</v>
      </c>
      <c r="D141" s="78" t="s">
        <v>369</v>
      </c>
      <c r="E141" s="79" t="s">
        <v>380</v>
      </c>
      <c r="F141" s="78" t="s">
        <v>283</v>
      </c>
      <c r="G141" s="78" t="s">
        <v>256</v>
      </c>
      <c r="H141" s="78" t="s">
        <v>11</v>
      </c>
      <c r="I141" s="78" t="s">
        <v>214</v>
      </c>
      <c r="J141" s="79" t="s">
        <v>257</v>
      </c>
      <c r="K141" s="80">
        <v>38.200000000000003</v>
      </c>
      <c r="L141" s="80">
        <f t="shared" si="30"/>
        <v>29.96078431372549</v>
      </c>
      <c r="M141" s="81">
        <f>prodnorm33</f>
        <v>0</v>
      </c>
      <c r="N141" s="82">
        <f>dagwerk33</f>
        <v>0</v>
      </c>
      <c r="O141" s="78" t="s">
        <v>103</v>
      </c>
      <c r="P141" s="15">
        <f>uurtarief33</f>
        <v>0</v>
      </c>
      <c r="Q141" s="80" t="e">
        <f t="shared" si="31"/>
        <v>#DIV/0!</v>
      </c>
      <c r="R141" s="80" t="e">
        <f t="shared" si="32"/>
        <v>#DIV/0!</v>
      </c>
      <c r="S141" s="15" t="e">
        <f t="shared" si="33"/>
        <v>#DIV/0!</v>
      </c>
      <c r="T141" s="80" t="e">
        <f t="shared" si="34"/>
        <v>#DIV/0!</v>
      </c>
      <c r="U141" s="16" t="e">
        <f t="shared" si="35"/>
        <v>#DIV/0!</v>
      </c>
    </row>
    <row r="142" spans="1:21" ht="27" x14ac:dyDescent="0.3">
      <c r="A142" s="77" t="s">
        <v>278</v>
      </c>
      <c r="B142" s="78" t="s">
        <v>372</v>
      </c>
      <c r="C142" s="78" t="s">
        <v>338</v>
      </c>
      <c r="D142" s="78" t="s">
        <v>370</v>
      </c>
      <c r="E142" s="79" t="s">
        <v>380</v>
      </c>
      <c r="F142" s="78" t="s">
        <v>283</v>
      </c>
      <c r="G142" s="78" t="s">
        <v>256</v>
      </c>
      <c r="H142" s="78" t="s">
        <v>11</v>
      </c>
      <c r="I142" s="78" t="s">
        <v>214</v>
      </c>
      <c r="J142" s="79" t="s">
        <v>257</v>
      </c>
      <c r="K142" s="80">
        <v>38.4</v>
      </c>
      <c r="L142" s="80">
        <f t="shared" si="30"/>
        <v>30.117647058823529</v>
      </c>
      <c r="M142" s="81">
        <f>prodnorm33</f>
        <v>0</v>
      </c>
      <c r="N142" s="82">
        <f>dagwerk33</f>
        <v>0</v>
      </c>
      <c r="O142" s="78" t="s">
        <v>103</v>
      </c>
      <c r="P142" s="15">
        <f>uurtarief33</f>
        <v>0</v>
      </c>
      <c r="Q142" s="80" t="e">
        <f t="shared" si="31"/>
        <v>#DIV/0!</v>
      </c>
      <c r="R142" s="80" t="e">
        <f t="shared" si="32"/>
        <v>#DIV/0!</v>
      </c>
      <c r="S142" s="15" t="e">
        <f t="shared" si="33"/>
        <v>#DIV/0!</v>
      </c>
      <c r="T142" s="80" t="e">
        <f t="shared" si="34"/>
        <v>#DIV/0!</v>
      </c>
      <c r="U142" s="16" t="e">
        <f t="shared" si="35"/>
        <v>#DIV/0!</v>
      </c>
    </row>
    <row r="143" spans="1:21" ht="27" x14ac:dyDescent="0.3">
      <c r="A143" s="77" t="s">
        <v>278</v>
      </c>
      <c r="B143" s="78" t="s">
        <v>372</v>
      </c>
      <c r="C143" s="78" t="s">
        <v>338</v>
      </c>
      <c r="D143" s="78" t="s">
        <v>371</v>
      </c>
      <c r="E143" s="79" t="s">
        <v>380</v>
      </c>
      <c r="F143" s="78" t="s">
        <v>283</v>
      </c>
      <c r="G143" s="78" t="s">
        <v>256</v>
      </c>
      <c r="H143" s="78" t="s">
        <v>11</v>
      </c>
      <c r="I143" s="78" t="s">
        <v>214</v>
      </c>
      <c r="J143" s="79" t="s">
        <v>257</v>
      </c>
      <c r="K143" s="80">
        <v>10.6</v>
      </c>
      <c r="L143" s="80">
        <f t="shared" si="30"/>
        <v>8.3137254901960773</v>
      </c>
      <c r="M143" s="81">
        <f>prodnorm33</f>
        <v>0</v>
      </c>
      <c r="N143" s="82">
        <f>dagwerk33</f>
        <v>0</v>
      </c>
      <c r="O143" s="78" t="s">
        <v>103</v>
      </c>
      <c r="P143" s="15">
        <f>uurtarief33</f>
        <v>0</v>
      </c>
      <c r="Q143" s="80" t="e">
        <f t="shared" si="31"/>
        <v>#DIV/0!</v>
      </c>
      <c r="R143" s="80" t="e">
        <f t="shared" si="32"/>
        <v>#DIV/0!</v>
      </c>
      <c r="S143" s="15" t="e">
        <f t="shared" si="33"/>
        <v>#DIV/0!</v>
      </c>
      <c r="T143" s="80" t="e">
        <f t="shared" si="34"/>
        <v>#DIV/0!</v>
      </c>
      <c r="U143" s="16" t="e">
        <f t="shared" si="35"/>
        <v>#DIV/0!</v>
      </c>
    </row>
    <row r="144" spans="1:21" x14ac:dyDescent="0.3">
      <c r="A144" s="77" t="s">
        <v>278</v>
      </c>
      <c r="B144" s="78" t="s">
        <v>372</v>
      </c>
      <c r="C144" s="78" t="s">
        <v>338</v>
      </c>
      <c r="D144" s="78" t="s">
        <v>431</v>
      </c>
      <c r="E144" s="79" t="s">
        <v>287</v>
      </c>
      <c r="F144" s="78" t="s">
        <v>283</v>
      </c>
      <c r="G144" s="78" t="s">
        <v>252</v>
      </c>
      <c r="H144" s="78" t="s">
        <v>11</v>
      </c>
      <c r="I144" s="78" t="s">
        <v>214</v>
      </c>
      <c r="J144" s="79" t="s">
        <v>253</v>
      </c>
      <c r="K144" s="80">
        <v>10</v>
      </c>
      <c r="L144" s="80">
        <f t="shared" si="30"/>
        <v>7.8431372549019605</v>
      </c>
      <c r="M144" s="81">
        <f>prodnorm31</f>
        <v>0</v>
      </c>
      <c r="N144" s="82">
        <f>dagwerk31</f>
        <v>0</v>
      </c>
      <c r="O144" s="78" t="s">
        <v>103</v>
      </c>
      <c r="P144" s="15">
        <f>uurtarief31</f>
        <v>0</v>
      </c>
      <c r="Q144" s="80" t="e">
        <f t="shared" si="31"/>
        <v>#DIV/0!</v>
      </c>
      <c r="R144" s="80" t="e">
        <f t="shared" si="32"/>
        <v>#DIV/0!</v>
      </c>
      <c r="S144" s="15" t="e">
        <f t="shared" si="33"/>
        <v>#DIV/0!</v>
      </c>
      <c r="T144" s="80" t="e">
        <f t="shared" si="34"/>
        <v>#DIV/0!</v>
      </c>
      <c r="U144" s="16" t="e">
        <f t="shared" si="35"/>
        <v>#DIV/0!</v>
      </c>
    </row>
    <row r="145" spans="1:21" ht="27" x14ac:dyDescent="0.3">
      <c r="A145" s="77" t="s">
        <v>278</v>
      </c>
      <c r="B145" s="78" t="s">
        <v>372</v>
      </c>
      <c r="C145" s="78" t="s">
        <v>338</v>
      </c>
      <c r="D145" s="78" t="s">
        <v>431</v>
      </c>
      <c r="E145" s="79" t="s">
        <v>380</v>
      </c>
      <c r="F145" s="78" t="s">
        <v>283</v>
      </c>
      <c r="G145" s="78" t="s">
        <v>256</v>
      </c>
      <c r="H145" s="78" t="s">
        <v>11</v>
      </c>
      <c r="I145" s="78" t="s">
        <v>214</v>
      </c>
      <c r="J145" s="79" t="s">
        <v>257</v>
      </c>
      <c r="K145" s="80">
        <v>50.6</v>
      </c>
      <c r="L145" s="80">
        <f t="shared" si="30"/>
        <v>39.686274509803923</v>
      </c>
      <c r="M145" s="81">
        <f>prodnorm33</f>
        <v>0</v>
      </c>
      <c r="N145" s="82">
        <f>dagwerk33</f>
        <v>0</v>
      </c>
      <c r="O145" s="78" t="s">
        <v>103</v>
      </c>
      <c r="P145" s="15">
        <f>uurtarief33</f>
        <v>0</v>
      </c>
      <c r="Q145" s="80" t="e">
        <f t="shared" si="31"/>
        <v>#DIV/0!</v>
      </c>
      <c r="R145" s="80" t="e">
        <f t="shared" si="32"/>
        <v>#DIV/0!</v>
      </c>
      <c r="S145" s="15" t="e">
        <f t="shared" si="33"/>
        <v>#DIV/0!</v>
      </c>
      <c r="T145" s="80" t="e">
        <f t="shared" si="34"/>
        <v>#DIV/0!</v>
      </c>
      <c r="U145" s="16" t="e">
        <f t="shared" si="35"/>
        <v>#DIV/0!</v>
      </c>
    </row>
    <row r="146" spans="1:21" x14ac:dyDescent="0.3">
      <c r="A146" s="77" t="s">
        <v>278</v>
      </c>
      <c r="B146" s="78" t="s">
        <v>372</v>
      </c>
      <c r="C146" s="78" t="s">
        <v>338</v>
      </c>
      <c r="D146" s="78" t="s">
        <v>432</v>
      </c>
      <c r="E146" s="79" t="s">
        <v>316</v>
      </c>
      <c r="F146" s="78" t="s">
        <v>387</v>
      </c>
      <c r="G146" s="78" t="s">
        <v>250</v>
      </c>
      <c r="H146" s="78" t="s">
        <v>11</v>
      </c>
      <c r="I146" s="78" t="s">
        <v>214</v>
      </c>
      <c r="J146" s="79" t="s">
        <v>251</v>
      </c>
      <c r="K146" s="80">
        <v>4.0999999999999996</v>
      </c>
      <c r="L146" s="80">
        <f t="shared" si="30"/>
        <v>3.2156862745098036</v>
      </c>
      <c r="M146" s="81">
        <f>prodnorm30</f>
        <v>0</v>
      </c>
      <c r="N146" s="82">
        <f>dagwerk30</f>
        <v>0</v>
      </c>
      <c r="O146" s="78" t="s">
        <v>103</v>
      </c>
      <c r="P146" s="15">
        <f>uurtarief30</f>
        <v>0</v>
      </c>
      <c r="Q146" s="80" t="e">
        <f t="shared" si="31"/>
        <v>#DIV/0!</v>
      </c>
      <c r="R146" s="80" t="e">
        <f t="shared" si="32"/>
        <v>#DIV/0!</v>
      </c>
      <c r="S146" s="15" t="e">
        <f t="shared" si="33"/>
        <v>#DIV/0!</v>
      </c>
      <c r="T146" s="80" t="e">
        <f t="shared" si="34"/>
        <v>#DIV/0!</v>
      </c>
      <c r="U146" s="16" t="e">
        <f t="shared" si="35"/>
        <v>#DIV/0!</v>
      </c>
    </row>
    <row r="147" spans="1:21" x14ac:dyDescent="0.3">
      <c r="A147" s="77" t="s">
        <v>278</v>
      </c>
      <c r="B147" s="78" t="s">
        <v>372</v>
      </c>
      <c r="C147" s="78" t="s">
        <v>338</v>
      </c>
      <c r="D147" s="78" t="s">
        <v>433</v>
      </c>
      <c r="E147" s="79" t="s">
        <v>419</v>
      </c>
      <c r="F147" s="78" t="s">
        <v>283</v>
      </c>
      <c r="G147" s="78" t="s">
        <v>250</v>
      </c>
      <c r="H147" s="78" t="s">
        <v>11</v>
      </c>
      <c r="I147" s="78" t="s">
        <v>214</v>
      </c>
      <c r="J147" s="79" t="s">
        <v>251</v>
      </c>
      <c r="K147" s="80">
        <v>1</v>
      </c>
      <c r="L147" s="80">
        <f t="shared" si="30"/>
        <v>0.78431372549019607</v>
      </c>
      <c r="M147" s="81">
        <f>prodnorm30</f>
        <v>0</v>
      </c>
      <c r="N147" s="82">
        <f>dagwerk30</f>
        <v>0</v>
      </c>
      <c r="O147" s="78" t="s">
        <v>103</v>
      </c>
      <c r="P147" s="15">
        <f>uurtarief30</f>
        <v>0</v>
      </c>
      <c r="Q147" s="80" t="e">
        <f t="shared" si="31"/>
        <v>#DIV/0!</v>
      </c>
      <c r="R147" s="80" t="e">
        <f t="shared" si="32"/>
        <v>#DIV/0!</v>
      </c>
      <c r="S147" s="15" t="e">
        <f t="shared" si="33"/>
        <v>#DIV/0!</v>
      </c>
      <c r="T147" s="80" t="e">
        <f t="shared" si="34"/>
        <v>#DIV/0!</v>
      </c>
      <c r="U147" s="16" t="e">
        <f t="shared" si="35"/>
        <v>#DIV/0!</v>
      </c>
    </row>
    <row r="148" spans="1:21" x14ac:dyDescent="0.3">
      <c r="A148" s="77" t="s">
        <v>278</v>
      </c>
      <c r="B148" s="78" t="s">
        <v>372</v>
      </c>
      <c r="C148" s="78" t="s">
        <v>338</v>
      </c>
      <c r="D148" s="78" t="s">
        <v>434</v>
      </c>
      <c r="E148" s="79" t="s">
        <v>299</v>
      </c>
      <c r="F148" s="78" t="s">
        <v>387</v>
      </c>
      <c r="G148" s="78" t="s">
        <v>300</v>
      </c>
      <c r="H148" s="78"/>
      <c r="I148" s="78"/>
      <c r="J148" s="78"/>
      <c r="K148" s="80">
        <v>1.1000000000000001</v>
      </c>
      <c r="L148" s="80"/>
      <c r="M148" s="81"/>
      <c r="N148" s="82"/>
      <c r="O148" s="78"/>
      <c r="P148" s="15"/>
      <c r="Q148" s="80"/>
      <c r="R148" s="80"/>
      <c r="S148" s="15"/>
      <c r="T148" s="83"/>
      <c r="U148" s="16"/>
    </row>
    <row r="149" spans="1:21" x14ac:dyDescent="0.3">
      <c r="A149" s="77" t="s">
        <v>278</v>
      </c>
      <c r="B149" s="78" t="s">
        <v>435</v>
      </c>
      <c r="C149" s="78" t="s">
        <v>373</v>
      </c>
      <c r="D149" s="78" t="s">
        <v>374</v>
      </c>
      <c r="E149" s="79" t="s">
        <v>389</v>
      </c>
      <c r="F149" s="78" t="s">
        <v>288</v>
      </c>
      <c r="G149" s="78" t="s">
        <v>300</v>
      </c>
      <c r="H149" s="78"/>
      <c r="I149" s="78"/>
      <c r="J149" s="78"/>
      <c r="K149" s="80">
        <v>83.3</v>
      </c>
      <c r="L149" s="80"/>
      <c r="M149" s="81"/>
      <c r="N149" s="82"/>
      <c r="O149" s="78"/>
      <c r="P149" s="15"/>
      <c r="Q149" s="80"/>
      <c r="R149" s="80"/>
      <c r="S149" s="15"/>
      <c r="T149" s="83"/>
      <c r="U149" s="16"/>
    </row>
    <row r="150" spans="1:21" x14ac:dyDescent="0.3">
      <c r="A150" s="77" t="s">
        <v>278</v>
      </c>
      <c r="B150" s="78" t="s">
        <v>435</v>
      </c>
      <c r="C150" s="78" t="s">
        <v>373</v>
      </c>
      <c r="D150" s="78" t="s">
        <v>377</v>
      </c>
      <c r="E150" s="79" t="s">
        <v>436</v>
      </c>
      <c r="F150" s="78" t="s">
        <v>288</v>
      </c>
      <c r="G150" s="78" t="s">
        <v>300</v>
      </c>
      <c r="H150" s="78"/>
      <c r="I150" s="78"/>
      <c r="J150" s="78"/>
      <c r="K150" s="80">
        <v>88.6</v>
      </c>
      <c r="L150" s="80"/>
      <c r="M150" s="81"/>
      <c r="N150" s="82"/>
      <c r="O150" s="78"/>
      <c r="P150" s="15"/>
      <c r="Q150" s="80"/>
      <c r="R150" s="80"/>
      <c r="S150" s="15"/>
      <c r="T150" s="83"/>
      <c r="U150" s="16"/>
    </row>
    <row r="151" spans="1:21" x14ac:dyDescent="0.3">
      <c r="A151" s="77" t="s">
        <v>278</v>
      </c>
      <c r="B151" s="78" t="s">
        <v>435</v>
      </c>
      <c r="C151" s="78" t="s">
        <v>373</v>
      </c>
      <c r="D151" s="78" t="s">
        <v>381</v>
      </c>
      <c r="E151" s="79" t="s">
        <v>437</v>
      </c>
      <c r="F151" s="78" t="s">
        <v>283</v>
      </c>
      <c r="G151" s="78" t="s">
        <v>238</v>
      </c>
      <c r="H151" s="78" t="s">
        <v>18</v>
      </c>
      <c r="I151" s="78" t="s">
        <v>214</v>
      </c>
      <c r="J151" s="79" t="s">
        <v>239</v>
      </c>
      <c r="K151" s="80">
        <v>116.2</v>
      </c>
      <c r="L151" s="80">
        <f>K151*VLOOKUP(H151,dagsoorttabel1,2,FALSE)</f>
        <v>18.227450980392156</v>
      </c>
      <c r="M151" s="81">
        <f>prodnorm24</f>
        <v>0</v>
      </c>
      <c r="N151" s="82">
        <f>dagwerk24</f>
        <v>0</v>
      </c>
      <c r="O151" s="78" t="s">
        <v>103</v>
      </c>
      <c r="P151" s="15">
        <f>uurtarief24</f>
        <v>0</v>
      </c>
      <c r="Q151" s="80" t="e">
        <f>IF(ISBLANK(M151),0,L151/ROUND(M151,4))</f>
        <v>#DIV/0!</v>
      </c>
      <c r="R151" s="80" t="e">
        <f>IF(ISBLANK(M151),0,Q151*ROUND(N151,2))</f>
        <v>#DIV/0!</v>
      </c>
      <c r="S151" s="15" t="e">
        <f>ROUND(P151,2)*Q151</f>
        <v>#DIV/0!</v>
      </c>
      <c r="T151" s="80" t="e">
        <f>Q151*dagenperjaar1</f>
        <v>#DIV/0!</v>
      </c>
      <c r="U151" s="16" t="e">
        <f>T151*ROUND(P151,2)</f>
        <v>#DIV/0!</v>
      </c>
    </row>
    <row r="152" spans="1:21" ht="27" x14ac:dyDescent="0.3">
      <c r="A152" s="77" t="s">
        <v>278</v>
      </c>
      <c r="B152" s="78" t="s">
        <v>435</v>
      </c>
      <c r="C152" s="78" t="s">
        <v>373</v>
      </c>
      <c r="D152" s="78" t="s">
        <v>383</v>
      </c>
      <c r="E152" s="79" t="s">
        <v>438</v>
      </c>
      <c r="F152" s="78" t="s">
        <v>404</v>
      </c>
      <c r="G152" s="78" t="s">
        <v>256</v>
      </c>
      <c r="H152" s="78" t="s">
        <v>11</v>
      </c>
      <c r="I152" s="78" t="s">
        <v>214</v>
      </c>
      <c r="J152" s="79" t="s">
        <v>257</v>
      </c>
      <c r="K152" s="80">
        <v>84.1</v>
      </c>
      <c r="L152" s="80">
        <f>K152*VLOOKUP(H152,dagsoorttabel1,2,FALSE)</f>
        <v>65.960784313725483</v>
      </c>
      <c r="M152" s="81">
        <f>prodnorm33</f>
        <v>0</v>
      </c>
      <c r="N152" s="82">
        <f>dagwerk33</f>
        <v>0</v>
      </c>
      <c r="O152" s="78" t="s">
        <v>103</v>
      </c>
      <c r="P152" s="15">
        <f>uurtarief33</f>
        <v>0</v>
      </c>
      <c r="Q152" s="80" t="e">
        <f>IF(ISBLANK(M152),0,L152/ROUND(M152,4))</f>
        <v>#DIV/0!</v>
      </c>
      <c r="R152" s="80" t="e">
        <f>IF(ISBLANK(M152),0,Q152*ROUND(N152,2))</f>
        <v>#DIV/0!</v>
      </c>
      <c r="S152" s="15" t="e">
        <f>ROUND(P152,2)*Q152</f>
        <v>#DIV/0!</v>
      </c>
      <c r="T152" s="80" t="e">
        <f>Q152*dagenperjaar1</f>
        <v>#DIV/0!</v>
      </c>
      <c r="U152" s="16" t="e">
        <f>T152*ROUND(P152,2)</f>
        <v>#DIV/0!</v>
      </c>
    </row>
    <row r="153" spans="1:21" x14ac:dyDescent="0.3">
      <c r="A153" s="77" t="s">
        <v>278</v>
      </c>
      <c r="B153" s="78" t="s">
        <v>435</v>
      </c>
      <c r="C153" s="78" t="s">
        <v>373</v>
      </c>
      <c r="D153" s="78" t="s">
        <v>385</v>
      </c>
      <c r="E153" s="79" t="s">
        <v>320</v>
      </c>
      <c r="F153" s="78" t="s">
        <v>404</v>
      </c>
      <c r="G153" s="78" t="s">
        <v>213</v>
      </c>
      <c r="H153" s="78" t="s">
        <v>11</v>
      </c>
      <c r="I153" s="78" t="s">
        <v>214</v>
      </c>
      <c r="J153" s="79" t="s">
        <v>215</v>
      </c>
      <c r="K153" s="80">
        <v>148.4</v>
      </c>
      <c r="L153" s="80">
        <f>K153*VLOOKUP(H153,dagsoorttabel1,2,FALSE)</f>
        <v>116.3921568627451</v>
      </c>
      <c r="M153" s="81">
        <f>prodnorm5</f>
        <v>0</v>
      </c>
      <c r="N153" s="82">
        <f>dagwerk5</f>
        <v>0</v>
      </c>
      <c r="O153" s="78" t="s">
        <v>103</v>
      </c>
      <c r="P153" s="15">
        <f>uurtarief5</f>
        <v>0</v>
      </c>
      <c r="Q153" s="80" t="e">
        <f>IF(ISBLANK(M153),0,L153/ROUND(M153,4))</f>
        <v>#DIV/0!</v>
      </c>
      <c r="R153" s="80" t="e">
        <f>IF(ISBLANK(M153),0,Q153*ROUND(N153,2))</f>
        <v>#DIV/0!</v>
      </c>
      <c r="S153" s="15" t="e">
        <f>ROUND(P153,2)*Q153</f>
        <v>#DIV/0!</v>
      </c>
      <c r="T153" s="80" t="e">
        <f>Q153*dagenperjaar1</f>
        <v>#DIV/0!</v>
      </c>
      <c r="U153" s="16" t="e">
        <f>T153*ROUND(P153,2)</f>
        <v>#DIV/0!</v>
      </c>
    </row>
    <row r="154" spans="1:21" x14ac:dyDescent="0.3">
      <c r="A154" s="77" t="s">
        <v>278</v>
      </c>
      <c r="B154" s="78" t="s">
        <v>435</v>
      </c>
      <c r="C154" s="78" t="s">
        <v>373</v>
      </c>
      <c r="D154" s="78" t="s">
        <v>439</v>
      </c>
      <c r="E154" s="79" t="s">
        <v>320</v>
      </c>
      <c r="F154" s="78" t="s">
        <v>404</v>
      </c>
      <c r="G154" s="78" t="s">
        <v>213</v>
      </c>
      <c r="H154" s="78" t="s">
        <v>11</v>
      </c>
      <c r="I154" s="78" t="s">
        <v>214</v>
      </c>
      <c r="J154" s="79" t="s">
        <v>215</v>
      </c>
      <c r="K154" s="80">
        <v>86.7</v>
      </c>
      <c r="L154" s="80">
        <f>K154*VLOOKUP(H154,dagsoorttabel1,2,FALSE)</f>
        <v>68</v>
      </c>
      <c r="M154" s="81">
        <f>prodnorm5</f>
        <v>0</v>
      </c>
      <c r="N154" s="82">
        <f>dagwerk5</f>
        <v>0</v>
      </c>
      <c r="O154" s="78" t="s">
        <v>103</v>
      </c>
      <c r="P154" s="15">
        <f>uurtarief5</f>
        <v>0</v>
      </c>
      <c r="Q154" s="80" t="e">
        <f>IF(ISBLANK(M154),0,L154/ROUND(M154,4))</f>
        <v>#DIV/0!</v>
      </c>
      <c r="R154" s="80" t="e">
        <f>IF(ISBLANK(M154),0,Q154*ROUND(N154,2))</f>
        <v>#DIV/0!</v>
      </c>
      <c r="S154" s="15" t="e">
        <f>ROUND(P154,2)*Q154</f>
        <v>#DIV/0!</v>
      </c>
      <c r="T154" s="80" t="e">
        <f>Q154*dagenperjaar1</f>
        <v>#DIV/0!</v>
      </c>
      <c r="U154" s="16" t="e">
        <f>T154*ROUND(P154,2)</f>
        <v>#DIV/0!</v>
      </c>
    </row>
    <row r="155" spans="1:21" x14ac:dyDescent="0.3">
      <c r="A155" s="77" t="s">
        <v>278</v>
      </c>
      <c r="B155" s="78" t="s">
        <v>435</v>
      </c>
      <c r="C155" s="78" t="s">
        <v>373</v>
      </c>
      <c r="D155" s="78" t="s">
        <v>386</v>
      </c>
      <c r="E155" s="79" t="s">
        <v>440</v>
      </c>
      <c r="F155" s="78" t="s">
        <v>387</v>
      </c>
      <c r="G155" s="78" t="s">
        <v>242</v>
      </c>
      <c r="H155" s="78" t="s">
        <v>11</v>
      </c>
      <c r="I155" s="78" t="s">
        <v>214</v>
      </c>
      <c r="J155" s="79" t="s">
        <v>243</v>
      </c>
      <c r="K155" s="80">
        <v>28.5</v>
      </c>
      <c r="L155" s="80">
        <f>K155*VLOOKUP(H155,dagsoorttabel1,2,FALSE)</f>
        <v>22.352941176470587</v>
      </c>
      <c r="M155" s="81">
        <f>prodnorm26</f>
        <v>0</v>
      </c>
      <c r="N155" s="82">
        <f>dagwerk26</f>
        <v>0</v>
      </c>
      <c r="O155" s="78" t="s">
        <v>103</v>
      </c>
      <c r="P155" s="15">
        <f>uurtarief26</f>
        <v>0</v>
      </c>
      <c r="Q155" s="80" t="e">
        <f>IF(ISBLANK(M155),0,L155/ROUND(M155,4))</f>
        <v>#DIV/0!</v>
      </c>
      <c r="R155" s="80" t="e">
        <f>IF(ISBLANK(M155),0,Q155*ROUND(N155,2))</f>
        <v>#DIV/0!</v>
      </c>
      <c r="S155" s="15" t="e">
        <f>ROUND(P155,2)*Q155</f>
        <v>#DIV/0!</v>
      </c>
      <c r="T155" s="80" t="e">
        <f>Q155*dagenperjaar1</f>
        <v>#DIV/0!</v>
      </c>
      <c r="U155" s="16" t="e">
        <f>T155*ROUND(P155,2)</f>
        <v>#DIV/0!</v>
      </c>
    </row>
    <row r="156" spans="1:21" x14ac:dyDescent="0.3">
      <c r="A156" s="77" t="s">
        <v>278</v>
      </c>
      <c r="B156" s="78" t="s">
        <v>435</v>
      </c>
      <c r="C156" s="78" t="s">
        <v>373</v>
      </c>
      <c r="D156" s="78" t="s">
        <v>388</v>
      </c>
      <c r="E156" s="79" t="s">
        <v>441</v>
      </c>
      <c r="F156" s="78" t="s">
        <v>387</v>
      </c>
      <c r="G156" s="78" t="s">
        <v>300</v>
      </c>
      <c r="H156" s="78"/>
      <c r="I156" s="78"/>
      <c r="J156" s="78"/>
      <c r="K156" s="80">
        <v>24.4</v>
      </c>
      <c r="L156" s="80"/>
      <c r="M156" s="81"/>
      <c r="N156" s="82"/>
      <c r="O156" s="78"/>
      <c r="P156" s="15"/>
      <c r="Q156" s="80"/>
      <c r="R156" s="80"/>
      <c r="S156" s="15"/>
      <c r="T156" s="83"/>
      <c r="U156" s="16"/>
    </row>
    <row r="157" spans="1:21" x14ac:dyDescent="0.3">
      <c r="A157" s="77" t="s">
        <v>278</v>
      </c>
      <c r="B157" s="78" t="s">
        <v>435</v>
      </c>
      <c r="C157" s="78" t="s">
        <v>373</v>
      </c>
      <c r="D157" s="78" t="s">
        <v>390</v>
      </c>
      <c r="E157" s="79" t="s">
        <v>442</v>
      </c>
      <c r="F157" s="78" t="s">
        <v>288</v>
      </c>
      <c r="G157" s="78" t="s">
        <v>300</v>
      </c>
      <c r="H157" s="78"/>
      <c r="I157" s="78"/>
      <c r="J157" s="78"/>
      <c r="K157" s="80">
        <v>30.2</v>
      </c>
      <c r="L157" s="80"/>
      <c r="M157" s="81"/>
      <c r="N157" s="82"/>
      <c r="O157" s="78"/>
      <c r="P157" s="15"/>
      <c r="Q157" s="80"/>
      <c r="R157" s="80"/>
      <c r="S157" s="15"/>
      <c r="T157" s="83"/>
      <c r="U157" s="16"/>
    </row>
    <row r="158" spans="1:21" x14ac:dyDescent="0.3">
      <c r="A158" s="77" t="s">
        <v>278</v>
      </c>
      <c r="B158" s="78" t="s">
        <v>435</v>
      </c>
      <c r="C158" s="78" t="s">
        <v>373</v>
      </c>
      <c r="D158" s="78" t="s">
        <v>392</v>
      </c>
      <c r="E158" s="79" t="s">
        <v>400</v>
      </c>
      <c r="F158" s="78" t="s">
        <v>288</v>
      </c>
      <c r="G158" s="78" t="s">
        <v>300</v>
      </c>
      <c r="H158" s="78"/>
      <c r="I158" s="78"/>
      <c r="J158" s="78"/>
      <c r="K158" s="80">
        <v>9.6</v>
      </c>
      <c r="L158" s="80"/>
      <c r="M158" s="81"/>
      <c r="N158" s="82"/>
      <c r="O158" s="78"/>
      <c r="P158" s="15"/>
      <c r="Q158" s="80"/>
      <c r="R158" s="80"/>
      <c r="S158" s="15"/>
      <c r="T158" s="83"/>
      <c r="U158" s="16"/>
    </row>
    <row r="159" spans="1:21" x14ac:dyDescent="0.3">
      <c r="A159" s="77" t="s">
        <v>278</v>
      </c>
      <c r="B159" s="78" t="s">
        <v>435</v>
      </c>
      <c r="C159" s="78" t="s">
        <v>373</v>
      </c>
      <c r="D159" s="78" t="s">
        <v>443</v>
      </c>
      <c r="E159" s="79" t="s">
        <v>444</v>
      </c>
      <c r="F159" s="78" t="s">
        <v>288</v>
      </c>
      <c r="G159" s="78" t="s">
        <v>300</v>
      </c>
      <c r="H159" s="78"/>
      <c r="I159" s="78"/>
      <c r="J159" s="78"/>
      <c r="K159" s="80">
        <v>3.6</v>
      </c>
      <c r="L159" s="80"/>
      <c r="M159" s="81"/>
      <c r="N159" s="82"/>
      <c r="O159" s="78"/>
      <c r="P159" s="15"/>
      <c r="Q159" s="80"/>
      <c r="R159" s="80"/>
      <c r="S159" s="15"/>
      <c r="T159" s="83"/>
      <c r="U159" s="16"/>
    </row>
    <row r="160" spans="1:21" x14ac:dyDescent="0.3">
      <c r="A160" s="77" t="s">
        <v>278</v>
      </c>
      <c r="B160" s="78" t="s">
        <v>435</v>
      </c>
      <c r="C160" s="78" t="s">
        <v>373</v>
      </c>
      <c r="D160" s="78" t="s">
        <v>393</v>
      </c>
      <c r="E160" s="79" t="s">
        <v>302</v>
      </c>
      <c r="F160" s="78" t="s">
        <v>387</v>
      </c>
      <c r="G160" s="78" t="s">
        <v>250</v>
      </c>
      <c r="H160" s="78" t="s">
        <v>11</v>
      </c>
      <c r="I160" s="78" t="s">
        <v>214</v>
      </c>
      <c r="J160" s="79" t="s">
        <v>251</v>
      </c>
      <c r="K160" s="80">
        <v>24.8</v>
      </c>
      <c r="L160" s="80">
        <f t="shared" ref="L160:L174" si="36">K160*VLOOKUP(H160,dagsoorttabel1,2,FALSE)</f>
        <v>19.450980392156865</v>
      </c>
      <c r="M160" s="81">
        <f>prodnorm30</f>
        <v>0</v>
      </c>
      <c r="N160" s="82">
        <f>dagwerk30</f>
        <v>0</v>
      </c>
      <c r="O160" s="78" t="s">
        <v>103</v>
      </c>
      <c r="P160" s="15">
        <f>uurtarief30</f>
        <v>0</v>
      </c>
      <c r="Q160" s="80" t="e">
        <f t="shared" ref="Q160:Q174" si="37">IF(ISBLANK(M160),0,L160/ROUND(M160,4))</f>
        <v>#DIV/0!</v>
      </c>
      <c r="R160" s="80" t="e">
        <f t="shared" ref="R160:R174" si="38">IF(ISBLANK(M160),0,Q160*ROUND(N160,2))</f>
        <v>#DIV/0!</v>
      </c>
      <c r="S160" s="15" t="e">
        <f t="shared" ref="S160:S174" si="39">ROUND(P160,2)*Q160</f>
        <v>#DIV/0!</v>
      </c>
      <c r="T160" s="80" t="e">
        <f t="shared" ref="T160:T174" si="40">Q160*dagenperjaar1</f>
        <v>#DIV/0!</v>
      </c>
      <c r="U160" s="16" t="e">
        <f t="shared" ref="U160:U174" si="41">T160*ROUND(P160,2)</f>
        <v>#DIV/0!</v>
      </c>
    </row>
    <row r="161" spans="1:21" ht="27" x14ac:dyDescent="0.3">
      <c r="A161" s="77" t="s">
        <v>278</v>
      </c>
      <c r="B161" s="78" t="s">
        <v>435</v>
      </c>
      <c r="C161" s="78" t="s">
        <v>373</v>
      </c>
      <c r="D161" s="78" t="s">
        <v>395</v>
      </c>
      <c r="E161" s="79" t="s">
        <v>380</v>
      </c>
      <c r="F161" s="78" t="s">
        <v>283</v>
      </c>
      <c r="G161" s="78" t="s">
        <v>256</v>
      </c>
      <c r="H161" s="78" t="s">
        <v>11</v>
      </c>
      <c r="I161" s="78" t="s">
        <v>214</v>
      </c>
      <c r="J161" s="79" t="s">
        <v>257</v>
      </c>
      <c r="K161" s="80">
        <v>32.9</v>
      </c>
      <c r="L161" s="80">
        <f t="shared" si="36"/>
        <v>25.803921568627448</v>
      </c>
      <c r="M161" s="81">
        <f>prodnorm33</f>
        <v>0</v>
      </c>
      <c r="N161" s="82">
        <f>dagwerk33</f>
        <v>0</v>
      </c>
      <c r="O161" s="78" t="s">
        <v>103</v>
      </c>
      <c r="P161" s="15">
        <f>uurtarief33</f>
        <v>0</v>
      </c>
      <c r="Q161" s="80" t="e">
        <f t="shared" si="37"/>
        <v>#DIV/0!</v>
      </c>
      <c r="R161" s="80" t="e">
        <f t="shared" si="38"/>
        <v>#DIV/0!</v>
      </c>
      <c r="S161" s="15" t="e">
        <f t="shared" si="39"/>
        <v>#DIV/0!</v>
      </c>
      <c r="T161" s="80" t="e">
        <f t="shared" si="40"/>
        <v>#DIV/0!</v>
      </c>
      <c r="U161" s="16" t="e">
        <f t="shared" si="41"/>
        <v>#DIV/0!</v>
      </c>
    </row>
    <row r="162" spans="1:21" x14ac:dyDescent="0.3">
      <c r="A162" s="77" t="s">
        <v>278</v>
      </c>
      <c r="B162" s="78" t="s">
        <v>435</v>
      </c>
      <c r="C162" s="78" t="s">
        <v>373</v>
      </c>
      <c r="D162" s="78" t="s">
        <v>397</v>
      </c>
      <c r="E162" s="79" t="s">
        <v>287</v>
      </c>
      <c r="F162" s="78" t="s">
        <v>404</v>
      </c>
      <c r="G162" s="78" t="s">
        <v>252</v>
      </c>
      <c r="H162" s="78" t="s">
        <v>11</v>
      </c>
      <c r="I162" s="78" t="s">
        <v>214</v>
      </c>
      <c r="J162" s="79" t="s">
        <v>253</v>
      </c>
      <c r="K162" s="80">
        <v>10</v>
      </c>
      <c r="L162" s="80">
        <f t="shared" si="36"/>
        <v>7.8431372549019605</v>
      </c>
      <c r="M162" s="81">
        <f>prodnorm31</f>
        <v>0</v>
      </c>
      <c r="N162" s="82">
        <f>dagwerk31</f>
        <v>0</v>
      </c>
      <c r="O162" s="78" t="s">
        <v>103</v>
      </c>
      <c r="P162" s="15">
        <f>uurtarief31</f>
        <v>0</v>
      </c>
      <c r="Q162" s="80" t="e">
        <f t="shared" si="37"/>
        <v>#DIV/0!</v>
      </c>
      <c r="R162" s="80" t="e">
        <f t="shared" si="38"/>
        <v>#DIV/0!</v>
      </c>
      <c r="S162" s="15" t="e">
        <f t="shared" si="39"/>
        <v>#DIV/0!</v>
      </c>
      <c r="T162" s="80" t="e">
        <f t="shared" si="40"/>
        <v>#DIV/0!</v>
      </c>
      <c r="U162" s="16" t="e">
        <f t="shared" si="41"/>
        <v>#DIV/0!</v>
      </c>
    </row>
    <row r="163" spans="1:21" ht="27" x14ac:dyDescent="0.3">
      <c r="A163" s="77" t="s">
        <v>278</v>
      </c>
      <c r="B163" s="78" t="s">
        <v>435</v>
      </c>
      <c r="C163" s="78" t="s">
        <v>373</v>
      </c>
      <c r="D163" s="78" t="s">
        <v>397</v>
      </c>
      <c r="E163" s="79" t="s">
        <v>380</v>
      </c>
      <c r="F163" s="78" t="s">
        <v>283</v>
      </c>
      <c r="G163" s="78" t="s">
        <v>256</v>
      </c>
      <c r="H163" s="78" t="s">
        <v>11</v>
      </c>
      <c r="I163" s="78" t="s">
        <v>214</v>
      </c>
      <c r="J163" s="79" t="s">
        <v>257</v>
      </c>
      <c r="K163" s="80">
        <v>34.5</v>
      </c>
      <c r="L163" s="80">
        <f t="shared" si="36"/>
        <v>27.058823529411764</v>
      </c>
      <c r="M163" s="81">
        <f>prodnorm33</f>
        <v>0</v>
      </c>
      <c r="N163" s="82">
        <f>dagwerk33</f>
        <v>0</v>
      </c>
      <c r="O163" s="78" t="s">
        <v>103</v>
      </c>
      <c r="P163" s="15">
        <f>uurtarief33</f>
        <v>0</v>
      </c>
      <c r="Q163" s="80" t="e">
        <f t="shared" si="37"/>
        <v>#DIV/0!</v>
      </c>
      <c r="R163" s="80" t="e">
        <f t="shared" si="38"/>
        <v>#DIV/0!</v>
      </c>
      <c r="S163" s="15" t="e">
        <f t="shared" si="39"/>
        <v>#DIV/0!</v>
      </c>
      <c r="T163" s="80" t="e">
        <f t="shared" si="40"/>
        <v>#DIV/0!</v>
      </c>
      <c r="U163" s="16" t="e">
        <f t="shared" si="41"/>
        <v>#DIV/0!</v>
      </c>
    </row>
    <row r="164" spans="1:21" x14ac:dyDescent="0.3">
      <c r="A164" s="77" t="s">
        <v>278</v>
      </c>
      <c r="B164" s="78" t="s">
        <v>435</v>
      </c>
      <c r="C164" s="78" t="s">
        <v>280</v>
      </c>
      <c r="D164" s="78" t="s">
        <v>281</v>
      </c>
      <c r="E164" s="79" t="s">
        <v>320</v>
      </c>
      <c r="F164" s="78" t="s">
        <v>283</v>
      </c>
      <c r="G164" s="78" t="s">
        <v>213</v>
      </c>
      <c r="H164" s="78" t="s">
        <v>11</v>
      </c>
      <c r="I164" s="78" t="s">
        <v>214</v>
      </c>
      <c r="J164" s="79" t="s">
        <v>215</v>
      </c>
      <c r="K164" s="80">
        <v>151.69999999999999</v>
      </c>
      <c r="L164" s="80">
        <f t="shared" si="36"/>
        <v>118.98039215686273</v>
      </c>
      <c r="M164" s="81">
        <f>prodnorm5</f>
        <v>0</v>
      </c>
      <c r="N164" s="82">
        <f>dagwerk5</f>
        <v>0</v>
      </c>
      <c r="O164" s="78" t="s">
        <v>103</v>
      </c>
      <c r="P164" s="15">
        <f>uurtarief5</f>
        <v>0</v>
      </c>
      <c r="Q164" s="80" t="e">
        <f t="shared" si="37"/>
        <v>#DIV/0!</v>
      </c>
      <c r="R164" s="80" t="e">
        <f t="shared" si="38"/>
        <v>#DIV/0!</v>
      </c>
      <c r="S164" s="15" t="e">
        <f t="shared" si="39"/>
        <v>#DIV/0!</v>
      </c>
      <c r="T164" s="80" t="e">
        <f t="shared" si="40"/>
        <v>#DIV/0!</v>
      </c>
      <c r="U164" s="16" t="e">
        <f t="shared" si="41"/>
        <v>#DIV/0!</v>
      </c>
    </row>
    <row r="165" spans="1:21" ht="27" x14ac:dyDescent="0.3">
      <c r="A165" s="77" t="s">
        <v>278</v>
      </c>
      <c r="B165" s="78" t="s">
        <v>435</v>
      </c>
      <c r="C165" s="78" t="s">
        <v>280</v>
      </c>
      <c r="D165" s="78" t="s">
        <v>445</v>
      </c>
      <c r="E165" s="79" t="s">
        <v>446</v>
      </c>
      <c r="F165" s="78" t="s">
        <v>447</v>
      </c>
      <c r="G165" s="78" t="s">
        <v>256</v>
      </c>
      <c r="H165" s="78" t="s">
        <v>11</v>
      </c>
      <c r="I165" s="78" t="s">
        <v>214</v>
      </c>
      <c r="J165" s="79" t="s">
        <v>257</v>
      </c>
      <c r="K165" s="80">
        <v>138.5</v>
      </c>
      <c r="L165" s="80">
        <f t="shared" si="36"/>
        <v>108.62745098039215</v>
      </c>
      <c r="M165" s="81">
        <f>prodnorm33</f>
        <v>0</v>
      </c>
      <c r="N165" s="82">
        <f>dagwerk33</f>
        <v>0</v>
      </c>
      <c r="O165" s="78" t="s">
        <v>103</v>
      </c>
      <c r="P165" s="15">
        <f>uurtarief33</f>
        <v>0</v>
      </c>
      <c r="Q165" s="80" t="e">
        <f t="shared" si="37"/>
        <v>#DIV/0!</v>
      </c>
      <c r="R165" s="80" t="e">
        <f t="shared" si="38"/>
        <v>#DIV/0!</v>
      </c>
      <c r="S165" s="15" t="e">
        <f t="shared" si="39"/>
        <v>#DIV/0!</v>
      </c>
      <c r="T165" s="80" t="e">
        <f t="shared" si="40"/>
        <v>#DIV/0!</v>
      </c>
      <c r="U165" s="16" t="e">
        <f t="shared" si="41"/>
        <v>#DIV/0!</v>
      </c>
    </row>
    <row r="166" spans="1:21" x14ac:dyDescent="0.3">
      <c r="A166" s="77" t="s">
        <v>278</v>
      </c>
      <c r="B166" s="78" t="s">
        <v>435</v>
      </c>
      <c r="C166" s="78" t="s">
        <v>280</v>
      </c>
      <c r="D166" s="78" t="s">
        <v>448</v>
      </c>
      <c r="E166" s="79" t="s">
        <v>449</v>
      </c>
      <c r="F166" s="78" t="s">
        <v>283</v>
      </c>
      <c r="G166" s="78" t="s">
        <v>252</v>
      </c>
      <c r="H166" s="78" t="s">
        <v>11</v>
      </c>
      <c r="I166" s="78" t="s">
        <v>214</v>
      </c>
      <c r="J166" s="79" t="s">
        <v>253</v>
      </c>
      <c r="K166" s="80">
        <v>27.3</v>
      </c>
      <c r="L166" s="80">
        <f t="shared" si="36"/>
        <v>21.411764705882351</v>
      </c>
      <c r="M166" s="81">
        <f>prodnorm31</f>
        <v>0</v>
      </c>
      <c r="N166" s="82">
        <f>dagwerk31</f>
        <v>0</v>
      </c>
      <c r="O166" s="78" t="s">
        <v>103</v>
      </c>
      <c r="P166" s="15">
        <f>uurtarief31</f>
        <v>0</v>
      </c>
      <c r="Q166" s="80" t="e">
        <f t="shared" si="37"/>
        <v>#DIV/0!</v>
      </c>
      <c r="R166" s="80" t="e">
        <f t="shared" si="38"/>
        <v>#DIV/0!</v>
      </c>
      <c r="S166" s="15" t="e">
        <f t="shared" si="39"/>
        <v>#DIV/0!</v>
      </c>
      <c r="T166" s="80" t="e">
        <f t="shared" si="40"/>
        <v>#DIV/0!</v>
      </c>
      <c r="U166" s="16" t="e">
        <f t="shared" si="41"/>
        <v>#DIV/0!</v>
      </c>
    </row>
    <row r="167" spans="1:21" x14ac:dyDescent="0.3">
      <c r="A167" s="77" t="s">
        <v>278</v>
      </c>
      <c r="B167" s="78" t="s">
        <v>435</v>
      </c>
      <c r="C167" s="78" t="s">
        <v>280</v>
      </c>
      <c r="D167" s="78" t="s">
        <v>284</v>
      </c>
      <c r="E167" s="79" t="s">
        <v>450</v>
      </c>
      <c r="F167" s="78" t="s">
        <v>283</v>
      </c>
      <c r="G167" s="78" t="s">
        <v>218</v>
      </c>
      <c r="H167" s="78" t="s">
        <v>11</v>
      </c>
      <c r="I167" s="78" t="s">
        <v>214</v>
      </c>
      <c r="J167" s="79" t="s">
        <v>219</v>
      </c>
      <c r="K167" s="80">
        <v>123.9</v>
      </c>
      <c r="L167" s="80">
        <f t="shared" si="36"/>
        <v>97.176470588235304</v>
      </c>
      <c r="M167" s="81">
        <f>prodnorm10</f>
        <v>0</v>
      </c>
      <c r="N167" s="82">
        <f>dagwerk10</f>
        <v>0</v>
      </c>
      <c r="O167" s="78" t="s">
        <v>103</v>
      </c>
      <c r="P167" s="15">
        <f>uurtarief10</f>
        <v>0</v>
      </c>
      <c r="Q167" s="80" t="e">
        <f t="shared" si="37"/>
        <v>#DIV/0!</v>
      </c>
      <c r="R167" s="80" t="e">
        <f t="shared" si="38"/>
        <v>#DIV/0!</v>
      </c>
      <c r="S167" s="15" t="e">
        <f t="shared" si="39"/>
        <v>#DIV/0!</v>
      </c>
      <c r="T167" s="80" t="e">
        <f t="shared" si="40"/>
        <v>#DIV/0!</v>
      </c>
      <c r="U167" s="16" t="e">
        <f t="shared" si="41"/>
        <v>#DIV/0!</v>
      </c>
    </row>
    <row r="168" spans="1:21" x14ac:dyDescent="0.3">
      <c r="A168" s="77" t="s">
        <v>278</v>
      </c>
      <c r="B168" s="78" t="s">
        <v>435</v>
      </c>
      <c r="C168" s="78" t="s">
        <v>280</v>
      </c>
      <c r="D168" s="78" t="s">
        <v>289</v>
      </c>
      <c r="E168" s="79" t="s">
        <v>451</v>
      </c>
      <c r="F168" s="78" t="s">
        <v>283</v>
      </c>
      <c r="G168" s="78" t="s">
        <v>254</v>
      </c>
      <c r="H168" s="78" t="s">
        <v>11</v>
      </c>
      <c r="I168" s="78" t="s">
        <v>214</v>
      </c>
      <c r="J168" s="79" t="s">
        <v>255</v>
      </c>
      <c r="K168" s="80">
        <v>11.4</v>
      </c>
      <c r="L168" s="80">
        <f t="shared" si="36"/>
        <v>8.9411764705882355</v>
      </c>
      <c r="M168" s="81">
        <f>prodnorm32</f>
        <v>0</v>
      </c>
      <c r="N168" s="82">
        <f>dagwerk32</f>
        <v>0</v>
      </c>
      <c r="O168" s="78" t="s">
        <v>103</v>
      </c>
      <c r="P168" s="15">
        <f>uurtarief32</f>
        <v>0</v>
      </c>
      <c r="Q168" s="80" t="e">
        <f t="shared" si="37"/>
        <v>#DIV/0!</v>
      </c>
      <c r="R168" s="80" t="e">
        <f t="shared" si="38"/>
        <v>#DIV/0!</v>
      </c>
      <c r="S168" s="15" t="e">
        <f t="shared" si="39"/>
        <v>#DIV/0!</v>
      </c>
      <c r="T168" s="80" t="e">
        <f t="shared" si="40"/>
        <v>#DIV/0!</v>
      </c>
      <c r="U168" s="16" t="e">
        <f t="shared" si="41"/>
        <v>#DIV/0!</v>
      </c>
    </row>
    <row r="169" spans="1:21" x14ac:dyDescent="0.3">
      <c r="A169" s="77" t="s">
        <v>278</v>
      </c>
      <c r="B169" s="78" t="s">
        <v>435</v>
      </c>
      <c r="C169" s="78" t="s">
        <v>280</v>
      </c>
      <c r="D169" s="78" t="s">
        <v>291</v>
      </c>
      <c r="E169" s="79" t="s">
        <v>316</v>
      </c>
      <c r="F169" s="78" t="s">
        <v>387</v>
      </c>
      <c r="G169" s="78" t="s">
        <v>250</v>
      </c>
      <c r="H169" s="78" t="s">
        <v>11</v>
      </c>
      <c r="I169" s="78" t="s">
        <v>214</v>
      </c>
      <c r="J169" s="79" t="s">
        <v>251</v>
      </c>
      <c r="K169" s="80">
        <v>4.5999999999999996</v>
      </c>
      <c r="L169" s="80">
        <f t="shared" si="36"/>
        <v>3.6078431372549016</v>
      </c>
      <c r="M169" s="81">
        <f>prodnorm30</f>
        <v>0</v>
      </c>
      <c r="N169" s="82">
        <f>dagwerk30</f>
        <v>0</v>
      </c>
      <c r="O169" s="78" t="s">
        <v>103</v>
      </c>
      <c r="P169" s="15">
        <f>uurtarief30</f>
        <v>0</v>
      </c>
      <c r="Q169" s="80" t="e">
        <f t="shared" si="37"/>
        <v>#DIV/0!</v>
      </c>
      <c r="R169" s="80" t="e">
        <f t="shared" si="38"/>
        <v>#DIV/0!</v>
      </c>
      <c r="S169" s="15" t="e">
        <f t="shared" si="39"/>
        <v>#DIV/0!</v>
      </c>
      <c r="T169" s="80" t="e">
        <f t="shared" si="40"/>
        <v>#DIV/0!</v>
      </c>
      <c r="U169" s="16" t="e">
        <f t="shared" si="41"/>
        <v>#DIV/0!</v>
      </c>
    </row>
    <row r="170" spans="1:21" x14ac:dyDescent="0.3">
      <c r="A170" s="77" t="s">
        <v>278</v>
      </c>
      <c r="B170" s="78" t="s">
        <v>435</v>
      </c>
      <c r="C170" s="78" t="s">
        <v>280</v>
      </c>
      <c r="D170" s="78" t="s">
        <v>292</v>
      </c>
      <c r="E170" s="79" t="s">
        <v>419</v>
      </c>
      <c r="F170" s="78" t="s">
        <v>387</v>
      </c>
      <c r="G170" s="78" t="s">
        <v>250</v>
      </c>
      <c r="H170" s="78" t="s">
        <v>11</v>
      </c>
      <c r="I170" s="78" t="s">
        <v>214</v>
      </c>
      <c r="J170" s="79" t="s">
        <v>251</v>
      </c>
      <c r="K170" s="80">
        <v>1.5</v>
      </c>
      <c r="L170" s="80">
        <f t="shared" si="36"/>
        <v>1.1764705882352942</v>
      </c>
      <c r="M170" s="81">
        <f>prodnorm30</f>
        <v>0</v>
      </c>
      <c r="N170" s="82">
        <f>dagwerk30</f>
        <v>0</v>
      </c>
      <c r="O170" s="78" t="s">
        <v>103</v>
      </c>
      <c r="P170" s="15">
        <f>uurtarief30</f>
        <v>0</v>
      </c>
      <c r="Q170" s="80" t="e">
        <f t="shared" si="37"/>
        <v>#DIV/0!</v>
      </c>
      <c r="R170" s="80" t="e">
        <f t="shared" si="38"/>
        <v>#DIV/0!</v>
      </c>
      <c r="S170" s="15" t="e">
        <f t="shared" si="39"/>
        <v>#DIV/0!</v>
      </c>
      <c r="T170" s="80" t="e">
        <f t="shared" si="40"/>
        <v>#DIV/0!</v>
      </c>
      <c r="U170" s="16" t="e">
        <f t="shared" si="41"/>
        <v>#DIV/0!</v>
      </c>
    </row>
    <row r="171" spans="1:21" x14ac:dyDescent="0.3">
      <c r="A171" s="77" t="s">
        <v>278</v>
      </c>
      <c r="B171" s="78" t="s">
        <v>435</v>
      </c>
      <c r="C171" s="78" t="s">
        <v>280</v>
      </c>
      <c r="D171" s="78" t="s">
        <v>452</v>
      </c>
      <c r="E171" s="79" t="s">
        <v>419</v>
      </c>
      <c r="F171" s="78" t="s">
        <v>387</v>
      </c>
      <c r="G171" s="78" t="s">
        <v>250</v>
      </c>
      <c r="H171" s="78" t="s">
        <v>11</v>
      </c>
      <c r="I171" s="78" t="s">
        <v>214</v>
      </c>
      <c r="J171" s="79" t="s">
        <v>251</v>
      </c>
      <c r="K171" s="80">
        <v>1.5</v>
      </c>
      <c r="L171" s="80">
        <f t="shared" si="36"/>
        <v>1.1764705882352942</v>
      </c>
      <c r="M171" s="81">
        <f>prodnorm30</f>
        <v>0</v>
      </c>
      <c r="N171" s="82">
        <f>dagwerk30</f>
        <v>0</v>
      </c>
      <c r="O171" s="78" t="s">
        <v>103</v>
      </c>
      <c r="P171" s="15">
        <f>uurtarief30</f>
        <v>0</v>
      </c>
      <c r="Q171" s="80" t="e">
        <f t="shared" si="37"/>
        <v>#DIV/0!</v>
      </c>
      <c r="R171" s="80" t="e">
        <f t="shared" si="38"/>
        <v>#DIV/0!</v>
      </c>
      <c r="S171" s="15" t="e">
        <f t="shared" si="39"/>
        <v>#DIV/0!</v>
      </c>
      <c r="T171" s="80" t="e">
        <f t="shared" si="40"/>
        <v>#DIV/0!</v>
      </c>
      <c r="U171" s="16" t="e">
        <f t="shared" si="41"/>
        <v>#DIV/0!</v>
      </c>
    </row>
    <row r="172" spans="1:21" x14ac:dyDescent="0.3">
      <c r="A172" s="77" t="s">
        <v>278</v>
      </c>
      <c r="B172" s="78" t="s">
        <v>435</v>
      </c>
      <c r="C172" s="78" t="s">
        <v>280</v>
      </c>
      <c r="D172" s="78" t="s">
        <v>294</v>
      </c>
      <c r="E172" s="79" t="s">
        <v>453</v>
      </c>
      <c r="F172" s="78" t="s">
        <v>283</v>
      </c>
      <c r="G172" s="78" t="s">
        <v>216</v>
      </c>
      <c r="H172" s="78" t="s">
        <v>11</v>
      </c>
      <c r="I172" s="78" t="s">
        <v>214</v>
      </c>
      <c r="J172" s="79" t="s">
        <v>217</v>
      </c>
      <c r="K172" s="80">
        <v>12</v>
      </c>
      <c r="L172" s="80">
        <f t="shared" si="36"/>
        <v>9.4117647058823533</v>
      </c>
      <c r="M172" s="81">
        <f>prodnorm6</f>
        <v>0</v>
      </c>
      <c r="N172" s="82">
        <f>dagwerk6</f>
        <v>0</v>
      </c>
      <c r="O172" s="78" t="s">
        <v>103</v>
      </c>
      <c r="P172" s="15">
        <f>uurtarief6</f>
        <v>0</v>
      </c>
      <c r="Q172" s="80" t="e">
        <f t="shared" si="37"/>
        <v>#DIV/0!</v>
      </c>
      <c r="R172" s="80" t="e">
        <f t="shared" si="38"/>
        <v>#DIV/0!</v>
      </c>
      <c r="S172" s="15" t="e">
        <f t="shared" si="39"/>
        <v>#DIV/0!</v>
      </c>
      <c r="T172" s="80" t="e">
        <f t="shared" si="40"/>
        <v>#DIV/0!</v>
      </c>
      <c r="U172" s="16" t="e">
        <f t="shared" si="41"/>
        <v>#DIV/0!</v>
      </c>
    </row>
    <row r="173" spans="1:21" x14ac:dyDescent="0.3">
      <c r="A173" s="77" t="s">
        <v>278</v>
      </c>
      <c r="B173" s="78" t="s">
        <v>435</v>
      </c>
      <c r="C173" s="78" t="s">
        <v>280</v>
      </c>
      <c r="D173" s="78" t="s">
        <v>296</v>
      </c>
      <c r="E173" s="79" t="s">
        <v>454</v>
      </c>
      <c r="F173" s="78" t="s">
        <v>283</v>
      </c>
      <c r="G173" s="78" t="s">
        <v>216</v>
      </c>
      <c r="H173" s="78" t="s">
        <v>11</v>
      </c>
      <c r="I173" s="78" t="s">
        <v>214</v>
      </c>
      <c r="J173" s="79" t="s">
        <v>217</v>
      </c>
      <c r="K173" s="80">
        <v>20</v>
      </c>
      <c r="L173" s="80">
        <f t="shared" si="36"/>
        <v>15.686274509803921</v>
      </c>
      <c r="M173" s="81">
        <f>prodnorm6</f>
        <v>0</v>
      </c>
      <c r="N173" s="82">
        <f>dagwerk6</f>
        <v>0</v>
      </c>
      <c r="O173" s="78" t="s">
        <v>103</v>
      </c>
      <c r="P173" s="15">
        <f>uurtarief6</f>
        <v>0</v>
      </c>
      <c r="Q173" s="80" t="e">
        <f t="shared" si="37"/>
        <v>#DIV/0!</v>
      </c>
      <c r="R173" s="80" t="e">
        <f t="shared" si="38"/>
        <v>#DIV/0!</v>
      </c>
      <c r="S173" s="15" t="e">
        <f t="shared" si="39"/>
        <v>#DIV/0!</v>
      </c>
      <c r="T173" s="80" t="e">
        <f t="shared" si="40"/>
        <v>#DIV/0!</v>
      </c>
      <c r="U173" s="16" t="e">
        <f t="shared" si="41"/>
        <v>#DIV/0!</v>
      </c>
    </row>
    <row r="174" spans="1:21" x14ac:dyDescent="0.3">
      <c r="A174" s="77" t="s">
        <v>278</v>
      </c>
      <c r="B174" s="78" t="s">
        <v>435</v>
      </c>
      <c r="C174" s="78" t="s">
        <v>280</v>
      </c>
      <c r="D174" s="78" t="s">
        <v>301</v>
      </c>
      <c r="E174" s="79" t="s">
        <v>455</v>
      </c>
      <c r="F174" s="78" t="s">
        <v>283</v>
      </c>
      <c r="G174" s="78" t="s">
        <v>216</v>
      </c>
      <c r="H174" s="78" t="s">
        <v>11</v>
      </c>
      <c r="I174" s="78" t="s">
        <v>214</v>
      </c>
      <c r="J174" s="79" t="s">
        <v>217</v>
      </c>
      <c r="K174" s="80">
        <v>7.2</v>
      </c>
      <c r="L174" s="80">
        <f t="shared" si="36"/>
        <v>5.6470588235294121</v>
      </c>
      <c r="M174" s="81">
        <f>prodnorm6</f>
        <v>0</v>
      </c>
      <c r="N174" s="82">
        <f>dagwerk6</f>
        <v>0</v>
      </c>
      <c r="O174" s="78" t="s">
        <v>103</v>
      </c>
      <c r="P174" s="15">
        <f>uurtarief6</f>
        <v>0</v>
      </c>
      <c r="Q174" s="80" t="e">
        <f t="shared" si="37"/>
        <v>#DIV/0!</v>
      </c>
      <c r="R174" s="80" t="e">
        <f t="shared" si="38"/>
        <v>#DIV/0!</v>
      </c>
      <c r="S174" s="15" t="e">
        <f t="shared" si="39"/>
        <v>#DIV/0!</v>
      </c>
      <c r="T174" s="80" t="e">
        <f t="shared" si="40"/>
        <v>#DIV/0!</v>
      </c>
      <c r="U174" s="16" t="e">
        <f t="shared" si="41"/>
        <v>#DIV/0!</v>
      </c>
    </row>
    <row r="175" spans="1:21" x14ac:dyDescent="0.3">
      <c r="A175" s="77" t="s">
        <v>278</v>
      </c>
      <c r="B175" s="78" t="s">
        <v>435</v>
      </c>
      <c r="C175" s="78" t="s">
        <v>280</v>
      </c>
      <c r="D175" s="78" t="s">
        <v>304</v>
      </c>
      <c r="E175" s="79" t="s">
        <v>456</v>
      </c>
      <c r="F175" s="78" t="s">
        <v>288</v>
      </c>
      <c r="G175" s="78" t="s">
        <v>300</v>
      </c>
      <c r="H175" s="78"/>
      <c r="I175" s="78"/>
      <c r="J175" s="78"/>
      <c r="K175" s="80">
        <v>12.8</v>
      </c>
      <c r="L175" s="80"/>
      <c r="M175" s="81"/>
      <c r="N175" s="82"/>
      <c r="O175" s="78"/>
      <c r="P175" s="15"/>
      <c r="Q175" s="80"/>
      <c r="R175" s="80"/>
      <c r="S175" s="15"/>
      <c r="T175" s="83"/>
      <c r="U175" s="16"/>
    </row>
    <row r="176" spans="1:21" ht="27" x14ac:dyDescent="0.3">
      <c r="A176" s="77" t="s">
        <v>278</v>
      </c>
      <c r="B176" s="78" t="s">
        <v>435</v>
      </c>
      <c r="C176" s="78" t="s">
        <v>280</v>
      </c>
      <c r="D176" s="78" t="s">
        <v>309</v>
      </c>
      <c r="E176" s="79" t="s">
        <v>457</v>
      </c>
      <c r="F176" s="78" t="s">
        <v>283</v>
      </c>
      <c r="G176" s="78" t="s">
        <v>256</v>
      </c>
      <c r="H176" s="78" t="s">
        <v>11</v>
      </c>
      <c r="I176" s="78" t="s">
        <v>214</v>
      </c>
      <c r="J176" s="79" t="s">
        <v>257</v>
      </c>
      <c r="K176" s="80">
        <v>17.100000000000001</v>
      </c>
      <c r="L176" s="80">
        <f t="shared" ref="L176:L184" si="42">K176*VLOOKUP(H176,dagsoorttabel1,2,FALSE)</f>
        <v>13.411764705882353</v>
      </c>
      <c r="M176" s="81">
        <f>prodnorm33</f>
        <v>0</v>
      </c>
      <c r="N176" s="82">
        <f>dagwerk33</f>
        <v>0</v>
      </c>
      <c r="O176" s="78" t="s">
        <v>103</v>
      </c>
      <c r="P176" s="15">
        <f>uurtarief33</f>
        <v>0</v>
      </c>
      <c r="Q176" s="80" t="e">
        <f t="shared" ref="Q176:Q184" si="43">IF(ISBLANK(M176),0,L176/ROUND(M176,4))</f>
        <v>#DIV/0!</v>
      </c>
      <c r="R176" s="80" t="e">
        <f t="shared" ref="R176:R184" si="44">IF(ISBLANK(M176),0,Q176*ROUND(N176,2))</f>
        <v>#DIV/0!</v>
      </c>
      <c r="S176" s="15" t="e">
        <f t="shared" ref="S176:S184" si="45">ROUND(P176,2)*Q176</f>
        <v>#DIV/0!</v>
      </c>
      <c r="T176" s="80" t="e">
        <f t="shared" ref="T176:T184" si="46">Q176*dagenperjaar1</f>
        <v>#DIV/0!</v>
      </c>
      <c r="U176" s="16" t="e">
        <f t="shared" ref="U176:U184" si="47">T176*ROUND(P176,2)</f>
        <v>#DIV/0!</v>
      </c>
    </row>
    <row r="177" spans="1:21" x14ac:dyDescent="0.3">
      <c r="A177" s="77" t="s">
        <v>278</v>
      </c>
      <c r="B177" s="78" t="s">
        <v>435</v>
      </c>
      <c r="C177" s="78" t="s">
        <v>280</v>
      </c>
      <c r="D177" s="78" t="s">
        <v>311</v>
      </c>
      <c r="E177" s="79" t="s">
        <v>458</v>
      </c>
      <c r="F177" s="78" t="s">
        <v>283</v>
      </c>
      <c r="G177" s="78" t="s">
        <v>216</v>
      </c>
      <c r="H177" s="78" t="s">
        <v>11</v>
      </c>
      <c r="I177" s="78" t="s">
        <v>214</v>
      </c>
      <c r="J177" s="79" t="s">
        <v>217</v>
      </c>
      <c r="K177" s="80">
        <v>38.200000000000003</v>
      </c>
      <c r="L177" s="80">
        <f t="shared" si="42"/>
        <v>29.96078431372549</v>
      </c>
      <c r="M177" s="81">
        <f>prodnorm6</f>
        <v>0</v>
      </c>
      <c r="N177" s="82">
        <f>dagwerk6</f>
        <v>0</v>
      </c>
      <c r="O177" s="78" t="s">
        <v>103</v>
      </c>
      <c r="P177" s="15">
        <f>uurtarief6</f>
        <v>0</v>
      </c>
      <c r="Q177" s="80" t="e">
        <f t="shared" si="43"/>
        <v>#DIV/0!</v>
      </c>
      <c r="R177" s="80" t="e">
        <f t="shared" si="44"/>
        <v>#DIV/0!</v>
      </c>
      <c r="S177" s="15" t="e">
        <f t="shared" si="45"/>
        <v>#DIV/0!</v>
      </c>
      <c r="T177" s="80" t="e">
        <f t="shared" si="46"/>
        <v>#DIV/0!</v>
      </c>
      <c r="U177" s="16" t="e">
        <f t="shared" si="47"/>
        <v>#DIV/0!</v>
      </c>
    </row>
    <row r="178" spans="1:21" x14ac:dyDescent="0.3">
      <c r="A178" s="77" t="s">
        <v>278</v>
      </c>
      <c r="B178" s="78" t="s">
        <v>435</v>
      </c>
      <c r="C178" s="78" t="s">
        <v>280</v>
      </c>
      <c r="D178" s="78" t="s">
        <v>313</v>
      </c>
      <c r="E178" s="79" t="s">
        <v>459</v>
      </c>
      <c r="F178" s="78" t="s">
        <v>283</v>
      </c>
      <c r="G178" s="78" t="s">
        <v>216</v>
      </c>
      <c r="H178" s="78" t="s">
        <v>11</v>
      </c>
      <c r="I178" s="78" t="s">
        <v>214</v>
      </c>
      <c r="J178" s="79" t="s">
        <v>217</v>
      </c>
      <c r="K178" s="80">
        <v>19.3</v>
      </c>
      <c r="L178" s="80">
        <f t="shared" si="42"/>
        <v>15.137254901960784</v>
      </c>
      <c r="M178" s="81">
        <f>prodnorm6</f>
        <v>0</v>
      </c>
      <c r="N178" s="82">
        <f>dagwerk6</f>
        <v>0</v>
      </c>
      <c r="O178" s="78" t="s">
        <v>103</v>
      </c>
      <c r="P178" s="15">
        <f>uurtarief6</f>
        <v>0</v>
      </c>
      <c r="Q178" s="80" t="e">
        <f t="shared" si="43"/>
        <v>#DIV/0!</v>
      </c>
      <c r="R178" s="80" t="e">
        <f t="shared" si="44"/>
        <v>#DIV/0!</v>
      </c>
      <c r="S178" s="15" t="e">
        <f t="shared" si="45"/>
        <v>#DIV/0!</v>
      </c>
      <c r="T178" s="80" t="e">
        <f t="shared" si="46"/>
        <v>#DIV/0!</v>
      </c>
      <c r="U178" s="16" t="e">
        <f t="shared" si="47"/>
        <v>#DIV/0!</v>
      </c>
    </row>
    <row r="179" spans="1:21" x14ac:dyDescent="0.3">
      <c r="A179" s="77" t="s">
        <v>278</v>
      </c>
      <c r="B179" s="78" t="s">
        <v>435</v>
      </c>
      <c r="C179" s="78" t="s">
        <v>280</v>
      </c>
      <c r="D179" s="78" t="s">
        <v>315</v>
      </c>
      <c r="E179" s="79" t="s">
        <v>287</v>
      </c>
      <c r="F179" s="78" t="s">
        <v>404</v>
      </c>
      <c r="G179" s="78" t="s">
        <v>252</v>
      </c>
      <c r="H179" s="78" t="s">
        <v>11</v>
      </c>
      <c r="I179" s="78" t="s">
        <v>214</v>
      </c>
      <c r="J179" s="79" t="s">
        <v>253</v>
      </c>
      <c r="K179" s="80">
        <v>10</v>
      </c>
      <c r="L179" s="80">
        <f t="shared" si="42"/>
        <v>7.8431372549019605</v>
      </c>
      <c r="M179" s="81">
        <f>prodnorm31</f>
        <v>0</v>
      </c>
      <c r="N179" s="82">
        <f>dagwerk31</f>
        <v>0</v>
      </c>
      <c r="O179" s="78" t="s">
        <v>103</v>
      </c>
      <c r="P179" s="15">
        <f>uurtarief31</f>
        <v>0</v>
      </c>
      <c r="Q179" s="80" t="e">
        <f t="shared" si="43"/>
        <v>#DIV/0!</v>
      </c>
      <c r="R179" s="80" t="e">
        <f t="shared" si="44"/>
        <v>#DIV/0!</v>
      </c>
      <c r="S179" s="15" t="e">
        <f t="shared" si="45"/>
        <v>#DIV/0!</v>
      </c>
      <c r="T179" s="80" t="e">
        <f t="shared" si="46"/>
        <v>#DIV/0!</v>
      </c>
      <c r="U179" s="16" t="e">
        <f t="shared" si="47"/>
        <v>#DIV/0!</v>
      </c>
    </row>
    <row r="180" spans="1:21" x14ac:dyDescent="0.3">
      <c r="A180" s="77" t="s">
        <v>278</v>
      </c>
      <c r="B180" s="78" t="s">
        <v>435</v>
      </c>
      <c r="C180" s="78" t="s">
        <v>280</v>
      </c>
      <c r="D180" s="78" t="s">
        <v>315</v>
      </c>
      <c r="E180" s="79" t="s">
        <v>305</v>
      </c>
      <c r="F180" s="78" t="s">
        <v>404</v>
      </c>
      <c r="G180" s="78" t="s">
        <v>222</v>
      </c>
      <c r="H180" s="78" t="s">
        <v>11</v>
      </c>
      <c r="I180" s="78" t="s">
        <v>214</v>
      </c>
      <c r="J180" s="79" t="s">
        <v>223</v>
      </c>
      <c r="K180" s="80">
        <v>123.6</v>
      </c>
      <c r="L180" s="80">
        <f t="shared" si="42"/>
        <v>96.941176470588232</v>
      </c>
      <c r="M180" s="81">
        <f>prodnorm12</f>
        <v>0</v>
      </c>
      <c r="N180" s="82">
        <f>dagwerk12</f>
        <v>0</v>
      </c>
      <c r="O180" s="78" t="s">
        <v>103</v>
      </c>
      <c r="P180" s="15">
        <f>uurtarief12</f>
        <v>0</v>
      </c>
      <c r="Q180" s="80" t="e">
        <f t="shared" si="43"/>
        <v>#DIV/0!</v>
      </c>
      <c r="R180" s="80" t="e">
        <f t="shared" si="44"/>
        <v>#DIV/0!</v>
      </c>
      <c r="S180" s="15" t="e">
        <f t="shared" si="45"/>
        <v>#DIV/0!</v>
      </c>
      <c r="T180" s="80" t="e">
        <f t="shared" si="46"/>
        <v>#DIV/0!</v>
      </c>
      <c r="U180" s="16" t="e">
        <f t="shared" si="47"/>
        <v>#DIV/0!</v>
      </c>
    </row>
    <row r="181" spans="1:21" x14ac:dyDescent="0.3">
      <c r="A181" s="77" t="s">
        <v>278</v>
      </c>
      <c r="B181" s="78" t="s">
        <v>435</v>
      </c>
      <c r="C181" s="78" t="s">
        <v>280</v>
      </c>
      <c r="D181" s="78" t="s">
        <v>317</v>
      </c>
      <c r="E181" s="79" t="s">
        <v>460</v>
      </c>
      <c r="F181" s="78" t="s">
        <v>283</v>
      </c>
      <c r="G181" s="78" t="s">
        <v>216</v>
      </c>
      <c r="H181" s="78" t="s">
        <v>11</v>
      </c>
      <c r="I181" s="78" t="s">
        <v>214</v>
      </c>
      <c r="J181" s="79" t="s">
        <v>217</v>
      </c>
      <c r="K181" s="80">
        <v>19.3</v>
      </c>
      <c r="L181" s="80">
        <f t="shared" si="42"/>
        <v>15.137254901960784</v>
      </c>
      <c r="M181" s="81">
        <f>prodnorm6</f>
        <v>0</v>
      </c>
      <c r="N181" s="82">
        <f>dagwerk6</f>
        <v>0</v>
      </c>
      <c r="O181" s="78" t="s">
        <v>103</v>
      </c>
      <c r="P181" s="15">
        <f>uurtarief6</f>
        <v>0</v>
      </c>
      <c r="Q181" s="80" t="e">
        <f t="shared" si="43"/>
        <v>#DIV/0!</v>
      </c>
      <c r="R181" s="80" t="e">
        <f t="shared" si="44"/>
        <v>#DIV/0!</v>
      </c>
      <c r="S181" s="15" t="e">
        <f t="shared" si="45"/>
        <v>#DIV/0!</v>
      </c>
      <c r="T181" s="80" t="e">
        <f t="shared" si="46"/>
        <v>#DIV/0!</v>
      </c>
      <c r="U181" s="16" t="e">
        <f t="shared" si="47"/>
        <v>#DIV/0!</v>
      </c>
    </row>
    <row r="182" spans="1:21" x14ac:dyDescent="0.3">
      <c r="A182" s="77" t="s">
        <v>278</v>
      </c>
      <c r="B182" s="78" t="s">
        <v>435</v>
      </c>
      <c r="C182" s="78" t="s">
        <v>280</v>
      </c>
      <c r="D182" s="78" t="s">
        <v>319</v>
      </c>
      <c r="E182" s="79" t="s">
        <v>461</v>
      </c>
      <c r="F182" s="78" t="s">
        <v>404</v>
      </c>
      <c r="G182" s="78" t="s">
        <v>213</v>
      </c>
      <c r="H182" s="78" t="s">
        <v>11</v>
      </c>
      <c r="I182" s="78" t="s">
        <v>214</v>
      </c>
      <c r="J182" s="79" t="s">
        <v>215</v>
      </c>
      <c r="K182" s="80">
        <v>60.1</v>
      </c>
      <c r="L182" s="80">
        <f t="shared" si="42"/>
        <v>47.137254901960787</v>
      </c>
      <c r="M182" s="81">
        <f>prodnorm5</f>
        <v>0</v>
      </c>
      <c r="N182" s="82">
        <f>dagwerk5</f>
        <v>0</v>
      </c>
      <c r="O182" s="78" t="s">
        <v>103</v>
      </c>
      <c r="P182" s="15">
        <f>uurtarief5</f>
        <v>0</v>
      </c>
      <c r="Q182" s="80" t="e">
        <f t="shared" si="43"/>
        <v>#DIV/0!</v>
      </c>
      <c r="R182" s="80" t="e">
        <f t="shared" si="44"/>
        <v>#DIV/0!</v>
      </c>
      <c r="S182" s="15" t="e">
        <f t="shared" si="45"/>
        <v>#DIV/0!</v>
      </c>
      <c r="T182" s="80" t="e">
        <f t="shared" si="46"/>
        <v>#DIV/0!</v>
      </c>
      <c r="U182" s="16" t="e">
        <f t="shared" si="47"/>
        <v>#DIV/0!</v>
      </c>
    </row>
    <row r="183" spans="1:21" x14ac:dyDescent="0.3">
      <c r="A183" s="77" t="s">
        <v>278</v>
      </c>
      <c r="B183" s="78" t="s">
        <v>435</v>
      </c>
      <c r="C183" s="78" t="s">
        <v>280</v>
      </c>
      <c r="D183" s="78" t="s">
        <v>322</v>
      </c>
      <c r="E183" s="79" t="s">
        <v>462</v>
      </c>
      <c r="F183" s="78" t="s">
        <v>283</v>
      </c>
      <c r="G183" s="78" t="s">
        <v>216</v>
      </c>
      <c r="H183" s="78" t="s">
        <v>11</v>
      </c>
      <c r="I183" s="78" t="s">
        <v>214</v>
      </c>
      <c r="J183" s="79" t="s">
        <v>217</v>
      </c>
      <c r="K183" s="80">
        <v>18.100000000000001</v>
      </c>
      <c r="L183" s="80">
        <f t="shared" si="42"/>
        <v>14.19607843137255</v>
      </c>
      <c r="M183" s="81">
        <f>prodnorm6</f>
        <v>0</v>
      </c>
      <c r="N183" s="82">
        <f>dagwerk6</f>
        <v>0</v>
      </c>
      <c r="O183" s="78" t="s">
        <v>103</v>
      </c>
      <c r="P183" s="15">
        <f>uurtarief6</f>
        <v>0</v>
      </c>
      <c r="Q183" s="80" t="e">
        <f t="shared" si="43"/>
        <v>#DIV/0!</v>
      </c>
      <c r="R183" s="80" t="e">
        <f t="shared" si="44"/>
        <v>#DIV/0!</v>
      </c>
      <c r="S183" s="15" t="e">
        <f t="shared" si="45"/>
        <v>#DIV/0!</v>
      </c>
      <c r="T183" s="80" t="e">
        <f t="shared" si="46"/>
        <v>#DIV/0!</v>
      </c>
      <c r="U183" s="16" t="e">
        <f t="shared" si="47"/>
        <v>#DIV/0!</v>
      </c>
    </row>
    <row r="184" spans="1:21" x14ac:dyDescent="0.3">
      <c r="A184" s="77" t="s">
        <v>278</v>
      </c>
      <c r="B184" s="78" t="s">
        <v>435</v>
      </c>
      <c r="C184" s="78" t="s">
        <v>280</v>
      </c>
      <c r="D184" s="78" t="s">
        <v>325</v>
      </c>
      <c r="E184" s="79" t="s">
        <v>462</v>
      </c>
      <c r="F184" s="78" t="s">
        <v>283</v>
      </c>
      <c r="G184" s="78" t="s">
        <v>216</v>
      </c>
      <c r="H184" s="78" t="s">
        <v>11</v>
      </c>
      <c r="I184" s="78" t="s">
        <v>214</v>
      </c>
      <c r="J184" s="79" t="s">
        <v>217</v>
      </c>
      <c r="K184" s="80">
        <v>18.8</v>
      </c>
      <c r="L184" s="80">
        <f t="shared" si="42"/>
        <v>14.745098039215687</v>
      </c>
      <c r="M184" s="81">
        <f>prodnorm6</f>
        <v>0</v>
      </c>
      <c r="N184" s="82">
        <f>dagwerk6</f>
        <v>0</v>
      </c>
      <c r="O184" s="78" t="s">
        <v>103</v>
      </c>
      <c r="P184" s="15">
        <f>uurtarief6</f>
        <v>0</v>
      </c>
      <c r="Q184" s="80" t="e">
        <f t="shared" si="43"/>
        <v>#DIV/0!</v>
      </c>
      <c r="R184" s="80" t="e">
        <f t="shared" si="44"/>
        <v>#DIV/0!</v>
      </c>
      <c r="S184" s="15" t="e">
        <f t="shared" si="45"/>
        <v>#DIV/0!</v>
      </c>
      <c r="T184" s="80" t="e">
        <f t="shared" si="46"/>
        <v>#DIV/0!</v>
      </c>
      <c r="U184" s="16" t="e">
        <f t="shared" si="47"/>
        <v>#DIV/0!</v>
      </c>
    </row>
    <row r="185" spans="1:21" x14ac:dyDescent="0.3">
      <c r="A185" s="77" t="s">
        <v>278</v>
      </c>
      <c r="B185" s="78" t="s">
        <v>435</v>
      </c>
      <c r="C185" s="78" t="s">
        <v>280</v>
      </c>
      <c r="D185" s="78" t="s">
        <v>326</v>
      </c>
      <c r="E185" s="79" t="s">
        <v>299</v>
      </c>
      <c r="F185" s="78" t="s">
        <v>387</v>
      </c>
      <c r="G185" s="78" t="s">
        <v>300</v>
      </c>
      <c r="H185" s="78"/>
      <c r="I185" s="78"/>
      <c r="J185" s="78"/>
      <c r="K185" s="80">
        <v>2.8</v>
      </c>
      <c r="L185" s="80"/>
      <c r="M185" s="81"/>
      <c r="N185" s="82"/>
      <c r="O185" s="78"/>
      <c r="P185" s="15"/>
      <c r="Q185" s="80"/>
      <c r="R185" s="80"/>
      <c r="S185" s="15"/>
      <c r="T185" s="83"/>
      <c r="U185" s="16"/>
    </row>
    <row r="186" spans="1:21" x14ac:dyDescent="0.3">
      <c r="A186" s="77" t="s">
        <v>278</v>
      </c>
      <c r="B186" s="78" t="s">
        <v>435</v>
      </c>
      <c r="C186" s="78" t="s">
        <v>280</v>
      </c>
      <c r="D186" s="78" t="s">
        <v>328</v>
      </c>
      <c r="E186" s="79" t="s">
        <v>463</v>
      </c>
      <c r="F186" s="78" t="s">
        <v>288</v>
      </c>
      <c r="G186" s="78" t="s">
        <v>300</v>
      </c>
      <c r="H186" s="78"/>
      <c r="I186" s="78"/>
      <c r="J186" s="78"/>
      <c r="K186" s="80">
        <v>6.9</v>
      </c>
      <c r="L186" s="80"/>
      <c r="M186" s="81"/>
      <c r="N186" s="82"/>
      <c r="O186" s="78"/>
      <c r="P186" s="15"/>
      <c r="Q186" s="80"/>
      <c r="R186" s="80"/>
      <c r="S186" s="15"/>
      <c r="T186" s="83"/>
      <c r="U186" s="16"/>
    </row>
    <row r="187" spans="1:21" x14ac:dyDescent="0.3">
      <c r="A187" s="77" t="s">
        <v>278</v>
      </c>
      <c r="B187" s="78" t="s">
        <v>435</v>
      </c>
      <c r="C187" s="78" t="s">
        <v>280</v>
      </c>
      <c r="D187" s="78" t="s">
        <v>329</v>
      </c>
      <c r="E187" s="79" t="s">
        <v>464</v>
      </c>
      <c r="F187" s="78" t="s">
        <v>288</v>
      </c>
      <c r="G187" s="78" t="s">
        <v>300</v>
      </c>
      <c r="H187" s="78"/>
      <c r="I187" s="78"/>
      <c r="J187" s="78"/>
      <c r="K187" s="80">
        <v>4.9000000000000004</v>
      </c>
      <c r="L187" s="80"/>
      <c r="M187" s="81"/>
      <c r="N187" s="82"/>
      <c r="O187" s="78"/>
      <c r="P187" s="15"/>
      <c r="Q187" s="80"/>
      <c r="R187" s="80"/>
      <c r="S187" s="15"/>
      <c r="T187" s="83"/>
      <c r="U187" s="16"/>
    </row>
    <row r="188" spans="1:21" x14ac:dyDescent="0.3">
      <c r="A188" s="77" t="s">
        <v>278</v>
      </c>
      <c r="B188" s="78" t="s">
        <v>435</v>
      </c>
      <c r="C188" s="78" t="s">
        <v>280</v>
      </c>
      <c r="D188" s="78" t="s">
        <v>330</v>
      </c>
      <c r="E188" s="79" t="s">
        <v>465</v>
      </c>
      <c r="F188" s="78" t="s">
        <v>283</v>
      </c>
      <c r="G188" s="78" t="s">
        <v>300</v>
      </c>
      <c r="H188" s="78"/>
      <c r="I188" s="78"/>
      <c r="J188" s="78"/>
      <c r="K188" s="80">
        <v>2.6</v>
      </c>
      <c r="L188" s="80"/>
      <c r="M188" s="81"/>
      <c r="N188" s="82"/>
      <c r="O188" s="78"/>
      <c r="P188" s="15"/>
      <c r="Q188" s="80"/>
      <c r="R188" s="80"/>
      <c r="S188" s="15"/>
      <c r="T188" s="83"/>
      <c r="U188" s="16"/>
    </row>
    <row r="189" spans="1:21" ht="27" x14ac:dyDescent="0.3">
      <c r="A189" s="77" t="s">
        <v>278</v>
      </c>
      <c r="B189" s="78" t="s">
        <v>435</v>
      </c>
      <c r="C189" s="78" t="s">
        <v>280</v>
      </c>
      <c r="D189" s="78" t="s">
        <v>332</v>
      </c>
      <c r="E189" s="79" t="s">
        <v>414</v>
      </c>
      <c r="F189" s="78" t="s">
        <v>415</v>
      </c>
      <c r="G189" s="78" t="s">
        <v>258</v>
      </c>
      <c r="H189" s="78" t="s">
        <v>11</v>
      </c>
      <c r="I189" s="78" t="s">
        <v>214</v>
      </c>
      <c r="J189" s="79" t="s">
        <v>259</v>
      </c>
      <c r="K189" s="80">
        <v>7.4</v>
      </c>
      <c r="L189" s="80">
        <f t="shared" ref="L189:L199" si="48">K189*VLOOKUP(H189,dagsoorttabel1,2,FALSE)</f>
        <v>5.8039215686274508</v>
      </c>
      <c r="M189" s="81">
        <f>prodnorm35</f>
        <v>0</v>
      </c>
      <c r="N189" s="82">
        <f>dagwerk35</f>
        <v>0</v>
      </c>
      <c r="O189" s="78" t="s">
        <v>103</v>
      </c>
      <c r="P189" s="15">
        <f>uurtarief35</f>
        <v>0</v>
      </c>
      <c r="Q189" s="80" t="e">
        <f t="shared" ref="Q189:Q199" si="49">IF(ISBLANK(M189),0,L189/ROUND(M189,4))</f>
        <v>#DIV/0!</v>
      </c>
      <c r="R189" s="80" t="e">
        <f t="shared" ref="R189:R199" si="50">IF(ISBLANK(M189),0,Q189*ROUND(N189,2))</f>
        <v>#DIV/0!</v>
      </c>
      <c r="S189" s="15" t="e">
        <f t="shared" ref="S189:S199" si="51">ROUND(P189,2)*Q189</f>
        <v>#DIV/0!</v>
      </c>
      <c r="T189" s="80" t="e">
        <f t="shared" ref="T189:T199" si="52">Q189*dagenperjaar1</f>
        <v>#DIV/0!</v>
      </c>
      <c r="U189" s="16" t="e">
        <f t="shared" ref="U189:U199" si="53">T189*ROUND(P189,2)</f>
        <v>#DIV/0!</v>
      </c>
    </row>
    <row r="190" spans="1:21" ht="27" x14ac:dyDescent="0.3">
      <c r="A190" s="77" t="s">
        <v>278</v>
      </c>
      <c r="B190" s="78" t="s">
        <v>435</v>
      </c>
      <c r="C190" s="78" t="s">
        <v>280</v>
      </c>
      <c r="D190" s="78" t="s">
        <v>334</v>
      </c>
      <c r="E190" s="79" t="s">
        <v>414</v>
      </c>
      <c r="F190" s="78" t="s">
        <v>415</v>
      </c>
      <c r="G190" s="78" t="s">
        <v>258</v>
      </c>
      <c r="H190" s="78" t="s">
        <v>11</v>
      </c>
      <c r="I190" s="78" t="s">
        <v>214</v>
      </c>
      <c r="J190" s="79" t="s">
        <v>259</v>
      </c>
      <c r="K190" s="80">
        <v>7.6</v>
      </c>
      <c r="L190" s="80">
        <f t="shared" si="48"/>
        <v>5.9607843137254894</v>
      </c>
      <c r="M190" s="81">
        <f>prodnorm35</f>
        <v>0</v>
      </c>
      <c r="N190" s="82">
        <f>dagwerk35</f>
        <v>0</v>
      </c>
      <c r="O190" s="78" t="s">
        <v>103</v>
      </c>
      <c r="P190" s="15">
        <f>uurtarief35</f>
        <v>0</v>
      </c>
      <c r="Q190" s="80" t="e">
        <f t="shared" si="49"/>
        <v>#DIV/0!</v>
      </c>
      <c r="R190" s="80" t="e">
        <f t="shared" si="50"/>
        <v>#DIV/0!</v>
      </c>
      <c r="S190" s="15" t="e">
        <f t="shared" si="51"/>
        <v>#DIV/0!</v>
      </c>
      <c r="T190" s="80" t="e">
        <f t="shared" si="52"/>
        <v>#DIV/0!</v>
      </c>
      <c r="U190" s="16" t="e">
        <f t="shared" si="53"/>
        <v>#DIV/0!</v>
      </c>
    </row>
    <row r="191" spans="1:21" ht="27" x14ac:dyDescent="0.3">
      <c r="A191" s="77" t="s">
        <v>278</v>
      </c>
      <c r="B191" s="78" t="s">
        <v>435</v>
      </c>
      <c r="C191" s="78" t="s">
        <v>280</v>
      </c>
      <c r="D191" s="78" t="s">
        <v>336</v>
      </c>
      <c r="E191" s="79" t="s">
        <v>380</v>
      </c>
      <c r="F191" s="78" t="s">
        <v>404</v>
      </c>
      <c r="G191" s="78" t="s">
        <v>256</v>
      </c>
      <c r="H191" s="78" t="s">
        <v>11</v>
      </c>
      <c r="I191" s="78" t="s">
        <v>214</v>
      </c>
      <c r="J191" s="79" t="s">
        <v>257</v>
      </c>
      <c r="K191" s="80">
        <v>56</v>
      </c>
      <c r="L191" s="80">
        <f t="shared" si="48"/>
        <v>43.921568627450981</v>
      </c>
      <c r="M191" s="81">
        <f>prodnorm33</f>
        <v>0</v>
      </c>
      <c r="N191" s="82">
        <f>dagwerk33</f>
        <v>0</v>
      </c>
      <c r="O191" s="78" t="s">
        <v>103</v>
      </c>
      <c r="P191" s="15">
        <f>uurtarief33</f>
        <v>0</v>
      </c>
      <c r="Q191" s="80" t="e">
        <f t="shared" si="49"/>
        <v>#DIV/0!</v>
      </c>
      <c r="R191" s="80" t="e">
        <f t="shared" si="50"/>
        <v>#DIV/0!</v>
      </c>
      <c r="S191" s="15" t="e">
        <f t="shared" si="51"/>
        <v>#DIV/0!</v>
      </c>
      <c r="T191" s="80" t="e">
        <f t="shared" si="52"/>
        <v>#DIV/0!</v>
      </c>
      <c r="U191" s="16" t="e">
        <f t="shared" si="53"/>
        <v>#DIV/0!</v>
      </c>
    </row>
    <row r="192" spans="1:21" x14ac:dyDescent="0.3">
      <c r="A192" s="77" t="s">
        <v>278</v>
      </c>
      <c r="B192" s="78" t="s">
        <v>435</v>
      </c>
      <c r="C192" s="78" t="s">
        <v>280</v>
      </c>
      <c r="D192" s="78" t="s">
        <v>336</v>
      </c>
      <c r="E192" s="79" t="s">
        <v>287</v>
      </c>
      <c r="F192" s="78" t="s">
        <v>404</v>
      </c>
      <c r="G192" s="78" t="s">
        <v>252</v>
      </c>
      <c r="H192" s="78" t="s">
        <v>11</v>
      </c>
      <c r="I192" s="78" t="s">
        <v>214</v>
      </c>
      <c r="J192" s="79" t="s">
        <v>253</v>
      </c>
      <c r="K192" s="80">
        <v>10</v>
      </c>
      <c r="L192" s="80">
        <f t="shared" si="48"/>
        <v>7.8431372549019605</v>
      </c>
      <c r="M192" s="81">
        <f>prodnorm31</f>
        <v>0</v>
      </c>
      <c r="N192" s="82">
        <f>dagwerk31</f>
        <v>0</v>
      </c>
      <c r="O192" s="78" t="s">
        <v>103</v>
      </c>
      <c r="P192" s="15">
        <f>uurtarief31</f>
        <v>0</v>
      </c>
      <c r="Q192" s="80" t="e">
        <f t="shared" si="49"/>
        <v>#DIV/0!</v>
      </c>
      <c r="R192" s="80" t="e">
        <f t="shared" si="50"/>
        <v>#DIV/0!</v>
      </c>
      <c r="S192" s="15" t="e">
        <f t="shared" si="51"/>
        <v>#DIV/0!</v>
      </c>
      <c r="T192" s="80" t="e">
        <f t="shared" si="52"/>
        <v>#DIV/0!</v>
      </c>
      <c r="U192" s="16" t="e">
        <f t="shared" si="53"/>
        <v>#DIV/0!</v>
      </c>
    </row>
    <row r="193" spans="1:21" ht="27" x14ac:dyDescent="0.3">
      <c r="A193" s="77" t="s">
        <v>278</v>
      </c>
      <c r="B193" s="78" t="s">
        <v>435</v>
      </c>
      <c r="C193" s="78" t="s">
        <v>280</v>
      </c>
      <c r="D193" s="78" t="s">
        <v>337</v>
      </c>
      <c r="E193" s="79" t="s">
        <v>416</v>
      </c>
      <c r="F193" s="78" t="s">
        <v>466</v>
      </c>
      <c r="G193" s="78" t="s">
        <v>256</v>
      </c>
      <c r="H193" s="78" t="s">
        <v>11</v>
      </c>
      <c r="I193" s="78" t="s">
        <v>214</v>
      </c>
      <c r="J193" s="79" t="s">
        <v>257</v>
      </c>
      <c r="K193" s="80">
        <v>103.7</v>
      </c>
      <c r="L193" s="80">
        <f t="shared" si="48"/>
        <v>81.333333333333329</v>
      </c>
      <c r="M193" s="81">
        <f>prodnorm33</f>
        <v>0</v>
      </c>
      <c r="N193" s="82">
        <f>dagwerk33</f>
        <v>0</v>
      </c>
      <c r="O193" s="78" t="s">
        <v>103</v>
      </c>
      <c r="P193" s="15">
        <f>uurtarief33</f>
        <v>0</v>
      </c>
      <c r="Q193" s="80" t="e">
        <f t="shared" si="49"/>
        <v>#DIV/0!</v>
      </c>
      <c r="R193" s="80" t="e">
        <f t="shared" si="50"/>
        <v>#DIV/0!</v>
      </c>
      <c r="S193" s="15" t="e">
        <f t="shared" si="51"/>
        <v>#DIV/0!</v>
      </c>
      <c r="T193" s="80" t="e">
        <f t="shared" si="52"/>
        <v>#DIV/0!</v>
      </c>
      <c r="U193" s="16" t="e">
        <f t="shared" si="53"/>
        <v>#DIV/0!</v>
      </c>
    </row>
    <row r="194" spans="1:21" x14ac:dyDescent="0.3">
      <c r="A194" s="77" t="s">
        <v>278</v>
      </c>
      <c r="B194" s="78" t="s">
        <v>435</v>
      </c>
      <c r="C194" s="78" t="s">
        <v>338</v>
      </c>
      <c r="D194" s="78" t="s">
        <v>339</v>
      </c>
      <c r="E194" s="79" t="s">
        <v>467</v>
      </c>
      <c r="F194" s="78" t="s">
        <v>283</v>
      </c>
      <c r="G194" s="78" t="s">
        <v>248</v>
      </c>
      <c r="H194" s="78" t="s">
        <v>11</v>
      </c>
      <c r="I194" s="78" t="s">
        <v>214</v>
      </c>
      <c r="J194" s="79" t="s">
        <v>249</v>
      </c>
      <c r="K194" s="80">
        <v>93</v>
      </c>
      <c r="L194" s="80">
        <f t="shared" si="48"/>
        <v>72.941176470588232</v>
      </c>
      <c r="M194" s="81">
        <f>prodnorm29</f>
        <v>0</v>
      </c>
      <c r="N194" s="82">
        <f>dagwerk29</f>
        <v>0</v>
      </c>
      <c r="O194" s="78" t="s">
        <v>103</v>
      </c>
      <c r="P194" s="15">
        <f>uurtarief29</f>
        <v>0</v>
      </c>
      <c r="Q194" s="80" t="e">
        <f t="shared" si="49"/>
        <v>#DIV/0!</v>
      </c>
      <c r="R194" s="80" t="e">
        <f t="shared" si="50"/>
        <v>#DIV/0!</v>
      </c>
      <c r="S194" s="15" t="e">
        <f t="shared" si="51"/>
        <v>#DIV/0!</v>
      </c>
      <c r="T194" s="80" t="e">
        <f t="shared" si="52"/>
        <v>#DIV/0!</v>
      </c>
      <c r="U194" s="16" t="e">
        <f t="shared" si="53"/>
        <v>#DIV/0!</v>
      </c>
    </row>
    <row r="195" spans="1:21" x14ac:dyDescent="0.3">
      <c r="A195" s="77" t="s">
        <v>278</v>
      </c>
      <c r="B195" s="78" t="s">
        <v>435</v>
      </c>
      <c r="C195" s="78" t="s">
        <v>338</v>
      </c>
      <c r="D195" s="78" t="s">
        <v>468</v>
      </c>
      <c r="E195" s="79" t="s">
        <v>469</v>
      </c>
      <c r="F195" s="78" t="s">
        <v>283</v>
      </c>
      <c r="G195" s="78" t="s">
        <v>248</v>
      </c>
      <c r="H195" s="78" t="s">
        <v>11</v>
      </c>
      <c r="I195" s="78" t="s">
        <v>214</v>
      </c>
      <c r="J195" s="79" t="s">
        <v>249</v>
      </c>
      <c r="K195" s="80">
        <v>75</v>
      </c>
      <c r="L195" s="80">
        <f t="shared" si="48"/>
        <v>58.823529411764703</v>
      </c>
      <c r="M195" s="81">
        <f>prodnorm29</f>
        <v>0</v>
      </c>
      <c r="N195" s="82">
        <f>dagwerk29</f>
        <v>0</v>
      </c>
      <c r="O195" s="78" t="s">
        <v>103</v>
      </c>
      <c r="P195" s="15">
        <f>uurtarief29</f>
        <v>0</v>
      </c>
      <c r="Q195" s="80" t="e">
        <f t="shared" si="49"/>
        <v>#DIV/0!</v>
      </c>
      <c r="R195" s="80" t="e">
        <f t="shared" si="50"/>
        <v>#DIV/0!</v>
      </c>
      <c r="S195" s="15" t="e">
        <f t="shared" si="51"/>
        <v>#DIV/0!</v>
      </c>
      <c r="T195" s="80" t="e">
        <f t="shared" si="52"/>
        <v>#DIV/0!</v>
      </c>
      <c r="U195" s="16" t="e">
        <f t="shared" si="53"/>
        <v>#DIV/0!</v>
      </c>
    </row>
    <row r="196" spans="1:21" x14ac:dyDescent="0.3">
      <c r="A196" s="77" t="s">
        <v>278</v>
      </c>
      <c r="B196" s="78" t="s">
        <v>435</v>
      </c>
      <c r="C196" s="78" t="s">
        <v>338</v>
      </c>
      <c r="D196" s="78" t="s">
        <v>340</v>
      </c>
      <c r="E196" s="79" t="s">
        <v>470</v>
      </c>
      <c r="F196" s="78" t="s">
        <v>404</v>
      </c>
      <c r="G196" s="78" t="s">
        <v>248</v>
      </c>
      <c r="H196" s="78" t="s">
        <v>11</v>
      </c>
      <c r="I196" s="78" t="s">
        <v>214</v>
      </c>
      <c r="J196" s="79" t="s">
        <v>249</v>
      </c>
      <c r="K196" s="80">
        <v>103.4</v>
      </c>
      <c r="L196" s="80">
        <f t="shared" si="48"/>
        <v>81.098039215686285</v>
      </c>
      <c r="M196" s="81">
        <f>prodnorm29</f>
        <v>0</v>
      </c>
      <c r="N196" s="82">
        <f>dagwerk29</f>
        <v>0</v>
      </c>
      <c r="O196" s="78" t="s">
        <v>103</v>
      </c>
      <c r="P196" s="15">
        <f>uurtarief29</f>
        <v>0</v>
      </c>
      <c r="Q196" s="80" t="e">
        <f t="shared" si="49"/>
        <v>#DIV/0!</v>
      </c>
      <c r="R196" s="80" t="e">
        <f t="shared" si="50"/>
        <v>#DIV/0!</v>
      </c>
      <c r="S196" s="15" t="e">
        <f t="shared" si="51"/>
        <v>#DIV/0!</v>
      </c>
      <c r="T196" s="80" t="e">
        <f t="shared" si="52"/>
        <v>#DIV/0!</v>
      </c>
      <c r="U196" s="16" t="e">
        <f t="shared" si="53"/>
        <v>#DIV/0!</v>
      </c>
    </row>
    <row r="197" spans="1:21" x14ac:dyDescent="0.3">
      <c r="A197" s="77" t="s">
        <v>278</v>
      </c>
      <c r="B197" s="78" t="s">
        <v>435</v>
      </c>
      <c r="C197" s="78" t="s">
        <v>338</v>
      </c>
      <c r="D197" s="78" t="s">
        <v>471</v>
      </c>
      <c r="E197" s="79" t="s">
        <v>472</v>
      </c>
      <c r="F197" s="78" t="s">
        <v>404</v>
      </c>
      <c r="G197" s="78" t="s">
        <v>248</v>
      </c>
      <c r="H197" s="78" t="s">
        <v>11</v>
      </c>
      <c r="I197" s="78" t="s">
        <v>214</v>
      </c>
      <c r="J197" s="79" t="s">
        <v>249</v>
      </c>
      <c r="K197" s="80">
        <v>71.599999999999994</v>
      </c>
      <c r="L197" s="80">
        <f t="shared" si="48"/>
        <v>56.156862745098032</v>
      </c>
      <c r="M197" s="81">
        <f>prodnorm29</f>
        <v>0</v>
      </c>
      <c r="N197" s="82">
        <f>dagwerk29</f>
        <v>0</v>
      </c>
      <c r="O197" s="78" t="s">
        <v>103</v>
      </c>
      <c r="P197" s="15">
        <f>uurtarief29</f>
        <v>0</v>
      </c>
      <c r="Q197" s="80" t="e">
        <f t="shared" si="49"/>
        <v>#DIV/0!</v>
      </c>
      <c r="R197" s="80" t="e">
        <f t="shared" si="50"/>
        <v>#DIV/0!</v>
      </c>
      <c r="S197" s="15" t="e">
        <f t="shared" si="51"/>
        <v>#DIV/0!</v>
      </c>
      <c r="T197" s="80" t="e">
        <f t="shared" si="52"/>
        <v>#DIV/0!</v>
      </c>
      <c r="U197" s="16" t="e">
        <f t="shared" si="53"/>
        <v>#DIV/0!</v>
      </c>
    </row>
    <row r="198" spans="1:21" x14ac:dyDescent="0.3">
      <c r="A198" s="77" t="s">
        <v>278</v>
      </c>
      <c r="B198" s="78" t="s">
        <v>435</v>
      </c>
      <c r="C198" s="78" t="s">
        <v>338</v>
      </c>
      <c r="D198" s="78" t="s">
        <v>473</v>
      </c>
      <c r="E198" s="79" t="s">
        <v>474</v>
      </c>
      <c r="F198" s="78" t="s">
        <v>404</v>
      </c>
      <c r="G198" s="78" t="s">
        <v>244</v>
      </c>
      <c r="H198" s="78" t="s">
        <v>11</v>
      </c>
      <c r="I198" s="78" t="s">
        <v>214</v>
      </c>
      <c r="J198" s="79" t="s">
        <v>245</v>
      </c>
      <c r="K198" s="80">
        <v>6.6</v>
      </c>
      <c r="L198" s="80">
        <f t="shared" si="48"/>
        <v>5.1764705882352935</v>
      </c>
      <c r="M198" s="81">
        <f>prodnorm27</f>
        <v>0</v>
      </c>
      <c r="N198" s="82">
        <f>dagwerk27</f>
        <v>0</v>
      </c>
      <c r="O198" s="78" t="s">
        <v>103</v>
      </c>
      <c r="P198" s="15">
        <f>uurtarief27</f>
        <v>0</v>
      </c>
      <c r="Q198" s="80" t="e">
        <f t="shared" si="49"/>
        <v>#DIV/0!</v>
      </c>
      <c r="R198" s="80" t="e">
        <f t="shared" si="50"/>
        <v>#DIV/0!</v>
      </c>
      <c r="S198" s="15" t="e">
        <f t="shared" si="51"/>
        <v>#DIV/0!</v>
      </c>
      <c r="T198" s="80" t="e">
        <f t="shared" si="52"/>
        <v>#DIV/0!</v>
      </c>
      <c r="U198" s="16" t="e">
        <f t="shared" si="53"/>
        <v>#DIV/0!</v>
      </c>
    </row>
    <row r="199" spans="1:21" x14ac:dyDescent="0.3">
      <c r="A199" s="77" t="s">
        <v>278</v>
      </c>
      <c r="B199" s="78" t="s">
        <v>435</v>
      </c>
      <c r="C199" s="78" t="s">
        <v>338</v>
      </c>
      <c r="D199" s="78" t="s">
        <v>475</v>
      </c>
      <c r="E199" s="79" t="s">
        <v>476</v>
      </c>
      <c r="F199" s="78" t="s">
        <v>404</v>
      </c>
      <c r="G199" s="78" t="s">
        <v>244</v>
      </c>
      <c r="H199" s="78" t="s">
        <v>11</v>
      </c>
      <c r="I199" s="78" t="s">
        <v>214</v>
      </c>
      <c r="J199" s="79" t="s">
        <v>245</v>
      </c>
      <c r="K199" s="80">
        <v>13.2</v>
      </c>
      <c r="L199" s="80">
        <f t="shared" si="48"/>
        <v>10.352941176470587</v>
      </c>
      <c r="M199" s="81">
        <f>prodnorm27</f>
        <v>0</v>
      </c>
      <c r="N199" s="82">
        <f>dagwerk27</f>
        <v>0</v>
      </c>
      <c r="O199" s="78" t="s">
        <v>103</v>
      </c>
      <c r="P199" s="15">
        <f>uurtarief27</f>
        <v>0</v>
      </c>
      <c r="Q199" s="80" t="e">
        <f t="shared" si="49"/>
        <v>#DIV/0!</v>
      </c>
      <c r="R199" s="80" t="e">
        <f t="shared" si="50"/>
        <v>#DIV/0!</v>
      </c>
      <c r="S199" s="15" t="e">
        <f t="shared" si="51"/>
        <v>#DIV/0!</v>
      </c>
      <c r="T199" s="80" t="e">
        <f t="shared" si="52"/>
        <v>#DIV/0!</v>
      </c>
      <c r="U199" s="16" t="e">
        <f t="shared" si="53"/>
        <v>#DIV/0!</v>
      </c>
    </row>
    <row r="200" spans="1:21" x14ac:dyDescent="0.3">
      <c r="A200" s="77" t="s">
        <v>278</v>
      </c>
      <c r="B200" s="78" t="s">
        <v>435</v>
      </c>
      <c r="C200" s="78" t="s">
        <v>338</v>
      </c>
      <c r="D200" s="78" t="s">
        <v>341</v>
      </c>
      <c r="E200" s="79" t="s">
        <v>477</v>
      </c>
      <c r="F200" s="78" t="s">
        <v>283</v>
      </c>
      <c r="G200" s="78" t="s">
        <v>300</v>
      </c>
      <c r="H200" s="78"/>
      <c r="I200" s="78"/>
      <c r="J200" s="78"/>
      <c r="K200" s="80">
        <v>12</v>
      </c>
      <c r="L200" s="80"/>
      <c r="M200" s="81"/>
      <c r="N200" s="82"/>
      <c r="O200" s="78"/>
      <c r="P200" s="15"/>
      <c r="Q200" s="80"/>
      <c r="R200" s="80"/>
      <c r="S200" s="15"/>
      <c r="T200" s="83"/>
      <c r="U200" s="16"/>
    </row>
    <row r="201" spans="1:21" x14ac:dyDescent="0.3">
      <c r="A201" s="77" t="s">
        <v>278</v>
      </c>
      <c r="B201" s="78" t="s">
        <v>435</v>
      </c>
      <c r="C201" s="78" t="s">
        <v>338</v>
      </c>
      <c r="D201" s="78" t="s">
        <v>342</v>
      </c>
      <c r="E201" s="79" t="s">
        <v>478</v>
      </c>
      <c r="F201" s="78" t="s">
        <v>283</v>
      </c>
      <c r="G201" s="78" t="s">
        <v>300</v>
      </c>
      <c r="H201" s="78"/>
      <c r="I201" s="78"/>
      <c r="J201" s="78"/>
      <c r="K201" s="80">
        <v>46.9</v>
      </c>
      <c r="L201" s="80"/>
      <c r="M201" s="81"/>
      <c r="N201" s="82"/>
      <c r="O201" s="78"/>
      <c r="P201" s="15"/>
      <c r="Q201" s="80"/>
      <c r="R201" s="80"/>
      <c r="S201" s="15"/>
      <c r="T201" s="83"/>
      <c r="U201" s="16"/>
    </row>
    <row r="202" spans="1:21" x14ac:dyDescent="0.3">
      <c r="A202" s="77" t="s">
        <v>278</v>
      </c>
      <c r="B202" s="78" t="s">
        <v>435</v>
      </c>
      <c r="C202" s="78" t="s">
        <v>338</v>
      </c>
      <c r="D202" s="78" t="s">
        <v>344</v>
      </c>
      <c r="E202" s="79" t="s">
        <v>479</v>
      </c>
      <c r="F202" s="78" t="s">
        <v>283</v>
      </c>
      <c r="G202" s="78" t="s">
        <v>248</v>
      </c>
      <c r="H202" s="78" t="s">
        <v>11</v>
      </c>
      <c r="I202" s="78" t="s">
        <v>214</v>
      </c>
      <c r="J202" s="79" t="s">
        <v>249</v>
      </c>
      <c r="K202" s="80">
        <v>123.2</v>
      </c>
      <c r="L202" s="80">
        <f t="shared" ref="L202:L218" si="54">K202*VLOOKUP(H202,dagsoorttabel1,2,FALSE)</f>
        <v>96.627450980392155</v>
      </c>
      <c r="M202" s="81">
        <f t="shared" ref="M202:M207" si="55">prodnorm29</f>
        <v>0</v>
      </c>
      <c r="N202" s="82">
        <f t="shared" ref="N202:N207" si="56">dagwerk29</f>
        <v>0</v>
      </c>
      <c r="O202" s="78" t="s">
        <v>103</v>
      </c>
      <c r="P202" s="15">
        <f t="shared" ref="P202:P207" si="57">uurtarief29</f>
        <v>0</v>
      </c>
      <c r="Q202" s="80" t="e">
        <f t="shared" ref="Q202:Q218" si="58">IF(ISBLANK(M202),0,L202/ROUND(M202,4))</f>
        <v>#DIV/0!</v>
      </c>
      <c r="R202" s="80" t="e">
        <f t="shared" ref="R202:R218" si="59">IF(ISBLANK(M202),0,Q202*ROUND(N202,2))</f>
        <v>#DIV/0!</v>
      </c>
      <c r="S202" s="15" t="e">
        <f t="shared" ref="S202:S218" si="60">ROUND(P202,2)*Q202</f>
        <v>#DIV/0!</v>
      </c>
      <c r="T202" s="80" t="e">
        <f t="shared" ref="T202:T218" si="61">Q202*dagenperjaar1</f>
        <v>#DIV/0!</v>
      </c>
      <c r="U202" s="16" t="e">
        <f t="shared" ref="U202:U218" si="62">T202*ROUND(P202,2)</f>
        <v>#DIV/0!</v>
      </c>
    </row>
    <row r="203" spans="1:21" x14ac:dyDescent="0.3">
      <c r="A203" s="77" t="s">
        <v>278</v>
      </c>
      <c r="B203" s="78" t="s">
        <v>435</v>
      </c>
      <c r="C203" s="78" t="s">
        <v>338</v>
      </c>
      <c r="D203" s="78" t="s">
        <v>345</v>
      </c>
      <c r="E203" s="79" t="s">
        <v>480</v>
      </c>
      <c r="F203" s="78" t="s">
        <v>283</v>
      </c>
      <c r="G203" s="78" t="s">
        <v>248</v>
      </c>
      <c r="H203" s="78" t="s">
        <v>11</v>
      </c>
      <c r="I203" s="78" t="s">
        <v>214</v>
      </c>
      <c r="J203" s="79" t="s">
        <v>249</v>
      </c>
      <c r="K203" s="80">
        <v>7.4</v>
      </c>
      <c r="L203" s="80">
        <f t="shared" si="54"/>
        <v>5.8039215686274508</v>
      </c>
      <c r="M203" s="81">
        <f t="shared" si="55"/>
        <v>0</v>
      </c>
      <c r="N203" s="82">
        <f t="shared" si="56"/>
        <v>0</v>
      </c>
      <c r="O203" s="78" t="s">
        <v>103</v>
      </c>
      <c r="P203" s="15">
        <f t="shared" si="57"/>
        <v>0</v>
      </c>
      <c r="Q203" s="80" t="e">
        <f t="shared" si="58"/>
        <v>#DIV/0!</v>
      </c>
      <c r="R203" s="80" t="e">
        <f t="shared" si="59"/>
        <v>#DIV/0!</v>
      </c>
      <c r="S203" s="15" t="e">
        <f t="shared" si="60"/>
        <v>#DIV/0!</v>
      </c>
      <c r="T203" s="80" t="e">
        <f t="shared" si="61"/>
        <v>#DIV/0!</v>
      </c>
      <c r="U203" s="16" t="e">
        <f t="shared" si="62"/>
        <v>#DIV/0!</v>
      </c>
    </row>
    <row r="204" spans="1:21" x14ac:dyDescent="0.3">
      <c r="A204" s="77" t="s">
        <v>278</v>
      </c>
      <c r="B204" s="78" t="s">
        <v>435</v>
      </c>
      <c r="C204" s="78" t="s">
        <v>338</v>
      </c>
      <c r="D204" s="78" t="s">
        <v>346</v>
      </c>
      <c r="E204" s="79" t="s">
        <v>481</v>
      </c>
      <c r="F204" s="78" t="s">
        <v>482</v>
      </c>
      <c r="G204" s="78" t="s">
        <v>248</v>
      </c>
      <c r="H204" s="78" t="s">
        <v>11</v>
      </c>
      <c r="I204" s="78" t="s">
        <v>214</v>
      </c>
      <c r="J204" s="79" t="s">
        <v>249</v>
      </c>
      <c r="K204" s="80">
        <v>18</v>
      </c>
      <c r="L204" s="80">
        <f t="shared" si="54"/>
        <v>14.117647058823529</v>
      </c>
      <c r="M204" s="81">
        <f t="shared" si="55"/>
        <v>0</v>
      </c>
      <c r="N204" s="82">
        <f t="shared" si="56"/>
        <v>0</v>
      </c>
      <c r="O204" s="78" t="s">
        <v>103</v>
      </c>
      <c r="P204" s="15">
        <f t="shared" si="57"/>
        <v>0</v>
      </c>
      <c r="Q204" s="80" t="e">
        <f t="shared" si="58"/>
        <v>#DIV/0!</v>
      </c>
      <c r="R204" s="80" t="e">
        <f t="shared" si="59"/>
        <v>#DIV/0!</v>
      </c>
      <c r="S204" s="15" t="e">
        <f t="shared" si="60"/>
        <v>#DIV/0!</v>
      </c>
      <c r="T204" s="80" t="e">
        <f t="shared" si="61"/>
        <v>#DIV/0!</v>
      </c>
      <c r="U204" s="16" t="e">
        <f t="shared" si="62"/>
        <v>#DIV/0!</v>
      </c>
    </row>
    <row r="205" spans="1:21" x14ac:dyDescent="0.3">
      <c r="A205" s="77" t="s">
        <v>278</v>
      </c>
      <c r="B205" s="78" t="s">
        <v>435</v>
      </c>
      <c r="C205" s="78" t="s">
        <v>338</v>
      </c>
      <c r="D205" s="78" t="s">
        <v>347</v>
      </c>
      <c r="E205" s="79" t="s">
        <v>481</v>
      </c>
      <c r="F205" s="78" t="s">
        <v>482</v>
      </c>
      <c r="G205" s="78" t="s">
        <v>248</v>
      </c>
      <c r="H205" s="78" t="s">
        <v>11</v>
      </c>
      <c r="I205" s="78" t="s">
        <v>214</v>
      </c>
      <c r="J205" s="79" t="s">
        <v>249</v>
      </c>
      <c r="K205" s="80">
        <v>12.7</v>
      </c>
      <c r="L205" s="80">
        <f t="shared" si="54"/>
        <v>9.9607843137254903</v>
      </c>
      <c r="M205" s="81">
        <f t="shared" si="55"/>
        <v>0</v>
      </c>
      <c r="N205" s="82">
        <f t="shared" si="56"/>
        <v>0</v>
      </c>
      <c r="O205" s="78" t="s">
        <v>103</v>
      </c>
      <c r="P205" s="15">
        <f t="shared" si="57"/>
        <v>0</v>
      </c>
      <c r="Q205" s="80" t="e">
        <f t="shared" si="58"/>
        <v>#DIV/0!</v>
      </c>
      <c r="R205" s="80" t="e">
        <f t="shared" si="59"/>
        <v>#DIV/0!</v>
      </c>
      <c r="S205" s="15" t="e">
        <f t="shared" si="60"/>
        <v>#DIV/0!</v>
      </c>
      <c r="T205" s="80" t="e">
        <f t="shared" si="61"/>
        <v>#DIV/0!</v>
      </c>
      <c r="U205" s="16" t="e">
        <f t="shared" si="62"/>
        <v>#DIV/0!</v>
      </c>
    </row>
    <row r="206" spans="1:21" x14ac:dyDescent="0.3">
      <c r="A206" s="77" t="s">
        <v>278</v>
      </c>
      <c r="B206" s="78" t="s">
        <v>435</v>
      </c>
      <c r="C206" s="78" t="s">
        <v>338</v>
      </c>
      <c r="D206" s="78" t="s">
        <v>348</v>
      </c>
      <c r="E206" s="79" t="s">
        <v>481</v>
      </c>
      <c r="F206" s="78" t="s">
        <v>482</v>
      </c>
      <c r="G206" s="78" t="s">
        <v>248</v>
      </c>
      <c r="H206" s="78" t="s">
        <v>11</v>
      </c>
      <c r="I206" s="78" t="s">
        <v>214</v>
      </c>
      <c r="J206" s="79" t="s">
        <v>249</v>
      </c>
      <c r="K206" s="80">
        <v>11.2</v>
      </c>
      <c r="L206" s="80">
        <f t="shared" si="54"/>
        <v>8.7843137254901951</v>
      </c>
      <c r="M206" s="81">
        <f t="shared" si="55"/>
        <v>0</v>
      </c>
      <c r="N206" s="82">
        <f t="shared" si="56"/>
        <v>0</v>
      </c>
      <c r="O206" s="78" t="s">
        <v>103</v>
      </c>
      <c r="P206" s="15">
        <f t="shared" si="57"/>
        <v>0</v>
      </c>
      <c r="Q206" s="80" t="e">
        <f t="shared" si="58"/>
        <v>#DIV/0!</v>
      </c>
      <c r="R206" s="80" t="e">
        <f t="shared" si="59"/>
        <v>#DIV/0!</v>
      </c>
      <c r="S206" s="15" t="e">
        <f t="shared" si="60"/>
        <v>#DIV/0!</v>
      </c>
      <c r="T206" s="80" t="e">
        <f t="shared" si="61"/>
        <v>#DIV/0!</v>
      </c>
      <c r="U206" s="16" t="e">
        <f t="shared" si="62"/>
        <v>#DIV/0!</v>
      </c>
    </row>
    <row r="207" spans="1:21" x14ac:dyDescent="0.3">
      <c r="A207" s="77" t="s">
        <v>278</v>
      </c>
      <c r="B207" s="78" t="s">
        <v>435</v>
      </c>
      <c r="C207" s="78" t="s">
        <v>338</v>
      </c>
      <c r="D207" s="78" t="s">
        <v>349</v>
      </c>
      <c r="E207" s="79" t="s">
        <v>483</v>
      </c>
      <c r="F207" s="78" t="s">
        <v>283</v>
      </c>
      <c r="G207" s="78" t="s">
        <v>248</v>
      </c>
      <c r="H207" s="78" t="s">
        <v>11</v>
      </c>
      <c r="I207" s="78" t="s">
        <v>214</v>
      </c>
      <c r="J207" s="79" t="s">
        <v>249</v>
      </c>
      <c r="K207" s="80">
        <v>56.9</v>
      </c>
      <c r="L207" s="80">
        <f t="shared" si="54"/>
        <v>44.627450980392155</v>
      </c>
      <c r="M207" s="81">
        <f t="shared" si="55"/>
        <v>0</v>
      </c>
      <c r="N207" s="82">
        <f t="shared" si="56"/>
        <v>0</v>
      </c>
      <c r="O207" s="78" t="s">
        <v>103</v>
      </c>
      <c r="P207" s="15">
        <f t="shared" si="57"/>
        <v>0</v>
      </c>
      <c r="Q207" s="80" t="e">
        <f t="shared" si="58"/>
        <v>#DIV/0!</v>
      </c>
      <c r="R207" s="80" t="e">
        <f t="shared" si="59"/>
        <v>#DIV/0!</v>
      </c>
      <c r="S207" s="15" t="e">
        <f t="shared" si="60"/>
        <v>#DIV/0!</v>
      </c>
      <c r="T207" s="80" t="e">
        <f t="shared" si="61"/>
        <v>#DIV/0!</v>
      </c>
      <c r="U207" s="16" t="e">
        <f t="shared" si="62"/>
        <v>#DIV/0!</v>
      </c>
    </row>
    <row r="208" spans="1:21" x14ac:dyDescent="0.3">
      <c r="A208" s="77" t="s">
        <v>278</v>
      </c>
      <c r="B208" s="78" t="s">
        <v>435</v>
      </c>
      <c r="C208" s="78" t="s">
        <v>338</v>
      </c>
      <c r="D208" s="78" t="s">
        <v>351</v>
      </c>
      <c r="E208" s="79" t="s">
        <v>484</v>
      </c>
      <c r="F208" s="78" t="s">
        <v>283</v>
      </c>
      <c r="G208" s="78" t="s">
        <v>216</v>
      </c>
      <c r="H208" s="78" t="s">
        <v>11</v>
      </c>
      <c r="I208" s="78" t="s">
        <v>214</v>
      </c>
      <c r="J208" s="79" t="s">
        <v>217</v>
      </c>
      <c r="K208" s="80">
        <v>17.600000000000001</v>
      </c>
      <c r="L208" s="80">
        <f t="shared" si="54"/>
        <v>13.803921568627452</v>
      </c>
      <c r="M208" s="81">
        <f>prodnorm6</f>
        <v>0</v>
      </c>
      <c r="N208" s="82">
        <f>dagwerk6</f>
        <v>0</v>
      </c>
      <c r="O208" s="78" t="s">
        <v>103</v>
      </c>
      <c r="P208" s="15">
        <f>uurtarief6</f>
        <v>0</v>
      </c>
      <c r="Q208" s="80" t="e">
        <f t="shared" si="58"/>
        <v>#DIV/0!</v>
      </c>
      <c r="R208" s="80" t="e">
        <f t="shared" si="59"/>
        <v>#DIV/0!</v>
      </c>
      <c r="S208" s="15" t="e">
        <f t="shared" si="60"/>
        <v>#DIV/0!</v>
      </c>
      <c r="T208" s="80" t="e">
        <f t="shared" si="61"/>
        <v>#DIV/0!</v>
      </c>
      <c r="U208" s="16" t="e">
        <f t="shared" si="62"/>
        <v>#DIV/0!</v>
      </c>
    </row>
    <row r="209" spans="1:21" x14ac:dyDescent="0.3">
      <c r="A209" s="77" t="s">
        <v>278</v>
      </c>
      <c r="B209" s="78" t="s">
        <v>435</v>
      </c>
      <c r="C209" s="78" t="s">
        <v>338</v>
      </c>
      <c r="D209" s="78" t="s">
        <v>485</v>
      </c>
      <c r="E209" s="79" t="s">
        <v>486</v>
      </c>
      <c r="F209" s="78" t="s">
        <v>283</v>
      </c>
      <c r="G209" s="78" t="s">
        <v>234</v>
      </c>
      <c r="H209" s="78" t="s">
        <v>11</v>
      </c>
      <c r="I209" s="78" t="s">
        <v>214</v>
      </c>
      <c r="J209" s="79" t="s">
        <v>235</v>
      </c>
      <c r="K209" s="80">
        <v>31.5</v>
      </c>
      <c r="L209" s="80">
        <f t="shared" si="54"/>
        <v>24.705882352941178</v>
      </c>
      <c r="M209" s="81">
        <f>prodnorm21</f>
        <v>0</v>
      </c>
      <c r="N209" s="82">
        <f>dagwerk21</f>
        <v>0</v>
      </c>
      <c r="O209" s="78" t="s">
        <v>103</v>
      </c>
      <c r="P209" s="15">
        <f>uurtarief21</f>
        <v>0</v>
      </c>
      <c r="Q209" s="80" t="e">
        <f t="shared" si="58"/>
        <v>#DIV/0!</v>
      </c>
      <c r="R209" s="80" t="e">
        <f t="shared" si="59"/>
        <v>#DIV/0!</v>
      </c>
      <c r="S209" s="15" t="e">
        <f t="shared" si="60"/>
        <v>#DIV/0!</v>
      </c>
      <c r="T209" s="80" t="e">
        <f t="shared" si="61"/>
        <v>#DIV/0!</v>
      </c>
      <c r="U209" s="16" t="e">
        <f t="shared" si="62"/>
        <v>#DIV/0!</v>
      </c>
    </row>
    <row r="210" spans="1:21" x14ac:dyDescent="0.3">
      <c r="A210" s="77" t="s">
        <v>278</v>
      </c>
      <c r="B210" s="78" t="s">
        <v>435</v>
      </c>
      <c r="C210" s="78" t="s">
        <v>338</v>
      </c>
      <c r="D210" s="78" t="s">
        <v>487</v>
      </c>
      <c r="E210" s="79" t="s">
        <v>486</v>
      </c>
      <c r="F210" s="78" t="s">
        <v>283</v>
      </c>
      <c r="G210" s="78" t="s">
        <v>248</v>
      </c>
      <c r="H210" s="78" t="s">
        <v>11</v>
      </c>
      <c r="I210" s="78" t="s">
        <v>214</v>
      </c>
      <c r="J210" s="79" t="s">
        <v>249</v>
      </c>
      <c r="K210" s="80">
        <v>39.4</v>
      </c>
      <c r="L210" s="80">
        <f t="shared" si="54"/>
        <v>30.901960784313722</v>
      </c>
      <c r="M210" s="81">
        <f>prodnorm29</f>
        <v>0</v>
      </c>
      <c r="N210" s="82">
        <f>dagwerk29</f>
        <v>0</v>
      </c>
      <c r="O210" s="78" t="s">
        <v>103</v>
      </c>
      <c r="P210" s="15">
        <f>uurtarief29</f>
        <v>0</v>
      </c>
      <c r="Q210" s="80" t="e">
        <f t="shared" si="58"/>
        <v>#DIV/0!</v>
      </c>
      <c r="R210" s="80" t="e">
        <f t="shared" si="59"/>
        <v>#DIV/0!</v>
      </c>
      <c r="S210" s="15" t="e">
        <f t="shared" si="60"/>
        <v>#DIV/0!</v>
      </c>
      <c r="T210" s="80" t="e">
        <f t="shared" si="61"/>
        <v>#DIV/0!</v>
      </c>
      <c r="U210" s="16" t="e">
        <f t="shared" si="62"/>
        <v>#DIV/0!</v>
      </c>
    </row>
    <row r="211" spans="1:21" x14ac:dyDescent="0.3">
      <c r="A211" s="77" t="s">
        <v>278</v>
      </c>
      <c r="B211" s="78" t="s">
        <v>435</v>
      </c>
      <c r="C211" s="78" t="s">
        <v>338</v>
      </c>
      <c r="D211" s="78" t="s">
        <v>354</v>
      </c>
      <c r="E211" s="79" t="s">
        <v>302</v>
      </c>
      <c r="F211" s="78" t="s">
        <v>387</v>
      </c>
      <c r="G211" s="78" t="s">
        <v>250</v>
      </c>
      <c r="H211" s="78" t="s">
        <v>11</v>
      </c>
      <c r="I211" s="78" t="s">
        <v>214</v>
      </c>
      <c r="J211" s="79" t="s">
        <v>251</v>
      </c>
      <c r="K211" s="80">
        <v>24.6</v>
      </c>
      <c r="L211" s="80">
        <f t="shared" si="54"/>
        <v>19.294117647058826</v>
      </c>
      <c r="M211" s="81">
        <f>prodnorm30</f>
        <v>0</v>
      </c>
      <c r="N211" s="82">
        <f>dagwerk30</f>
        <v>0</v>
      </c>
      <c r="O211" s="78" t="s">
        <v>103</v>
      </c>
      <c r="P211" s="15">
        <f>uurtarief30</f>
        <v>0</v>
      </c>
      <c r="Q211" s="80" t="e">
        <f t="shared" si="58"/>
        <v>#DIV/0!</v>
      </c>
      <c r="R211" s="80" t="e">
        <f t="shared" si="59"/>
        <v>#DIV/0!</v>
      </c>
      <c r="S211" s="15" t="e">
        <f t="shared" si="60"/>
        <v>#DIV/0!</v>
      </c>
      <c r="T211" s="80" t="e">
        <f t="shared" si="61"/>
        <v>#DIV/0!</v>
      </c>
      <c r="U211" s="16" t="e">
        <f t="shared" si="62"/>
        <v>#DIV/0!</v>
      </c>
    </row>
    <row r="212" spans="1:21" x14ac:dyDescent="0.3">
      <c r="A212" s="77" t="s">
        <v>278</v>
      </c>
      <c r="B212" s="78" t="s">
        <v>435</v>
      </c>
      <c r="C212" s="78" t="s">
        <v>338</v>
      </c>
      <c r="D212" s="78" t="s">
        <v>355</v>
      </c>
      <c r="E212" s="79" t="s">
        <v>409</v>
      </c>
      <c r="F212" s="78" t="s">
        <v>283</v>
      </c>
      <c r="G212" s="78" t="s">
        <v>216</v>
      </c>
      <c r="H212" s="78" t="s">
        <v>11</v>
      </c>
      <c r="I212" s="78" t="s">
        <v>214</v>
      </c>
      <c r="J212" s="79" t="s">
        <v>217</v>
      </c>
      <c r="K212" s="80">
        <v>19.3</v>
      </c>
      <c r="L212" s="80">
        <f t="shared" si="54"/>
        <v>15.137254901960784</v>
      </c>
      <c r="M212" s="81">
        <f t="shared" ref="M212:M218" si="63">prodnorm6</f>
        <v>0</v>
      </c>
      <c r="N212" s="82">
        <f t="shared" ref="N212:N218" si="64">dagwerk6</f>
        <v>0</v>
      </c>
      <c r="O212" s="78" t="s">
        <v>103</v>
      </c>
      <c r="P212" s="15">
        <f t="shared" ref="P212:P218" si="65">uurtarief6</f>
        <v>0</v>
      </c>
      <c r="Q212" s="80" t="e">
        <f t="shared" si="58"/>
        <v>#DIV/0!</v>
      </c>
      <c r="R212" s="80" t="e">
        <f t="shared" si="59"/>
        <v>#DIV/0!</v>
      </c>
      <c r="S212" s="15" t="e">
        <f t="shared" si="60"/>
        <v>#DIV/0!</v>
      </c>
      <c r="T212" s="80" t="e">
        <f t="shared" si="61"/>
        <v>#DIV/0!</v>
      </c>
      <c r="U212" s="16" t="e">
        <f t="shared" si="62"/>
        <v>#DIV/0!</v>
      </c>
    </row>
    <row r="213" spans="1:21" x14ac:dyDescent="0.3">
      <c r="A213" s="77" t="s">
        <v>278</v>
      </c>
      <c r="B213" s="78" t="s">
        <v>435</v>
      </c>
      <c r="C213" s="78" t="s">
        <v>338</v>
      </c>
      <c r="D213" s="78" t="s">
        <v>356</v>
      </c>
      <c r="E213" s="79" t="s">
        <v>488</v>
      </c>
      <c r="F213" s="78" t="s">
        <v>283</v>
      </c>
      <c r="G213" s="78" t="s">
        <v>216</v>
      </c>
      <c r="H213" s="78" t="s">
        <v>11</v>
      </c>
      <c r="I213" s="78" t="s">
        <v>214</v>
      </c>
      <c r="J213" s="79" t="s">
        <v>217</v>
      </c>
      <c r="K213" s="80">
        <v>23.6</v>
      </c>
      <c r="L213" s="80">
        <f t="shared" si="54"/>
        <v>18.509803921568629</v>
      </c>
      <c r="M213" s="81">
        <f t="shared" si="63"/>
        <v>0</v>
      </c>
      <c r="N213" s="82">
        <f t="shared" si="64"/>
        <v>0</v>
      </c>
      <c r="O213" s="78" t="s">
        <v>103</v>
      </c>
      <c r="P213" s="15">
        <f t="shared" si="65"/>
        <v>0</v>
      </c>
      <c r="Q213" s="80" t="e">
        <f t="shared" si="58"/>
        <v>#DIV/0!</v>
      </c>
      <c r="R213" s="80" t="e">
        <f t="shared" si="59"/>
        <v>#DIV/0!</v>
      </c>
      <c r="S213" s="15" t="e">
        <f t="shared" si="60"/>
        <v>#DIV/0!</v>
      </c>
      <c r="T213" s="80" t="e">
        <f t="shared" si="61"/>
        <v>#DIV/0!</v>
      </c>
      <c r="U213" s="16" t="e">
        <f t="shared" si="62"/>
        <v>#DIV/0!</v>
      </c>
    </row>
    <row r="214" spans="1:21" x14ac:dyDescent="0.3">
      <c r="A214" s="77" t="s">
        <v>278</v>
      </c>
      <c r="B214" s="78" t="s">
        <v>435</v>
      </c>
      <c r="C214" s="78" t="s">
        <v>338</v>
      </c>
      <c r="D214" s="78" t="s">
        <v>357</v>
      </c>
      <c r="E214" s="79" t="s">
        <v>489</v>
      </c>
      <c r="F214" s="78" t="s">
        <v>283</v>
      </c>
      <c r="G214" s="78" t="s">
        <v>216</v>
      </c>
      <c r="H214" s="78" t="s">
        <v>11</v>
      </c>
      <c r="I214" s="78" t="s">
        <v>214</v>
      </c>
      <c r="J214" s="79" t="s">
        <v>217</v>
      </c>
      <c r="K214" s="80">
        <v>32.6</v>
      </c>
      <c r="L214" s="80">
        <f t="shared" si="54"/>
        <v>25.568627450980394</v>
      </c>
      <c r="M214" s="81">
        <f t="shared" si="63"/>
        <v>0</v>
      </c>
      <c r="N214" s="82">
        <f t="shared" si="64"/>
        <v>0</v>
      </c>
      <c r="O214" s="78" t="s">
        <v>103</v>
      </c>
      <c r="P214" s="15">
        <f t="shared" si="65"/>
        <v>0</v>
      </c>
      <c r="Q214" s="80" t="e">
        <f t="shared" si="58"/>
        <v>#DIV/0!</v>
      </c>
      <c r="R214" s="80" t="e">
        <f t="shared" si="59"/>
        <v>#DIV/0!</v>
      </c>
      <c r="S214" s="15" t="e">
        <f t="shared" si="60"/>
        <v>#DIV/0!</v>
      </c>
      <c r="T214" s="80" t="e">
        <f t="shared" si="61"/>
        <v>#DIV/0!</v>
      </c>
      <c r="U214" s="16" t="e">
        <f t="shared" si="62"/>
        <v>#DIV/0!</v>
      </c>
    </row>
    <row r="215" spans="1:21" x14ac:dyDescent="0.3">
      <c r="A215" s="77" t="s">
        <v>278</v>
      </c>
      <c r="B215" s="78" t="s">
        <v>435</v>
      </c>
      <c r="C215" s="78" t="s">
        <v>338</v>
      </c>
      <c r="D215" s="78" t="s">
        <v>358</v>
      </c>
      <c r="E215" s="79" t="s">
        <v>488</v>
      </c>
      <c r="F215" s="78" t="s">
        <v>283</v>
      </c>
      <c r="G215" s="78" t="s">
        <v>216</v>
      </c>
      <c r="H215" s="78" t="s">
        <v>11</v>
      </c>
      <c r="I215" s="78" t="s">
        <v>214</v>
      </c>
      <c r="J215" s="79" t="s">
        <v>217</v>
      </c>
      <c r="K215" s="80">
        <v>12.3</v>
      </c>
      <c r="L215" s="80">
        <f t="shared" si="54"/>
        <v>9.647058823529413</v>
      </c>
      <c r="M215" s="81">
        <f t="shared" si="63"/>
        <v>0</v>
      </c>
      <c r="N215" s="82">
        <f t="shared" si="64"/>
        <v>0</v>
      </c>
      <c r="O215" s="78" t="s">
        <v>103</v>
      </c>
      <c r="P215" s="15">
        <f t="shared" si="65"/>
        <v>0</v>
      </c>
      <c r="Q215" s="80" t="e">
        <f t="shared" si="58"/>
        <v>#DIV/0!</v>
      </c>
      <c r="R215" s="80" t="e">
        <f t="shared" si="59"/>
        <v>#DIV/0!</v>
      </c>
      <c r="S215" s="15" t="e">
        <f t="shared" si="60"/>
        <v>#DIV/0!</v>
      </c>
      <c r="T215" s="80" t="e">
        <f t="shared" si="61"/>
        <v>#DIV/0!</v>
      </c>
      <c r="U215" s="16" t="e">
        <f t="shared" si="62"/>
        <v>#DIV/0!</v>
      </c>
    </row>
    <row r="216" spans="1:21" x14ac:dyDescent="0.3">
      <c r="A216" s="77" t="s">
        <v>278</v>
      </c>
      <c r="B216" s="78" t="s">
        <v>435</v>
      </c>
      <c r="C216" s="78" t="s">
        <v>338</v>
      </c>
      <c r="D216" s="78" t="s">
        <v>360</v>
      </c>
      <c r="E216" s="79" t="s">
        <v>490</v>
      </c>
      <c r="F216" s="78" t="s">
        <v>283</v>
      </c>
      <c r="G216" s="78" t="s">
        <v>216</v>
      </c>
      <c r="H216" s="78" t="s">
        <v>11</v>
      </c>
      <c r="I216" s="78" t="s">
        <v>214</v>
      </c>
      <c r="J216" s="79" t="s">
        <v>217</v>
      </c>
      <c r="K216" s="80">
        <v>12.2</v>
      </c>
      <c r="L216" s="80">
        <f t="shared" si="54"/>
        <v>9.5686274509803919</v>
      </c>
      <c r="M216" s="81">
        <f t="shared" si="63"/>
        <v>0</v>
      </c>
      <c r="N216" s="82">
        <f t="shared" si="64"/>
        <v>0</v>
      </c>
      <c r="O216" s="78" t="s">
        <v>103</v>
      </c>
      <c r="P216" s="15">
        <f t="shared" si="65"/>
        <v>0</v>
      </c>
      <c r="Q216" s="80" t="e">
        <f t="shared" si="58"/>
        <v>#DIV/0!</v>
      </c>
      <c r="R216" s="80" t="e">
        <f t="shared" si="59"/>
        <v>#DIV/0!</v>
      </c>
      <c r="S216" s="15" t="e">
        <f t="shared" si="60"/>
        <v>#DIV/0!</v>
      </c>
      <c r="T216" s="80" t="e">
        <f t="shared" si="61"/>
        <v>#DIV/0!</v>
      </c>
      <c r="U216" s="16" t="e">
        <f t="shared" si="62"/>
        <v>#DIV/0!</v>
      </c>
    </row>
    <row r="217" spans="1:21" x14ac:dyDescent="0.3">
      <c r="A217" s="77" t="s">
        <v>278</v>
      </c>
      <c r="B217" s="78" t="s">
        <v>435</v>
      </c>
      <c r="C217" s="78" t="s">
        <v>338</v>
      </c>
      <c r="D217" s="78" t="s">
        <v>361</v>
      </c>
      <c r="E217" s="79" t="s">
        <v>491</v>
      </c>
      <c r="F217" s="78" t="s">
        <v>283</v>
      </c>
      <c r="G217" s="78" t="s">
        <v>216</v>
      </c>
      <c r="H217" s="78" t="s">
        <v>11</v>
      </c>
      <c r="I217" s="78" t="s">
        <v>214</v>
      </c>
      <c r="J217" s="79" t="s">
        <v>217</v>
      </c>
      <c r="K217" s="80">
        <v>38.200000000000003</v>
      </c>
      <c r="L217" s="80">
        <f t="shared" si="54"/>
        <v>29.96078431372549</v>
      </c>
      <c r="M217" s="81">
        <f t="shared" si="63"/>
        <v>0</v>
      </c>
      <c r="N217" s="82">
        <f t="shared" si="64"/>
        <v>0</v>
      </c>
      <c r="O217" s="78" t="s">
        <v>103</v>
      </c>
      <c r="P217" s="15">
        <f t="shared" si="65"/>
        <v>0</v>
      </c>
      <c r="Q217" s="80" t="e">
        <f t="shared" si="58"/>
        <v>#DIV/0!</v>
      </c>
      <c r="R217" s="80" t="e">
        <f t="shared" si="59"/>
        <v>#DIV/0!</v>
      </c>
      <c r="S217" s="15" t="e">
        <f t="shared" si="60"/>
        <v>#DIV/0!</v>
      </c>
      <c r="T217" s="80" t="e">
        <f t="shared" si="61"/>
        <v>#DIV/0!</v>
      </c>
      <c r="U217" s="16" t="e">
        <f t="shared" si="62"/>
        <v>#DIV/0!</v>
      </c>
    </row>
    <row r="218" spans="1:21" x14ac:dyDescent="0.3">
      <c r="A218" s="77" t="s">
        <v>278</v>
      </c>
      <c r="B218" s="78" t="s">
        <v>435</v>
      </c>
      <c r="C218" s="78" t="s">
        <v>338</v>
      </c>
      <c r="D218" s="78" t="s">
        <v>363</v>
      </c>
      <c r="E218" s="79" t="s">
        <v>409</v>
      </c>
      <c r="F218" s="78" t="s">
        <v>283</v>
      </c>
      <c r="G218" s="78" t="s">
        <v>216</v>
      </c>
      <c r="H218" s="78" t="s">
        <v>11</v>
      </c>
      <c r="I218" s="78" t="s">
        <v>214</v>
      </c>
      <c r="J218" s="79" t="s">
        <v>217</v>
      </c>
      <c r="K218" s="80">
        <v>19.3</v>
      </c>
      <c r="L218" s="80">
        <f t="shared" si="54"/>
        <v>15.137254901960784</v>
      </c>
      <c r="M218" s="81">
        <f t="shared" si="63"/>
        <v>0</v>
      </c>
      <c r="N218" s="82">
        <f t="shared" si="64"/>
        <v>0</v>
      </c>
      <c r="O218" s="78" t="s">
        <v>103</v>
      </c>
      <c r="P218" s="15">
        <f t="shared" si="65"/>
        <v>0</v>
      </c>
      <c r="Q218" s="80" t="e">
        <f t="shared" si="58"/>
        <v>#DIV/0!</v>
      </c>
      <c r="R218" s="80" t="e">
        <f t="shared" si="59"/>
        <v>#DIV/0!</v>
      </c>
      <c r="S218" s="15" t="e">
        <f t="shared" si="60"/>
        <v>#DIV/0!</v>
      </c>
      <c r="T218" s="80" t="e">
        <f t="shared" si="61"/>
        <v>#DIV/0!</v>
      </c>
      <c r="U218" s="16" t="e">
        <f t="shared" si="62"/>
        <v>#DIV/0!</v>
      </c>
    </row>
    <row r="219" spans="1:21" x14ac:dyDescent="0.3">
      <c r="A219" s="77" t="s">
        <v>278</v>
      </c>
      <c r="B219" s="78" t="s">
        <v>435</v>
      </c>
      <c r="C219" s="78" t="s">
        <v>338</v>
      </c>
      <c r="D219" s="78" t="s">
        <v>365</v>
      </c>
      <c r="E219" s="79" t="s">
        <v>389</v>
      </c>
      <c r="F219" s="78" t="s">
        <v>288</v>
      </c>
      <c r="G219" s="78" t="s">
        <v>300</v>
      </c>
      <c r="H219" s="78"/>
      <c r="I219" s="78"/>
      <c r="J219" s="78"/>
      <c r="K219" s="80">
        <v>11.3</v>
      </c>
      <c r="L219" s="80"/>
      <c r="M219" s="81"/>
      <c r="N219" s="82"/>
      <c r="O219" s="78"/>
      <c r="P219" s="15"/>
      <c r="Q219" s="80"/>
      <c r="R219" s="80"/>
      <c r="S219" s="15"/>
      <c r="T219" s="83"/>
      <c r="U219" s="16"/>
    </row>
    <row r="220" spans="1:21" x14ac:dyDescent="0.3">
      <c r="A220" s="77" t="s">
        <v>278</v>
      </c>
      <c r="B220" s="78" t="s">
        <v>435</v>
      </c>
      <c r="C220" s="78" t="s">
        <v>338</v>
      </c>
      <c r="D220" s="78" t="s">
        <v>366</v>
      </c>
      <c r="E220" s="79" t="s">
        <v>299</v>
      </c>
      <c r="F220" s="78" t="s">
        <v>387</v>
      </c>
      <c r="G220" s="78" t="s">
        <v>300</v>
      </c>
      <c r="H220" s="78"/>
      <c r="I220" s="78"/>
      <c r="J220" s="78"/>
      <c r="K220" s="80">
        <v>2.6</v>
      </c>
      <c r="L220" s="80"/>
      <c r="M220" s="81"/>
      <c r="N220" s="82"/>
      <c r="O220" s="78"/>
      <c r="P220" s="15"/>
      <c r="Q220" s="80"/>
      <c r="R220" s="80"/>
      <c r="S220" s="15"/>
      <c r="T220" s="83"/>
      <c r="U220" s="16"/>
    </row>
    <row r="221" spans="1:21" x14ac:dyDescent="0.3">
      <c r="A221" s="77" t="s">
        <v>278</v>
      </c>
      <c r="B221" s="78" t="s">
        <v>435</v>
      </c>
      <c r="C221" s="78" t="s">
        <v>338</v>
      </c>
      <c r="D221" s="78" t="s">
        <v>367</v>
      </c>
      <c r="E221" s="79" t="s">
        <v>419</v>
      </c>
      <c r="F221" s="78" t="s">
        <v>387</v>
      </c>
      <c r="G221" s="78" t="s">
        <v>250</v>
      </c>
      <c r="H221" s="78" t="s">
        <v>11</v>
      </c>
      <c r="I221" s="78" t="s">
        <v>214</v>
      </c>
      <c r="J221" s="79" t="s">
        <v>251</v>
      </c>
      <c r="K221" s="80">
        <v>2.1</v>
      </c>
      <c r="L221" s="80">
        <f t="shared" ref="L221:L230" si="66">K221*VLOOKUP(H221,dagsoorttabel1,2,FALSE)</f>
        <v>1.6470588235294119</v>
      </c>
      <c r="M221" s="81">
        <f>prodnorm30</f>
        <v>0</v>
      </c>
      <c r="N221" s="82">
        <f>dagwerk30</f>
        <v>0</v>
      </c>
      <c r="O221" s="78" t="s">
        <v>103</v>
      </c>
      <c r="P221" s="15">
        <f>uurtarief30</f>
        <v>0</v>
      </c>
      <c r="Q221" s="80" t="e">
        <f t="shared" ref="Q221:Q230" si="67">IF(ISBLANK(M221),0,L221/ROUND(M221,4))</f>
        <v>#DIV/0!</v>
      </c>
      <c r="R221" s="80" t="e">
        <f t="shared" ref="R221:R230" si="68">IF(ISBLANK(M221),0,Q221*ROUND(N221,2))</f>
        <v>#DIV/0!</v>
      </c>
      <c r="S221" s="15" t="e">
        <f t="shared" ref="S221:S230" si="69">ROUND(P221,2)*Q221</f>
        <v>#DIV/0!</v>
      </c>
      <c r="T221" s="80" t="e">
        <f t="shared" ref="T221:T230" si="70">Q221*dagenperjaar1</f>
        <v>#DIV/0!</v>
      </c>
      <c r="U221" s="16" t="e">
        <f t="shared" ref="U221:U230" si="71">T221*ROUND(P221,2)</f>
        <v>#DIV/0!</v>
      </c>
    </row>
    <row r="222" spans="1:21" x14ac:dyDescent="0.3">
      <c r="A222" s="77" t="s">
        <v>278</v>
      </c>
      <c r="B222" s="78" t="s">
        <v>435</v>
      </c>
      <c r="C222" s="78" t="s">
        <v>338</v>
      </c>
      <c r="D222" s="78" t="s">
        <v>368</v>
      </c>
      <c r="E222" s="79" t="s">
        <v>316</v>
      </c>
      <c r="F222" s="78" t="s">
        <v>387</v>
      </c>
      <c r="G222" s="78" t="s">
        <v>250</v>
      </c>
      <c r="H222" s="78" t="s">
        <v>11</v>
      </c>
      <c r="I222" s="78" t="s">
        <v>214</v>
      </c>
      <c r="J222" s="79" t="s">
        <v>251</v>
      </c>
      <c r="K222" s="80">
        <v>3.5</v>
      </c>
      <c r="L222" s="80">
        <f t="shared" si="66"/>
        <v>2.7450980392156863</v>
      </c>
      <c r="M222" s="81">
        <f>prodnorm30</f>
        <v>0</v>
      </c>
      <c r="N222" s="82">
        <f>dagwerk30</f>
        <v>0</v>
      </c>
      <c r="O222" s="78" t="s">
        <v>103</v>
      </c>
      <c r="P222" s="15">
        <f>uurtarief30</f>
        <v>0</v>
      </c>
      <c r="Q222" s="80" t="e">
        <f t="shared" si="67"/>
        <v>#DIV/0!</v>
      </c>
      <c r="R222" s="80" t="e">
        <f t="shared" si="68"/>
        <v>#DIV/0!</v>
      </c>
      <c r="S222" s="15" t="e">
        <f t="shared" si="69"/>
        <v>#DIV/0!</v>
      </c>
      <c r="T222" s="80" t="e">
        <f t="shared" si="70"/>
        <v>#DIV/0!</v>
      </c>
      <c r="U222" s="16" t="e">
        <f t="shared" si="71"/>
        <v>#DIV/0!</v>
      </c>
    </row>
    <row r="223" spans="1:21" x14ac:dyDescent="0.3">
      <c r="A223" s="77" t="s">
        <v>278</v>
      </c>
      <c r="B223" s="78" t="s">
        <v>435</v>
      </c>
      <c r="C223" s="78" t="s">
        <v>338</v>
      </c>
      <c r="D223" s="78" t="s">
        <v>369</v>
      </c>
      <c r="E223" s="79" t="s">
        <v>287</v>
      </c>
      <c r="F223" s="78" t="s">
        <v>404</v>
      </c>
      <c r="G223" s="78" t="s">
        <v>252</v>
      </c>
      <c r="H223" s="78" t="s">
        <v>11</v>
      </c>
      <c r="I223" s="78" t="s">
        <v>214</v>
      </c>
      <c r="J223" s="79" t="s">
        <v>253</v>
      </c>
      <c r="K223" s="80">
        <v>10</v>
      </c>
      <c r="L223" s="80">
        <f t="shared" si="66"/>
        <v>7.8431372549019605</v>
      </c>
      <c r="M223" s="81">
        <f>prodnorm31</f>
        <v>0</v>
      </c>
      <c r="N223" s="82">
        <f>dagwerk31</f>
        <v>0</v>
      </c>
      <c r="O223" s="78" t="s">
        <v>103</v>
      </c>
      <c r="P223" s="15">
        <f>uurtarief31</f>
        <v>0</v>
      </c>
      <c r="Q223" s="80" t="e">
        <f t="shared" si="67"/>
        <v>#DIV/0!</v>
      </c>
      <c r="R223" s="80" t="e">
        <f t="shared" si="68"/>
        <v>#DIV/0!</v>
      </c>
      <c r="S223" s="15" t="e">
        <f t="shared" si="69"/>
        <v>#DIV/0!</v>
      </c>
      <c r="T223" s="80" t="e">
        <f t="shared" si="70"/>
        <v>#DIV/0!</v>
      </c>
      <c r="U223" s="16" t="e">
        <f t="shared" si="71"/>
        <v>#DIV/0!</v>
      </c>
    </row>
    <row r="224" spans="1:21" ht="27" x14ac:dyDescent="0.3">
      <c r="A224" s="77" t="s">
        <v>278</v>
      </c>
      <c r="B224" s="78" t="s">
        <v>435</v>
      </c>
      <c r="C224" s="78" t="s">
        <v>338</v>
      </c>
      <c r="D224" s="78" t="s">
        <v>369</v>
      </c>
      <c r="E224" s="79" t="s">
        <v>380</v>
      </c>
      <c r="F224" s="78" t="s">
        <v>283</v>
      </c>
      <c r="G224" s="78" t="s">
        <v>256</v>
      </c>
      <c r="H224" s="78" t="s">
        <v>11</v>
      </c>
      <c r="I224" s="78" t="s">
        <v>214</v>
      </c>
      <c r="J224" s="79" t="s">
        <v>257</v>
      </c>
      <c r="K224" s="80">
        <v>70.8</v>
      </c>
      <c r="L224" s="80">
        <f t="shared" si="66"/>
        <v>55.529411764705877</v>
      </c>
      <c r="M224" s="81">
        <f>prodnorm33</f>
        <v>0</v>
      </c>
      <c r="N224" s="82">
        <f>dagwerk33</f>
        <v>0</v>
      </c>
      <c r="O224" s="78" t="s">
        <v>103</v>
      </c>
      <c r="P224" s="15">
        <f>uurtarief33</f>
        <v>0</v>
      </c>
      <c r="Q224" s="80" t="e">
        <f t="shared" si="67"/>
        <v>#DIV/0!</v>
      </c>
      <c r="R224" s="80" t="e">
        <f t="shared" si="68"/>
        <v>#DIV/0!</v>
      </c>
      <c r="S224" s="15" t="e">
        <f t="shared" si="69"/>
        <v>#DIV/0!</v>
      </c>
      <c r="T224" s="80" t="e">
        <f t="shared" si="70"/>
        <v>#DIV/0!</v>
      </c>
      <c r="U224" s="16" t="e">
        <f t="shared" si="71"/>
        <v>#DIV/0!</v>
      </c>
    </row>
    <row r="225" spans="1:21" ht="27" x14ac:dyDescent="0.3">
      <c r="A225" s="77" t="s">
        <v>278</v>
      </c>
      <c r="B225" s="78" t="s">
        <v>435</v>
      </c>
      <c r="C225" s="78" t="s">
        <v>338</v>
      </c>
      <c r="D225" s="78" t="s">
        <v>370</v>
      </c>
      <c r="E225" s="79" t="s">
        <v>380</v>
      </c>
      <c r="F225" s="78" t="s">
        <v>283</v>
      </c>
      <c r="G225" s="78" t="s">
        <v>256</v>
      </c>
      <c r="H225" s="78" t="s">
        <v>11</v>
      </c>
      <c r="I225" s="78" t="s">
        <v>214</v>
      </c>
      <c r="J225" s="79" t="s">
        <v>257</v>
      </c>
      <c r="K225" s="80">
        <v>76.2</v>
      </c>
      <c r="L225" s="80">
        <f t="shared" si="66"/>
        <v>59.764705882352942</v>
      </c>
      <c r="M225" s="81">
        <f>prodnorm33</f>
        <v>0</v>
      </c>
      <c r="N225" s="82">
        <f>dagwerk33</f>
        <v>0</v>
      </c>
      <c r="O225" s="78" t="s">
        <v>103</v>
      </c>
      <c r="P225" s="15">
        <f>uurtarief33</f>
        <v>0</v>
      </c>
      <c r="Q225" s="80" t="e">
        <f t="shared" si="67"/>
        <v>#DIV/0!</v>
      </c>
      <c r="R225" s="80" t="e">
        <f t="shared" si="68"/>
        <v>#DIV/0!</v>
      </c>
      <c r="S225" s="15" t="e">
        <f t="shared" si="69"/>
        <v>#DIV/0!</v>
      </c>
      <c r="T225" s="80" t="e">
        <f t="shared" si="70"/>
        <v>#DIV/0!</v>
      </c>
      <c r="U225" s="16" t="e">
        <f t="shared" si="71"/>
        <v>#DIV/0!</v>
      </c>
    </row>
    <row r="226" spans="1:21" x14ac:dyDescent="0.3">
      <c r="A226" s="77" t="s">
        <v>278</v>
      </c>
      <c r="B226" s="78" t="s">
        <v>492</v>
      </c>
      <c r="C226" s="78" t="s">
        <v>373</v>
      </c>
      <c r="D226" s="78" t="s">
        <v>374</v>
      </c>
      <c r="E226" s="79" t="s">
        <v>493</v>
      </c>
      <c r="F226" s="78" t="s">
        <v>494</v>
      </c>
      <c r="G226" s="78" t="s">
        <v>228</v>
      </c>
      <c r="H226" s="78" t="s">
        <v>18</v>
      </c>
      <c r="I226" s="78" t="s">
        <v>214</v>
      </c>
      <c r="J226" s="79" t="s">
        <v>229</v>
      </c>
      <c r="K226" s="80">
        <v>58.5</v>
      </c>
      <c r="L226" s="80">
        <f t="shared" si="66"/>
        <v>9.1764705882352935</v>
      </c>
      <c r="M226" s="81">
        <f>prodnorm16</f>
        <v>0</v>
      </c>
      <c r="N226" s="82">
        <f>dagwerk16</f>
        <v>0</v>
      </c>
      <c r="O226" s="78" t="s">
        <v>103</v>
      </c>
      <c r="P226" s="15">
        <f>uurtarief16</f>
        <v>0</v>
      </c>
      <c r="Q226" s="80" t="e">
        <f t="shared" si="67"/>
        <v>#DIV/0!</v>
      </c>
      <c r="R226" s="80" t="e">
        <f t="shared" si="68"/>
        <v>#DIV/0!</v>
      </c>
      <c r="S226" s="15" t="e">
        <f t="shared" si="69"/>
        <v>#DIV/0!</v>
      </c>
      <c r="T226" s="80" t="e">
        <f t="shared" si="70"/>
        <v>#DIV/0!</v>
      </c>
      <c r="U226" s="16" t="e">
        <f t="shared" si="71"/>
        <v>#DIV/0!</v>
      </c>
    </row>
    <row r="227" spans="1:21" x14ac:dyDescent="0.3">
      <c r="A227" s="77" t="s">
        <v>278</v>
      </c>
      <c r="B227" s="78" t="s">
        <v>492</v>
      </c>
      <c r="C227" s="78" t="s">
        <v>373</v>
      </c>
      <c r="D227" s="78" t="s">
        <v>495</v>
      </c>
      <c r="E227" s="79" t="s">
        <v>493</v>
      </c>
      <c r="F227" s="78" t="s">
        <v>494</v>
      </c>
      <c r="G227" s="78" t="s">
        <v>228</v>
      </c>
      <c r="H227" s="78" t="s">
        <v>18</v>
      </c>
      <c r="I227" s="78" t="s">
        <v>214</v>
      </c>
      <c r="J227" s="79" t="s">
        <v>229</v>
      </c>
      <c r="K227" s="80">
        <v>57.6</v>
      </c>
      <c r="L227" s="80">
        <f t="shared" si="66"/>
        <v>9.0352941176470587</v>
      </c>
      <c r="M227" s="81">
        <f>prodnorm16</f>
        <v>0</v>
      </c>
      <c r="N227" s="82">
        <f>dagwerk16</f>
        <v>0</v>
      </c>
      <c r="O227" s="78" t="s">
        <v>103</v>
      </c>
      <c r="P227" s="15">
        <f>uurtarief16</f>
        <v>0</v>
      </c>
      <c r="Q227" s="80" t="e">
        <f t="shared" si="67"/>
        <v>#DIV/0!</v>
      </c>
      <c r="R227" s="80" t="e">
        <f t="shared" si="68"/>
        <v>#DIV/0!</v>
      </c>
      <c r="S227" s="15" t="e">
        <f t="shared" si="69"/>
        <v>#DIV/0!</v>
      </c>
      <c r="T227" s="80" t="e">
        <f t="shared" si="70"/>
        <v>#DIV/0!</v>
      </c>
      <c r="U227" s="16" t="e">
        <f t="shared" si="71"/>
        <v>#DIV/0!</v>
      </c>
    </row>
    <row r="228" spans="1:21" x14ac:dyDescent="0.3">
      <c r="A228" s="77" t="s">
        <v>278</v>
      </c>
      <c r="B228" s="78" t="s">
        <v>492</v>
      </c>
      <c r="C228" s="78" t="s">
        <v>373</v>
      </c>
      <c r="D228" s="78" t="s">
        <v>377</v>
      </c>
      <c r="E228" s="79" t="s">
        <v>496</v>
      </c>
      <c r="F228" s="78" t="s">
        <v>494</v>
      </c>
      <c r="G228" s="78" t="s">
        <v>228</v>
      </c>
      <c r="H228" s="78" t="s">
        <v>11</v>
      </c>
      <c r="I228" s="78" t="s">
        <v>214</v>
      </c>
      <c r="J228" s="79" t="s">
        <v>229</v>
      </c>
      <c r="K228" s="80">
        <v>256.7</v>
      </c>
      <c r="L228" s="80">
        <f t="shared" si="66"/>
        <v>201.33333333333331</v>
      </c>
      <c r="M228" s="81">
        <f>prodnorm15</f>
        <v>0</v>
      </c>
      <c r="N228" s="82">
        <f>dagwerk15</f>
        <v>0</v>
      </c>
      <c r="O228" s="78" t="s">
        <v>103</v>
      </c>
      <c r="P228" s="15">
        <f>uurtarief15</f>
        <v>0</v>
      </c>
      <c r="Q228" s="80" t="e">
        <f t="shared" si="67"/>
        <v>#DIV/0!</v>
      </c>
      <c r="R228" s="80" t="e">
        <f t="shared" si="68"/>
        <v>#DIV/0!</v>
      </c>
      <c r="S228" s="15" t="e">
        <f t="shared" si="69"/>
        <v>#DIV/0!</v>
      </c>
      <c r="T228" s="80" t="e">
        <f t="shared" si="70"/>
        <v>#DIV/0!</v>
      </c>
      <c r="U228" s="16" t="e">
        <f t="shared" si="71"/>
        <v>#DIV/0!</v>
      </c>
    </row>
    <row r="229" spans="1:21" x14ac:dyDescent="0.3">
      <c r="A229" s="77" t="s">
        <v>278</v>
      </c>
      <c r="B229" s="78" t="s">
        <v>492</v>
      </c>
      <c r="C229" s="78" t="s">
        <v>373</v>
      </c>
      <c r="D229" s="78" t="s">
        <v>381</v>
      </c>
      <c r="E229" s="79" t="s">
        <v>496</v>
      </c>
      <c r="F229" s="78" t="s">
        <v>494</v>
      </c>
      <c r="G229" s="78" t="s">
        <v>228</v>
      </c>
      <c r="H229" s="78" t="s">
        <v>11</v>
      </c>
      <c r="I229" s="78" t="s">
        <v>214</v>
      </c>
      <c r="J229" s="79" t="s">
        <v>229</v>
      </c>
      <c r="K229" s="80">
        <v>256.7</v>
      </c>
      <c r="L229" s="80">
        <f t="shared" si="66"/>
        <v>201.33333333333331</v>
      </c>
      <c r="M229" s="81">
        <f>prodnorm15</f>
        <v>0</v>
      </c>
      <c r="N229" s="82">
        <f>dagwerk15</f>
        <v>0</v>
      </c>
      <c r="O229" s="78" t="s">
        <v>103</v>
      </c>
      <c r="P229" s="15">
        <f>uurtarief15</f>
        <v>0</v>
      </c>
      <c r="Q229" s="80" t="e">
        <f t="shared" si="67"/>
        <v>#DIV/0!</v>
      </c>
      <c r="R229" s="80" t="e">
        <f t="shared" si="68"/>
        <v>#DIV/0!</v>
      </c>
      <c r="S229" s="15" t="e">
        <f t="shared" si="69"/>
        <v>#DIV/0!</v>
      </c>
      <c r="T229" s="80" t="e">
        <f t="shared" si="70"/>
        <v>#DIV/0!</v>
      </c>
      <c r="U229" s="16" t="e">
        <f t="shared" si="71"/>
        <v>#DIV/0!</v>
      </c>
    </row>
    <row r="230" spans="1:21" x14ac:dyDescent="0.3">
      <c r="A230" s="77" t="s">
        <v>278</v>
      </c>
      <c r="B230" s="78" t="s">
        <v>492</v>
      </c>
      <c r="C230" s="78" t="s">
        <v>373</v>
      </c>
      <c r="D230" s="78" t="s">
        <v>383</v>
      </c>
      <c r="E230" s="79" t="s">
        <v>302</v>
      </c>
      <c r="F230" s="78" t="s">
        <v>387</v>
      </c>
      <c r="G230" s="78" t="s">
        <v>250</v>
      </c>
      <c r="H230" s="78" t="s">
        <v>11</v>
      </c>
      <c r="I230" s="78" t="s">
        <v>214</v>
      </c>
      <c r="J230" s="79" t="s">
        <v>251</v>
      </c>
      <c r="K230" s="80">
        <v>7</v>
      </c>
      <c r="L230" s="80">
        <f t="shared" si="66"/>
        <v>5.4901960784313726</v>
      </c>
      <c r="M230" s="81">
        <f>prodnorm30</f>
        <v>0</v>
      </c>
      <c r="N230" s="82">
        <f>dagwerk30</f>
        <v>0</v>
      </c>
      <c r="O230" s="78" t="s">
        <v>103</v>
      </c>
      <c r="P230" s="15">
        <f>uurtarief30</f>
        <v>0</v>
      </c>
      <c r="Q230" s="80" t="e">
        <f t="shared" si="67"/>
        <v>#DIV/0!</v>
      </c>
      <c r="R230" s="80" t="e">
        <f t="shared" si="68"/>
        <v>#DIV/0!</v>
      </c>
      <c r="S230" s="15" t="e">
        <f t="shared" si="69"/>
        <v>#DIV/0!</v>
      </c>
      <c r="T230" s="80" t="e">
        <f t="shared" si="70"/>
        <v>#DIV/0!</v>
      </c>
      <c r="U230" s="16" t="e">
        <f t="shared" si="71"/>
        <v>#DIV/0!</v>
      </c>
    </row>
    <row r="231" spans="1:21" x14ac:dyDescent="0.3">
      <c r="A231" s="77" t="s">
        <v>278</v>
      </c>
      <c r="B231" s="78" t="s">
        <v>492</v>
      </c>
      <c r="C231" s="78" t="s">
        <v>373</v>
      </c>
      <c r="D231" s="78" t="s">
        <v>385</v>
      </c>
      <c r="E231" s="79" t="s">
        <v>389</v>
      </c>
      <c r="F231" s="78" t="s">
        <v>288</v>
      </c>
      <c r="G231" s="78" t="s">
        <v>300</v>
      </c>
      <c r="H231" s="78"/>
      <c r="I231" s="78"/>
      <c r="J231" s="78"/>
      <c r="K231" s="80">
        <v>13.9</v>
      </c>
      <c r="L231" s="80"/>
      <c r="M231" s="81"/>
      <c r="N231" s="82"/>
      <c r="O231" s="78"/>
      <c r="P231" s="15"/>
      <c r="Q231" s="80"/>
      <c r="R231" s="80"/>
      <c r="S231" s="15"/>
      <c r="T231" s="83"/>
      <c r="U231" s="16"/>
    </row>
    <row r="232" spans="1:21" x14ac:dyDescent="0.3">
      <c r="A232" s="77" t="s">
        <v>278</v>
      </c>
      <c r="B232" s="78" t="s">
        <v>492</v>
      </c>
      <c r="C232" s="78" t="s">
        <v>373</v>
      </c>
      <c r="D232" s="78" t="s">
        <v>386</v>
      </c>
      <c r="E232" s="79" t="s">
        <v>497</v>
      </c>
      <c r="F232" s="78" t="s">
        <v>387</v>
      </c>
      <c r="G232" s="78" t="s">
        <v>216</v>
      </c>
      <c r="H232" s="78" t="s">
        <v>11</v>
      </c>
      <c r="I232" s="78" t="s">
        <v>214</v>
      </c>
      <c r="J232" s="79" t="s">
        <v>217</v>
      </c>
      <c r="K232" s="80">
        <v>15.6</v>
      </c>
      <c r="L232" s="80">
        <f>K232*VLOOKUP(H232,dagsoorttabel1,2,FALSE)</f>
        <v>12.235294117647058</v>
      </c>
      <c r="M232" s="81">
        <f>prodnorm6</f>
        <v>0</v>
      </c>
      <c r="N232" s="82">
        <f>dagwerk6</f>
        <v>0</v>
      </c>
      <c r="O232" s="78" t="s">
        <v>103</v>
      </c>
      <c r="P232" s="15">
        <f>uurtarief6</f>
        <v>0</v>
      </c>
      <c r="Q232" s="80" t="e">
        <f>IF(ISBLANK(M232),0,L232/ROUND(M232,4))</f>
        <v>#DIV/0!</v>
      </c>
      <c r="R232" s="80" t="e">
        <f>IF(ISBLANK(M232),0,Q232*ROUND(N232,2))</f>
        <v>#DIV/0!</v>
      </c>
      <c r="S232" s="15" t="e">
        <f>ROUND(P232,2)*Q232</f>
        <v>#DIV/0!</v>
      </c>
      <c r="T232" s="80" t="e">
        <f>Q232*dagenperjaar1</f>
        <v>#DIV/0!</v>
      </c>
      <c r="U232" s="16" t="e">
        <f>T232*ROUND(P232,2)</f>
        <v>#DIV/0!</v>
      </c>
    </row>
    <row r="233" spans="1:21" x14ac:dyDescent="0.3">
      <c r="A233" s="77" t="s">
        <v>278</v>
      </c>
      <c r="B233" s="78" t="s">
        <v>492</v>
      </c>
      <c r="C233" s="78" t="s">
        <v>373</v>
      </c>
      <c r="D233" s="78" t="s">
        <v>388</v>
      </c>
      <c r="E233" s="79" t="s">
        <v>287</v>
      </c>
      <c r="F233" s="78" t="s">
        <v>404</v>
      </c>
      <c r="G233" s="78" t="s">
        <v>252</v>
      </c>
      <c r="H233" s="78" t="s">
        <v>11</v>
      </c>
      <c r="I233" s="78" t="s">
        <v>214</v>
      </c>
      <c r="J233" s="79" t="s">
        <v>253</v>
      </c>
      <c r="K233" s="80">
        <v>10</v>
      </c>
      <c r="L233" s="80">
        <f>K233*VLOOKUP(H233,dagsoorttabel1,2,FALSE)</f>
        <v>7.8431372549019605</v>
      </c>
      <c r="M233" s="81">
        <f>prodnorm31</f>
        <v>0</v>
      </c>
      <c r="N233" s="82">
        <f>dagwerk31</f>
        <v>0</v>
      </c>
      <c r="O233" s="78" t="s">
        <v>103</v>
      </c>
      <c r="P233" s="15">
        <f>uurtarief31</f>
        <v>0</v>
      </c>
      <c r="Q233" s="80" t="e">
        <f>IF(ISBLANK(M233),0,L233/ROUND(M233,4))</f>
        <v>#DIV/0!</v>
      </c>
      <c r="R233" s="80" t="e">
        <f>IF(ISBLANK(M233),0,Q233*ROUND(N233,2))</f>
        <v>#DIV/0!</v>
      </c>
      <c r="S233" s="15" t="e">
        <f>ROUND(P233,2)*Q233</f>
        <v>#DIV/0!</v>
      </c>
      <c r="T233" s="80" t="e">
        <f>Q233*dagenperjaar1</f>
        <v>#DIV/0!</v>
      </c>
      <c r="U233" s="16" t="e">
        <f>T233*ROUND(P233,2)</f>
        <v>#DIV/0!</v>
      </c>
    </row>
    <row r="234" spans="1:21" x14ac:dyDescent="0.3">
      <c r="A234" s="77" t="s">
        <v>278</v>
      </c>
      <c r="B234" s="78" t="s">
        <v>492</v>
      </c>
      <c r="C234" s="78" t="s">
        <v>373</v>
      </c>
      <c r="D234" s="78" t="s">
        <v>498</v>
      </c>
      <c r="E234" s="79" t="s">
        <v>308</v>
      </c>
      <c r="F234" s="78" t="s">
        <v>288</v>
      </c>
      <c r="G234" s="78" t="s">
        <v>300</v>
      </c>
      <c r="H234" s="78"/>
      <c r="I234" s="78"/>
      <c r="J234" s="78"/>
      <c r="K234" s="80">
        <v>1.3</v>
      </c>
      <c r="L234" s="80"/>
      <c r="M234" s="81"/>
      <c r="N234" s="82"/>
      <c r="O234" s="78"/>
      <c r="P234" s="15"/>
      <c r="Q234" s="80"/>
      <c r="R234" s="80"/>
      <c r="S234" s="15"/>
      <c r="T234" s="83"/>
      <c r="U234" s="16"/>
    </row>
    <row r="235" spans="1:21" x14ac:dyDescent="0.3">
      <c r="A235" s="77" t="s">
        <v>278</v>
      </c>
      <c r="B235" s="78" t="s">
        <v>492</v>
      </c>
      <c r="C235" s="78" t="s">
        <v>373</v>
      </c>
      <c r="D235" s="78" t="s">
        <v>390</v>
      </c>
      <c r="E235" s="79" t="s">
        <v>316</v>
      </c>
      <c r="F235" s="78" t="s">
        <v>387</v>
      </c>
      <c r="G235" s="78" t="s">
        <v>250</v>
      </c>
      <c r="H235" s="78" t="s">
        <v>11</v>
      </c>
      <c r="I235" s="78" t="s">
        <v>214</v>
      </c>
      <c r="J235" s="79" t="s">
        <v>251</v>
      </c>
      <c r="K235" s="80">
        <v>4.7</v>
      </c>
      <c r="L235" s="80">
        <f>K235*VLOOKUP(H235,dagsoorttabel1,2,FALSE)</f>
        <v>3.6862745098039218</v>
      </c>
      <c r="M235" s="81">
        <f>prodnorm30</f>
        <v>0</v>
      </c>
      <c r="N235" s="82">
        <f>dagwerk30</f>
        <v>0</v>
      </c>
      <c r="O235" s="78" t="s">
        <v>103</v>
      </c>
      <c r="P235" s="15">
        <f>uurtarief30</f>
        <v>0</v>
      </c>
      <c r="Q235" s="80" t="e">
        <f>IF(ISBLANK(M235),0,L235/ROUND(M235,4))</f>
        <v>#DIV/0!</v>
      </c>
      <c r="R235" s="80" t="e">
        <f>IF(ISBLANK(M235),0,Q235*ROUND(N235,2))</f>
        <v>#DIV/0!</v>
      </c>
      <c r="S235" s="15" t="e">
        <f>ROUND(P235,2)*Q235</f>
        <v>#DIV/0!</v>
      </c>
      <c r="T235" s="80" t="e">
        <f>Q235*dagenperjaar1</f>
        <v>#DIV/0!</v>
      </c>
      <c r="U235" s="16" t="e">
        <f>T235*ROUND(P235,2)</f>
        <v>#DIV/0!</v>
      </c>
    </row>
    <row r="236" spans="1:21" ht="27" x14ac:dyDescent="0.3">
      <c r="A236" s="77" t="s">
        <v>278</v>
      </c>
      <c r="B236" s="78" t="s">
        <v>492</v>
      </c>
      <c r="C236" s="78" t="s">
        <v>373</v>
      </c>
      <c r="D236" s="78" t="s">
        <v>392</v>
      </c>
      <c r="E236" s="79" t="s">
        <v>380</v>
      </c>
      <c r="F236" s="78" t="s">
        <v>387</v>
      </c>
      <c r="G236" s="78" t="s">
        <v>256</v>
      </c>
      <c r="H236" s="78" t="s">
        <v>11</v>
      </c>
      <c r="I236" s="78" t="s">
        <v>214</v>
      </c>
      <c r="J236" s="79" t="s">
        <v>257</v>
      </c>
      <c r="K236" s="80">
        <v>20.7</v>
      </c>
      <c r="L236" s="80">
        <f>K236*VLOOKUP(H236,dagsoorttabel1,2,FALSE)</f>
        <v>16.235294117647058</v>
      </c>
      <c r="M236" s="81">
        <f>prodnorm33</f>
        <v>0</v>
      </c>
      <c r="N236" s="82">
        <f>dagwerk33</f>
        <v>0</v>
      </c>
      <c r="O236" s="78" t="s">
        <v>103</v>
      </c>
      <c r="P236" s="15">
        <f>uurtarief33</f>
        <v>0</v>
      </c>
      <c r="Q236" s="80" t="e">
        <f>IF(ISBLANK(M236),0,L236/ROUND(M236,4))</f>
        <v>#DIV/0!</v>
      </c>
      <c r="R236" s="80" t="e">
        <f>IF(ISBLANK(M236),0,Q236*ROUND(N236,2))</f>
        <v>#DIV/0!</v>
      </c>
      <c r="S236" s="15" t="e">
        <f>ROUND(P236,2)*Q236</f>
        <v>#DIV/0!</v>
      </c>
      <c r="T236" s="80" t="e">
        <f>Q236*dagenperjaar1</f>
        <v>#DIV/0!</v>
      </c>
      <c r="U236" s="16" t="e">
        <f>T236*ROUND(P236,2)</f>
        <v>#DIV/0!</v>
      </c>
    </row>
    <row r="237" spans="1:21" x14ac:dyDescent="0.3">
      <c r="A237" s="77" t="s">
        <v>278</v>
      </c>
      <c r="B237" s="78" t="s">
        <v>492</v>
      </c>
      <c r="C237" s="78" t="s">
        <v>338</v>
      </c>
      <c r="D237" s="78" t="s">
        <v>281</v>
      </c>
      <c r="E237" s="79" t="s">
        <v>499</v>
      </c>
      <c r="F237" s="78" t="s">
        <v>288</v>
      </c>
      <c r="G237" s="78" t="s">
        <v>300</v>
      </c>
      <c r="H237" s="78"/>
      <c r="I237" s="78"/>
      <c r="J237" s="78"/>
      <c r="K237" s="80">
        <v>9.8000000000000007</v>
      </c>
      <c r="L237" s="80"/>
      <c r="M237" s="81"/>
      <c r="N237" s="82"/>
      <c r="O237" s="78"/>
      <c r="P237" s="15"/>
      <c r="Q237" s="80"/>
      <c r="R237" s="80"/>
      <c r="S237" s="15"/>
      <c r="T237" s="83"/>
      <c r="U237" s="16"/>
    </row>
    <row r="238" spans="1:21" x14ac:dyDescent="0.3">
      <c r="A238" s="77" t="s">
        <v>278</v>
      </c>
      <c r="B238" s="78" t="s">
        <v>492</v>
      </c>
      <c r="C238" s="78" t="s">
        <v>338</v>
      </c>
      <c r="D238" s="78" t="s">
        <v>284</v>
      </c>
      <c r="E238" s="79" t="s">
        <v>500</v>
      </c>
      <c r="F238" s="78" t="s">
        <v>387</v>
      </c>
      <c r="G238" s="78" t="s">
        <v>232</v>
      </c>
      <c r="H238" s="78" t="s">
        <v>11</v>
      </c>
      <c r="I238" s="78" t="s">
        <v>214</v>
      </c>
      <c r="J238" s="79" t="s">
        <v>233</v>
      </c>
      <c r="K238" s="80">
        <v>23.1</v>
      </c>
      <c r="L238" s="80">
        <f>K238*VLOOKUP(H238,dagsoorttabel1,2,FALSE)</f>
        <v>18.117647058823529</v>
      </c>
      <c r="M238" s="81">
        <f>prodnorm19</f>
        <v>0</v>
      </c>
      <c r="N238" s="82">
        <f>dagwerk19</f>
        <v>0</v>
      </c>
      <c r="O238" s="78" t="s">
        <v>103</v>
      </c>
      <c r="P238" s="15">
        <f>uurtarief19</f>
        <v>0</v>
      </c>
      <c r="Q238" s="80" t="e">
        <f>IF(ISBLANK(M238),0,L238/ROUND(M238,4))</f>
        <v>#DIV/0!</v>
      </c>
      <c r="R238" s="80" t="e">
        <f>IF(ISBLANK(M238),0,Q238*ROUND(N238,2))</f>
        <v>#DIV/0!</v>
      </c>
      <c r="S238" s="15" t="e">
        <f>ROUND(P238,2)*Q238</f>
        <v>#DIV/0!</v>
      </c>
      <c r="T238" s="80" t="e">
        <f>Q238*dagenperjaar1</f>
        <v>#DIV/0!</v>
      </c>
      <c r="U238" s="16" t="e">
        <f>T238*ROUND(P238,2)</f>
        <v>#DIV/0!</v>
      </c>
    </row>
    <row r="239" spans="1:21" x14ac:dyDescent="0.3">
      <c r="A239" s="77" t="s">
        <v>278</v>
      </c>
      <c r="B239" s="78" t="s">
        <v>492</v>
      </c>
      <c r="C239" s="78" t="s">
        <v>338</v>
      </c>
      <c r="D239" s="78" t="s">
        <v>286</v>
      </c>
      <c r="E239" s="79" t="s">
        <v>287</v>
      </c>
      <c r="F239" s="78" t="s">
        <v>404</v>
      </c>
      <c r="G239" s="78" t="s">
        <v>252</v>
      </c>
      <c r="H239" s="78" t="s">
        <v>11</v>
      </c>
      <c r="I239" s="78" t="s">
        <v>214</v>
      </c>
      <c r="J239" s="79" t="s">
        <v>253</v>
      </c>
      <c r="K239" s="80">
        <v>10</v>
      </c>
      <c r="L239" s="80">
        <f>K239*VLOOKUP(H239,dagsoorttabel1,2,FALSE)</f>
        <v>7.8431372549019605</v>
      </c>
      <c r="M239" s="81">
        <f>prodnorm31</f>
        <v>0</v>
      </c>
      <c r="N239" s="82">
        <f>dagwerk31</f>
        <v>0</v>
      </c>
      <c r="O239" s="78" t="s">
        <v>103</v>
      </c>
      <c r="P239" s="15">
        <f>uurtarief31</f>
        <v>0</v>
      </c>
      <c r="Q239" s="80" t="e">
        <f>IF(ISBLANK(M239),0,L239/ROUND(M239,4))</f>
        <v>#DIV/0!</v>
      </c>
      <c r="R239" s="80" t="e">
        <f>IF(ISBLANK(M239),0,Q239*ROUND(N239,2))</f>
        <v>#DIV/0!</v>
      </c>
      <c r="S239" s="15" t="e">
        <f>ROUND(P239,2)*Q239</f>
        <v>#DIV/0!</v>
      </c>
      <c r="T239" s="80" t="e">
        <f>Q239*dagenperjaar1</f>
        <v>#DIV/0!</v>
      </c>
      <c r="U239" s="16" t="e">
        <f>T239*ROUND(P239,2)</f>
        <v>#DIV/0!</v>
      </c>
    </row>
    <row r="240" spans="1:21" x14ac:dyDescent="0.3">
      <c r="A240" s="77" t="s">
        <v>278</v>
      </c>
      <c r="B240" s="78" t="s">
        <v>492</v>
      </c>
      <c r="C240" s="78" t="s">
        <v>338</v>
      </c>
      <c r="D240" s="78" t="s">
        <v>289</v>
      </c>
      <c r="E240" s="79" t="s">
        <v>501</v>
      </c>
      <c r="F240" s="78" t="s">
        <v>288</v>
      </c>
      <c r="G240" s="78" t="s">
        <v>300</v>
      </c>
      <c r="H240" s="78"/>
      <c r="I240" s="78"/>
      <c r="J240" s="78"/>
      <c r="K240" s="80">
        <v>5.6</v>
      </c>
      <c r="L240" s="80"/>
      <c r="M240" s="81"/>
      <c r="N240" s="82"/>
      <c r="O240" s="78"/>
      <c r="P240" s="15"/>
      <c r="Q240" s="80"/>
      <c r="R240" s="80"/>
      <c r="S240" s="15"/>
      <c r="T240" s="83"/>
      <c r="U240" s="16"/>
    </row>
    <row r="241" spans="1:21" x14ac:dyDescent="0.3">
      <c r="A241" s="77" t="s">
        <v>278</v>
      </c>
      <c r="B241" s="78" t="s">
        <v>492</v>
      </c>
      <c r="C241" s="78" t="s">
        <v>338</v>
      </c>
      <c r="D241" s="78" t="s">
        <v>291</v>
      </c>
      <c r="E241" s="79" t="s">
        <v>398</v>
      </c>
      <c r="F241" s="78" t="s">
        <v>288</v>
      </c>
      <c r="G241" s="78" t="s">
        <v>300</v>
      </c>
      <c r="H241" s="78"/>
      <c r="I241" s="78"/>
      <c r="J241" s="78"/>
      <c r="K241" s="80">
        <v>10.1</v>
      </c>
      <c r="L241" s="80"/>
      <c r="M241" s="81"/>
      <c r="N241" s="82"/>
      <c r="O241" s="78"/>
      <c r="P241" s="15"/>
      <c r="Q241" s="80"/>
      <c r="R241" s="80"/>
      <c r="S241" s="15"/>
      <c r="T241" s="83"/>
      <c r="U241" s="16"/>
    </row>
    <row r="242" spans="1:21" x14ac:dyDescent="0.3">
      <c r="A242" s="77" t="s">
        <v>278</v>
      </c>
      <c r="B242" s="78" t="s">
        <v>492</v>
      </c>
      <c r="C242" s="78" t="s">
        <v>338</v>
      </c>
      <c r="D242" s="78" t="s">
        <v>452</v>
      </c>
      <c r="E242" s="79" t="s">
        <v>502</v>
      </c>
      <c r="F242" s="78" t="s">
        <v>387</v>
      </c>
      <c r="G242" s="78" t="s">
        <v>220</v>
      </c>
      <c r="H242" s="78" t="s">
        <v>11</v>
      </c>
      <c r="I242" s="78" t="s">
        <v>214</v>
      </c>
      <c r="J242" s="79" t="s">
        <v>221</v>
      </c>
      <c r="K242" s="80">
        <v>2.8</v>
      </c>
      <c r="L242" s="80">
        <f>K242*VLOOKUP(H242,dagsoorttabel1,2,FALSE)</f>
        <v>2.1960784313725488</v>
      </c>
      <c r="M242" s="81">
        <f>prodnorm11</f>
        <v>0</v>
      </c>
      <c r="N242" s="82">
        <f>dagwerk11</f>
        <v>0</v>
      </c>
      <c r="O242" s="78" t="s">
        <v>103</v>
      </c>
      <c r="P242" s="15">
        <f>uurtarief11</f>
        <v>0</v>
      </c>
      <c r="Q242" s="80" t="e">
        <f>IF(ISBLANK(M242),0,L242/ROUND(M242,4))</f>
        <v>#DIV/0!</v>
      </c>
      <c r="R242" s="80" t="e">
        <f>IF(ISBLANK(M242),0,Q242*ROUND(N242,2))</f>
        <v>#DIV/0!</v>
      </c>
      <c r="S242" s="15" t="e">
        <f>ROUND(P242,2)*Q242</f>
        <v>#DIV/0!</v>
      </c>
      <c r="T242" s="80" t="e">
        <f>Q242*dagenperjaar1</f>
        <v>#DIV/0!</v>
      </c>
      <c r="U242" s="16" t="e">
        <f>T242*ROUND(P242,2)</f>
        <v>#DIV/0!</v>
      </c>
    </row>
    <row r="243" spans="1:21" x14ac:dyDescent="0.3">
      <c r="A243" s="77" t="s">
        <v>278</v>
      </c>
      <c r="B243" s="78" t="s">
        <v>492</v>
      </c>
      <c r="C243" s="78" t="s">
        <v>338</v>
      </c>
      <c r="D243" s="78" t="s">
        <v>503</v>
      </c>
      <c r="E243" s="79" t="s">
        <v>502</v>
      </c>
      <c r="F243" s="78" t="s">
        <v>387</v>
      </c>
      <c r="G243" s="78" t="s">
        <v>220</v>
      </c>
      <c r="H243" s="78" t="s">
        <v>11</v>
      </c>
      <c r="I243" s="78" t="s">
        <v>214</v>
      </c>
      <c r="J243" s="79" t="s">
        <v>221</v>
      </c>
      <c r="K243" s="80">
        <v>3.8</v>
      </c>
      <c r="L243" s="80">
        <f>K243*VLOOKUP(H243,dagsoorttabel1,2,FALSE)</f>
        <v>2.9803921568627447</v>
      </c>
      <c r="M243" s="81">
        <f>prodnorm11</f>
        <v>0</v>
      </c>
      <c r="N243" s="82">
        <f>dagwerk11</f>
        <v>0</v>
      </c>
      <c r="O243" s="78" t="s">
        <v>103</v>
      </c>
      <c r="P243" s="15">
        <f>uurtarief11</f>
        <v>0</v>
      </c>
      <c r="Q243" s="80" t="e">
        <f>IF(ISBLANK(M243),0,L243/ROUND(M243,4))</f>
        <v>#DIV/0!</v>
      </c>
      <c r="R243" s="80" t="e">
        <f>IF(ISBLANK(M243),0,Q243*ROUND(N243,2))</f>
        <v>#DIV/0!</v>
      </c>
      <c r="S243" s="15" t="e">
        <f>ROUND(P243,2)*Q243</f>
        <v>#DIV/0!</v>
      </c>
      <c r="T243" s="80" t="e">
        <f>Q243*dagenperjaar1</f>
        <v>#DIV/0!</v>
      </c>
      <c r="U243" s="16" t="e">
        <f>T243*ROUND(P243,2)</f>
        <v>#DIV/0!</v>
      </c>
    </row>
    <row r="244" spans="1:21" ht="27" x14ac:dyDescent="0.3">
      <c r="A244" s="77" t="s">
        <v>278</v>
      </c>
      <c r="B244" s="78" t="s">
        <v>492</v>
      </c>
      <c r="C244" s="78" t="s">
        <v>338</v>
      </c>
      <c r="D244" s="78" t="s">
        <v>504</v>
      </c>
      <c r="E244" s="79" t="s">
        <v>502</v>
      </c>
      <c r="F244" s="78" t="s">
        <v>387</v>
      </c>
      <c r="G244" s="78" t="s">
        <v>256</v>
      </c>
      <c r="H244" s="78" t="s">
        <v>11</v>
      </c>
      <c r="I244" s="78" t="s">
        <v>214</v>
      </c>
      <c r="J244" s="79" t="s">
        <v>257</v>
      </c>
      <c r="K244" s="80">
        <v>2.8</v>
      </c>
      <c r="L244" s="80">
        <f>K244*VLOOKUP(H244,dagsoorttabel1,2,FALSE)</f>
        <v>2.1960784313725488</v>
      </c>
      <c r="M244" s="81">
        <f>prodnorm33</f>
        <v>0</v>
      </c>
      <c r="N244" s="82">
        <f>dagwerk33</f>
        <v>0</v>
      </c>
      <c r="O244" s="78" t="s">
        <v>103</v>
      </c>
      <c r="P244" s="15">
        <f>uurtarief33</f>
        <v>0</v>
      </c>
      <c r="Q244" s="80" t="e">
        <f>IF(ISBLANK(M244),0,L244/ROUND(M244,4))</f>
        <v>#DIV/0!</v>
      </c>
      <c r="R244" s="80" t="e">
        <f>IF(ISBLANK(M244),0,Q244*ROUND(N244,2))</f>
        <v>#DIV/0!</v>
      </c>
      <c r="S244" s="15" t="e">
        <f>ROUND(P244,2)*Q244</f>
        <v>#DIV/0!</v>
      </c>
      <c r="T244" s="80" t="e">
        <f>Q244*dagenperjaar1</f>
        <v>#DIV/0!</v>
      </c>
      <c r="U244" s="16" t="e">
        <f>T244*ROUND(P244,2)</f>
        <v>#DIV/0!</v>
      </c>
    </row>
    <row r="245" spans="1:21" ht="27" x14ac:dyDescent="0.3">
      <c r="A245" s="77" t="s">
        <v>278</v>
      </c>
      <c r="B245" s="78" t="s">
        <v>492</v>
      </c>
      <c r="C245" s="78" t="s">
        <v>338</v>
      </c>
      <c r="D245" s="78" t="s">
        <v>505</v>
      </c>
      <c r="E245" s="79" t="s">
        <v>502</v>
      </c>
      <c r="F245" s="78" t="s">
        <v>387</v>
      </c>
      <c r="G245" s="78" t="s">
        <v>256</v>
      </c>
      <c r="H245" s="78" t="s">
        <v>11</v>
      </c>
      <c r="I245" s="78" t="s">
        <v>214</v>
      </c>
      <c r="J245" s="79" t="s">
        <v>257</v>
      </c>
      <c r="K245" s="80">
        <v>2.8</v>
      </c>
      <c r="L245" s="80">
        <f>K245*VLOOKUP(H245,dagsoorttabel1,2,FALSE)</f>
        <v>2.1960784313725488</v>
      </c>
      <c r="M245" s="81">
        <f>prodnorm33</f>
        <v>0</v>
      </c>
      <c r="N245" s="82">
        <f>dagwerk33</f>
        <v>0</v>
      </c>
      <c r="O245" s="78" t="s">
        <v>103</v>
      </c>
      <c r="P245" s="15">
        <f>uurtarief33</f>
        <v>0</v>
      </c>
      <c r="Q245" s="80" t="e">
        <f>IF(ISBLANK(M245),0,L245/ROUND(M245,4))</f>
        <v>#DIV/0!</v>
      </c>
      <c r="R245" s="80" t="e">
        <f>IF(ISBLANK(M245),0,Q245*ROUND(N245,2))</f>
        <v>#DIV/0!</v>
      </c>
      <c r="S245" s="15" t="e">
        <f>ROUND(P245,2)*Q245</f>
        <v>#DIV/0!</v>
      </c>
      <c r="T245" s="80" t="e">
        <f>Q245*dagenperjaar1</f>
        <v>#DIV/0!</v>
      </c>
      <c r="U245" s="16" t="e">
        <f>T245*ROUND(P245,2)</f>
        <v>#DIV/0!</v>
      </c>
    </row>
    <row r="246" spans="1:21" x14ac:dyDescent="0.3">
      <c r="A246" s="77" t="s">
        <v>278</v>
      </c>
      <c r="B246" s="78" t="s">
        <v>492</v>
      </c>
      <c r="C246" s="78" t="s">
        <v>338</v>
      </c>
      <c r="D246" s="78" t="s">
        <v>294</v>
      </c>
      <c r="E246" s="79" t="s">
        <v>500</v>
      </c>
      <c r="F246" s="78" t="s">
        <v>387</v>
      </c>
      <c r="G246" s="78" t="s">
        <v>232</v>
      </c>
      <c r="H246" s="78" t="s">
        <v>11</v>
      </c>
      <c r="I246" s="78" t="s">
        <v>214</v>
      </c>
      <c r="J246" s="79" t="s">
        <v>233</v>
      </c>
      <c r="K246" s="80">
        <v>21.4</v>
      </c>
      <c r="L246" s="80">
        <f>K246*VLOOKUP(H246,dagsoorttabel1,2,FALSE)</f>
        <v>16.784313725490193</v>
      </c>
      <c r="M246" s="81">
        <f>prodnorm19</f>
        <v>0</v>
      </c>
      <c r="N246" s="82">
        <f>dagwerk19</f>
        <v>0</v>
      </c>
      <c r="O246" s="78" t="s">
        <v>103</v>
      </c>
      <c r="P246" s="15">
        <f>uurtarief19</f>
        <v>0</v>
      </c>
      <c r="Q246" s="80" t="e">
        <f>IF(ISBLANK(M246),0,L246/ROUND(M246,4))</f>
        <v>#DIV/0!</v>
      </c>
      <c r="R246" s="80" t="e">
        <f>IF(ISBLANK(M246),0,Q246*ROUND(N246,2))</f>
        <v>#DIV/0!</v>
      </c>
      <c r="S246" s="15" t="e">
        <f>ROUND(P246,2)*Q246</f>
        <v>#DIV/0!</v>
      </c>
      <c r="T246" s="80" t="e">
        <f>Q246*dagenperjaar1</f>
        <v>#DIV/0!</v>
      </c>
      <c r="U246" s="16" t="e">
        <f>T246*ROUND(P246,2)</f>
        <v>#DIV/0!</v>
      </c>
    </row>
    <row r="247" spans="1:21" x14ac:dyDescent="0.3">
      <c r="A247" s="77" t="s">
        <v>278</v>
      </c>
      <c r="B247" s="78" t="s">
        <v>492</v>
      </c>
      <c r="C247" s="78" t="s">
        <v>338</v>
      </c>
      <c r="D247" s="78" t="s">
        <v>296</v>
      </c>
      <c r="E247" s="79" t="s">
        <v>430</v>
      </c>
      <c r="F247" s="78" t="s">
        <v>288</v>
      </c>
      <c r="G247" s="78" t="s">
        <v>300</v>
      </c>
      <c r="H247" s="78"/>
      <c r="I247" s="78"/>
      <c r="J247" s="78"/>
      <c r="K247" s="80">
        <v>2.4</v>
      </c>
      <c r="L247" s="80"/>
      <c r="M247" s="81"/>
      <c r="N247" s="82"/>
      <c r="O247" s="78"/>
      <c r="P247" s="15"/>
      <c r="Q247" s="80"/>
      <c r="R247" s="80"/>
      <c r="S247" s="15"/>
      <c r="T247" s="83"/>
      <c r="U247" s="16"/>
    </row>
    <row r="248" spans="1:21" x14ac:dyDescent="0.3">
      <c r="A248" s="77" t="s">
        <v>278</v>
      </c>
      <c r="B248" s="78" t="s">
        <v>492</v>
      </c>
      <c r="C248" s="78" t="s">
        <v>338</v>
      </c>
      <c r="D248" s="78" t="s">
        <v>301</v>
      </c>
      <c r="E248" s="79" t="s">
        <v>500</v>
      </c>
      <c r="F248" s="78" t="s">
        <v>387</v>
      </c>
      <c r="G248" s="78" t="s">
        <v>232</v>
      </c>
      <c r="H248" s="78" t="s">
        <v>11</v>
      </c>
      <c r="I248" s="78" t="s">
        <v>214</v>
      </c>
      <c r="J248" s="79" t="s">
        <v>233</v>
      </c>
      <c r="K248" s="80">
        <v>20.8</v>
      </c>
      <c r="L248" s="80">
        <f>K248*VLOOKUP(H248,dagsoorttabel1,2,FALSE)</f>
        <v>16.313725490196077</v>
      </c>
      <c r="M248" s="81">
        <f>prodnorm19</f>
        <v>0</v>
      </c>
      <c r="N248" s="82">
        <f>dagwerk19</f>
        <v>0</v>
      </c>
      <c r="O248" s="78" t="s">
        <v>103</v>
      </c>
      <c r="P248" s="15">
        <f>uurtarief19</f>
        <v>0</v>
      </c>
      <c r="Q248" s="80" t="e">
        <f>IF(ISBLANK(M248),0,L248/ROUND(M248,4))</f>
        <v>#DIV/0!</v>
      </c>
      <c r="R248" s="80" t="e">
        <f>IF(ISBLANK(M248),0,Q248*ROUND(N248,2))</f>
        <v>#DIV/0!</v>
      </c>
      <c r="S248" s="15" t="e">
        <f>ROUND(P248,2)*Q248</f>
        <v>#DIV/0!</v>
      </c>
      <c r="T248" s="80" t="e">
        <f>Q248*dagenperjaar1</f>
        <v>#DIV/0!</v>
      </c>
      <c r="U248" s="16" t="e">
        <f>T248*ROUND(P248,2)</f>
        <v>#DIV/0!</v>
      </c>
    </row>
    <row r="249" spans="1:21" x14ac:dyDescent="0.3">
      <c r="A249" s="77" t="s">
        <v>278</v>
      </c>
      <c r="B249" s="78" t="s">
        <v>492</v>
      </c>
      <c r="C249" s="78" t="s">
        <v>338</v>
      </c>
      <c r="D249" s="78" t="s">
        <v>304</v>
      </c>
      <c r="E249" s="79" t="s">
        <v>500</v>
      </c>
      <c r="F249" s="78" t="s">
        <v>387</v>
      </c>
      <c r="G249" s="78" t="s">
        <v>232</v>
      </c>
      <c r="H249" s="78" t="s">
        <v>11</v>
      </c>
      <c r="I249" s="78" t="s">
        <v>214</v>
      </c>
      <c r="J249" s="79" t="s">
        <v>233</v>
      </c>
      <c r="K249" s="80">
        <v>31</v>
      </c>
      <c r="L249" s="80">
        <f>K249*VLOOKUP(H249,dagsoorttabel1,2,FALSE)</f>
        <v>24.313725490196077</v>
      </c>
      <c r="M249" s="81">
        <f>prodnorm19</f>
        <v>0</v>
      </c>
      <c r="N249" s="82">
        <f>dagwerk19</f>
        <v>0</v>
      </c>
      <c r="O249" s="78" t="s">
        <v>103</v>
      </c>
      <c r="P249" s="15">
        <f>uurtarief19</f>
        <v>0</v>
      </c>
      <c r="Q249" s="80" t="e">
        <f>IF(ISBLANK(M249),0,L249/ROUND(M249,4))</f>
        <v>#DIV/0!</v>
      </c>
      <c r="R249" s="80" t="e">
        <f>IF(ISBLANK(M249),0,Q249*ROUND(N249,2))</f>
        <v>#DIV/0!</v>
      </c>
      <c r="S249" s="15" t="e">
        <f>ROUND(P249,2)*Q249</f>
        <v>#DIV/0!</v>
      </c>
      <c r="T249" s="80" t="e">
        <f>Q249*dagenperjaar1</f>
        <v>#DIV/0!</v>
      </c>
      <c r="U249" s="16" t="e">
        <f>T249*ROUND(P249,2)</f>
        <v>#DIV/0!</v>
      </c>
    </row>
    <row r="250" spans="1:21" x14ac:dyDescent="0.3">
      <c r="A250" s="77" t="s">
        <v>278</v>
      </c>
      <c r="B250" s="78" t="s">
        <v>492</v>
      </c>
      <c r="C250" s="78" t="s">
        <v>338</v>
      </c>
      <c r="D250" s="78" t="s">
        <v>309</v>
      </c>
      <c r="E250" s="79" t="s">
        <v>464</v>
      </c>
      <c r="F250" s="78" t="s">
        <v>288</v>
      </c>
      <c r="G250" s="78" t="s">
        <v>300</v>
      </c>
      <c r="H250" s="78"/>
      <c r="I250" s="78"/>
      <c r="J250" s="78"/>
      <c r="K250" s="80">
        <v>0.5</v>
      </c>
      <c r="L250" s="80"/>
      <c r="M250" s="81"/>
      <c r="N250" s="82"/>
      <c r="O250" s="78"/>
      <c r="P250" s="15"/>
      <c r="Q250" s="80"/>
      <c r="R250" s="80"/>
      <c r="S250" s="15"/>
      <c r="T250" s="83"/>
      <c r="U250" s="16"/>
    </row>
    <row r="251" spans="1:21" ht="27" x14ac:dyDescent="0.3">
      <c r="A251" s="84" t="s">
        <v>278</v>
      </c>
      <c r="B251" s="85" t="s">
        <v>492</v>
      </c>
      <c r="C251" s="85" t="s">
        <v>338</v>
      </c>
      <c r="D251" s="85" t="s">
        <v>313</v>
      </c>
      <c r="E251" s="86" t="s">
        <v>380</v>
      </c>
      <c r="F251" s="85" t="s">
        <v>387</v>
      </c>
      <c r="G251" s="85" t="s">
        <v>256</v>
      </c>
      <c r="H251" s="85" t="s">
        <v>11</v>
      </c>
      <c r="I251" s="85" t="s">
        <v>214</v>
      </c>
      <c r="J251" s="86" t="s">
        <v>257</v>
      </c>
      <c r="K251" s="87">
        <v>67.3</v>
      </c>
      <c r="L251" s="87">
        <f>K251*VLOOKUP(H251,dagsoorttabel1,2,FALSE)</f>
        <v>52.784313725490193</v>
      </c>
      <c r="M251" s="88">
        <f>prodnorm33</f>
        <v>0</v>
      </c>
      <c r="N251" s="89">
        <f>dagwerk33</f>
        <v>0</v>
      </c>
      <c r="O251" s="85" t="s">
        <v>103</v>
      </c>
      <c r="P251" s="24">
        <f>uurtarief33</f>
        <v>0</v>
      </c>
      <c r="Q251" s="87" t="e">
        <f>IF(ISBLANK(M251),0,L251/ROUND(M251,4))</f>
        <v>#DIV/0!</v>
      </c>
      <c r="R251" s="87" t="e">
        <f>IF(ISBLANK(M251),0,Q251*ROUND(N251,2))</f>
        <v>#DIV/0!</v>
      </c>
      <c r="S251" s="24" t="e">
        <f>ROUND(P251,2)*Q251</f>
        <v>#DIV/0!</v>
      </c>
      <c r="T251" s="87" t="e">
        <f>Q251*dagenperjaar1</f>
        <v>#DIV/0!</v>
      </c>
      <c r="U251" s="25" t="e">
        <f>T251*ROUND(P251,2)</f>
        <v>#DIV/0!</v>
      </c>
    </row>
    <row r="252" spans="1:21" x14ac:dyDescent="0.3">
      <c r="A252" s="90" t="s">
        <v>506</v>
      </c>
      <c r="B252" s="60"/>
      <c r="C252" s="60"/>
      <c r="D252" s="60"/>
      <c r="E252" s="60"/>
      <c r="F252" s="60"/>
      <c r="G252" s="60"/>
      <c r="H252" s="60"/>
      <c r="I252" s="60"/>
      <c r="J252" s="60"/>
      <c r="K252" s="60"/>
      <c r="L252" s="60"/>
      <c r="M252" s="60"/>
      <c r="N252" s="60"/>
      <c r="O252" s="60"/>
      <c r="P252" s="62" t="e">
        <f>IF(_xlfn.SINGLE(object1_urenjaar1)&gt;0,_xlfn.SINGLE(object1_prijsjaar1)/_xlfn.SINGLE(object1_urenjaar1),0)</f>
        <v>#DIV/0!</v>
      </c>
      <c r="Q252" s="61" t="e">
        <f>SUM(Q5:Q251)</f>
        <v>#DIV/0!</v>
      </c>
      <c r="R252" s="61" t="e">
        <f>SUM(R5:R251)</f>
        <v>#DIV/0!</v>
      </c>
      <c r="S252" s="62" t="e">
        <f>SUM(S5:S251)</f>
        <v>#DIV/0!</v>
      </c>
      <c r="T252" s="61" t="e">
        <f>SUM(T5:T251)</f>
        <v>#DIV/0!</v>
      </c>
      <c r="U252" s="63" t="e">
        <f>SUM(U5:U251)</f>
        <v>#DIV/0!</v>
      </c>
    </row>
    <row r="253" spans="1:21" x14ac:dyDescent="0.3">
      <c r="A253" s="68" t="s">
        <v>507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58"/>
    </row>
    <row r="254" spans="1:21" x14ac:dyDescent="0.3">
      <c r="A254" s="69" t="s">
        <v>508</v>
      </c>
      <c r="B254" s="70" t="s">
        <v>40</v>
      </c>
      <c r="C254" s="70" t="s">
        <v>280</v>
      </c>
      <c r="D254" s="70" t="s">
        <v>281</v>
      </c>
      <c r="E254" s="71" t="s">
        <v>320</v>
      </c>
      <c r="F254" s="70" t="s">
        <v>509</v>
      </c>
      <c r="G254" s="70" t="s">
        <v>213</v>
      </c>
      <c r="H254" s="70" t="s">
        <v>11</v>
      </c>
      <c r="I254" s="70" t="s">
        <v>214</v>
      </c>
      <c r="J254" s="71" t="s">
        <v>215</v>
      </c>
      <c r="K254" s="72">
        <v>56.25</v>
      </c>
      <c r="L254" s="72">
        <f>K254*VLOOKUP(H254,dagsoorttabel1,2,FALSE)</f>
        <v>44.117647058823529</v>
      </c>
      <c r="M254" s="73">
        <f>prodnorm5</f>
        <v>0</v>
      </c>
      <c r="N254" s="74">
        <f>dagwerk5</f>
        <v>0</v>
      </c>
      <c r="O254" s="70" t="s">
        <v>103</v>
      </c>
      <c r="P254" s="75">
        <f>uurtarief5</f>
        <v>0</v>
      </c>
      <c r="Q254" s="72" t="e">
        <f>IF(ISBLANK(M254),0,L254/ROUND(M254,4))</f>
        <v>#DIV/0!</v>
      </c>
      <c r="R254" s="72" t="e">
        <f>IF(ISBLANK(M254),0,Q254*ROUND(N254,2))</f>
        <v>#DIV/0!</v>
      </c>
      <c r="S254" s="75" t="e">
        <f>ROUND(P254,2)*Q254</f>
        <v>#DIV/0!</v>
      </c>
      <c r="T254" s="72" t="e">
        <f>Q254*dagenperjaar1</f>
        <v>#DIV/0!</v>
      </c>
      <c r="U254" s="76" t="e">
        <f>T254*ROUND(P254,2)</f>
        <v>#DIV/0!</v>
      </c>
    </row>
    <row r="255" spans="1:21" x14ac:dyDescent="0.3">
      <c r="A255" s="77" t="s">
        <v>508</v>
      </c>
      <c r="B255" s="78" t="s">
        <v>40</v>
      </c>
      <c r="C255" s="78" t="s">
        <v>280</v>
      </c>
      <c r="D255" s="78" t="s">
        <v>284</v>
      </c>
      <c r="E255" s="79" t="s">
        <v>320</v>
      </c>
      <c r="F255" s="78" t="s">
        <v>509</v>
      </c>
      <c r="G255" s="78" t="s">
        <v>213</v>
      </c>
      <c r="H255" s="78" t="s">
        <v>11</v>
      </c>
      <c r="I255" s="78" t="s">
        <v>214</v>
      </c>
      <c r="J255" s="79" t="s">
        <v>215</v>
      </c>
      <c r="K255" s="80">
        <v>56.25</v>
      </c>
      <c r="L255" s="80">
        <f>K255*VLOOKUP(H255,dagsoorttabel1,2,FALSE)</f>
        <v>44.117647058823529</v>
      </c>
      <c r="M255" s="81">
        <f>prodnorm5</f>
        <v>0</v>
      </c>
      <c r="N255" s="82">
        <f>dagwerk5</f>
        <v>0</v>
      </c>
      <c r="O255" s="78" t="s">
        <v>103</v>
      </c>
      <c r="P255" s="15">
        <f>uurtarief5</f>
        <v>0</v>
      </c>
      <c r="Q255" s="80" t="e">
        <f>IF(ISBLANK(M255),0,L255/ROUND(M255,4))</f>
        <v>#DIV/0!</v>
      </c>
      <c r="R255" s="80" t="e">
        <f>IF(ISBLANK(M255),0,Q255*ROUND(N255,2))</f>
        <v>#DIV/0!</v>
      </c>
      <c r="S255" s="15" t="e">
        <f>ROUND(P255,2)*Q255</f>
        <v>#DIV/0!</v>
      </c>
      <c r="T255" s="80" t="e">
        <f>Q255*dagenperjaar1</f>
        <v>#DIV/0!</v>
      </c>
      <c r="U255" s="16" t="e">
        <f>T255*ROUND(P255,2)</f>
        <v>#DIV/0!</v>
      </c>
    </row>
    <row r="256" spans="1:21" x14ac:dyDescent="0.3">
      <c r="A256" s="77" t="s">
        <v>508</v>
      </c>
      <c r="B256" s="78" t="s">
        <v>40</v>
      </c>
      <c r="C256" s="78" t="s">
        <v>280</v>
      </c>
      <c r="D256" s="78" t="s">
        <v>289</v>
      </c>
      <c r="E256" s="79" t="s">
        <v>510</v>
      </c>
      <c r="F256" s="78" t="s">
        <v>509</v>
      </c>
      <c r="G256" s="78" t="s">
        <v>240</v>
      </c>
      <c r="H256" s="78" t="s">
        <v>11</v>
      </c>
      <c r="I256" s="78" t="s">
        <v>214</v>
      </c>
      <c r="J256" s="79" t="s">
        <v>241</v>
      </c>
      <c r="K256" s="80">
        <v>56.25</v>
      </c>
      <c r="L256" s="80">
        <f>K256*VLOOKUP(H256,dagsoorttabel1,2,FALSE)</f>
        <v>44.117647058823529</v>
      </c>
      <c r="M256" s="81">
        <f>prodnorm25</f>
        <v>0</v>
      </c>
      <c r="N256" s="82">
        <f>dagwerk25</f>
        <v>0</v>
      </c>
      <c r="O256" s="78" t="s">
        <v>103</v>
      </c>
      <c r="P256" s="15">
        <f>uurtarief25</f>
        <v>0</v>
      </c>
      <c r="Q256" s="80" t="e">
        <f>IF(ISBLANK(M256),0,L256/ROUND(M256,4))</f>
        <v>#DIV/0!</v>
      </c>
      <c r="R256" s="80" t="e">
        <f>IF(ISBLANK(M256),0,Q256*ROUND(N256,2))</f>
        <v>#DIV/0!</v>
      </c>
      <c r="S256" s="15" t="e">
        <f>ROUND(P256,2)*Q256</f>
        <v>#DIV/0!</v>
      </c>
      <c r="T256" s="80" t="e">
        <f>Q256*dagenperjaar1</f>
        <v>#DIV/0!</v>
      </c>
      <c r="U256" s="16" t="e">
        <f>T256*ROUND(P256,2)</f>
        <v>#DIV/0!</v>
      </c>
    </row>
    <row r="257" spans="1:21" x14ac:dyDescent="0.3">
      <c r="A257" s="77" t="s">
        <v>508</v>
      </c>
      <c r="B257" s="78" t="s">
        <v>40</v>
      </c>
      <c r="C257" s="78" t="s">
        <v>280</v>
      </c>
      <c r="D257" s="78" t="s">
        <v>291</v>
      </c>
      <c r="E257" s="79" t="s">
        <v>511</v>
      </c>
      <c r="F257" s="78" t="s">
        <v>509</v>
      </c>
      <c r="G257" s="78" t="s">
        <v>300</v>
      </c>
      <c r="H257" s="78"/>
      <c r="I257" s="78"/>
      <c r="J257" s="78"/>
      <c r="K257" s="80">
        <v>13.11</v>
      </c>
      <c r="L257" s="80"/>
      <c r="M257" s="81"/>
      <c r="N257" s="82"/>
      <c r="O257" s="78"/>
      <c r="P257" s="15"/>
      <c r="Q257" s="80"/>
      <c r="R257" s="80"/>
      <c r="S257" s="15"/>
      <c r="T257" s="83"/>
      <c r="U257" s="16"/>
    </row>
    <row r="258" spans="1:21" x14ac:dyDescent="0.3">
      <c r="A258" s="77" t="s">
        <v>508</v>
      </c>
      <c r="B258" s="78" t="s">
        <v>40</v>
      </c>
      <c r="C258" s="78" t="s">
        <v>280</v>
      </c>
      <c r="D258" s="78" t="s">
        <v>292</v>
      </c>
      <c r="E258" s="79" t="s">
        <v>512</v>
      </c>
      <c r="F258" s="78" t="s">
        <v>509</v>
      </c>
      <c r="G258" s="78" t="s">
        <v>300</v>
      </c>
      <c r="H258" s="78"/>
      <c r="I258" s="78"/>
      <c r="J258" s="78"/>
      <c r="K258" s="80">
        <v>125.67999999999999</v>
      </c>
      <c r="L258" s="80"/>
      <c r="M258" s="81"/>
      <c r="N258" s="82"/>
      <c r="O258" s="78"/>
      <c r="P258" s="15"/>
      <c r="Q258" s="80"/>
      <c r="R258" s="80"/>
      <c r="S258" s="15"/>
      <c r="T258" s="83"/>
      <c r="U258" s="16"/>
    </row>
    <row r="259" spans="1:21" x14ac:dyDescent="0.3">
      <c r="A259" s="77" t="s">
        <v>508</v>
      </c>
      <c r="B259" s="78" t="s">
        <v>40</v>
      </c>
      <c r="C259" s="78" t="s">
        <v>280</v>
      </c>
      <c r="D259" s="78" t="s">
        <v>296</v>
      </c>
      <c r="E259" s="79" t="s">
        <v>513</v>
      </c>
      <c r="F259" s="78" t="s">
        <v>514</v>
      </c>
      <c r="G259" s="78" t="s">
        <v>300</v>
      </c>
      <c r="H259" s="78"/>
      <c r="I259" s="78"/>
      <c r="J259" s="78"/>
      <c r="K259" s="80">
        <v>70.179999999999993</v>
      </c>
      <c r="L259" s="80"/>
      <c r="M259" s="81"/>
      <c r="N259" s="82"/>
      <c r="O259" s="78"/>
      <c r="P259" s="15"/>
      <c r="Q259" s="80"/>
      <c r="R259" s="80"/>
      <c r="S259" s="15"/>
      <c r="T259" s="83"/>
      <c r="U259" s="16"/>
    </row>
    <row r="260" spans="1:21" x14ac:dyDescent="0.3">
      <c r="A260" s="77" t="s">
        <v>508</v>
      </c>
      <c r="B260" s="78" t="s">
        <v>40</v>
      </c>
      <c r="C260" s="78" t="s">
        <v>280</v>
      </c>
      <c r="D260" s="78" t="s">
        <v>301</v>
      </c>
      <c r="E260" s="79" t="s">
        <v>515</v>
      </c>
      <c r="F260" s="78" t="s">
        <v>509</v>
      </c>
      <c r="G260" s="78" t="s">
        <v>300</v>
      </c>
      <c r="H260" s="78"/>
      <c r="I260" s="78"/>
      <c r="J260" s="78"/>
      <c r="K260" s="80">
        <v>48.6</v>
      </c>
      <c r="L260" s="80"/>
      <c r="M260" s="81"/>
      <c r="N260" s="82"/>
      <c r="O260" s="78"/>
      <c r="P260" s="15"/>
      <c r="Q260" s="80"/>
      <c r="R260" s="80"/>
      <c r="S260" s="15"/>
      <c r="T260" s="83"/>
      <c r="U260" s="16"/>
    </row>
    <row r="261" spans="1:21" x14ac:dyDescent="0.3">
      <c r="A261" s="77" t="s">
        <v>508</v>
      </c>
      <c r="B261" s="78" t="s">
        <v>40</v>
      </c>
      <c r="C261" s="78" t="s">
        <v>280</v>
      </c>
      <c r="D261" s="78" t="s">
        <v>304</v>
      </c>
      <c r="E261" s="79" t="s">
        <v>320</v>
      </c>
      <c r="F261" s="78" t="s">
        <v>509</v>
      </c>
      <c r="G261" s="78" t="s">
        <v>213</v>
      </c>
      <c r="H261" s="78" t="s">
        <v>11</v>
      </c>
      <c r="I261" s="78" t="s">
        <v>214</v>
      </c>
      <c r="J261" s="79" t="s">
        <v>215</v>
      </c>
      <c r="K261" s="80">
        <v>41.04</v>
      </c>
      <c r="L261" s="80">
        <f>K261*VLOOKUP(H261,dagsoorttabel1,2,FALSE)</f>
        <v>32.188235294117646</v>
      </c>
      <c r="M261" s="81">
        <f>prodnorm5</f>
        <v>0</v>
      </c>
      <c r="N261" s="82">
        <f>dagwerk5</f>
        <v>0</v>
      </c>
      <c r="O261" s="78" t="s">
        <v>103</v>
      </c>
      <c r="P261" s="15">
        <f>uurtarief5</f>
        <v>0</v>
      </c>
      <c r="Q261" s="80" t="e">
        <f>IF(ISBLANK(M261),0,L261/ROUND(M261,4))</f>
        <v>#DIV/0!</v>
      </c>
      <c r="R261" s="80" t="e">
        <f>IF(ISBLANK(M261),0,Q261*ROUND(N261,2))</f>
        <v>#DIV/0!</v>
      </c>
      <c r="S261" s="15" t="e">
        <f>ROUND(P261,2)*Q261</f>
        <v>#DIV/0!</v>
      </c>
      <c r="T261" s="80" t="e">
        <f>Q261*dagenperjaar1</f>
        <v>#DIV/0!</v>
      </c>
      <c r="U261" s="16" t="e">
        <f>T261*ROUND(P261,2)</f>
        <v>#DIV/0!</v>
      </c>
    </row>
    <row r="262" spans="1:21" x14ac:dyDescent="0.3">
      <c r="A262" s="77" t="s">
        <v>508</v>
      </c>
      <c r="B262" s="78" t="s">
        <v>40</v>
      </c>
      <c r="C262" s="78" t="s">
        <v>280</v>
      </c>
      <c r="D262" s="78" t="s">
        <v>309</v>
      </c>
      <c r="E262" s="79" t="s">
        <v>453</v>
      </c>
      <c r="F262" s="78" t="s">
        <v>509</v>
      </c>
      <c r="G262" s="78" t="s">
        <v>216</v>
      </c>
      <c r="H262" s="78" t="s">
        <v>11</v>
      </c>
      <c r="I262" s="78" t="s">
        <v>214</v>
      </c>
      <c r="J262" s="79" t="s">
        <v>217</v>
      </c>
      <c r="K262" s="80">
        <v>5.76</v>
      </c>
      <c r="L262" s="80">
        <f>K262*VLOOKUP(H262,dagsoorttabel1,2,FALSE)</f>
        <v>4.5176470588235293</v>
      </c>
      <c r="M262" s="81">
        <f>prodnorm6</f>
        <v>0</v>
      </c>
      <c r="N262" s="82">
        <f>dagwerk6</f>
        <v>0</v>
      </c>
      <c r="O262" s="78" t="s">
        <v>103</v>
      </c>
      <c r="P262" s="15">
        <f>uurtarief6</f>
        <v>0</v>
      </c>
      <c r="Q262" s="80" t="e">
        <f>IF(ISBLANK(M262),0,L262/ROUND(M262,4))</f>
        <v>#DIV/0!</v>
      </c>
      <c r="R262" s="80" t="e">
        <f>IF(ISBLANK(M262),0,Q262*ROUND(N262,2))</f>
        <v>#DIV/0!</v>
      </c>
      <c r="S262" s="15" t="e">
        <f>ROUND(P262,2)*Q262</f>
        <v>#DIV/0!</v>
      </c>
      <c r="T262" s="80" t="e">
        <f>Q262*dagenperjaar1</f>
        <v>#DIV/0!</v>
      </c>
      <c r="U262" s="16" t="e">
        <f>T262*ROUND(P262,2)</f>
        <v>#DIV/0!</v>
      </c>
    </row>
    <row r="263" spans="1:21" x14ac:dyDescent="0.3">
      <c r="A263" s="77" t="s">
        <v>508</v>
      </c>
      <c r="B263" s="78" t="s">
        <v>40</v>
      </c>
      <c r="C263" s="78" t="s">
        <v>280</v>
      </c>
      <c r="D263" s="78" t="s">
        <v>311</v>
      </c>
      <c r="E263" s="79" t="s">
        <v>511</v>
      </c>
      <c r="F263" s="78" t="s">
        <v>509</v>
      </c>
      <c r="G263" s="78" t="s">
        <v>300</v>
      </c>
      <c r="H263" s="78"/>
      <c r="I263" s="78"/>
      <c r="J263" s="78"/>
      <c r="K263" s="80">
        <v>27.93</v>
      </c>
      <c r="L263" s="80"/>
      <c r="M263" s="81"/>
      <c r="N263" s="82"/>
      <c r="O263" s="78"/>
      <c r="P263" s="15"/>
      <c r="Q263" s="80"/>
      <c r="R263" s="80"/>
      <c r="S263" s="15"/>
      <c r="T263" s="83"/>
      <c r="U263" s="16"/>
    </row>
    <row r="264" spans="1:21" x14ac:dyDescent="0.3">
      <c r="A264" s="77" t="s">
        <v>508</v>
      </c>
      <c r="B264" s="78" t="s">
        <v>40</v>
      </c>
      <c r="C264" s="78" t="s">
        <v>280</v>
      </c>
      <c r="D264" s="78" t="s">
        <v>313</v>
      </c>
      <c r="E264" s="79" t="s">
        <v>515</v>
      </c>
      <c r="F264" s="78" t="s">
        <v>509</v>
      </c>
      <c r="G264" s="78" t="s">
        <v>300</v>
      </c>
      <c r="H264" s="78"/>
      <c r="I264" s="78"/>
      <c r="J264" s="78"/>
      <c r="K264" s="80">
        <v>57.8</v>
      </c>
      <c r="L264" s="80"/>
      <c r="M264" s="81"/>
      <c r="N264" s="82"/>
      <c r="O264" s="78"/>
      <c r="P264" s="15"/>
      <c r="Q264" s="80"/>
      <c r="R264" s="80"/>
      <c r="S264" s="15"/>
      <c r="T264" s="83"/>
      <c r="U264" s="16"/>
    </row>
    <row r="265" spans="1:21" x14ac:dyDescent="0.3">
      <c r="A265" s="77" t="s">
        <v>508</v>
      </c>
      <c r="B265" s="78" t="s">
        <v>40</v>
      </c>
      <c r="C265" s="78" t="s">
        <v>280</v>
      </c>
      <c r="D265" s="78" t="s">
        <v>315</v>
      </c>
      <c r="E265" s="79" t="s">
        <v>516</v>
      </c>
      <c r="F265" s="78" t="s">
        <v>404</v>
      </c>
      <c r="G265" s="78" t="s">
        <v>248</v>
      </c>
      <c r="H265" s="78" t="s">
        <v>11</v>
      </c>
      <c r="I265" s="78" t="s">
        <v>214</v>
      </c>
      <c r="J265" s="79" t="s">
        <v>249</v>
      </c>
      <c r="K265" s="80">
        <v>98</v>
      </c>
      <c r="L265" s="80">
        <f>K265*VLOOKUP(H265,dagsoorttabel1,2,FALSE)</f>
        <v>76.862745098039213</v>
      </c>
      <c r="M265" s="81">
        <f>prodnorm29</f>
        <v>0</v>
      </c>
      <c r="N265" s="82">
        <f>dagwerk29</f>
        <v>0</v>
      </c>
      <c r="O265" s="78" t="s">
        <v>103</v>
      </c>
      <c r="P265" s="15">
        <f>uurtarief29</f>
        <v>0</v>
      </c>
      <c r="Q265" s="80" t="e">
        <f>IF(ISBLANK(M265),0,L265/ROUND(M265,4))</f>
        <v>#DIV/0!</v>
      </c>
      <c r="R265" s="80" t="e">
        <f>IF(ISBLANK(M265),0,Q265*ROUND(N265,2))</f>
        <v>#DIV/0!</v>
      </c>
      <c r="S265" s="15" t="e">
        <f>ROUND(P265,2)*Q265</f>
        <v>#DIV/0!</v>
      </c>
      <c r="T265" s="80" t="e">
        <f>Q265*dagenperjaar1</f>
        <v>#DIV/0!</v>
      </c>
      <c r="U265" s="16" t="e">
        <f>T265*ROUND(P265,2)</f>
        <v>#DIV/0!</v>
      </c>
    </row>
    <row r="266" spans="1:21" x14ac:dyDescent="0.3">
      <c r="A266" s="77" t="s">
        <v>508</v>
      </c>
      <c r="B266" s="78" t="s">
        <v>40</v>
      </c>
      <c r="C266" s="78" t="s">
        <v>280</v>
      </c>
      <c r="D266" s="78" t="s">
        <v>317</v>
      </c>
      <c r="E266" s="79" t="s">
        <v>517</v>
      </c>
      <c r="F266" s="78" t="s">
        <v>404</v>
      </c>
      <c r="G266" s="78" t="s">
        <v>300</v>
      </c>
      <c r="H266" s="78"/>
      <c r="I266" s="78"/>
      <c r="J266" s="78"/>
      <c r="K266" s="80">
        <v>11.61</v>
      </c>
      <c r="L266" s="80"/>
      <c r="M266" s="81"/>
      <c r="N266" s="82"/>
      <c r="O266" s="78"/>
      <c r="P266" s="15"/>
      <c r="Q266" s="80"/>
      <c r="R266" s="80"/>
      <c r="S266" s="15"/>
      <c r="T266" s="83"/>
      <c r="U266" s="16"/>
    </row>
    <row r="267" spans="1:21" x14ac:dyDescent="0.3">
      <c r="A267" s="77" t="s">
        <v>508</v>
      </c>
      <c r="B267" s="78" t="s">
        <v>40</v>
      </c>
      <c r="C267" s="78" t="s">
        <v>280</v>
      </c>
      <c r="D267" s="78" t="s">
        <v>319</v>
      </c>
      <c r="E267" s="79" t="s">
        <v>518</v>
      </c>
      <c r="F267" s="78" t="s">
        <v>288</v>
      </c>
      <c r="G267" s="78" t="s">
        <v>300</v>
      </c>
      <c r="H267" s="78"/>
      <c r="I267" s="78"/>
      <c r="J267" s="78"/>
      <c r="K267" s="80">
        <v>31</v>
      </c>
      <c r="L267" s="80"/>
      <c r="M267" s="81"/>
      <c r="N267" s="82"/>
      <c r="O267" s="78"/>
      <c r="P267" s="15"/>
      <c r="Q267" s="80"/>
      <c r="R267" s="80"/>
      <c r="S267" s="15"/>
      <c r="T267" s="83"/>
      <c r="U267" s="16"/>
    </row>
    <row r="268" spans="1:21" x14ac:dyDescent="0.3">
      <c r="A268" s="77" t="s">
        <v>508</v>
      </c>
      <c r="B268" s="78" t="s">
        <v>40</v>
      </c>
      <c r="C268" s="78" t="s">
        <v>280</v>
      </c>
      <c r="D268" s="78" t="s">
        <v>322</v>
      </c>
      <c r="E268" s="79" t="s">
        <v>519</v>
      </c>
      <c r="F268" s="78" t="s">
        <v>288</v>
      </c>
      <c r="G268" s="78" t="s">
        <v>300</v>
      </c>
      <c r="H268" s="78"/>
      <c r="I268" s="78"/>
      <c r="J268" s="78"/>
      <c r="K268" s="80">
        <v>5.83</v>
      </c>
      <c r="L268" s="80"/>
      <c r="M268" s="81"/>
      <c r="N268" s="82"/>
      <c r="O268" s="78"/>
      <c r="P268" s="15"/>
      <c r="Q268" s="80"/>
      <c r="R268" s="80"/>
      <c r="S268" s="15"/>
      <c r="T268" s="83"/>
      <c r="U268" s="16"/>
    </row>
    <row r="269" spans="1:21" x14ac:dyDescent="0.3">
      <c r="A269" s="77" t="s">
        <v>508</v>
      </c>
      <c r="B269" s="78" t="s">
        <v>40</v>
      </c>
      <c r="C269" s="78" t="s">
        <v>280</v>
      </c>
      <c r="D269" s="78" t="s">
        <v>325</v>
      </c>
      <c r="E269" s="79" t="s">
        <v>520</v>
      </c>
      <c r="F269" s="78" t="s">
        <v>509</v>
      </c>
      <c r="G269" s="78" t="s">
        <v>300</v>
      </c>
      <c r="H269" s="78"/>
      <c r="I269" s="78"/>
      <c r="J269" s="78"/>
      <c r="K269" s="80">
        <v>1.9200000000000002</v>
      </c>
      <c r="L269" s="80"/>
      <c r="M269" s="81"/>
      <c r="N269" s="82"/>
      <c r="O269" s="78"/>
      <c r="P269" s="15"/>
      <c r="Q269" s="80"/>
      <c r="R269" s="80"/>
      <c r="S269" s="15"/>
      <c r="T269" s="83"/>
      <c r="U269" s="16"/>
    </row>
    <row r="270" spans="1:21" x14ac:dyDescent="0.3">
      <c r="A270" s="77" t="s">
        <v>508</v>
      </c>
      <c r="B270" s="78" t="s">
        <v>40</v>
      </c>
      <c r="C270" s="78" t="s">
        <v>280</v>
      </c>
      <c r="D270" s="78" t="s">
        <v>326</v>
      </c>
      <c r="E270" s="79" t="s">
        <v>511</v>
      </c>
      <c r="F270" s="78" t="s">
        <v>509</v>
      </c>
      <c r="G270" s="78" t="s">
        <v>300</v>
      </c>
      <c r="H270" s="78"/>
      <c r="I270" s="78"/>
      <c r="J270" s="78"/>
      <c r="K270" s="80">
        <v>15.6</v>
      </c>
      <c r="L270" s="80"/>
      <c r="M270" s="81"/>
      <c r="N270" s="82"/>
      <c r="O270" s="78"/>
      <c r="P270" s="15"/>
      <c r="Q270" s="80"/>
      <c r="R270" s="80"/>
      <c r="S270" s="15"/>
      <c r="T270" s="83"/>
      <c r="U270" s="16"/>
    </row>
    <row r="271" spans="1:21" ht="27" x14ac:dyDescent="0.3">
      <c r="A271" s="77" t="s">
        <v>508</v>
      </c>
      <c r="B271" s="78" t="s">
        <v>40</v>
      </c>
      <c r="C271" s="78" t="s">
        <v>280</v>
      </c>
      <c r="D271" s="78" t="s">
        <v>328</v>
      </c>
      <c r="E271" s="79" t="s">
        <v>521</v>
      </c>
      <c r="F271" s="78" t="s">
        <v>509</v>
      </c>
      <c r="G271" s="78" t="s">
        <v>256</v>
      </c>
      <c r="H271" s="78" t="s">
        <v>11</v>
      </c>
      <c r="I271" s="78" t="s">
        <v>214</v>
      </c>
      <c r="J271" s="79" t="s">
        <v>257</v>
      </c>
      <c r="K271" s="80">
        <v>56.349999999999994</v>
      </c>
      <c r="L271" s="80">
        <f>K271*VLOOKUP(H271,dagsoorttabel1,2,FALSE)</f>
        <v>44.196078431372541</v>
      </c>
      <c r="M271" s="81">
        <f>prodnorm33</f>
        <v>0</v>
      </c>
      <c r="N271" s="82">
        <f>dagwerk33</f>
        <v>0</v>
      </c>
      <c r="O271" s="78" t="s">
        <v>103</v>
      </c>
      <c r="P271" s="15">
        <f>uurtarief33</f>
        <v>0</v>
      </c>
      <c r="Q271" s="80" t="e">
        <f>IF(ISBLANK(M271),0,L271/ROUND(M271,4))</f>
        <v>#DIV/0!</v>
      </c>
      <c r="R271" s="80" t="e">
        <f>IF(ISBLANK(M271),0,Q271*ROUND(N271,2))</f>
        <v>#DIV/0!</v>
      </c>
      <c r="S271" s="15" t="e">
        <f>ROUND(P271,2)*Q271</f>
        <v>#DIV/0!</v>
      </c>
      <c r="T271" s="80" t="e">
        <f>Q271*dagenperjaar1</f>
        <v>#DIV/0!</v>
      </c>
      <c r="U271" s="16" t="e">
        <f>T271*ROUND(P271,2)</f>
        <v>#DIV/0!</v>
      </c>
    </row>
    <row r="272" spans="1:21" x14ac:dyDescent="0.3">
      <c r="A272" s="77" t="s">
        <v>508</v>
      </c>
      <c r="B272" s="78" t="s">
        <v>40</v>
      </c>
      <c r="C272" s="78" t="s">
        <v>280</v>
      </c>
      <c r="D272" s="78" t="s">
        <v>329</v>
      </c>
      <c r="E272" s="79" t="s">
        <v>522</v>
      </c>
      <c r="F272" s="78" t="s">
        <v>509</v>
      </c>
      <c r="G272" s="78" t="s">
        <v>252</v>
      </c>
      <c r="H272" s="78" t="s">
        <v>11</v>
      </c>
      <c r="I272" s="78" t="s">
        <v>214</v>
      </c>
      <c r="J272" s="79" t="s">
        <v>253</v>
      </c>
      <c r="K272" s="80">
        <v>13.739999999999998</v>
      </c>
      <c r="L272" s="80">
        <f>K272*VLOOKUP(H272,dagsoorttabel1,2,FALSE)</f>
        <v>10.776470588235293</v>
      </c>
      <c r="M272" s="81">
        <f>prodnorm31</f>
        <v>0</v>
      </c>
      <c r="N272" s="82">
        <f>dagwerk31</f>
        <v>0</v>
      </c>
      <c r="O272" s="78" t="s">
        <v>103</v>
      </c>
      <c r="P272" s="15">
        <f>uurtarief31</f>
        <v>0</v>
      </c>
      <c r="Q272" s="80" t="e">
        <f>IF(ISBLANK(M272),0,L272/ROUND(M272,4))</f>
        <v>#DIV/0!</v>
      </c>
      <c r="R272" s="80" t="e">
        <f>IF(ISBLANK(M272),0,Q272*ROUND(N272,2))</f>
        <v>#DIV/0!</v>
      </c>
      <c r="S272" s="15" t="e">
        <f>ROUND(P272,2)*Q272</f>
        <v>#DIV/0!</v>
      </c>
      <c r="T272" s="80" t="e">
        <f>Q272*dagenperjaar1</f>
        <v>#DIV/0!</v>
      </c>
      <c r="U272" s="16" t="e">
        <f>T272*ROUND(P272,2)</f>
        <v>#DIV/0!</v>
      </c>
    </row>
    <row r="273" spans="1:21" x14ac:dyDescent="0.3">
      <c r="A273" s="77" t="s">
        <v>508</v>
      </c>
      <c r="B273" s="78" t="s">
        <v>40</v>
      </c>
      <c r="C273" s="78" t="s">
        <v>280</v>
      </c>
      <c r="D273" s="78" t="s">
        <v>330</v>
      </c>
      <c r="E273" s="79" t="s">
        <v>320</v>
      </c>
      <c r="F273" s="78" t="s">
        <v>509</v>
      </c>
      <c r="G273" s="78" t="s">
        <v>300</v>
      </c>
      <c r="H273" s="78"/>
      <c r="I273" s="78"/>
      <c r="J273" s="78"/>
      <c r="K273" s="80">
        <v>61.7</v>
      </c>
      <c r="L273" s="80"/>
      <c r="M273" s="81"/>
      <c r="N273" s="82"/>
      <c r="O273" s="78"/>
      <c r="P273" s="15"/>
      <c r="Q273" s="80"/>
      <c r="R273" s="80"/>
      <c r="S273" s="15"/>
      <c r="T273" s="83"/>
      <c r="U273" s="16"/>
    </row>
    <row r="274" spans="1:21" x14ac:dyDescent="0.3">
      <c r="A274" s="77" t="s">
        <v>508</v>
      </c>
      <c r="B274" s="78" t="s">
        <v>40</v>
      </c>
      <c r="C274" s="78" t="s">
        <v>280</v>
      </c>
      <c r="D274" s="78" t="s">
        <v>332</v>
      </c>
      <c r="E274" s="79" t="s">
        <v>523</v>
      </c>
      <c r="F274" s="78" t="s">
        <v>524</v>
      </c>
      <c r="G274" s="78" t="s">
        <v>224</v>
      </c>
      <c r="H274" s="78" t="s">
        <v>11</v>
      </c>
      <c r="I274" s="78" t="s">
        <v>214</v>
      </c>
      <c r="J274" s="79" t="s">
        <v>225</v>
      </c>
      <c r="K274" s="80">
        <v>5.51</v>
      </c>
      <c r="L274" s="80">
        <f>K274*VLOOKUP(H274,dagsoorttabel1,2,FALSE)</f>
        <v>4.3215686274509801</v>
      </c>
      <c r="M274" s="81">
        <f>prodnorm13</f>
        <v>0</v>
      </c>
      <c r="N274" s="82">
        <f>dagwerk13</f>
        <v>0</v>
      </c>
      <c r="O274" s="78" t="s">
        <v>103</v>
      </c>
      <c r="P274" s="15">
        <f>uurtarief13</f>
        <v>0</v>
      </c>
      <c r="Q274" s="80" t="e">
        <f>IF(ISBLANK(M274),0,L274/ROUND(M274,4))</f>
        <v>#DIV/0!</v>
      </c>
      <c r="R274" s="80" t="e">
        <f>IF(ISBLANK(M274),0,Q274*ROUND(N274,2))</f>
        <v>#DIV/0!</v>
      </c>
      <c r="S274" s="15" t="e">
        <f>ROUND(P274,2)*Q274</f>
        <v>#DIV/0!</v>
      </c>
      <c r="T274" s="80" t="e">
        <f>Q274*dagenperjaar1</f>
        <v>#DIV/0!</v>
      </c>
      <c r="U274" s="16" t="e">
        <f>T274*ROUND(P274,2)</f>
        <v>#DIV/0!</v>
      </c>
    </row>
    <row r="275" spans="1:21" x14ac:dyDescent="0.3">
      <c r="A275" s="77" t="s">
        <v>508</v>
      </c>
      <c r="B275" s="78" t="s">
        <v>40</v>
      </c>
      <c r="C275" s="78" t="s">
        <v>280</v>
      </c>
      <c r="D275" s="78" t="s">
        <v>334</v>
      </c>
      <c r="E275" s="79" t="s">
        <v>525</v>
      </c>
      <c r="F275" s="78" t="s">
        <v>526</v>
      </c>
      <c r="G275" s="78" t="s">
        <v>250</v>
      </c>
      <c r="H275" s="78" t="s">
        <v>11</v>
      </c>
      <c r="I275" s="78" t="s">
        <v>214</v>
      </c>
      <c r="J275" s="79" t="s">
        <v>251</v>
      </c>
      <c r="K275" s="80">
        <v>5.22</v>
      </c>
      <c r="L275" s="80">
        <f>K275*VLOOKUP(H275,dagsoorttabel1,2,FALSE)</f>
        <v>4.0941176470588232</v>
      </c>
      <c r="M275" s="81">
        <f>prodnorm30</f>
        <v>0</v>
      </c>
      <c r="N275" s="82">
        <f>dagwerk30</f>
        <v>0</v>
      </c>
      <c r="O275" s="78" t="s">
        <v>103</v>
      </c>
      <c r="P275" s="15">
        <f>uurtarief30</f>
        <v>0</v>
      </c>
      <c r="Q275" s="80" t="e">
        <f>IF(ISBLANK(M275),0,L275/ROUND(M275,4))</f>
        <v>#DIV/0!</v>
      </c>
      <c r="R275" s="80" t="e">
        <f>IF(ISBLANK(M275),0,Q275*ROUND(N275,2))</f>
        <v>#DIV/0!</v>
      </c>
      <c r="S275" s="15" t="e">
        <f>ROUND(P275,2)*Q275</f>
        <v>#DIV/0!</v>
      </c>
      <c r="T275" s="80" t="e">
        <f>Q275*dagenperjaar1</f>
        <v>#DIV/0!</v>
      </c>
      <c r="U275" s="16" t="e">
        <f>T275*ROUND(P275,2)</f>
        <v>#DIV/0!</v>
      </c>
    </row>
    <row r="276" spans="1:21" x14ac:dyDescent="0.3">
      <c r="A276" s="77" t="s">
        <v>508</v>
      </c>
      <c r="B276" s="78" t="s">
        <v>40</v>
      </c>
      <c r="C276" s="78" t="s">
        <v>280</v>
      </c>
      <c r="D276" s="78" t="s">
        <v>336</v>
      </c>
      <c r="E276" s="79" t="s">
        <v>527</v>
      </c>
      <c r="F276" s="78" t="s">
        <v>526</v>
      </c>
      <c r="G276" s="78" t="s">
        <v>250</v>
      </c>
      <c r="H276" s="78" t="s">
        <v>11</v>
      </c>
      <c r="I276" s="78" t="s">
        <v>214</v>
      </c>
      <c r="J276" s="79" t="s">
        <v>251</v>
      </c>
      <c r="K276" s="80">
        <v>3.4</v>
      </c>
      <c r="L276" s="80">
        <f>K276*VLOOKUP(H276,dagsoorttabel1,2,FALSE)</f>
        <v>2.6666666666666665</v>
      </c>
      <c r="M276" s="81">
        <f>prodnorm30</f>
        <v>0</v>
      </c>
      <c r="N276" s="82">
        <f>dagwerk30</f>
        <v>0</v>
      </c>
      <c r="O276" s="78" t="s">
        <v>103</v>
      </c>
      <c r="P276" s="15">
        <f>uurtarief30</f>
        <v>0</v>
      </c>
      <c r="Q276" s="80" t="e">
        <f>IF(ISBLANK(M276),0,L276/ROUND(M276,4))</f>
        <v>#DIV/0!</v>
      </c>
      <c r="R276" s="80" t="e">
        <f>IF(ISBLANK(M276),0,Q276*ROUND(N276,2))</f>
        <v>#DIV/0!</v>
      </c>
      <c r="S276" s="15" t="e">
        <f>ROUND(P276,2)*Q276</f>
        <v>#DIV/0!</v>
      </c>
      <c r="T276" s="80" t="e">
        <f>Q276*dagenperjaar1</f>
        <v>#DIV/0!</v>
      </c>
      <c r="U276" s="16" t="e">
        <f>T276*ROUND(P276,2)</f>
        <v>#DIV/0!</v>
      </c>
    </row>
    <row r="277" spans="1:21" x14ac:dyDescent="0.3">
      <c r="A277" s="77" t="s">
        <v>508</v>
      </c>
      <c r="B277" s="78" t="s">
        <v>40</v>
      </c>
      <c r="C277" s="78" t="s">
        <v>280</v>
      </c>
      <c r="D277" s="78" t="s">
        <v>337</v>
      </c>
      <c r="E277" s="79" t="s">
        <v>528</v>
      </c>
      <c r="F277" s="78" t="s">
        <v>526</v>
      </c>
      <c r="G277" s="78" t="s">
        <v>250</v>
      </c>
      <c r="H277" s="78" t="s">
        <v>11</v>
      </c>
      <c r="I277" s="78" t="s">
        <v>214</v>
      </c>
      <c r="J277" s="79" t="s">
        <v>251</v>
      </c>
      <c r="K277" s="80">
        <v>3.4</v>
      </c>
      <c r="L277" s="80">
        <f>K277*VLOOKUP(H277,dagsoorttabel1,2,FALSE)</f>
        <v>2.6666666666666665</v>
      </c>
      <c r="M277" s="81">
        <f>prodnorm30</f>
        <v>0</v>
      </c>
      <c r="N277" s="82">
        <f>dagwerk30</f>
        <v>0</v>
      </c>
      <c r="O277" s="78" t="s">
        <v>103</v>
      </c>
      <c r="P277" s="15">
        <f>uurtarief30</f>
        <v>0</v>
      </c>
      <c r="Q277" s="80" t="e">
        <f>IF(ISBLANK(M277),0,L277/ROUND(M277,4))</f>
        <v>#DIV/0!</v>
      </c>
      <c r="R277" s="80" t="e">
        <f>IF(ISBLANK(M277),0,Q277*ROUND(N277,2))</f>
        <v>#DIV/0!</v>
      </c>
      <c r="S277" s="15" t="e">
        <f>ROUND(P277,2)*Q277</f>
        <v>#DIV/0!</v>
      </c>
      <c r="T277" s="80" t="e">
        <f>Q277*dagenperjaar1</f>
        <v>#DIV/0!</v>
      </c>
      <c r="U277" s="16" t="e">
        <f>T277*ROUND(P277,2)</f>
        <v>#DIV/0!</v>
      </c>
    </row>
    <row r="278" spans="1:21" x14ac:dyDescent="0.3">
      <c r="A278" s="77" t="s">
        <v>508</v>
      </c>
      <c r="B278" s="78" t="s">
        <v>40</v>
      </c>
      <c r="C278" s="78" t="s">
        <v>280</v>
      </c>
      <c r="D278" s="78" t="s">
        <v>417</v>
      </c>
      <c r="E278" s="79" t="s">
        <v>523</v>
      </c>
      <c r="F278" s="78" t="s">
        <v>524</v>
      </c>
      <c r="G278" s="78" t="s">
        <v>224</v>
      </c>
      <c r="H278" s="78" t="s">
        <v>11</v>
      </c>
      <c r="I278" s="78" t="s">
        <v>214</v>
      </c>
      <c r="J278" s="79" t="s">
        <v>225</v>
      </c>
      <c r="K278" s="80">
        <v>4.41</v>
      </c>
      <c r="L278" s="80">
        <f>K278*VLOOKUP(H278,dagsoorttabel1,2,FALSE)</f>
        <v>3.4588235294117649</v>
      </c>
      <c r="M278" s="81">
        <f>prodnorm13</f>
        <v>0</v>
      </c>
      <c r="N278" s="82">
        <f>dagwerk13</f>
        <v>0</v>
      </c>
      <c r="O278" s="78" t="s">
        <v>103</v>
      </c>
      <c r="P278" s="15">
        <f>uurtarief13</f>
        <v>0</v>
      </c>
      <c r="Q278" s="80" t="e">
        <f>IF(ISBLANK(M278),0,L278/ROUND(M278,4))</f>
        <v>#DIV/0!</v>
      </c>
      <c r="R278" s="80" t="e">
        <f>IF(ISBLANK(M278),0,Q278*ROUND(N278,2))</f>
        <v>#DIV/0!</v>
      </c>
      <c r="S278" s="15" t="e">
        <f>ROUND(P278,2)*Q278</f>
        <v>#DIV/0!</v>
      </c>
      <c r="T278" s="80" t="e">
        <f>Q278*dagenperjaar1</f>
        <v>#DIV/0!</v>
      </c>
      <c r="U278" s="16" t="e">
        <f>T278*ROUND(P278,2)</f>
        <v>#DIV/0!</v>
      </c>
    </row>
    <row r="279" spans="1:21" x14ac:dyDescent="0.3">
      <c r="A279" s="77" t="s">
        <v>508</v>
      </c>
      <c r="B279" s="78" t="s">
        <v>40</v>
      </c>
      <c r="C279" s="78" t="s">
        <v>280</v>
      </c>
      <c r="D279" s="78" t="s">
        <v>418</v>
      </c>
      <c r="E279" s="79" t="s">
        <v>529</v>
      </c>
      <c r="F279" s="78" t="s">
        <v>509</v>
      </c>
      <c r="G279" s="78" t="s">
        <v>300</v>
      </c>
      <c r="H279" s="78"/>
      <c r="I279" s="78"/>
      <c r="J279" s="78"/>
      <c r="K279" s="80">
        <v>9</v>
      </c>
      <c r="L279" s="80"/>
      <c r="M279" s="81"/>
      <c r="N279" s="82"/>
      <c r="O279" s="78"/>
      <c r="P279" s="15"/>
      <c r="Q279" s="80"/>
      <c r="R279" s="80"/>
      <c r="S279" s="15"/>
      <c r="T279" s="83"/>
      <c r="U279" s="16"/>
    </row>
    <row r="280" spans="1:21" ht="27" x14ac:dyDescent="0.3">
      <c r="A280" s="77" t="s">
        <v>508</v>
      </c>
      <c r="B280" s="78" t="s">
        <v>40</v>
      </c>
      <c r="C280" s="78" t="s">
        <v>280</v>
      </c>
      <c r="D280" s="78" t="s">
        <v>420</v>
      </c>
      <c r="E280" s="79" t="s">
        <v>530</v>
      </c>
      <c r="F280" s="78" t="s">
        <v>509</v>
      </c>
      <c r="G280" s="78" t="s">
        <v>256</v>
      </c>
      <c r="H280" s="78" t="s">
        <v>11</v>
      </c>
      <c r="I280" s="78" t="s">
        <v>214</v>
      </c>
      <c r="J280" s="79" t="s">
        <v>257</v>
      </c>
      <c r="K280" s="80">
        <v>23.1</v>
      </c>
      <c r="L280" s="80">
        <f>K280*VLOOKUP(H280,dagsoorttabel1,2,FALSE)</f>
        <v>18.117647058823529</v>
      </c>
      <c r="M280" s="81">
        <f>prodnorm33</f>
        <v>0</v>
      </c>
      <c r="N280" s="82">
        <f>dagwerk33</f>
        <v>0</v>
      </c>
      <c r="O280" s="78" t="s">
        <v>103</v>
      </c>
      <c r="P280" s="15">
        <f>uurtarief33</f>
        <v>0</v>
      </c>
      <c r="Q280" s="80" t="e">
        <f>IF(ISBLANK(M280),0,L280/ROUND(M280,4))</f>
        <v>#DIV/0!</v>
      </c>
      <c r="R280" s="80" t="e">
        <f>IF(ISBLANK(M280),0,Q280*ROUND(N280,2))</f>
        <v>#DIV/0!</v>
      </c>
      <c r="S280" s="15" t="e">
        <f>ROUND(P280,2)*Q280</f>
        <v>#DIV/0!</v>
      </c>
      <c r="T280" s="80" t="e">
        <f>Q280*dagenperjaar1</f>
        <v>#DIV/0!</v>
      </c>
      <c r="U280" s="16" t="e">
        <f>T280*ROUND(P280,2)</f>
        <v>#DIV/0!</v>
      </c>
    </row>
    <row r="281" spans="1:21" x14ac:dyDescent="0.3">
      <c r="A281" s="77" t="s">
        <v>508</v>
      </c>
      <c r="B281" s="78" t="s">
        <v>40</v>
      </c>
      <c r="C281" s="78" t="s">
        <v>280</v>
      </c>
      <c r="D281" s="78" t="s">
        <v>531</v>
      </c>
      <c r="E281" s="79" t="s">
        <v>532</v>
      </c>
      <c r="F281" s="78" t="s">
        <v>509</v>
      </c>
      <c r="G281" s="78" t="s">
        <v>252</v>
      </c>
      <c r="H281" s="78" t="s">
        <v>11</v>
      </c>
      <c r="I281" s="78" t="s">
        <v>214</v>
      </c>
      <c r="J281" s="79" t="s">
        <v>253</v>
      </c>
      <c r="K281" s="80">
        <v>5</v>
      </c>
      <c r="L281" s="80">
        <f>K281*VLOOKUP(H281,dagsoorttabel1,2,FALSE)</f>
        <v>3.9215686274509802</v>
      </c>
      <c r="M281" s="81">
        <f>prodnorm31</f>
        <v>0</v>
      </c>
      <c r="N281" s="82">
        <f>dagwerk31</f>
        <v>0</v>
      </c>
      <c r="O281" s="78" t="s">
        <v>103</v>
      </c>
      <c r="P281" s="15">
        <f>uurtarief31</f>
        <v>0</v>
      </c>
      <c r="Q281" s="80" t="e">
        <f>IF(ISBLANK(M281),0,L281/ROUND(M281,4))</f>
        <v>#DIV/0!</v>
      </c>
      <c r="R281" s="80" t="e">
        <f>IF(ISBLANK(M281),0,Q281*ROUND(N281,2))</f>
        <v>#DIV/0!</v>
      </c>
      <c r="S281" s="15" t="e">
        <f>ROUND(P281,2)*Q281</f>
        <v>#DIV/0!</v>
      </c>
      <c r="T281" s="80" t="e">
        <f>Q281*dagenperjaar1</f>
        <v>#DIV/0!</v>
      </c>
      <c r="U281" s="16" t="e">
        <f>T281*ROUND(P281,2)</f>
        <v>#DIV/0!</v>
      </c>
    </row>
    <row r="282" spans="1:21" x14ac:dyDescent="0.3">
      <c r="A282" s="77" t="s">
        <v>508</v>
      </c>
      <c r="B282" s="78" t="s">
        <v>40</v>
      </c>
      <c r="C282" s="78" t="s">
        <v>280</v>
      </c>
      <c r="D282" s="78" t="s">
        <v>533</v>
      </c>
      <c r="E282" s="79" t="s">
        <v>528</v>
      </c>
      <c r="F282" s="78" t="s">
        <v>526</v>
      </c>
      <c r="G282" s="78" t="s">
        <v>300</v>
      </c>
      <c r="H282" s="78"/>
      <c r="I282" s="78"/>
      <c r="J282" s="78"/>
      <c r="K282" s="80">
        <v>4.9000000000000004</v>
      </c>
      <c r="L282" s="80"/>
      <c r="M282" s="81"/>
      <c r="N282" s="82"/>
      <c r="O282" s="78"/>
      <c r="P282" s="15"/>
      <c r="Q282" s="80"/>
      <c r="R282" s="80"/>
      <c r="S282" s="15"/>
      <c r="T282" s="83"/>
      <c r="U282" s="16"/>
    </row>
    <row r="283" spans="1:21" x14ac:dyDescent="0.3">
      <c r="A283" s="77" t="s">
        <v>508</v>
      </c>
      <c r="B283" s="78" t="s">
        <v>40</v>
      </c>
      <c r="C283" s="78" t="s">
        <v>280</v>
      </c>
      <c r="D283" s="78" t="s">
        <v>534</v>
      </c>
      <c r="E283" s="79" t="s">
        <v>318</v>
      </c>
      <c r="F283" s="78" t="s">
        <v>40</v>
      </c>
      <c r="G283" s="78" t="s">
        <v>242</v>
      </c>
      <c r="H283" s="78" t="s">
        <v>11</v>
      </c>
      <c r="I283" s="78" t="s">
        <v>214</v>
      </c>
      <c r="J283" s="79" t="s">
        <v>243</v>
      </c>
      <c r="K283" s="80">
        <v>9.7199999999999989</v>
      </c>
      <c r="L283" s="80">
        <f>K283*VLOOKUP(H283,dagsoorttabel1,2,FALSE)</f>
        <v>7.6235294117647046</v>
      </c>
      <c r="M283" s="81">
        <f>prodnorm26</f>
        <v>0</v>
      </c>
      <c r="N283" s="82">
        <f>dagwerk26</f>
        <v>0</v>
      </c>
      <c r="O283" s="78" t="s">
        <v>103</v>
      </c>
      <c r="P283" s="15">
        <f>uurtarief26</f>
        <v>0</v>
      </c>
      <c r="Q283" s="80" t="e">
        <f>IF(ISBLANK(M283),0,L283/ROUND(M283,4))</f>
        <v>#DIV/0!</v>
      </c>
      <c r="R283" s="80" t="e">
        <f>IF(ISBLANK(M283),0,Q283*ROUND(N283,2))</f>
        <v>#DIV/0!</v>
      </c>
      <c r="S283" s="15" t="e">
        <f>ROUND(P283,2)*Q283</f>
        <v>#DIV/0!</v>
      </c>
      <c r="T283" s="80" t="e">
        <f>Q283*dagenperjaar1</f>
        <v>#DIV/0!</v>
      </c>
      <c r="U283" s="16" t="e">
        <f>T283*ROUND(P283,2)</f>
        <v>#DIV/0!</v>
      </c>
    </row>
    <row r="284" spans="1:21" x14ac:dyDescent="0.3">
      <c r="A284" s="77" t="s">
        <v>508</v>
      </c>
      <c r="B284" s="78" t="s">
        <v>40</v>
      </c>
      <c r="C284" s="78" t="s">
        <v>280</v>
      </c>
      <c r="D284" s="78" t="s">
        <v>535</v>
      </c>
      <c r="E284" s="79" t="s">
        <v>523</v>
      </c>
      <c r="F284" s="78" t="s">
        <v>524</v>
      </c>
      <c r="G284" s="78" t="s">
        <v>224</v>
      </c>
      <c r="H284" s="78" t="s">
        <v>11</v>
      </c>
      <c r="I284" s="78" t="s">
        <v>214</v>
      </c>
      <c r="J284" s="79" t="s">
        <v>225</v>
      </c>
      <c r="K284" s="80">
        <v>7.7</v>
      </c>
      <c r="L284" s="80">
        <f>K284*VLOOKUP(H284,dagsoorttabel1,2,FALSE)</f>
        <v>6.0392156862745097</v>
      </c>
      <c r="M284" s="81">
        <f>prodnorm13</f>
        <v>0</v>
      </c>
      <c r="N284" s="82">
        <f>dagwerk13</f>
        <v>0</v>
      </c>
      <c r="O284" s="78" t="s">
        <v>103</v>
      </c>
      <c r="P284" s="15">
        <f>uurtarief13</f>
        <v>0</v>
      </c>
      <c r="Q284" s="80" t="e">
        <f>IF(ISBLANK(M284),0,L284/ROUND(M284,4))</f>
        <v>#DIV/0!</v>
      </c>
      <c r="R284" s="80" t="e">
        <f>IF(ISBLANK(M284),0,Q284*ROUND(N284,2))</f>
        <v>#DIV/0!</v>
      </c>
      <c r="S284" s="15" t="e">
        <f>ROUND(P284,2)*Q284</f>
        <v>#DIV/0!</v>
      </c>
      <c r="T284" s="80" t="e">
        <f>Q284*dagenperjaar1</f>
        <v>#DIV/0!</v>
      </c>
      <c r="U284" s="16" t="e">
        <f>T284*ROUND(P284,2)</f>
        <v>#DIV/0!</v>
      </c>
    </row>
    <row r="285" spans="1:21" x14ac:dyDescent="0.3">
      <c r="A285" s="77" t="s">
        <v>508</v>
      </c>
      <c r="B285" s="78" t="s">
        <v>40</v>
      </c>
      <c r="C285" s="78" t="s">
        <v>280</v>
      </c>
      <c r="D285" s="78" t="s">
        <v>536</v>
      </c>
      <c r="E285" s="79" t="s">
        <v>537</v>
      </c>
      <c r="F285" s="78" t="s">
        <v>509</v>
      </c>
      <c r="G285" s="78" t="s">
        <v>300</v>
      </c>
      <c r="H285" s="78"/>
      <c r="I285" s="78"/>
      <c r="J285" s="78"/>
      <c r="K285" s="80">
        <v>6.96</v>
      </c>
      <c r="L285" s="80"/>
      <c r="M285" s="81"/>
      <c r="N285" s="82"/>
      <c r="O285" s="78"/>
      <c r="P285" s="15"/>
      <c r="Q285" s="80"/>
      <c r="R285" s="80"/>
      <c r="S285" s="15"/>
      <c r="T285" s="83"/>
      <c r="U285" s="16"/>
    </row>
    <row r="286" spans="1:21" x14ac:dyDescent="0.3">
      <c r="A286" s="77" t="s">
        <v>508</v>
      </c>
      <c r="B286" s="78" t="s">
        <v>40</v>
      </c>
      <c r="C286" s="78" t="s">
        <v>280</v>
      </c>
      <c r="D286" s="78" t="s">
        <v>538</v>
      </c>
      <c r="E286" s="79" t="s">
        <v>539</v>
      </c>
      <c r="F286" s="78" t="s">
        <v>526</v>
      </c>
      <c r="G286" s="78" t="s">
        <v>250</v>
      </c>
      <c r="H286" s="78" t="s">
        <v>11</v>
      </c>
      <c r="I286" s="78" t="s">
        <v>214</v>
      </c>
      <c r="J286" s="79" t="s">
        <v>251</v>
      </c>
      <c r="K286" s="80">
        <v>4.9400000000000004</v>
      </c>
      <c r="L286" s="80">
        <f>K286*VLOOKUP(H286,dagsoorttabel1,2,FALSE)</f>
        <v>3.8745098039215691</v>
      </c>
      <c r="M286" s="81">
        <f>prodnorm30</f>
        <v>0</v>
      </c>
      <c r="N286" s="82">
        <f>dagwerk30</f>
        <v>0</v>
      </c>
      <c r="O286" s="78" t="s">
        <v>103</v>
      </c>
      <c r="P286" s="15">
        <f>uurtarief30</f>
        <v>0</v>
      </c>
      <c r="Q286" s="80" t="e">
        <f>IF(ISBLANK(M286),0,L286/ROUND(M286,4))</f>
        <v>#DIV/0!</v>
      </c>
      <c r="R286" s="80" t="e">
        <f>IF(ISBLANK(M286),0,Q286*ROUND(N286,2))</f>
        <v>#DIV/0!</v>
      </c>
      <c r="S286" s="15" t="e">
        <f>ROUND(P286,2)*Q286</f>
        <v>#DIV/0!</v>
      </c>
      <c r="T286" s="80" t="e">
        <f>Q286*dagenperjaar1</f>
        <v>#DIV/0!</v>
      </c>
      <c r="U286" s="16" t="e">
        <f>T286*ROUND(P286,2)</f>
        <v>#DIV/0!</v>
      </c>
    </row>
    <row r="287" spans="1:21" ht="27" x14ac:dyDescent="0.3">
      <c r="A287" s="77" t="s">
        <v>508</v>
      </c>
      <c r="B287" s="78" t="s">
        <v>40</v>
      </c>
      <c r="C287" s="78" t="s">
        <v>280</v>
      </c>
      <c r="D287" s="78" t="s">
        <v>540</v>
      </c>
      <c r="E287" s="79" t="s">
        <v>529</v>
      </c>
      <c r="F287" s="78" t="s">
        <v>509</v>
      </c>
      <c r="G287" s="78" t="s">
        <v>256</v>
      </c>
      <c r="H287" s="78" t="s">
        <v>11</v>
      </c>
      <c r="I287" s="78" t="s">
        <v>214</v>
      </c>
      <c r="J287" s="79" t="s">
        <v>257</v>
      </c>
      <c r="K287" s="80">
        <v>42.8</v>
      </c>
      <c r="L287" s="80">
        <f>K287*VLOOKUP(H287,dagsoorttabel1,2,FALSE)</f>
        <v>33.568627450980387</v>
      </c>
      <c r="M287" s="81">
        <f>prodnorm33</f>
        <v>0</v>
      </c>
      <c r="N287" s="82">
        <f>dagwerk33</f>
        <v>0</v>
      </c>
      <c r="O287" s="78" t="s">
        <v>103</v>
      </c>
      <c r="P287" s="15">
        <f>uurtarief33</f>
        <v>0</v>
      </c>
      <c r="Q287" s="80" t="e">
        <f>IF(ISBLANK(M287),0,L287/ROUND(M287,4))</f>
        <v>#DIV/0!</v>
      </c>
      <c r="R287" s="80" t="e">
        <f>IF(ISBLANK(M287),0,Q287*ROUND(N287,2))</f>
        <v>#DIV/0!</v>
      </c>
      <c r="S287" s="15" t="e">
        <f>ROUND(P287,2)*Q287</f>
        <v>#DIV/0!</v>
      </c>
      <c r="T287" s="80" t="e">
        <f>Q287*dagenperjaar1</f>
        <v>#DIV/0!</v>
      </c>
      <c r="U287" s="16" t="e">
        <f>T287*ROUND(P287,2)</f>
        <v>#DIV/0!</v>
      </c>
    </row>
    <row r="288" spans="1:21" x14ac:dyDescent="0.3">
      <c r="A288" s="77" t="s">
        <v>508</v>
      </c>
      <c r="B288" s="78" t="s">
        <v>40</v>
      </c>
      <c r="C288" s="78" t="s">
        <v>280</v>
      </c>
      <c r="D288" s="78" t="s">
        <v>541</v>
      </c>
      <c r="E288" s="79" t="s">
        <v>411</v>
      </c>
      <c r="F288" s="78" t="s">
        <v>404</v>
      </c>
      <c r="G288" s="78" t="s">
        <v>252</v>
      </c>
      <c r="H288" s="78" t="s">
        <v>11</v>
      </c>
      <c r="I288" s="78" t="s">
        <v>214</v>
      </c>
      <c r="J288" s="79" t="s">
        <v>253</v>
      </c>
      <c r="K288" s="80">
        <v>25</v>
      </c>
      <c r="L288" s="80">
        <f>K288*VLOOKUP(H288,dagsoorttabel1,2,FALSE)</f>
        <v>19.607843137254903</v>
      </c>
      <c r="M288" s="81">
        <f>prodnorm31</f>
        <v>0</v>
      </c>
      <c r="N288" s="82">
        <f>dagwerk31</f>
        <v>0</v>
      </c>
      <c r="O288" s="78" t="s">
        <v>103</v>
      </c>
      <c r="P288" s="15">
        <f>uurtarief31</f>
        <v>0</v>
      </c>
      <c r="Q288" s="80" t="e">
        <f>IF(ISBLANK(M288),0,L288/ROUND(M288,4))</f>
        <v>#DIV/0!</v>
      </c>
      <c r="R288" s="80" t="e">
        <f>IF(ISBLANK(M288),0,Q288*ROUND(N288,2))</f>
        <v>#DIV/0!</v>
      </c>
      <c r="S288" s="15" t="e">
        <f>ROUND(P288,2)*Q288</f>
        <v>#DIV/0!</v>
      </c>
      <c r="T288" s="80" t="e">
        <f>Q288*dagenperjaar1</f>
        <v>#DIV/0!</v>
      </c>
      <c r="U288" s="16" t="e">
        <f>T288*ROUND(P288,2)</f>
        <v>#DIV/0!</v>
      </c>
    </row>
    <row r="289" spans="1:21" x14ac:dyDescent="0.3">
      <c r="A289" s="77" t="s">
        <v>508</v>
      </c>
      <c r="B289" s="78" t="s">
        <v>40</v>
      </c>
      <c r="C289" s="78" t="s">
        <v>280</v>
      </c>
      <c r="D289" s="78" t="s">
        <v>542</v>
      </c>
      <c r="E289" s="79" t="s">
        <v>523</v>
      </c>
      <c r="F289" s="78" t="s">
        <v>524</v>
      </c>
      <c r="G289" s="78" t="s">
        <v>224</v>
      </c>
      <c r="H289" s="78" t="s">
        <v>11</v>
      </c>
      <c r="I289" s="78" t="s">
        <v>214</v>
      </c>
      <c r="J289" s="79" t="s">
        <v>225</v>
      </c>
      <c r="K289" s="80">
        <v>5.2</v>
      </c>
      <c r="L289" s="80">
        <f>K289*VLOOKUP(H289,dagsoorttabel1,2,FALSE)</f>
        <v>4.0784313725490193</v>
      </c>
      <c r="M289" s="81">
        <f>prodnorm13</f>
        <v>0</v>
      </c>
      <c r="N289" s="82">
        <f>dagwerk13</f>
        <v>0</v>
      </c>
      <c r="O289" s="78" t="s">
        <v>103</v>
      </c>
      <c r="P289" s="15">
        <f>uurtarief13</f>
        <v>0</v>
      </c>
      <c r="Q289" s="80" t="e">
        <f>IF(ISBLANK(M289),0,L289/ROUND(M289,4))</f>
        <v>#DIV/0!</v>
      </c>
      <c r="R289" s="80" t="e">
        <f>IF(ISBLANK(M289),0,Q289*ROUND(N289,2))</f>
        <v>#DIV/0!</v>
      </c>
      <c r="S289" s="15" t="e">
        <f>ROUND(P289,2)*Q289</f>
        <v>#DIV/0!</v>
      </c>
      <c r="T289" s="80" t="e">
        <f>Q289*dagenperjaar1</f>
        <v>#DIV/0!</v>
      </c>
      <c r="U289" s="16" t="e">
        <f>T289*ROUND(P289,2)</f>
        <v>#DIV/0!</v>
      </c>
    </row>
    <row r="290" spans="1:21" x14ac:dyDescent="0.3">
      <c r="A290" s="77" t="s">
        <v>508</v>
      </c>
      <c r="B290" s="78" t="s">
        <v>40</v>
      </c>
      <c r="C290" s="78" t="s">
        <v>280</v>
      </c>
      <c r="D290" s="78" t="s">
        <v>543</v>
      </c>
      <c r="E290" s="79" t="s">
        <v>544</v>
      </c>
      <c r="F290" s="78" t="s">
        <v>526</v>
      </c>
      <c r="G290" s="78" t="s">
        <v>250</v>
      </c>
      <c r="H290" s="78" t="s">
        <v>11</v>
      </c>
      <c r="I290" s="78" t="s">
        <v>214</v>
      </c>
      <c r="J290" s="79" t="s">
        <v>251</v>
      </c>
      <c r="K290" s="80">
        <v>7.59</v>
      </c>
      <c r="L290" s="80">
        <f>K290*VLOOKUP(H290,dagsoorttabel1,2,FALSE)</f>
        <v>5.9529411764705884</v>
      </c>
      <c r="M290" s="81">
        <f>prodnorm30</f>
        <v>0</v>
      </c>
      <c r="N290" s="82">
        <f>dagwerk30</f>
        <v>0</v>
      </c>
      <c r="O290" s="78" t="s">
        <v>103</v>
      </c>
      <c r="P290" s="15">
        <f>uurtarief30</f>
        <v>0</v>
      </c>
      <c r="Q290" s="80" t="e">
        <f>IF(ISBLANK(M290),0,L290/ROUND(M290,4))</f>
        <v>#DIV/0!</v>
      </c>
      <c r="R290" s="80" t="e">
        <f>IF(ISBLANK(M290),0,Q290*ROUND(N290,2))</f>
        <v>#DIV/0!</v>
      </c>
      <c r="S290" s="15" t="e">
        <f>ROUND(P290,2)*Q290</f>
        <v>#DIV/0!</v>
      </c>
      <c r="T290" s="80" t="e">
        <f>Q290*dagenperjaar1</f>
        <v>#DIV/0!</v>
      </c>
      <c r="U290" s="16" t="e">
        <f>T290*ROUND(P290,2)</f>
        <v>#DIV/0!</v>
      </c>
    </row>
    <row r="291" spans="1:21" x14ac:dyDescent="0.3">
      <c r="A291" s="77" t="s">
        <v>508</v>
      </c>
      <c r="B291" s="78" t="s">
        <v>40</v>
      </c>
      <c r="C291" s="78" t="s">
        <v>280</v>
      </c>
      <c r="D291" s="78" t="s">
        <v>545</v>
      </c>
      <c r="E291" s="79" t="s">
        <v>521</v>
      </c>
      <c r="F291" s="78" t="s">
        <v>509</v>
      </c>
      <c r="G291" s="78" t="s">
        <v>300</v>
      </c>
      <c r="H291" s="78"/>
      <c r="I291" s="78"/>
      <c r="J291" s="78"/>
      <c r="K291" s="80">
        <v>35.299999999999997</v>
      </c>
      <c r="L291" s="80"/>
      <c r="M291" s="81"/>
      <c r="N291" s="82"/>
      <c r="O291" s="78"/>
      <c r="P291" s="15"/>
      <c r="Q291" s="80"/>
      <c r="R291" s="80"/>
      <c r="S291" s="15"/>
      <c r="T291" s="83"/>
      <c r="U291" s="16"/>
    </row>
    <row r="292" spans="1:21" ht="27" x14ac:dyDescent="0.3">
      <c r="A292" s="77" t="s">
        <v>508</v>
      </c>
      <c r="B292" s="78" t="s">
        <v>40</v>
      </c>
      <c r="C292" s="78" t="s">
        <v>280</v>
      </c>
      <c r="D292" s="78" t="s">
        <v>546</v>
      </c>
      <c r="E292" s="79" t="s">
        <v>547</v>
      </c>
      <c r="F292" s="78" t="s">
        <v>509</v>
      </c>
      <c r="G292" s="78" t="s">
        <v>256</v>
      </c>
      <c r="H292" s="78" t="s">
        <v>11</v>
      </c>
      <c r="I292" s="78" t="s">
        <v>214</v>
      </c>
      <c r="J292" s="79" t="s">
        <v>257</v>
      </c>
      <c r="K292" s="80">
        <v>16</v>
      </c>
      <c r="L292" s="80">
        <f t="shared" ref="L292:L304" si="72">K292*VLOOKUP(H292,dagsoorttabel1,2,FALSE)</f>
        <v>12.549019607843137</v>
      </c>
      <c r="M292" s="81">
        <f>prodnorm33</f>
        <v>0</v>
      </c>
      <c r="N292" s="82">
        <f>dagwerk33</f>
        <v>0</v>
      </c>
      <c r="O292" s="78" t="s">
        <v>103</v>
      </c>
      <c r="P292" s="15">
        <f>uurtarief33</f>
        <v>0</v>
      </c>
      <c r="Q292" s="80" t="e">
        <f t="shared" ref="Q292:Q304" si="73">IF(ISBLANK(M292),0,L292/ROUND(M292,4))</f>
        <v>#DIV/0!</v>
      </c>
      <c r="R292" s="80" t="e">
        <f t="shared" ref="R292:R304" si="74">IF(ISBLANK(M292),0,Q292*ROUND(N292,2))</f>
        <v>#DIV/0!</v>
      </c>
      <c r="S292" s="15" t="e">
        <f t="shared" ref="S292:S304" si="75">ROUND(P292,2)*Q292</f>
        <v>#DIV/0!</v>
      </c>
      <c r="T292" s="80" t="e">
        <f t="shared" ref="T292:T304" si="76">Q292*dagenperjaar1</f>
        <v>#DIV/0!</v>
      </c>
      <c r="U292" s="16" t="e">
        <f t="shared" ref="U292:U304" si="77">T292*ROUND(P292,2)</f>
        <v>#DIV/0!</v>
      </c>
    </row>
    <row r="293" spans="1:21" ht="27" x14ac:dyDescent="0.3">
      <c r="A293" s="77" t="s">
        <v>508</v>
      </c>
      <c r="B293" s="78" t="s">
        <v>40</v>
      </c>
      <c r="C293" s="78" t="s">
        <v>280</v>
      </c>
      <c r="D293" s="78" t="s">
        <v>548</v>
      </c>
      <c r="E293" s="79" t="s">
        <v>521</v>
      </c>
      <c r="F293" s="78" t="s">
        <v>509</v>
      </c>
      <c r="G293" s="78" t="s">
        <v>256</v>
      </c>
      <c r="H293" s="78" t="s">
        <v>11</v>
      </c>
      <c r="I293" s="78" t="s">
        <v>214</v>
      </c>
      <c r="J293" s="79" t="s">
        <v>257</v>
      </c>
      <c r="K293" s="80">
        <v>86.1</v>
      </c>
      <c r="L293" s="80">
        <f t="shared" si="72"/>
        <v>67.529411764705884</v>
      </c>
      <c r="M293" s="81">
        <f>prodnorm33</f>
        <v>0</v>
      </c>
      <c r="N293" s="82">
        <f>dagwerk33</f>
        <v>0</v>
      </c>
      <c r="O293" s="78" t="s">
        <v>103</v>
      </c>
      <c r="P293" s="15">
        <f>uurtarief33</f>
        <v>0</v>
      </c>
      <c r="Q293" s="80" t="e">
        <f t="shared" si="73"/>
        <v>#DIV/0!</v>
      </c>
      <c r="R293" s="80" t="e">
        <f t="shared" si="74"/>
        <v>#DIV/0!</v>
      </c>
      <c r="S293" s="15" t="e">
        <f t="shared" si="75"/>
        <v>#DIV/0!</v>
      </c>
      <c r="T293" s="80" t="e">
        <f t="shared" si="76"/>
        <v>#DIV/0!</v>
      </c>
      <c r="U293" s="16" t="e">
        <f t="shared" si="77"/>
        <v>#DIV/0!</v>
      </c>
    </row>
    <row r="294" spans="1:21" x14ac:dyDescent="0.3">
      <c r="A294" s="77" t="s">
        <v>508</v>
      </c>
      <c r="B294" s="78" t="s">
        <v>40</v>
      </c>
      <c r="C294" s="78" t="s">
        <v>280</v>
      </c>
      <c r="D294" s="78" t="s">
        <v>549</v>
      </c>
      <c r="E294" s="79" t="s">
        <v>539</v>
      </c>
      <c r="F294" s="78" t="s">
        <v>526</v>
      </c>
      <c r="G294" s="78" t="s">
        <v>250</v>
      </c>
      <c r="H294" s="78" t="s">
        <v>11</v>
      </c>
      <c r="I294" s="78" t="s">
        <v>214</v>
      </c>
      <c r="J294" s="79" t="s">
        <v>251</v>
      </c>
      <c r="K294" s="80">
        <v>5.2</v>
      </c>
      <c r="L294" s="80">
        <f t="shared" si="72"/>
        <v>4.0784313725490193</v>
      </c>
      <c r="M294" s="81">
        <f>prodnorm30</f>
        <v>0</v>
      </c>
      <c r="N294" s="82">
        <f>dagwerk30</f>
        <v>0</v>
      </c>
      <c r="O294" s="78" t="s">
        <v>103</v>
      </c>
      <c r="P294" s="15">
        <f>uurtarief30</f>
        <v>0</v>
      </c>
      <c r="Q294" s="80" t="e">
        <f t="shared" si="73"/>
        <v>#DIV/0!</v>
      </c>
      <c r="R294" s="80" t="e">
        <f t="shared" si="74"/>
        <v>#DIV/0!</v>
      </c>
      <c r="S294" s="15" t="e">
        <f t="shared" si="75"/>
        <v>#DIV/0!</v>
      </c>
      <c r="T294" s="80" t="e">
        <f t="shared" si="76"/>
        <v>#DIV/0!</v>
      </c>
      <c r="U294" s="16" t="e">
        <f t="shared" si="77"/>
        <v>#DIV/0!</v>
      </c>
    </row>
    <row r="295" spans="1:21" x14ac:dyDescent="0.3">
      <c r="A295" s="77" t="s">
        <v>508</v>
      </c>
      <c r="B295" s="78" t="s">
        <v>40</v>
      </c>
      <c r="C295" s="78" t="s">
        <v>280</v>
      </c>
      <c r="D295" s="78" t="s">
        <v>550</v>
      </c>
      <c r="E295" s="79" t="s">
        <v>544</v>
      </c>
      <c r="F295" s="78" t="s">
        <v>526</v>
      </c>
      <c r="G295" s="78" t="s">
        <v>250</v>
      </c>
      <c r="H295" s="78" t="s">
        <v>11</v>
      </c>
      <c r="I295" s="78" t="s">
        <v>214</v>
      </c>
      <c r="J295" s="79" t="s">
        <v>251</v>
      </c>
      <c r="K295" s="80">
        <v>5.2</v>
      </c>
      <c r="L295" s="80">
        <f t="shared" si="72"/>
        <v>4.0784313725490193</v>
      </c>
      <c r="M295" s="81">
        <f>prodnorm30</f>
        <v>0</v>
      </c>
      <c r="N295" s="82">
        <f>dagwerk30</f>
        <v>0</v>
      </c>
      <c r="O295" s="78" t="s">
        <v>103</v>
      </c>
      <c r="P295" s="15">
        <f>uurtarief30</f>
        <v>0</v>
      </c>
      <c r="Q295" s="80" t="e">
        <f t="shared" si="73"/>
        <v>#DIV/0!</v>
      </c>
      <c r="R295" s="80" t="e">
        <f t="shared" si="74"/>
        <v>#DIV/0!</v>
      </c>
      <c r="S295" s="15" t="e">
        <f t="shared" si="75"/>
        <v>#DIV/0!</v>
      </c>
      <c r="T295" s="80" t="e">
        <f t="shared" si="76"/>
        <v>#DIV/0!</v>
      </c>
      <c r="U295" s="16" t="e">
        <f t="shared" si="77"/>
        <v>#DIV/0!</v>
      </c>
    </row>
    <row r="296" spans="1:21" x14ac:dyDescent="0.3">
      <c r="A296" s="77" t="s">
        <v>508</v>
      </c>
      <c r="B296" s="78" t="s">
        <v>40</v>
      </c>
      <c r="C296" s="78" t="s">
        <v>338</v>
      </c>
      <c r="D296" s="78" t="s">
        <v>339</v>
      </c>
      <c r="E296" s="79" t="s">
        <v>515</v>
      </c>
      <c r="F296" s="78" t="s">
        <v>509</v>
      </c>
      <c r="G296" s="78" t="s">
        <v>234</v>
      </c>
      <c r="H296" s="78" t="s">
        <v>11</v>
      </c>
      <c r="I296" s="78" t="s">
        <v>214</v>
      </c>
      <c r="J296" s="79" t="s">
        <v>235</v>
      </c>
      <c r="K296" s="80">
        <v>56.25</v>
      </c>
      <c r="L296" s="80">
        <f t="shared" si="72"/>
        <v>44.117647058823529</v>
      </c>
      <c r="M296" s="81">
        <f>prodnorm21</f>
        <v>0</v>
      </c>
      <c r="N296" s="82">
        <f>dagwerk21</f>
        <v>0</v>
      </c>
      <c r="O296" s="78" t="s">
        <v>103</v>
      </c>
      <c r="P296" s="15">
        <f>uurtarief21</f>
        <v>0</v>
      </c>
      <c r="Q296" s="80" t="e">
        <f t="shared" si="73"/>
        <v>#DIV/0!</v>
      </c>
      <c r="R296" s="80" t="e">
        <f t="shared" si="74"/>
        <v>#DIV/0!</v>
      </c>
      <c r="S296" s="15" t="e">
        <f t="shared" si="75"/>
        <v>#DIV/0!</v>
      </c>
      <c r="T296" s="80" t="e">
        <f t="shared" si="76"/>
        <v>#DIV/0!</v>
      </c>
      <c r="U296" s="16" t="e">
        <f t="shared" si="77"/>
        <v>#DIV/0!</v>
      </c>
    </row>
    <row r="297" spans="1:21" x14ac:dyDescent="0.3">
      <c r="A297" s="77" t="s">
        <v>508</v>
      </c>
      <c r="B297" s="78" t="s">
        <v>40</v>
      </c>
      <c r="C297" s="78" t="s">
        <v>338</v>
      </c>
      <c r="D297" s="78" t="s">
        <v>340</v>
      </c>
      <c r="E297" s="79" t="s">
        <v>515</v>
      </c>
      <c r="F297" s="78" t="s">
        <v>509</v>
      </c>
      <c r="G297" s="78" t="s">
        <v>234</v>
      </c>
      <c r="H297" s="78" t="s">
        <v>11</v>
      </c>
      <c r="I297" s="78" t="s">
        <v>214</v>
      </c>
      <c r="J297" s="79" t="s">
        <v>235</v>
      </c>
      <c r="K297" s="80">
        <v>56.25</v>
      </c>
      <c r="L297" s="80">
        <f t="shared" si="72"/>
        <v>44.117647058823529</v>
      </c>
      <c r="M297" s="81">
        <f>prodnorm21</f>
        <v>0</v>
      </c>
      <c r="N297" s="82">
        <f>dagwerk21</f>
        <v>0</v>
      </c>
      <c r="O297" s="78" t="s">
        <v>103</v>
      </c>
      <c r="P297" s="15">
        <f>uurtarief21</f>
        <v>0</v>
      </c>
      <c r="Q297" s="80" t="e">
        <f t="shared" si="73"/>
        <v>#DIV/0!</v>
      </c>
      <c r="R297" s="80" t="e">
        <f t="shared" si="74"/>
        <v>#DIV/0!</v>
      </c>
      <c r="S297" s="15" t="e">
        <f t="shared" si="75"/>
        <v>#DIV/0!</v>
      </c>
      <c r="T297" s="80" t="e">
        <f t="shared" si="76"/>
        <v>#DIV/0!</v>
      </c>
      <c r="U297" s="16" t="e">
        <f t="shared" si="77"/>
        <v>#DIV/0!</v>
      </c>
    </row>
    <row r="298" spans="1:21" x14ac:dyDescent="0.3">
      <c r="A298" s="77" t="s">
        <v>508</v>
      </c>
      <c r="B298" s="78" t="s">
        <v>40</v>
      </c>
      <c r="C298" s="78" t="s">
        <v>338</v>
      </c>
      <c r="D298" s="78" t="s">
        <v>341</v>
      </c>
      <c r="E298" s="79" t="s">
        <v>515</v>
      </c>
      <c r="F298" s="78" t="s">
        <v>509</v>
      </c>
      <c r="G298" s="78" t="s">
        <v>234</v>
      </c>
      <c r="H298" s="78" t="s">
        <v>11</v>
      </c>
      <c r="I298" s="78" t="s">
        <v>214</v>
      </c>
      <c r="J298" s="79" t="s">
        <v>235</v>
      </c>
      <c r="K298" s="80">
        <v>56.25</v>
      </c>
      <c r="L298" s="80">
        <f t="shared" si="72"/>
        <v>44.117647058823529</v>
      </c>
      <c r="M298" s="81">
        <f>prodnorm21</f>
        <v>0</v>
      </c>
      <c r="N298" s="82">
        <f>dagwerk21</f>
        <v>0</v>
      </c>
      <c r="O298" s="78" t="s">
        <v>103</v>
      </c>
      <c r="P298" s="15">
        <f>uurtarief21</f>
        <v>0</v>
      </c>
      <c r="Q298" s="80" t="e">
        <f t="shared" si="73"/>
        <v>#DIV/0!</v>
      </c>
      <c r="R298" s="80" t="e">
        <f t="shared" si="74"/>
        <v>#DIV/0!</v>
      </c>
      <c r="S298" s="15" t="e">
        <f t="shared" si="75"/>
        <v>#DIV/0!</v>
      </c>
      <c r="T298" s="80" t="e">
        <f t="shared" si="76"/>
        <v>#DIV/0!</v>
      </c>
      <c r="U298" s="16" t="e">
        <f t="shared" si="77"/>
        <v>#DIV/0!</v>
      </c>
    </row>
    <row r="299" spans="1:21" x14ac:dyDescent="0.3">
      <c r="A299" s="77" t="s">
        <v>508</v>
      </c>
      <c r="B299" s="78" t="s">
        <v>40</v>
      </c>
      <c r="C299" s="78" t="s">
        <v>338</v>
      </c>
      <c r="D299" s="78" t="s">
        <v>342</v>
      </c>
      <c r="E299" s="79" t="s">
        <v>511</v>
      </c>
      <c r="F299" s="78" t="s">
        <v>509</v>
      </c>
      <c r="G299" s="78" t="s">
        <v>216</v>
      </c>
      <c r="H299" s="78" t="s">
        <v>11</v>
      </c>
      <c r="I299" s="78" t="s">
        <v>214</v>
      </c>
      <c r="J299" s="79" t="s">
        <v>217</v>
      </c>
      <c r="K299" s="80">
        <v>13.34</v>
      </c>
      <c r="L299" s="80">
        <f t="shared" si="72"/>
        <v>10.462745098039216</v>
      </c>
      <c r="M299" s="81">
        <f>prodnorm6</f>
        <v>0</v>
      </c>
      <c r="N299" s="82">
        <f>dagwerk6</f>
        <v>0</v>
      </c>
      <c r="O299" s="78" t="s">
        <v>103</v>
      </c>
      <c r="P299" s="15">
        <f>uurtarief6</f>
        <v>0</v>
      </c>
      <c r="Q299" s="80" t="e">
        <f t="shared" si="73"/>
        <v>#DIV/0!</v>
      </c>
      <c r="R299" s="80" t="e">
        <f t="shared" si="74"/>
        <v>#DIV/0!</v>
      </c>
      <c r="S299" s="15" t="e">
        <f t="shared" si="75"/>
        <v>#DIV/0!</v>
      </c>
      <c r="T299" s="80" t="e">
        <f t="shared" si="76"/>
        <v>#DIV/0!</v>
      </c>
      <c r="U299" s="16" t="e">
        <f t="shared" si="77"/>
        <v>#DIV/0!</v>
      </c>
    </row>
    <row r="300" spans="1:21" x14ac:dyDescent="0.3">
      <c r="A300" s="77" t="s">
        <v>508</v>
      </c>
      <c r="B300" s="78" t="s">
        <v>40</v>
      </c>
      <c r="C300" s="78" t="s">
        <v>338</v>
      </c>
      <c r="D300" s="78" t="s">
        <v>344</v>
      </c>
      <c r="E300" s="79" t="s">
        <v>512</v>
      </c>
      <c r="F300" s="78" t="s">
        <v>509</v>
      </c>
      <c r="G300" s="78" t="s">
        <v>234</v>
      </c>
      <c r="H300" s="78" t="s">
        <v>11</v>
      </c>
      <c r="I300" s="78" t="s">
        <v>214</v>
      </c>
      <c r="J300" s="79" t="s">
        <v>235</v>
      </c>
      <c r="K300" s="80">
        <v>108.14999999999999</v>
      </c>
      <c r="L300" s="80">
        <f t="shared" si="72"/>
        <v>84.823529411764696</v>
      </c>
      <c r="M300" s="81">
        <f>prodnorm21</f>
        <v>0</v>
      </c>
      <c r="N300" s="82">
        <f>dagwerk21</f>
        <v>0</v>
      </c>
      <c r="O300" s="78" t="s">
        <v>103</v>
      </c>
      <c r="P300" s="15">
        <f>uurtarief21</f>
        <v>0</v>
      </c>
      <c r="Q300" s="80" t="e">
        <f t="shared" si="73"/>
        <v>#DIV/0!</v>
      </c>
      <c r="R300" s="80" t="e">
        <f t="shared" si="74"/>
        <v>#DIV/0!</v>
      </c>
      <c r="S300" s="15" t="e">
        <f t="shared" si="75"/>
        <v>#DIV/0!</v>
      </c>
      <c r="T300" s="80" t="e">
        <f t="shared" si="76"/>
        <v>#DIV/0!</v>
      </c>
      <c r="U300" s="16" t="e">
        <f t="shared" si="77"/>
        <v>#DIV/0!</v>
      </c>
    </row>
    <row r="301" spans="1:21" x14ac:dyDescent="0.3">
      <c r="A301" s="77" t="s">
        <v>508</v>
      </c>
      <c r="B301" s="78" t="s">
        <v>40</v>
      </c>
      <c r="C301" s="78" t="s">
        <v>338</v>
      </c>
      <c r="D301" s="78" t="s">
        <v>345</v>
      </c>
      <c r="E301" s="79" t="s">
        <v>511</v>
      </c>
      <c r="F301" s="78" t="s">
        <v>509</v>
      </c>
      <c r="G301" s="78" t="s">
        <v>216</v>
      </c>
      <c r="H301" s="78" t="s">
        <v>11</v>
      </c>
      <c r="I301" s="78" t="s">
        <v>214</v>
      </c>
      <c r="J301" s="79" t="s">
        <v>217</v>
      </c>
      <c r="K301" s="80">
        <v>17.39</v>
      </c>
      <c r="L301" s="80">
        <f t="shared" si="72"/>
        <v>13.639215686274509</v>
      </c>
      <c r="M301" s="81">
        <f>prodnorm6</f>
        <v>0</v>
      </c>
      <c r="N301" s="82">
        <f>dagwerk6</f>
        <v>0</v>
      </c>
      <c r="O301" s="78" t="s">
        <v>103</v>
      </c>
      <c r="P301" s="15">
        <f>uurtarief6</f>
        <v>0</v>
      </c>
      <c r="Q301" s="80" t="e">
        <f t="shared" si="73"/>
        <v>#DIV/0!</v>
      </c>
      <c r="R301" s="80" t="e">
        <f t="shared" si="74"/>
        <v>#DIV/0!</v>
      </c>
      <c r="S301" s="15" t="e">
        <f t="shared" si="75"/>
        <v>#DIV/0!</v>
      </c>
      <c r="T301" s="80" t="e">
        <f t="shared" si="76"/>
        <v>#DIV/0!</v>
      </c>
      <c r="U301" s="16" t="e">
        <f t="shared" si="77"/>
        <v>#DIV/0!</v>
      </c>
    </row>
    <row r="302" spans="1:21" x14ac:dyDescent="0.3">
      <c r="A302" s="77" t="s">
        <v>508</v>
      </c>
      <c r="B302" s="78" t="s">
        <v>40</v>
      </c>
      <c r="C302" s="78" t="s">
        <v>338</v>
      </c>
      <c r="D302" s="78" t="s">
        <v>346</v>
      </c>
      <c r="E302" s="79" t="s">
        <v>515</v>
      </c>
      <c r="F302" s="78" t="s">
        <v>509</v>
      </c>
      <c r="G302" s="78" t="s">
        <v>234</v>
      </c>
      <c r="H302" s="78" t="s">
        <v>11</v>
      </c>
      <c r="I302" s="78" t="s">
        <v>214</v>
      </c>
      <c r="J302" s="79" t="s">
        <v>235</v>
      </c>
      <c r="K302" s="80">
        <v>66.75</v>
      </c>
      <c r="L302" s="80">
        <f t="shared" si="72"/>
        <v>52.352941176470587</v>
      </c>
      <c r="M302" s="81">
        <f>prodnorm21</f>
        <v>0</v>
      </c>
      <c r="N302" s="82">
        <f>dagwerk21</f>
        <v>0</v>
      </c>
      <c r="O302" s="78" t="s">
        <v>103</v>
      </c>
      <c r="P302" s="15">
        <f>uurtarief21</f>
        <v>0</v>
      </c>
      <c r="Q302" s="80" t="e">
        <f t="shared" si="73"/>
        <v>#DIV/0!</v>
      </c>
      <c r="R302" s="80" t="e">
        <f t="shared" si="74"/>
        <v>#DIV/0!</v>
      </c>
      <c r="S302" s="15" t="e">
        <f t="shared" si="75"/>
        <v>#DIV/0!</v>
      </c>
      <c r="T302" s="80" t="e">
        <f t="shared" si="76"/>
        <v>#DIV/0!</v>
      </c>
      <c r="U302" s="16" t="e">
        <f t="shared" si="77"/>
        <v>#DIV/0!</v>
      </c>
    </row>
    <row r="303" spans="1:21" x14ac:dyDescent="0.3">
      <c r="A303" s="77" t="s">
        <v>508</v>
      </c>
      <c r="B303" s="78" t="s">
        <v>40</v>
      </c>
      <c r="C303" s="78" t="s">
        <v>338</v>
      </c>
      <c r="D303" s="78" t="s">
        <v>347</v>
      </c>
      <c r="E303" s="79" t="s">
        <v>515</v>
      </c>
      <c r="F303" s="78" t="s">
        <v>509</v>
      </c>
      <c r="G303" s="78" t="s">
        <v>234</v>
      </c>
      <c r="H303" s="78" t="s">
        <v>11</v>
      </c>
      <c r="I303" s="78" t="s">
        <v>214</v>
      </c>
      <c r="J303" s="79" t="s">
        <v>235</v>
      </c>
      <c r="K303" s="80">
        <v>59.47</v>
      </c>
      <c r="L303" s="80">
        <f t="shared" si="72"/>
        <v>46.643137254901958</v>
      </c>
      <c r="M303" s="81">
        <f>prodnorm21</f>
        <v>0</v>
      </c>
      <c r="N303" s="82">
        <f>dagwerk21</f>
        <v>0</v>
      </c>
      <c r="O303" s="78" t="s">
        <v>103</v>
      </c>
      <c r="P303" s="15">
        <f>uurtarief21</f>
        <v>0</v>
      </c>
      <c r="Q303" s="80" t="e">
        <f t="shared" si="73"/>
        <v>#DIV/0!</v>
      </c>
      <c r="R303" s="80" t="e">
        <f t="shared" si="74"/>
        <v>#DIV/0!</v>
      </c>
      <c r="S303" s="15" t="e">
        <f t="shared" si="75"/>
        <v>#DIV/0!</v>
      </c>
      <c r="T303" s="80" t="e">
        <f t="shared" si="76"/>
        <v>#DIV/0!</v>
      </c>
      <c r="U303" s="16" t="e">
        <f t="shared" si="77"/>
        <v>#DIV/0!</v>
      </c>
    </row>
    <row r="304" spans="1:21" ht="27" x14ac:dyDescent="0.3">
      <c r="A304" s="77" t="s">
        <v>508</v>
      </c>
      <c r="B304" s="78" t="s">
        <v>40</v>
      </c>
      <c r="C304" s="78" t="s">
        <v>338</v>
      </c>
      <c r="D304" s="78" t="s">
        <v>348</v>
      </c>
      <c r="E304" s="79" t="s">
        <v>551</v>
      </c>
      <c r="F304" s="78" t="s">
        <v>509</v>
      </c>
      <c r="G304" s="78" t="s">
        <v>256</v>
      </c>
      <c r="H304" s="78" t="s">
        <v>11</v>
      </c>
      <c r="I304" s="78" t="s">
        <v>214</v>
      </c>
      <c r="J304" s="79" t="s">
        <v>257</v>
      </c>
      <c r="K304" s="80">
        <v>12.54</v>
      </c>
      <c r="L304" s="80">
        <f t="shared" si="72"/>
        <v>9.8352941176470576</v>
      </c>
      <c r="M304" s="81">
        <f>prodnorm33</f>
        <v>0</v>
      </c>
      <c r="N304" s="82">
        <f>dagwerk33</f>
        <v>0</v>
      </c>
      <c r="O304" s="78" t="s">
        <v>103</v>
      </c>
      <c r="P304" s="15">
        <f>uurtarief33</f>
        <v>0</v>
      </c>
      <c r="Q304" s="80" t="e">
        <f t="shared" si="73"/>
        <v>#DIV/0!</v>
      </c>
      <c r="R304" s="80" t="e">
        <f t="shared" si="74"/>
        <v>#DIV/0!</v>
      </c>
      <c r="S304" s="15" t="e">
        <f t="shared" si="75"/>
        <v>#DIV/0!</v>
      </c>
      <c r="T304" s="80" t="e">
        <f t="shared" si="76"/>
        <v>#DIV/0!</v>
      </c>
      <c r="U304" s="16" t="e">
        <f t="shared" si="77"/>
        <v>#DIV/0!</v>
      </c>
    </row>
    <row r="305" spans="1:21" ht="27" x14ac:dyDescent="0.3">
      <c r="A305" s="77" t="s">
        <v>508</v>
      </c>
      <c r="B305" s="78" t="s">
        <v>40</v>
      </c>
      <c r="C305" s="78" t="s">
        <v>338</v>
      </c>
      <c r="D305" s="78" t="s">
        <v>349</v>
      </c>
      <c r="E305" s="79" t="s">
        <v>552</v>
      </c>
      <c r="F305" s="78" t="s">
        <v>509</v>
      </c>
      <c r="G305" s="78" t="s">
        <v>300</v>
      </c>
      <c r="H305" s="78"/>
      <c r="I305" s="78"/>
      <c r="J305" s="78"/>
      <c r="K305" s="80">
        <v>12.219999999999999</v>
      </c>
      <c r="L305" s="80"/>
      <c r="M305" s="81"/>
      <c r="N305" s="82"/>
      <c r="O305" s="78"/>
      <c r="P305" s="15"/>
      <c r="Q305" s="80"/>
      <c r="R305" s="80"/>
      <c r="S305" s="15"/>
      <c r="T305" s="83"/>
      <c r="U305" s="16"/>
    </row>
    <row r="306" spans="1:21" x14ac:dyDescent="0.3">
      <c r="A306" s="77" t="s">
        <v>508</v>
      </c>
      <c r="B306" s="78" t="s">
        <v>40</v>
      </c>
      <c r="C306" s="78" t="s">
        <v>338</v>
      </c>
      <c r="D306" s="78" t="s">
        <v>351</v>
      </c>
      <c r="E306" s="79" t="s">
        <v>511</v>
      </c>
      <c r="F306" s="78" t="s">
        <v>482</v>
      </c>
      <c r="G306" s="78" t="s">
        <v>216</v>
      </c>
      <c r="H306" s="78" t="s">
        <v>11</v>
      </c>
      <c r="I306" s="78" t="s">
        <v>214</v>
      </c>
      <c r="J306" s="79" t="s">
        <v>217</v>
      </c>
      <c r="K306" s="80">
        <v>19.399999999999999</v>
      </c>
      <c r="L306" s="80">
        <f t="shared" ref="L306:L312" si="78">K306*VLOOKUP(H306,dagsoorttabel1,2,FALSE)</f>
        <v>15.215686274509803</v>
      </c>
      <c r="M306" s="81">
        <f>prodnorm6</f>
        <v>0</v>
      </c>
      <c r="N306" s="82">
        <f>dagwerk6</f>
        <v>0</v>
      </c>
      <c r="O306" s="78" t="s">
        <v>103</v>
      </c>
      <c r="P306" s="15">
        <f>uurtarief6</f>
        <v>0</v>
      </c>
      <c r="Q306" s="80" t="e">
        <f t="shared" ref="Q306:Q312" si="79">IF(ISBLANK(M306),0,L306/ROUND(M306,4))</f>
        <v>#DIV/0!</v>
      </c>
      <c r="R306" s="80" t="e">
        <f t="shared" ref="R306:R312" si="80">IF(ISBLANK(M306),0,Q306*ROUND(N306,2))</f>
        <v>#DIV/0!</v>
      </c>
      <c r="S306" s="15" t="e">
        <f t="shared" ref="S306:S312" si="81">ROUND(P306,2)*Q306</f>
        <v>#DIV/0!</v>
      </c>
      <c r="T306" s="80" t="e">
        <f t="shared" ref="T306:T312" si="82">Q306*dagenperjaar1</f>
        <v>#DIV/0!</v>
      </c>
      <c r="U306" s="16" t="e">
        <f t="shared" ref="U306:U312" si="83">T306*ROUND(P306,2)</f>
        <v>#DIV/0!</v>
      </c>
    </row>
    <row r="307" spans="1:21" x14ac:dyDescent="0.3">
      <c r="A307" s="77" t="s">
        <v>508</v>
      </c>
      <c r="B307" s="78" t="s">
        <v>40</v>
      </c>
      <c r="C307" s="78" t="s">
        <v>338</v>
      </c>
      <c r="D307" s="78" t="s">
        <v>352</v>
      </c>
      <c r="E307" s="79" t="s">
        <v>511</v>
      </c>
      <c r="F307" s="78" t="s">
        <v>482</v>
      </c>
      <c r="G307" s="78" t="s">
        <v>216</v>
      </c>
      <c r="H307" s="78" t="s">
        <v>11</v>
      </c>
      <c r="I307" s="78" t="s">
        <v>214</v>
      </c>
      <c r="J307" s="79" t="s">
        <v>217</v>
      </c>
      <c r="K307" s="80">
        <v>26.79</v>
      </c>
      <c r="L307" s="80">
        <f t="shared" si="78"/>
        <v>21.011764705882353</v>
      </c>
      <c r="M307" s="81">
        <f>prodnorm6</f>
        <v>0</v>
      </c>
      <c r="N307" s="82">
        <f>dagwerk6</f>
        <v>0</v>
      </c>
      <c r="O307" s="78" t="s">
        <v>103</v>
      </c>
      <c r="P307" s="15">
        <f>uurtarief6</f>
        <v>0</v>
      </c>
      <c r="Q307" s="80" t="e">
        <f t="shared" si="79"/>
        <v>#DIV/0!</v>
      </c>
      <c r="R307" s="80" t="e">
        <f t="shared" si="80"/>
        <v>#DIV/0!</v>
      </c>
      <c r="S307" s="15" t="e">
        <f t="shared" si="81"/>
        <v>#DIV/0!</v>
      </c>
      <c r="T307" s="80" t="e">
        <f t="shared" si="82"/>
        <v>#DIV/0!</v>
      </c>
      <c r="U307" s="16" t="e">
        <f t="shared" si="83"/>
        <v>#DIV/0!</v>
      </c>
    </row>
    <row r="308" spans="1:21" x14ac:dyDescent="0.3">
      <c r="A308" s="77" t="s">
        <v>508</v>
      </c>
      <c r="B308" s="78" t="s">
        <v>40</v>
      </c>
      <c r="C308" s="78" t="s">
        <v>338</v>
      </c>
      <c r="D308" s="78" t="s">
        <v>354</v>
      </c>
      <c r="E308" s="79" t="s">
        <v>511</v>
      </c>
      <c r="F308" s="78" t="s">
        <v>482</v>
      </c>
      <c r="G308" s="78" t="s">
        <v>216</v>
      </c>
      <c r="H308" s="78" t="s">
        <v>11</v>
      </c>
      <c r="I308" s="78" t="s">
        <v>214</v>
      </c>
      <c r="J308" s="79" t="s">
        <v>217</v>
      </c>
      <c r="K308" s="80">
        <v>21.6</v>
      </c>
      <c r="L308" s="80">
        <f t="shared" si="78"/>
        <v>16.941176470588236</v>
      </c>
      <c r="M308" s="81">
        <f>prodnorm6</f>
        <v>0</v>
      </c>
      <c r="N308" s="82">
        <f>dagwerk6</f>
        <v>0</v>
      </c>
      <c r="O308" s="78" t="s">
        <v>103</v>
      </c>
      <c r="P308" s="15">
        <f>uurtarief6</f>
        <v>0</v>
      </c>
      <c r="Q308" s="80" t="e">
        <f t="shared" si="79"/>
        <v>#DIV/0!</v>
      </c>
      <c r="R308" s="80" t="e">
        <f t="shared" si="80"/>
        <v>#DIV/0!</v>
      </c>
      <c r="S308" s="15" t="e">
        <f t="shared" si="81"/>
        <v>#DIV/0!</v>
      </c>
      <c r="T308" s="80" t="e">
        <f t="shared" si="82"/>
        <v>#DIV/0!</v>
      </c>
      <c r="U308" s="16" t="e">
        <f t="shared" si="83"/>
        <v>#DIV/0!</v>
      </c>
    </row>
    <row r="309" spans="1:21" x14ac:dyDescent="0.3">
      <c r="A309" s="77" t="s">
        <v>508</v>
      </c>
      <c r="B309" s="78" t="s">
        <v>40</v>
      </c>
      <c r="C309" s="78" t="s">
        <v>338</v>
      </c>
      <c r="D309" s="78" t="s">
        <v>355</v>
      </c>
      <c r="E309" s="79" t="s">
        <v>553</v>
      </c>
      <c r="F309" s="78" t="s">
        <v>482</v>
      </c>
      <c r="G309" s="78" t="s">
        <v>216</v>
      </c>
      <c r="H309" s="78" t="s">
        <v>11</v>
      </c>
      <c r="I309" s="78" t="s">
        <v>214</v>
      </c>
      <c r="J309" s="79" t="s">
        <v>217</v>
      </c>
      <c r="K309" s="80">
        <v>111.7</v>
      </c>
      <c r="L309" s="80">
        <f t="shared" si="78"/>
        <v>87.607843137254903</v>
      </c>
      <c r="M309" s="81">
        <f>prodnorm6</f>
        <v>0</v>
      </c>
      <c r="N309" s="82">
        <f>dagwerk6</f>
        <v>0</v>
      </c>
      <c r="O309" s="78" t="s">
        <v>103</v>
      </c>
      <c r="P309" s="15">
        <f>uurtarief6</f>
        <v>0</v>
      </c>
      <c r="Q309" s="80" t="e">
        <f t="shared" si="79"/>
        <v>#DIV/0!</v>
      </c>
      <c r="R309" s="80" t="e">
        <f t="shared" si="80"/>
        <v>#DIV/0!</v>
      </c>
      <c r="S309" s="15" t="e">
        <f t="shared" si="81"/>
        <v>#DIV/0!</v>
      </c>
      <c r="T309" s="80" t="e">
        <f t="shared" si="82"/>
        <v>#DIV/0!</v>
      </c>
      <c r="U309" s="16" t="e">
        <f t="shared" si="83"/>
        <v>#DIV/0!</v>
      </c>
    </row>
    <row r="310" spans="1:21" x14ac:dyDescent="0.3">
      <c r="A310" s="77" t="s">
        <v>508</v>
      </c>
      <c r="B310" s="78" t="s">
        <v>40</v>
      </c>
      <c r="C310" s="78" t="s">
        <v>338</v>
      </c>
      <c r="D310" s="78" t="s">
        <v>356</v>
      </c>
      <c r="E310" s="79" t="s">
        <v>515</v>
      </c>
      <c r="F310" s="78" t="s">
        <v>509</v>
      </c>
      <c r="G310" s="78" t="s">
        <v>234</v>
      </c>
      <c r="H310" s="78" t="s">
        <v>11</v>
      </c>
      <c r="I310" s="78" t="s">
        <v>214</v>
      </c>
      <c r="J310" s="79" t="s">
        <v>235</v>
      </c>
      <c r="K310" s="80">
        <v>57.8</v>
      </c>
      <c r="L310" s="80">
        <f t="shared" si="78"/>
        <v>45.333333333333329</v>
      </c>
      <c r="M310" s="81">
        <f>prodnorm21</f>
        <v>0</v>
      </c>
      <c r="N310" s="82">
        <f>dagwerk21</f>
        <v>0</v>
      </c>
      <c r="O310" s="78" t="s">
        <v>103</v>
      </c>
      <c r="P310" s="15">
        <f>uurtarief21</f>
        <v>0</v>
      </c>
      <c r="Q310" s="80" t="e">
        <f t="shared" si="79"/>
        <v>#DIV/0!</v>
      </c>
      <c r="R310" s="80" t="e">
        <f t="shared" si="80"/>
        <v>#DIV/0!</v>
      </c>
      <c r="S310" s="15" t="e">
        <f t="shared" si="81"/>
        <v>#DIV/0!</v>
      </c>
      <c r="T310" s="80" t="e">
        <f t="shared" si="82"/>
        <v>#DIV/0!</v>
      </c>
      <c r="U310" s="16" t="e">
        <f t="shared" si="83"/>
        <v>#DIV/0!</v>
      </c>
    </row>
    <row r="311" spans="1:21" x14ac:dyDescent="0.3">
      <c r="A311" s="77" t="s">
        <v>508</v>
      </c>
      <c r="B311" s="78" t="s">
        <v>40</v>
      </c>
      <c r="C311" s="78" t="s">
        <v>338</v>
      </c>
      <c r="D311" s="78" t="s">
        <v>357</v>
      </c>
      <c r="E311" s="79" t="s">
        <v>515</v>
      </c>
      <c r="F311" s="78" t="s">
        <v>509</v>
      </c>
      <c r="G311" s="78" t="s">
        <v>234</v>
      </c>
      <c r="H311" s="78" t="s">
        <v>11</v>
      </c>
      <c r="I311" s="78" t="s">
        <v>214</v>
      </c>
      <c r="J311" s="79" t="s">
        <v>235</v>
      </c>
      <c r="K311" s="80">
        <v>57.8</v>
      </c>
      <c r="L311" s="80">
        <f t="shared" si="78"/>
        <v>45.333333333333329</v>
      </c>
      <c r="M311" s="81">
        <f>prodnorm21</f>
        <v>0</v>
      </c>
      <c r="N311" s="82">
        <f>dagwerk21</f>
        <v>0</v>
      </c>
      <c r="O311" s="78" t="s">
        <v>103</v>
      </c>
      <c r="P311" s="15">
        <f>uurtarief21</f>
        <v>0</v>
      </c>
      <c r="Q311" s="80" t="e">
        <f t="shared" si="79"/>
        <v>#DIV/0!</v>
      </c>
      <c r="R311" s="80" t="e">
        <f t="shared" si="80"/>
        <v>#DIV/0!</v>
      </c>
      <c r="S311" s="15" t="e">
        <f t="shared" si="81"/>
        <v>#DIV/0!</v>
      </c>
      <c r="T311" s="80" t="e">
        <f t="shared" si="82"/>
        <v>#DIV/0!</v>
      </c>
      <c r="U311" s="16" t="e">
        <f t="shared" si="83"/>
        <v>#DIV/0!</v>
      </c>
    </row>
    <row r="312" spans="1:21" x14ac:dyDescent="0.3">
      <c r="A312" s="77" t="s">
        <v>508</v>
      </c>
      <c r="B312" s="78" t="s">
        <v>40</v>
      </c>
      <c r="C312" s="78" t="s">
        <v>338</v>
      </c>
      <c r="D312" s="78" t="s">
        <v>358</v>
      </c>
      <c r="E312" s="79" t="s">
        <v>515</v>
      </c>
      <c r="F312" s="78" t="s">
        <v>509</v>
      </c>
      <c r="G312" s="78" t="s">
        <v>234</v>
      </c>
      <c r="H312" s="78" t="s">
        <v>11</v>
      </c>
      <c r="I312" s="78" t="s">
        <v>214</v>
      </c>
      <c r="J312" s="79" t="s">
        <v>235</v>
      </c>
      <c r="K312" s="80">
        <v>58.260000000000005</v>
      </c>
      <c r="L312" s="80">
        <f t="shared" si="78"/>
        <v>45.694117647058825</v>
      </c>
      <c r="M312" s="81">
        <f>prodnorm21</f>
        <v>0</v>
      </c>
      <c r="N312" s="82">
        <f>dagwerk21</f>
        <v>0</v>
      </c>
      <c r="O312" s="78" t="s">
        <v>103</v>
      </c>
      <c r="P312" s="15">
        <f>uurtarief21</f>
        <v>0</v>
      </c>
      <c r="Q312" s="80" t="e">
        <f t="shared" si="79"/>
        <v>#DIV/0!</v>
      </c>
      <c r="R312" s="80" t="e">
        <f t="shared" si="80"/>
        <v>#DIV/0!</v>
      </c>
      <c r="S312" s="15" t="e">
        <f t="shared" si="81"/>
        <v>#DIV/0!</v>
      </c>
      <c r="T312" s="80" t="e">
        <f t="shared" si="82"/>
        <v>#DIV/0!</v>
      </c>
      <c r="U312" s="16" t="e">
        <f t="shared" si="83"/>
        <v>#DIV/0!</v>
      </c>
    </row>
    <row r="313" spans="1:21" x14ac:dyDescent="0.3">
      <c r="A313" s="77" t="s">
        <v>508</v>
      </c>
      <c r="B313" s="78" t="s">
        <v>40</v>
      </c>
      <c r="C313" s="78" t="s">
        <v>338</v>
      </c>
      <c r="D313" s="78" t="s">
        <v>360</v>
      </c>
      <c r="E313" s="79" t="s">
        <v>520</v>
      </c>
      <c r="F313" s="78" t="s">
        <v>509</v>
      </c>
      <c r="G313" s="78" t="s">
        <v>300</v>
      </c>
      <c r="H313" s="78"/>
      <c r="I313" s="78"/>
      <c r="J313" s="78"/>
      <c r="K313" s="80">
        <v>1.9200000000000002</v>
      </c>
      <c r="L313" s="80"/>
      <c r="M313" s="81"/>
      <c r="N313" s="82"/>
      <c r="O313" s="78"/>
      <c r="P313" s="15"/>
      <c r="Q313" s="80"/>
      <c r="R313" s="80"/>
      <c r="S313" s="15"/>
      <c r="T313" s="83"/>
      <c r="U313" s="16"/>
    </row>
    <row r="314" spans="1:21" x14ac:dyDescent="0.3">
      <c r="A314" s="77" t="s">
        <v>508</v>
      </c>
      <c r="B314" s="78" t="s">
        <v>40</v>
      </c>
      <c r="C314" s="78" t="s">
        <v>338</v>
      </c>
      <c r="D314" s="78" t="s">
        <v>361</v>
      </c>
      <c r="E314" s="79" t="s">
        <v>554</v>
      </c>
      <c r="F314" s="78" t="s">
        <v>509</v>
      </c>
      <c r="G314" s="78" t="s">
        <v>216</v>
      </c>
      <c r="H314" s="78" t="s">
        <v>11</v>
      </c>
      <c r="I314" s="78" t="s">
        <v>214</v>
      </c>
      <c r="J314" s="79" t="s">
        <v>217</v>
      </c>
      <c r="K314" s="80">
        <v>17.100000000000001</v>
      </c>
      <c r="L314" s="80">
        <f t="shared" ref="L314:L324" si="84">K314*VLOOKUP(H314,dagsoorttabel1,2,FALSE)</f>
        <v>13.411764705882353</v>
      </c>
      <c r="M314" s="81">
        <f>prodnorm6</f>
        <v>0</v>
      </c>
      <c r="N314" s="82">
        <f>dagwerk6</f>
        <v>0</v>
      </c>
      <c r="O314" s="78" t="s">
        <v>103</v>
      </c>
      <c r="P314" s="15">
        <f>uurtarief6</f>
        <v>0</v>
      </c>
      <c r="Q314" s="80" t="e">
        <f t="shared" ref="Q314:Q324" si="85">IF(ISBLANK(M314),0,L314/ROUND(M314,4))</f>
        <v>#DIV/0!</v>
      </c>
      <c r="R314" s="80" t="e">
        <f t="shared" ref="R314:R324" si="86">IF(ISBLANK(M314),0,Q314*ROUND(N314,2))</f>
        <v>#DIV/0!</v>
      </c>
      <c r="S314" s="15" t="e">
        <f t="shared" ref="S314:S324" si="87">ROUND(P314,2)*Q314</f>
        <v>#DIV/0!</v>
      </c>
      <c r="T314" s="80" t="e">
        <f t="shared" ref="T314:T324" si="88">Q314*dagenperjaar1</f>
        <v>#DIV/0!</v>
      </c>
      <c r="U314" s="16" t="e">
        <f t="shared" ref="U314:U324" si="89">T314*ROUND(P314,2)</f>
        <v>#DIV/0!</v>
      </c>
    </row>
    <row r="315" spans="1:21" ht="27" x14ac:dyDescent="0.3">
      <c r="A315" s="77" t="s">
        <v>508</v>
      </c>
      <c r="B315" s="78" t="s">
        <v>40</v>
      </c>
      <c r="C315" s="78" t="s">
        <v>338</v>
      </c>
      <c r="D315" s="78" t="s">
        <v>363</v>
      </c>
      <c r="E315" s="79" t="s">
        <v>521</v>
      </c>
      <c r="F315" s="78" t="s">
        <v>509</v>
      </c>
      <c r="G315" s="78" t="s">
        <v>256</v>
      </c>
      <c r="H315" s="78" t="s">
        <v>11</v>
      </c>
      <c r="I315" s="78" t="s">
        <v>214</v>
      </c>
      <c r="J315" s="79" t="s">
        <v>257</v>
      </c>
      <c r="K315" s="80">
        <v>46.309999999999995</v>
      </c>
      <c r="L315" s="80">
        <f t="shared" si="84"/>
        <v>36.321568627450979</v>
      </c>
      <c r="M315" s="81">
        <f>prodnorm33</f>
        <v>0</v>
      </c>
      <c r="N315" s="82">
        <f>dagwerk33</f>
        <v>0</v>
      </c>
      <c r="O315" s="78" t="s">
        <v>103</v>
      </c>
      <c r="P315" s="15">
        <f>uurtarief33</f>
        <v>0</v>
      </c>
      <c r="Q315" s="80" t="e">
        <f t="shared" si="85"/>
        <v>#DIV/0!</v>
      </c>
      <c r="R315" s="80" t="e">
        <f t="shared" si="86"/>
        <v>#DIV/0!</v>
      </c>
      <c r="S315" s="15" t="e">
        <f t="shared" si="87"/>
        <v>#DIV/0!</v>
      </c>
      <c r="T315" s="80" t="e">
        <f t="shared" si="88"/>
        <v>#DIV/0!</v>
      </c>
      <c r="U315" s="16" t="e">
        <f t="shared" si="89"/>
        <v>#DIV/0!</v>
      </c>
    </row>
    <row r="316" spans="1:21" x14ac:dyDescent="0.3">
      <c r="A316" s="77" t="s">
        <v>508</v>
      </c>
      <c r="B316" s="78" t="s">
        <v>40</v>
      </c>
      <c r="C316" s="78" t="s">
        <v>338</v>
      </c>
      <c r="D316" s="78" t="s">
        <v>365</v>
      </c>
      <c r="E316" s="79" t="s">
        <v>528</v>
      </c>
      <c r="F316" s="78" t="s">
        <v>526</v>
      </c>
      <c r="G316" s="78" t="s">
        <v>250</v>
      </c>
      <c r="H316" s="78" t="s">
        <v>11</v>
      </c>
      <c r="I316" s="78" t="s">
        <v>214</v>
      </c>
      <c r="J316" s="79" t="s">
        <v>251</v>
      </c>
      <c r="K316" s="80">
        <v>4.9000000000000004</v>
      </c>
      <c r="L316" s="80">
        <f t="shared" si="84"/>
        <v>3.8431372549019609</v>
      </c>
      <c r="M316" s="81">
        <f>prodnorm30</f>
        <v>0</v>
      </c>
      <c r="N316" s="82">
        <f>dagwerk30</f>
        <v>0</v>
      </c>
      <c r="O316" s="78" t="s">
        <v>103</v>
      </c>
      <c r="P316" s="15">
        <f>uurtarief30</f>
        <v>0</v>
      </c>
      <c r="Q316" s="80" t="e">
        <f t="shared" si="85"/>
        <v>#DIV/0!</v>
      </c>
      <c r="R316" s="80" t="e">
        <f t="shared" si="86"/>
        <v>#DIV/0!</v>
      </c>
      <c r="S316" s="15" t="e">
        <f t="shared" si="87"/>
        <v>#DIV/0!</v>
      </c>
      <c r="T316" s="80" t="e">
        <f t="shared" si="88"/>
        <v>#DIV/0!</v>
      </c>
      <c r="U316" s="16" t="e">
        <f t="shared" si="89"/>
        <v>#DIV/0!</v>
      </c>
    </row>
    <row r="317" spans="1:21" ht="27" x14ac:dyDescent="0.3">
      <c r="A317" s="77" t="s">
        <v>508</v>
      </c>
      <c r="B317" s="78" t="s">
        <v>40</v>
      </c>
      <c r="C317" s="78" t="s">
        <v>338</v>
      </c>
      <c r="D317" s="78" t="s">
        <v>366</v>
      </c>
      <c r="E317" s="79" t="s">
        <v>521</v>
      </c>
      <c r="F317" s="78" t="s">
        <v>509</v>
      </c>
      <c r="G317" s="78" t="s">
        <v>256</v>
      </c>
      <c r="H317" s="78" t="s">
        <v>11</v>
      </c>
      <c r="I317" s="78" t="s">
        <v>214</v>
      </c>
      <c r="J317" s="79" t="s">
        <v>257</v>
      </c>
      <c r="K317" s="80">
        <v>16.18</v>
      </c>
      <c r="L317" s="80">
        <f t="shared" si="84"/>
        <v>12.690196078431372</v>
      </c>
      <c r="M317" s="81">
        <f>prodnorm33</f>
        <v>0</v>
      </c>
      <c r="N317" s="82">
        <f>dagwerk33</f>
        <v>0</v>
      </c>
      <c r="O317" s="78" t="s">
        <v>103</v>
      </c>
      <c r="P317" s="15">
        <f>uurtarief33</f>
        <v>0</v>
      </c>
      <c r="Q317" s="80" t="e">
        <f t="shared" si="85"/>
        <v>#DIV/0!</v>
      </c>
      <c r="R317" s="80" t="e">
        <f t="shared" si="86"/>
        <v>#DIV/0!</v>
      </c>
      <c r="S317" s="15" t="e">
        <f t="shared" si="87"/>
        <v>#DIV/0!</v>
      </c>
      <c r="T317" s="80" t="e">
        <f t="shared" si="88"/>
        <v>#DIV/0!</v>
      </c>
      <c r="U317" s="16" t="e">
        <f t="shared" si="89"/>
        <v>#DIV/0!</v>
      </c>
    </row>
    <row r="318" spans="1:21" x14ac:dyDescent="0.3">
      <c r="A318" s="77" t="s">
        <v>508</v>
      </c>
      <c r="B318" s="78" t="s">
        <v>40</v>
      </c>
      <c r="C318" s="78" t="s">
        <v>338</v>
      </c>
      <c r="D318" s="78" t="s">
        <v>367</v>
      </c>
      <c r="E318" s="79" t="s">
        <v>555</v>
      </c>
      <c r="F318" s="78" t="s">
        <v>526</v>
      </c>
      <c r="G318" s="78" t="s">
        <v>250</v>
      </c>
      <c r="H318" s="78" t="s">
        <v>11</v>
      </c>
      <c r="I318" s="78" t="s">
        <v>214</v>
      </c>
      <c r="J318" s="79" t="s">
        <v>251</v>
      </c>
      <c r="K318" s="80">
        <v>5.13</v>
      </c>
      <c r="L318" s="80">
        <f t="shared" si="84"/>
        <v>4.0235294117647058</v>
      </c>
      <c r="M318" s="81">
        <f>prodnorm30</f>
        <v>0</v>
      </c>
      <c r="N318" s="82">
        <f>dagwerk30</f>
        <v>0</v>
      </c>
      <c r="O318" s="78" t="s">
        <v>103</v>
      </c>
      <c r="P318" s="15">
        <f>uurtarief30</f>
        <v>0</v>
      </c>
      <c r="Q318" s="80" t="e">
        <f t="shared" si="85"/>
        <v>#DIV/0!</v>
      </c>
      <c r="R318" s="80" t="e">
        <f t="shared" si="86"/>
        <v>#DIV/0!</v>
      </c>
      <c r="S318" s="15" t="e">
        <f t="shared" si="87"/>
        <v>#DIV/0!</v>
      </c>
      <c r="T318" s="80" t="e">
        <f t="shared" si="88"/>
        <v>#DIV/0!</v>
      </c>
      <c r="U318" s="16" t="e">
        <f t="shared" si="89"/>
        <v>#DIV/0!</v>
      </c>
    </row>
    <row r="319" spans="1:21" ht="27" x14ac:dyDescent="0.3">
      <c r="A319" s="77" t="s">
        <v>508</v>
      </c>
      <c r="B319" s="78" t="s">
        <v>40</v>
      </c>
      <c r="C319" s="78" t="s">
        <v>338</v>
      </c>
      <c r="D319" s="78" t="s">
        <v>368</v>
      </c>
      <c r="E319" s="79" t="s">
        <v>529</v>
      </c>
      <c r="F319" s="78" t="s">
        <v>509</v>
      </c>
      <c r="G319" s="78" t="s">
        <v>256</v>
      </c>
      <c r="H319" s="78" t="s">
        <v>11</v>
      </c>
      <c r="I319" s="78" t="s">
        <v>214</v>
      </c>
      <c r="J319" s="79" t="s">
        <v>257</v>
      </c>
      <c r="K319" s="80">
        <v>29.759999999999998</v>
      </c>
      <c r="L319" s="80">
        <f t="shared" si="84"/>
        <v>23.341176470588234</v>
      </c>
      <c r="M319" s="81">
        <f>prodnorm33</f>
        <v>0</v>
      </c>
      <c r="N319" s="82">
        <f>dagwerk33</f>
        <v>0</v>
      </c>
      <c r="O319" s="78" t="s">
        <v>103</v>
      </c>
      <c r="P319" s="15">
        <f>uurtarief33</f>
        <v>0</v>
      </c>
      <c r="Q319" s="80" t="e">
        <f t="shared" si="85"/>
        <v>#DIV/0!</v>
      </c>
      <c r="R319" s="80" t="e">
        <f t="shared" si="86"/>
        <v>#DIV/0!</v>
      </c>
      <c r="S319" s="15" t="e">
        <f t="shared" si="87"/>
        <v>#DIV/0!</v>
      </c>
      <c r="T319" s="80" t="e">
        <f t="shared" si="88"/>
        <v>#DIV/0!</v>
      </c>
      <c r="U319" s="16" t="e">
        <f t="shared" si="89"/>
        <v>#DIV/0!</v>
      </c>
    </row>
    <row r="320" spans="1:21" ht="27" x14ac:dyDescent="0.3">
      <c r="A320" s="77" t="s">
        <v>508</v>
      </c>
      <c r="B320" s="78" t="s">
        <v>40</v>
      </c>
      <c r="C320" s="78" t="s">
        <v>338</v>
      </c>
      <c r="D320" s="78" t="s">
        <v>369</v>
      </c>
      <c r="E320" s="79" t="s">
        <v>521</v>
      </c>
      <c r="F320" s="78" t="s">
        <v>509</v>
      </c>
      <c r="G320" s="78" t="s">
        <v>256</v>
      </c>
      <c r="H320" s="78" t="s">
        <v>11</v>
      </c>
      <c r="I320" s="78" t="s">
        <v>214</v>
      </c>
      <c r="J320" s="79" t="s">
        <v>257</v>
      </c>
      <c r="K320" s="80">
        <v>38.720000000000006</v>
      </c>
      <c r="L320" s="80">
        <f t="shared" si="84"/>
        <v>30.368627450980398</v>
      </c>
      <c r="M320" s="81">
        <f>prodnorm33</f>
        <v>0</v>
      </c>
      <c r="N320" s="82">
        <f>dagwerk33</f>
        <v>0</v>
      </c>
      <c r="O320" s="78" t="s">
        <v>103</v>
      </c>
      <c r="P320" s="15">
        <f>uurtarief33</f>
        <v>0</v>
      </c>
      <c r="Q320" s="80" t="e">
        <f t="shared" si="85"/>
        <v>#DIV/0!</v>
      </c>
      <c r="R320" s="80" t="e">
        <f t="shared" si="86"/>
        <v>#DIV/0!</v>
      </c>
      <c r="S320" s="15" t="e">
        <f t="shared" si="87"/>
        <v>#DIV/0!</v>
      </c>
      <c r="T320" s="80" t="e">
        <f t="shared" si="88"/>
        <v>#DIV/0!</v>
      </c>
      <c r="U320" s="16" t="e">
        <f t="shared" si="89"/>
        <v>#DIV/0!</v>
      </c>
    </row>
    <row r="321" spans="1:21" ht="27" x14ac:dyDescent="0.3">
      <c r="A321" s="77" t="s">
        <v>508</v>
      </c>
      <c r="B321" s="78" t="s">
        <v>40</v>
      </c>
      <c r="C321" s="78" t="s">
        <v>338</v>
      </c>
      <c r="D321" s="78" t="s">
        <v>370</v>
      </c>
      <c r="E321" s="79" t="s">
        <v>547</v>
      </c>
      <c r="F321" s="78" t="s">
        <v>509</v>
      </c>
      <c r="G321" s="78" t="s">
        <v>256</v>
      </c>
      <c r="H321" s="78" t="s">
        <v>11</v>
      </c>
      <c r="I321" s="78" t="s">
        <v>214</v>
      </c>
      <c r="J321" s="79" t="s">
        <v>257</v>
      </c>
      <c r="K321" s="80">
        <v>18.399999999999999</v>
      </c>
      <c r="L321" s="80">
        <f t="shared" si="84"/>
        <v>14.431372549019606</v>
      </c>
      <c r="M321" s="81">
        <f>prodnorm33</f>
        <v>0</v>
      </c>
      <c r="N321" s="82">
        <f>dagwerk33</f>
        <v>0</v>
      </c>
      <c r="O321" s="78" t="s">
        <v>103</v>
      </c>
      <c r="P321" s="15">
        <f>uurtarief33</f>
        <v>0</v>
      </c>
      <c r="Q321" s="80" t="e">
        <f t="shared" si="85"/>
        <v>#DIV/0!</v>
      </c>
      <c r="R321" s="80" t="e">
        <f t="shared" si="86"/>
        <v>#DIV/0!</v>
      </c>
      <c r="S321" s="15" t="e">
        <f t="shared" si="87"/>
        <v>#DIV/0!</v>
      </c>
      <c r="T321" s="80" t="e">
        <f t="shared" si="88"/>
        <v>#DIV/0!</v>
      </c>
      <c r="U321" s="16" t="e">
        <f t="shared" si="89"/>
        <v>#DIV/0!</v>
      </c>
    </row>
    <row r="322" spans="1:21" x14ac:dyDescent="0.3">
      <c r="A322" s="77" t="s">
        <v>508</v>
      </c>
      <c r="B322" s="78" t="s">
        <v>40</v>
      </c>
      <c r="C322" s="78" t="s">
        <v>338</v>
      </c>
      <c r="D322" s="78" t="s">
        <v>371</v>
      </c>
      <c r="E322" s="79" t="s">
        <v>522</v>
      </c>
      <c r="F322" s="78" t="s">
        <v>40</v>
      </c>
      <c r="G322" s="78" t="s">
        <v>252</v>
      </c>
      <c r="H322" s="78" t="s">
        <v>11</v>
      </c>
      <c r="I322" s="78" t="s">
        <v>214</v>
      </c>
      <c r="J322" s="79" t="s">
        <v>253</v>
      </c>
      <c r="K322" s="80">
        <v>7.58</v>
      </c>
      <c r="L322" s="80">
        <f t="shared" si="84"/>
        <v>5.9450980392156865</v>
      </c>
      <c r="M322" s="81">
        <f>prodnorm31</f>
        <v>0</v>
      </c>
      <c r="N322" s="82">
        <f>dagwerk31</f>
        <v>0</v>
      </c>
      <c r="O322" s="78" t="s">
        <v>103</v>
      </c>
      <c r="P322" s="15">
        <f>uurtarief31</f>
        <v>0</v>
      </c>
      <c r="Q322" s="80" t="e">
        <f t="shared" si="85"/>
        <v>#DIV/0!</v>
      </c>
      <c r="R322" s="80" t="e">
        <f t="shared" si="86"/>
        <v>#DIV/0!</v>
      </c>
      <c r="S322" s="15" t="e">
        <f t="shared" si="87"/>
        <v>#DIV/0!</v>
      </c>
      <c r="T322" s="80" t="e">
        <f t="shared" si="88"/>
        <v>#DIV/0!</v>
      </c>
      <c r="U322" s="16" t="e">
        <f t="shared" si="89"/>
        <v>#DIV/0!</v>
      </c>
    </row>
    <row r="323" spans="1:21" x14ac:dyDescent="0.3">
      <c r="A323" s="77" t="s">
        <v>508</v>
      </c>
      <c r="B323" s="78" t="s">
        <v>40</v>
      </c>
      <c r="C323" s="78" t="s">
        <v>338</v>
      </c>
      <c r="D323" s="78" t="s">
        <v>432</v>
      </c>
      <c r="E323" s="79" t="s">
        <v>411</v>
      </c>
      <c r="F323" s="78" t="s">
        <v>404</v>
      </c>
      <c r="G323" s="78" t="s">
        <v>252</v>
      </c>
      <c r="H323" s="78" t="s">
        <v>11</v>
      </c>
      <c r="I323" s="78" t="s">
        <v>214</v>
      </c>
      <c r="J323" s="79" t="s">
        <v>253</v>
      </c>
      <c r="K323" s="80">
        <v>25</v>
      </c>
      <c r="L323" s="80">
        <f t="shared" si="84"/>
        <v>19.607843137254903</v>
      </c>
      <c r="M323" s="81">
        <f>prodnorm31</f>
        <v>0</v>
      </c>
      <c r="N323" s="82">
        <f>dagwerk31</f>
        <v>0</v>
      </c>
      <c r="O323" s="78" t="s">
        <v>103</v>
      </c>
      <c r="P323" s="15">
        <f>uurtarief31</f>
        <v>0</v>
      </c>
      <c r="Q323" s="80" t="e">
        <f t="shared" si="85"/>
        <v>#DIV/0!</v>
      </c>
      <c r="R323" s="80" t="e">
        <f t="shared" si="86"/>
        <v>#DIV/0!</v>
      </c>
      <c r="S323" s="15" t="e">
        <f t="shared" si="87"/>
        <v>#DIV/0!</v>
      </c>
      <c r="T323" s="80" t="e">
        <f t="shared" si="88"/>
        <v>#DIV/0!</v>
      </c>
      <c r="U323" s="16" t="e">
        <f t="shared" si="89"/>
        <v>#DIV/0!</v>
      </c>
    </row>
    <row r="324" spans="1:21" x14ac:dyDescent="0.3">
      <c r="A324" s="77" t="s">
        <v>508</v>
      </c>
      <c r="B324" s="78" t="s">
        <v>40</v>
      </c>
      <c r="C324" s="78" t="s">
        <v>556</v>
      </c>
      <c r="D324" s="78" t="s">
        <v>557</v>
      </c>
      <c r="E324" s="79" t="s">
        <v>558</v>
      </c>
      <c r="F324" s="78" t="s">
        <v>482</v>
      </c>
      <c r="G324" s="78" t="s">
        <v>216</v>
      </c>
      <c r="H324" s="78" t="s">
        <v>11</v>
      </c>
      <c r="I324" s="78" t="s">
        <v>214</v>
      </c>
      <c r="J324" s="79" t="s">
        <v>217</v>
      </c>
      <c r="K324" s="80">
        <v>42.349999999999994</v>
      </c>
      <c r="L324" s="80">
        <f t="shared" si="84"/>
        <v>33.2156862745098</v>
      </c>
      <c r="M324" s="81">
        <f>prodnorm6</f>
        <v>0</v>
      </c>
      <c r="N324" s="82">
        <f>dagwerk6</f>
        <v>0</v>
      </c>
      <c r="O324" s="78" t="s">
        <v>103</v>
      </c>
      <c r="P324" s="15">
        <f>uurtarief6</f>
        <v>0</v>
      </c>
      <c r="Q324" s="80" t="e">
        <f t="shared" si="85"/>
        <v>#DIV/0!</v>
      </c>
      <c r="R324" s="80" t="e">
        <f t="shared" si="86"/>
        <v>#DIV/0!</v>
      </c>
      <c r="S324" s="15" t="e">
        <f t="shared" si="87"/>
        <v>#DIV/0!</v>
      </c>
      <c r="T324" s="80" t="e">
        <f t="shared" si="88"/>
        <v>#DIV/0!</v>
      </c>
      <c r="U324" s="16" t="e">
        <f t="shared" si="89"/>
        <v>#DIV/0!</v>
      </c>
    </row>
    <row r="325" spans="1:21" x14ac:dyDescent="0.3">
      <c r="A325" s="77" t="s">
        <v>508</v>
      </c>
      <c r="B325" s="78" t="s">
        <v>40</v>
      </c>
      <c r="C325" s="78" t="s">
        <v>556</v>
      </c>
      <c r="D325" s="78" t="s">
        <v>559</v>
      </c>
      <c r="E325" s="79" t="s">
        <v>560</v>
      </c>
      <c r="F325" s="78" t="s">
        <v>482</v>
      </c>
      <c r="G325" s="78" t="s">
        <v>300</v>
      </c>
      <c r="H325" s="78"/>
      <c r="I325" s="78"/>
      <c r="J325" s="78"/>
      <c r="K325" s="80">
        <v>13.49</v>
      </c>
      <c r="L325" s="80"/>
      <c r="M325" s="81"/>
      <c r="N325" s="82"/>
      <c r="O325" s="78"/>
      <c r="P325" s="15"/>
      <c r="Q325" s="80"/>
      <c r="R325" s="80"/>
      <c r="S325" s="15"/>
      <c r="T325" s="83"/>
      <c r="U325" s="16"/>
    </row>
    <row r="326" spans="1:21" x14ac:dyDescent="0.3">
      <c r="A326" s="77" t="s">
        <v>508</v>
      </c>
      <c r="B326" s="78" t="s">
        <v>40</v>
      </c>
      <c r="C326" s="78" t="s">
        <v>556</v>
      </c>
      <c r="D326" s="78" t="s">
        <v>561</v>
      </c>
      <c r="E326" s="79" t="s">
        <v>558</v>
      </c>
      <c r="F326" s="78" t="s">
        <v>482</v>
      </c>
      <c r="G326" s="78" t="s">
        <v>216</v>
      </c>
      <c r="H326" s="78" t="s">
        <v>11</v>
      </c>
      <c r="I326" s="78" t="s">
        <v>214</v>
      </c>
      <c r="J326" s="79" t="s">
        <v>217</v>
      </c>
      <c r="K326" s="80">
        <v>28.38</v>
      </c>
      <c r="L326" s="80">
        <f>K326*VLOOKUP(H326,dagsoorttabel1,2,FALSE)</f>
        <v>22.258823529411764</v>
      </c>
      <c r="M326" s="81">
        <f>prodnorm6</f>
        <v>0</v>
      </c>
      <c r="N326" s="82">
        <f>dagwerk6</f>
        <v>0</v>
      </c>
      <c r="O326" s="78" t="s">
        <v>103</v>
      </c>
      <c r="P326" s="15">
        <f>uurtarief6</f>
        <v>0</v>
      </c>
      <c r="Q326" s="80" t="e">
        <f>IF(ISBLANK(M326),0,L326/ROUND(M326,4))</f>
        <v>#DIV/0!</v>
      </c>
      <c r="R326" s="80" t="e">
        <f>IF(ISBLANK(M326),0,Q326*ROUND(N326,2))</f>
        <v>#DIV/0!</v>
      </c>
      <c r="S326" s="15" t="e">
        <f>ROUND(P326,2)*Q326</f>
        <v>#DIV/0!</v>
      </c>
      <c r="T326" s="80" t="e">
        <f>Q326*dagenperjaar1</f>
        <v>#DIV/0!</v>
      </c>
      <c r="U326" s="16" t="e">
        <f>T326*ROUND(P326,2)</f>
        <v>#DIV/0!</v>
      </c>
    </row>
    <row r="327" spans="1:21" x14ac:dyDescent="0.3">
      <c r="A327" s="77" t="s">
        <v>508</v>
      </c>
      <c r="B327" s="78" t="s">
        <v>40</v>
      </c>
      <c r="C327" s="78" t="s">
        <v>556</v>
      </c>
      <c r="D327" s="78" t="s">
        <v>562</v>
      </c>
      <c r="E327" s="79" t="s">
        <v>560</v>
      </c>
      <c r="F327" s="78" t="s">
        <v>288</v>
      </c>
      <c r="G327" s="78" t="s">
        <v>300</v>
      </c>
      <c r="H327" s="78"/>
      <c r="I327" s="78"/>
      <c r="J327" s="78"/>
      <c r="K327" s="80">
        <v>48.6</v>
      </c>
      <c r="L327" s="80"/>
      <c r="M327" s="81"/>
      <c r="N327" s="82"/>
      <c r="O327" s="78"/>
      <c r="P327" s="15"/>
      <c r="Q327" s="80"/>
      <c r="R327" s="80"/>
      <c r="S327" s="15"/>
      <c r="T327" s="83"/>
      <c r="U327" s="16"/>
    </row>
    <row r="328" spans="1:21" x14ac:dyDescent="0.3">
      <c r="A328" s="77" t="s">
        <v>508</v>
      </c>
      <c r="B328" s="78" t="s">
        <v>40</v>
      </c>
      <c r="C328" s="78" t="s">
        <v>556</v>
      </c>
      <c r="D328" s="78" t="s">
        <v>563</v>
      </c>
      <c r="E328" s="79" t="s">
        <v>516</v>
      </c>
      <c r="F328" s="78" t="s">
        <v>514</v>
      </c>
      <c r="G328" s="78" t="s">
        <v>248</v>
      </c>
      <c r="H328" s="78" t="s">
        <v>11</v>
      </c>
      <c r="I328" s="78" t="s">
        <v>214</v>
      </c>
      <c r="J328" s="79" t="s">
        <v>249</v>
      </c>
      <c r="K328" s="80">
        <v>88.4</v>
      </c>
      <c r="L328" s="80">
        <f>K328*VLOOKUP(H328,dagsoorttabel1,2,FALSE)</f>
        <v>69.333333333333343</v>
      </c>
      <c r="M328" s="81">
        <f>prodnorm29</f>
        <v>0</v>
      </c>
      <c r="N328" s="82">
        <f>dagwerk29</f>
        <v>0</v>
      </c>
      <c r="O328" s="78" t="s">
        <v>103</v>
      </c>
      <c r="P328" s="15">
        <f>uurtarief29</f>
        <v>0</v>
      </c>
      <c r="Q328" s="80" t="e">
        <f>IF(ISBLANK(M328),0,L328/ROUND(M328,4))</f>
        <v>#DIV/0!</v>
      </c>
      <c r="R328" s="80" t="e">
        <f>IF(ISBLANK(M328),0,Q328*ROUND(N328,2))</f>
        <v>#DIV/0!</v>
      </c>
      <c r="S328" s="15" t="e">
        <f>ROUND(P328,2)*Q328</f>
        <v>#DIV/0!</v>
      </c>
      <c r="T328" s="80" t="e">
        <f>Q328*dagenperjaar1</f>
        <v>#DIV/0!</v>
      </c>
      <c r="U328" s="16" t="e">
        <f>T328*ROUND(P328,2)</f>
        <v>#DIV/0!</v>
      </c>
    </row>
    <row r="329" spans="1:21" x14ac:dyDescent="0.3">
      <c r="A329" s="77" t="s">
        <v>508</v>
      </c>
      <c r="B329" s="78" t="s">
        <v>40</v>
      </c>
      <c r="C329" s="78" t="s">
        <v>556</v>
      </c>
      <c r="D329" s="78" t="s">
        <v>564</v>
      </c>
      <c r="E329" s="79" t="s">
        <v>516</v>
      </c>
      <c r="F329" s="78" t="s">
        <v>514</v>
      </c>
      <c r="G329" s="78" t="s">
        <v>248</v>
      </c>
      <c r="H329" s="78" t="s">
        <v>11</v>
      </c>
      <c r="I329" s="78" t="s">
        <v>214</v>
      </c>
      <c r="J329" s="79" t="s">
        <v>249</v>
      </c>
      <c r="K329" s="80">
        <v>99.29</v>
      </c>
      <c r="L329" s="80">
        <f>K329*VLOOKUP(H329,dagsoorttabel1,2,FALSE)</f>
        <v>77.874509803921569</v>
      </c>
      <c r="M329" s="81">
        <f>prodnorm29</f>
        <v>0</v>
      </c>
      <c r="N329" s="82">
        <f>dagwerk29</f>
        <v>0</v>
      </c>
      <c r="O329" s="78" t="s">
        <v>103</v>
      </c>
      <c r="P329" s="15">
        <f>uurtarief29</f>
        <v>0</v>
      </c>
      <c r="Q329" s="80" t="e">
        <f>IF(ISBLANK(M329),0,L329/ROUND(M329,4))</f>
        <v>#DIV/0!</v>
      </c>
      <c r="R329" s="80" t="e">
        <f>IF(ISBLANK(M329),0,Q329*ROUND(N329,2))</f>
        <v>#DIV/0!</v>
      </c>
      <c r="S329" s="15" t="e">
        <f>ROUND(P329,2)*Q329</f>
        <v>#DIV/0!</v>
      </c>
      <c r="T329" s="80" t="e">
        <f>Q329*dagenperjaar1</f>
        <v>#DIV/0!</v>
      </c>
      <c r="U329" s="16" t="e">
        <f>T329*ROUND(P329,2)</f>
        <v>#DIV/0!</v>
      </c>
    </row>
    <row r="330" spans="1:21" x14ac:dyDescent="0.3">
      <c r="A330" s="77" t="s">
        <v>508</v>
      </c>
      <c r="B330" s="78" t="s">
        <v>40</v>
      </c>
      <c r="C330" s="78" t="s">
        <v>556</v>
      </c>
      <c r="D330" s="78" t="s">
        <v>565</v>
      </c>
      <c r="E330" s="79" t="s">
        <v>520</v>
      </c>
      <c r="F330" s="78" t="s">
        <v>509</v>
      </c>
      <c r="G330" s="78" t="s">
        <v>300</v>
      </c>
      <c r="H330" s="78"/>
      <c r="I330" s="78"/>
      <c r="J330" s="78"/>
      <c r="K330" s="80">
        <v>1.5</v>
      </c>
      <c r="L330" s="80"/>
      <c r="M330" s="81"/>
      <c r="N330" s="82"/>
      <c r="O330" s="78"/>
      <c r="P330" s="15"/>
      <c r="Q330" s="80"/>
      <c r="R330" s="80"/>
      <c r="S330" s="15"/>
      <c r="T330" s="83"/>
      <c r="U330" s="16"/>
    </row>
    <row r="331" spans="1:21" ht="27" x14ac:dyDescent="0.3">
      <c r="A331" s="77" t="s">
        <v>508</v>
      </c>
      <c r="B331" s="78" t="s">
        <v>40</v>
      </c>
      <c r="C331" s="78" t="s">
        <v>556</v>
      </c>
      <c r="D331" s="78" t="s">
        <v>566</v>
      </c>
      <c r="E331" s="79" t="s">
        <v>521</v>
      </c>
      <c r="F331" s="78" t="s">
        <v>509</v>
      </c>
      <c r="G331" s="78" t="s">
        <v>256</v>
      </c>
      <c r="H331" s="78" t="s">
        <v>11</v>
      </c>
      <c r="I331" s="78" t="s">
        <v>214</v>
      </c>
      <c r="J331" s="79" t="s">
        <v>257</v>
      </c>
      <c r="K331" s="80">
        <v>22</v>
      </c>
      <c r="L331" s="80">
        <f t="shared" ref="L331:L337" si="90">K331*VLOOKUP(H331,dagsoorttabel1,2,FALSE)</f>
        <v>17.254901960784313</v>
      </c>
      <c r="M331" s="81">
        <f>prodnorm33</f>
        <v>0</v>
      </c>
      <c r="N331" s="82">
        <f>dagwerk33</f>
        <v>0</v>
      </c>
      <c r="O331" s="78" t="s">
        <v>103</v>
      </c>
      <c r="P331" s="15">
        <f>uurtarief33</f>
        <v>0</v>
      </c>
      <c r="Q331" s="80" t="e">
        <f t="shared" ref="Q331:Q337" si="91">IF(ISBLANK(M331),0,L331/ROUND(M331,4))</f>
        <v>#DIV/0!</v>
      </c>
      <c r="R331" s="80" t="e">
        <f t="shared" ref="R331:R337" si="92">IF(ISBLANK(M331),0,Q331*ROUND(N331,2))</f>
        <v>#DIV/0!</v>
      </c>
      <c r="S331" s="15" t="e">
        <f t="shared" ref="S331:S337" si="93">ROUND(P331,2)*Q331</f>
        <v>#DIV/0!</v>
      </c>
      <c r="T331" s="80" t="e">
        <f t="shared" ref="T331:T337" si="94">Q331*dagenperjaar1</f>
        <v>#DIV/0!</v>
      </c>
      <c r="U331" s="16" t="e">
        <f t="shared" ref="U331:U337" si="95">T331*ROUND(P331,2)</f>
        <v>#DIV/0!</v>
      </c>
    </row>
    <row r="332" spans="1:21" x14ac:dyDescent="0.3">
      <c r="A332" s="77" t="s">
        <v>508</v>
      </c>
      <c r="B332" s="78" t="s">
        <v>40</v>
      </c>
      <c r="C332" s="78" t="s">
        <v>556</v>
      </c>
      <c r="D332" s="78" t="s">
        <v>567</v>
      </c>
      <c r="E332" s="79" t="s">
        <v>544</v>
      </c>
      <c r="F332" s="78" t="s">
        <v>526</v>
      </c>
      <c r="G332" s="78" t="s">
        <v>250</v>
      </c>
      <c r="H332" s="78" t="s">
        <v>11</v>
      </c>
      <c r="I332" s="78" t="s">
        <v>214</v>
      </c>
      <c r="J332" s="79" t="s">
        <v>251</v>
      </c>
      <c r="K332" s="80">
        <v>9</v>
      </c>
      <c r="L332" s="80">
        <f t="shared" si="90"/>
        <v>7.0588235294117645</v>
      </c>
      <c r="M332" s="81">
        <f>prodnorm30</f>
        <v>0</v>
      </c>
      <c r="N332" s="82">
        <f>dagwerk30</f>
        <v>0</v>
      </c>
      <c r="O332" s="78" t="s">
        <v>103</v>
      </c>
      <c r="P332" s="15">
        <f>uurtarief30</f>
        <v>0</v>
      </c>
      <c r="Q332" s="80" t="e">
        <f t="shared" si="91"/>
        <v>#DIV/0!</v>
      </c>
      <c r="R332" s="80" t="e">
        <f t="shared" si="92"/>
        <v>#DIV/0!</v>
      </c>
      <c r="S332" s="15" t="e">
        <f t="shared" si="93"/>
        <v>#DIV/0!</v>
      </c>
      <c r="T332" s="80" t="e">
        <f t="shared" si="94"/>
        <v>#DIV/0!</v>
      </c>
      <c r="U332" s="16" t="e">
        <f t="shared" si="95"/>
        <v>#DIV/0!</v>
      </c>
    </row>
    <row r="333" spans="1:21" x14ac:dyDescent="0.3">
      <c r="A333" s="77" t="s">
        <v>508</v>
      </c>
      <c r="B333" s="78" t="s">
        <v>40</v>
      </c>
      <c r="C333" s="78" t="s">
        <v>556</v>
      </c>
      <c r="D333" s="78" t="s">
        <v>568</v>
      </c>
      <c r="E333" s="79" t="s">
        <v>539</v>
      </c>
      <c r="F333" s="78" t="s">
        <v>526</v>
      </c>
      <c r="G333" s="78" t="s">
        <v>250</v>
      </c>
      <c r="H333" s="78" t="s">
        <v>11</v>
      </c>
      <c r="I333" s="78" t="s">
        <v>214</v>
      </c>
      <c r="J333" s="79" t="s">
        <v>251</v>
      </c>
      <c r="K333" s="80">
        <v>6.9</v>
      </c>
      <c r="L333" s="80">
        <f t="shared" si="90"/>
        <v>5.4117647058823533</v>
      </c>
      <c r="M333" s="81">
        <f>prodnorm30</f>
        <v>0</v>
      </c>
      <c r="N333" s="82">
        <f>dagwerk30</f>
        <v>0</v>
      </c>
      <c r="O333" s="78" t="s">
        <v>103</v>
      </c>
      <c r="P333" s="15">
        <f>uurtarief30</f>
        <v>0</v>
      </c>
      <c r="Q333" s="80" t="e">
        <f t="shared" si="91"/>
        <v>#DIV/0!</v>
      </c>
      <c r="R333" s="80" t="e">
        <f t="shared" si="92"/>
        <v>#DIV/0!</v>
      </c>
      <c r="S333" s="15" t="e">
        <f t="shared" si="93"/>
        <v>#DIV/0!</v>
      </c>
      <c r="T333" s="80" t="e">
        <f t="shared" si="94"/>
        <v>#DIV/0!</v>
      </c>
      <c r="U333" s="16" t="e">
        <f t="shared" si="95"/>
        <v>#DIV/0!</v>
      </c>
    </row>
    <row r="334" spans="1:21" ht="27" x14ac:dyDescent="0.3">
      <c r="A334" s="77" t="s">
        <v>508</v>
      </c>
      <c r="B334" s="78" t="s">
        <v>40</v>
      </c>
      <c r="C334" s="78" t="s">
        <v>556</v>
      </c>
      <c r="D334" s="78" t="s">
        <v>569</v>
      </c>
      <c r="E334" s="79" t="s">
        <v>570</v>
      </c>
      <c r="F334" s="78" t="s">
        <v>509</v>
      </c>
      <c r="G334" s="78" t="s">
        <v>256</v>
      </c>
      <c r="H334" s="78" t="s">
        <v>11</v>
      </c>
      <c r="I334" s="78" t="s">
        <v>214</v>
      </c>
      <c r="J334" s="79" t="s">
        <v>257</v>
      </c>
      <c r="K334" s="80">
        <v>41.36</v>
      </c>
      <c r="L334" s="80">
        <f t="shared" si="90"/>
        <v>32.439215686274508</v>
      </c>
      <c r="M334" s="81">
        <f>prodnorm33</f>
        <v>0</v>
      </c>
      <c r="N334" s="82">
        <f>dagwerk33</f>
        <v>0</v>
      </c>
      <c r="O334" s="78" t="s">
        <v>103</v>
      </c>
      <c r="P334" s="15">
        <f>uurtarief33</f>
        <v>0</v>
      </c>
      <c r="Q334" s="80" t="e">
        <f t="shared" si="91"/>
        <v>#DIV/0!</v>
      </c>
      <c r="R334" s="80" t="e">
        <f t="shared" si="92"/>
        <v>#DIV/0!</v>
      </c>
      <c r="S334" s="15" t="e">
        <f t="shared" si="93"/>
        <v>#DIV/0!</v>
      </c>
      <c r="T334" s="80" t="e">
        <f t="shared" si="94"/>
        <v>#DIV/0!</v>
      </c>
      <c r="U334" s="16" t="e">
        <f t="shared" si="95"/>
        <v>#DIV/0!</v>
      </c>
    </row>
    <row r="335" spans="1:21" ht="27" x14ac:dyDescent="0.3">
      <c r="A335" s="77" t="s">
        <v>508</v>
      </c>
      <c r="B335" s="78" t="s">
        <v>40</v>
      </c>
      <c r="C335" s="78" t="s">
        <v>556</v>
      </c>
      <c r="D335" s="78" t="s">
        <v>571</v>
      </c>
      <c r="E335" s="79" t="s">
        <v>547</v>
      </c>
      <c r="F335" s="78" t="s">
        <v>509</v>
      </c>
      <c r="G335" s="78" t="s">
        <v>256</v>
      </c>
      <c r="H335" s="78" t="s">
        <v>11</v>
      </c>
      <c r="I335" s="78" t="s">
        <v>214</v>
      </c>
      <c r="J335" s="79" t="s">
        <v>257</v>
      </c>
      <c r="K335" s="80">
        <v>15.6</v>
      </c>
      <c r="L335" s="80">
        <f t="shared" si="90"/>
        <v>12.235294117647058</v>
      </c>
      <c r="M335" s="81">
        <f>prodnorm33</f>
        <v>0</v>
      </c>
      <c r="N335" s="82">
        <f>dagwerk33</f>
        <v>0</v>
      </c>
      <c r="O335" s="78" t="s">
        <v>103</v>
      </c>
      <c r="P335" s="15">
        <f>uurtarief33</f>
        <v>0</v>
      </c>
      <c r="Q335" s="80" t="e">
        <f t="shared" si="91"/>
        <v>#DIV/0!</v>
      </c>
      <c r="R335" s="80" t="e">
        <f t="shared" si="92"/>
        <v>#DIV/0!</v>
      </c>
      <c r="S335" s="15" t="e">
        <f t="shared" si="93"/>
        <v>#DIV/0!</v>
      </c>
      <c r="T335" s="80" t="e">
        <f t="shared" si="94"/>
        <v>#DIV/0!</v>
      </c>
      <c r="U335" s="16" t="e">
        <f t="shared" si="95"/>
        <v>#DIV/0!</v>
      </c>
    </row>
    <row r="336" spans="1:21" x14ac:dyDescent="0.3">
      <c r="A336" s="77" t="s">
        <v>508</v>
      </c>
      <c r="B336" s="78" t="s">
        <v>40</v>
      </c>
      <c r="C336" s="78" t="s">
        <v>556</v>
      </c>
      <c r="D336" s="78" t="s">
        <v>572</v>
      </c>
      <c r="E336" s="79" t="s">
        <v>411</v>
      </c>
      <c r="F336" s="78" t="s">
        <v>404</v>
      </c>
      <c r="G336" s="78" t="s">
        <v>252</v>
      </c>
      <c r="H336" s="78" t="s">
        <v>11</v>
      </c>
      <c r="I336" s="78" t="s">
        <v>214</v>
      </c>
      <c r="J336" s="79" t="s">
        <v>253</v>
      </c>
      <c r="K336" s="80">
        <v>5</v>
      </c>
      <c r="L336" s="80">
        <f t="shared" si="90"/>
        <v>3.9215686274509802</v>
      </c>
      <c r="M336" s="81">
        <f>prodnorm31</f>
        <v>0</v>
      </c>
      <c r="N336" s="82">
        <f>dagwerk31</f>
        <v>0</v>
      </c>
      <c r="O336" s="78" t="s">
        <v>103</v>
      </c>
      <c r="P336" s="15">
        <f>uurtarief31</f>
        <v>0</v>
      </c>
      <c r="Q336" s="80" t="e">
        <f t="shared" si="91"/>
        <v>#DIV/0!</v>
      </c>
      <c r="R336" s="80" t="e">
        <f t="shared" si="92"/>
        <v>#DIV/0!</v>
      </c>
      <c r="S336" s="15" t="e">
        <f t="shared" si="93"/>
        <v>#DIV/0!</v>
      </c>
      <c r="T336" s="80" t="e">
        <f t="shared" si="94"/>
        <v>#DIV/0!</v>
      </c>
      <c r="U336" s="16" t="e">
        <f t="shared" si="95"/>
        <v>#DIV/0!</v>
      </c>
    </row>
    <row r="337" spans="1:21" ht="27" x14ac:dyDescent="0.3">
      <c r="A337" s="84" t="s">
        <v>508</v>
      </c>
      <c r="B337" s="85" t="s">
        <v>40</v>
      </c>
      <c r="C337" s="85" t="s">
        <v>556</v>
      </c>
      <c r="D337" s="85" t="s">
        <v>573</v>
      </c>
      <c r="E337" s="86" t="s">
        <v>521</v>
      </c>
      <c r="F337" s="85" t="s">
        <v>509</v>
      </c>
      <c r="G337" s="85" t="s">
        <v>256</v>
      </c>
      <c r="H337" s="85" t="s">
        <v>11</v>
      </c>
      <c r="I337" s="85" t="s">
        <v>214</v>
      </c>
      <c r="J337" s="86" t="s">
        <v>257</v>
      </c>
      <c r="K337" s="87">
        <v>12.3</v>
      </c>
      <c r="L337" s="87">
        <f t="shared" si="90"/>
        <v>9.647058823529413</v>
      </c>
      <c r="M337" s="88">
        <f>prodnorm33</f>
        <v>0</v>
      </c>
      <c r="N337" s="89">
        <f>dagwerk33</f>
        <v>0</v>
      </c>
      <c r="O337" s="85" t="s">
        <v>103</v>
      </c>
      <c r="P337" s="24">
        <f>uurtarief33</f>
        <v>0</v>
      </c>
      <c r="Q337" s="87" t="e">
        <f t="shared" si="91"/>
        <v>#DIV/0!</v>
      </c>
      <c r="R337" s="87" t="e">
        <f t="shared" si="92"/>
        <v>#DIV/0!</v>
      </c>
      <c r="S337" s="24" t="e">
        <f t="shared" si="93"/>
        <v>#DIV/0!</v>
      </c>
      <c r="T337" s="87" t="e">
        <f t="shared" si="94"/>
        <v>#DIV/0!</v>
      </c>
      <c r="U337" s="25" t="e">
        <f t="shared" si="95"/>
        <v>#DIV/0!</v>
      </c>
    </row>
    <row r="338" spans="1:21" x14ac:dyDescent="0.3">
      <c r="A338" s="90" t="s">
        <v>506</v>
      </c>
      <c r="B338" s="60"/>
      <c r="C338" s="60"/>
      <c r="D338" s="60"/>
      <c r="E338" s="60"/>
      <c r="F338" s="60"/>
      <c r="G338" s="60"/>
      <c r="H338" s="60"/>
      <c r="I338" s="60"/>
      <c r="J338" s="60"/>
      <c r="K338" s="60"/>
      <c r="L338" s="60"/>
      <c r="M338" s="60"/>
      <c r="N338" s="60"/>
      <c r="O338" s="60"/>
      <c r="P338" s="62" t="e">
        <f>IF(_xlfn.SINGLE(object2_urenjaar1)&gt;0,_xlfn.SINGLE(object2_prijsjaar1)/_xlfn.SINGLE(object2_urenjaar1),0)</f>
        <v>#DIV/0!</v>
      </c>
      <c r="Q338" s="61" t="e">
        <f>SUM(Q254:Q337)</f>
        <v>#DIV/0!</v>
      </c>
      <c r="R338" s="61" t="e">
        <f>SUM(R254:R337)</f>
        <v>#DIV/0!</v>
      </c>
      <c r="S338" s="62" t="e">
        <f>SUM(S254:S337)</f>
        <v>#DIV/0!</v>
      </c>
      <c r="T338" s="61" t="e">
        <f>SUM(T254:T337)</f>
        <v>#DIV/0!</v>
      </c>
      <c r="U338" s="63" t="e">
        <f>SUM(U254:U337)</f>
        <v>#DIV/0!</v>
      </c>
    </row>
    <row r="339" spans="1:21" x14ac:dyDescent="0.3">
      <c r="A339" s="68" t="s">
        <v>574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58"/>
    </row>
    <row r="340" spans="1:21" x14ac:dyDescent="0.3">
      <c r="A340" s="69" t="s">
        <v>575</v>
      </c>
      <c r="B340" s="70" t="s">
        <v>40</v>
      </c>
      <c r="C340" s="70" t="s">
        <v>280</v>
      </c>
      <c r="D340" s="70" t="s">
        <v>40</v>
      </c>
      <c r="E340" s="71" t="s">
        <v>576</v>
      </c>
      <c r="F340" s="70" t="s">
        <v>40</v>
      </c>
      <c r="G340" s="70" t="s">
        <v>300</v>
      </c>
      <c r="H340" s="70"/>
      <c r="I340" s="70"/>
      <c r="J340" s="70"/>
      <c r="K340" s="72">
        <v>0</v>
      </c>
      <c r="L340" s="72"/>
      <c r="M340" s="73"/>
      <c r="N340" s="74"/>
      <c r="O340" s="70"/>
      <c r="P340" s="75"/>
      <c r="Q340" s="72"/>
      <c r="R340" s="72"/>
      <c r="S340" s="75"/>
      <c r="T340" s="91"/>
      <c r="U340" s="76"/>
    </row>
    <row r="341" spans="1:21" x14ac:dyDescent="0.3">
      <c r="A341" s="77" t="s">
        <v>575</v>
      </c>
      <c r="B341" s="78" t="s">
        <v>40</v>
      </c>
      <c r="C341" s="78" t="s">
        <v>280</v>
      </c>
      <c r="D341" s="78" t="s">
        <v>40</v>
      </c>
      <c r="E341" s="79" t="s">
        <v>577</v>
      </c>
      <c r="F341" s="78" t="s">
        <v>40</v>
      </c>
      <c r="G341" s="78" t="s">
        <v>300</v>
      </c>
      <c r="H341" s="78"/>
      <c r="I341" s="78"/>
      <c r="J341" s="78"/>
      <c r="K341" s="80">
        <v>0</v>
      </c>
      <c r="L341" s="80"/>
      <c r="M341" s="81"/>
      <c r="N341" s="82"/>
      <c r="O341" s="78"/>
      <c r="P341" s="15"/>
      <c r="Q341" s="80"/>
      <c r="R341" s="80"/>
      <c r="S341" s="15"/>
      <c r="T341" s="83"/>
      <c r="U341" s="16"/>
    </row>
    <row r="342" spans="1:21" x14ac:dyDescent="0.3">
      <c r="A342" s="77" t="s">
        <v>575</v>
      </c>
      <c r="B342" s="78" t="s">
        <v>40</v>
      </c>
      <c r="C342" s="78" t="s">
        <v>280</v>
      </c>
      <c r="D342" s="78" t="s">
        <v>281</v>
      </c>
      <c r="E342" s="79" t="s">
        <v>578</v>
      </c>
      <c r="F342" s="78" t="s">
        <v>524</v>
      </c>
      <c r="G342" s="78" t="s">
        <v>224</v>
      </c>
      <c r="H342" s="78" t="s">
        <v>11</v>
      </c>
      <c r="I342" s="78" t="s">
        <v>214</v>
      </c>
      <c r="J342" s="79" t="s">
        <v>225</v>
      </c>
      <c r="K342" s="80">
        <v>13</v>
      </c>
      <c r="L342" s="80">
        <f t="shared" ref="L342:L352" si="96">K342*VLOOKUP(H342,dagsoorttabel1,2,FALSE)</f>
        <v>10.196078431372548</v>
      </c>
      <c r="M342" s="81">
        <f>prodnorm13</f>
        <v>0</v>
      </c>
      <c r="N342" s="82">
        <f>dagwerk13</f>
        <v>0</v>
      </c>
      <c r="O342" s="78" t="s">
        <v>103</v>
      </c>
      <c r="P342" s="15">
        <f>uurtarief13</f>
        <v>0</v>
      </c>
      <c r="Q342" s="80" t="e">
        <f t="shared" ref="Q342:Q352" si="97">IF(ISBLANK(M342),0,L342/ROUND(M342,4))</f>
        <v>#DIV/0!</v>
      </c>
      <c r="R342" s="80" t="e">
        <f t="shared" ref="R342:R352" si="98">IF(ISBLANK(M342),0,Q342*ROUND(N342,2))</f>
        <v>#DIV/0!</v>
      </c>
      <c r="S342" s="15" t="e">
        <f t="shared" ref="S342:S352" si="99">ROUND(P342,2)*Q342</f>
        <v>#DIV/0!</v>
      </c>
      <c r="T342" s="80" t="e">
        <f t="shared" ref="T342:T352" si="100">Q342*dagenperjaar1</f>
        <v>#DIV/0!</v>
      </c>
      <c r="U342" s="16" t="e">
        <f t="shared" ref="U342:U352" si="101">T342*ROUND(P342,2)</f>
        <v>#DIV/0!</v>
      </c>
    </row>
    <row r="343" spans="1:21" ht="27" x14ac:dyDescent="0.3">
      <c r="A343" s="77" t="s">
        <v>575</v>
      </c>
      <c r="B343" s="78" t="s">
        <v>40</v>
      </c>
      <c r="C343" s="78" t="s">
        <v>280</v>
      </c>
      <c r="D343" s="78" t="s">
        <v>284</v>
      </c>
      <c r="E343" s="79" t="s">
        <v>579</v>
      </c>
      <c r="F343" s="78" t="s">
        <v>580</v>
      </c>
      <c r="G343" s="78" t="s">
        <v>256</v>
      </c>
      <c r="H343" s="78" t="s">
        <v>11</v>
      </c>
      <c r="I343" s="78" t="s">
        <v>214</v>
      </c>
      <c r="J343" s="79" t="s">
        <v>257</v>
      </c>
      <c r="K343" s="80">
        <v>59</v>
      </c>
      <c r="L343" s="80">
        <f t="shared" si="96"/>
        <v>46.274509803921568</v>
      </c>
      <c r="M343" s="81">
        <f>prodnorm33</f>
        <v>0</v>
      </c>
      <c r="N343" s="82">
        <f>dagwerk33</f>
        <v>0</v>
      </c>
      <c r="O343" s="78" t="s">
        <v>103</v>
      </c>
      <c r="P343" s="15">
        <f>uurtarief33</f>
        <v>0</v>
      </c>
      <c r="Q343" s="80" t="e">
        <f t="shared" si="97"/>
        <v>#DIV/0!</v>
      </c>
      <c r="R343" s="80" t="e">
        <f t="shared" si="98"/>
        <v>#DIV/0!</v>
      </c>
      <c r="S343" s="15" t="e">
        <f t="shared" si="99"/>
        <v>#DIV/0!</v>
      </c>
      <c r="T343" s="80" t="e">
        <f t="shared" si="100"/>
        <v>#DIV/0!</v>
      </c>
      <c r="U343" s="16" t="e">
        <f t="shared" si="101"/>
        <v>#DIV/0!</v>
      </c>
    </row>
    <row r="344" spans="1:21" x14ac:dyDescent="0.3">
      <c r="A344" s="77" t="s">
        <v>575</v>
      </c>
      <c r="B344" s="78" t="s">
        <v>40</v>
      </c>
      <c r="C344" s="78" t="s">
        <v>280</v>
      </c>
      <c r="D344" s="78" t="s">
        <v>289</v>
      </c>
      <c r="E344" s="79" t="s">
        <v>581</v>
      </c>
      <c r="F344" s="78" t="s">
        <v>580</v>
      </c>
      <c r="G344" s="78" t="s">
        <v>216</v>
      </c>
      <c r="H344" s="78" t="s">
        <v>11</v>
      </c>
      <c r="I344" s="78" t="s">
        <v>214</v>
      </c>
      <c r="J344" s="79" t="s">
        <v>217</v>
      </c>
      <c r="K344" s="80">
        <v>21.3</v>
      </c>
      <c r="L344" s="80">
        <f t="shared" si="96"/>
        <v>16.705882352941178</v>
      </c>
      <c r="M344" s="81">
        <f>prodnorm6</f>
        <v>0</v>
      </c>
      <c r="N344" s="82">
        <f>dagwerk6</f>
        <v>0</v>
      </c>
      <c r="O344" s="78" t="s">
        <v>103</v>
      </c>
      <c r="P344" s="15">
        <f>uurtarief6</f>
        <v>0</v>
      </c>
      <c r="Q344" s="80" t="e">
        <f t="shared" si="97"/>
        <v>#DIV/0!</v>
      </c>
      <c r="R344" s="80" t="e">
        <f t="shared" si="98"/>
        <v>#DIV/0!</v>
      </c>
      <c r="S344" s="15" t="e">
        <f t="shared" si="99"/>
        <v>#DIV/0!</v>
      </c>
      <c r="T344" s="80" t="e">
        <f t="shared" si="100"/>
        <v>#DIV/0!</v>
      </c>
      <c r="U344" s="16" t="e">
        <f t="shared" si="101"/>
        <v>#DIV/0!</v>
      </c>
    </row>
    <row r="345" spans="1:21" x14ac:dyDescent="0.3">
      <c r="A345" s="77" t="s">
        <v>575</v>
      </c>
      <c r="B345" s="78" t="s">
        <v>40</v>
      </c>
      <c r="C345" s="78" t="s">
        <v>280</v>
      </c>
      <c r="D345" s="78" t="s">
        <v>291</v>
      </c>
      <c r="E345" s="79" t="s">
        <v>582</v>
      </c>
      <c r="F345" s="78" t="s">
        <v>580</v>
      </c>
      <c r="G345" s="78" t="s">
        <v>234</v>
      </c>
      <c r="H345" s="78" t="s">
        <v>11</v>
      </c>
      <c r="I345" s="78" t="s">
        <v>214</v>
      </c>
      <c r="J345" s="79" t="s">
        <v>235</v>
      </c>
      <c r="K345" s="80">
        <v>44.9</v>
      </c>
      <c r="L345" s="80">
        <f t="shared" si="96"/>
        <v>35.2156862745098</v>
      </c>
      <c r="M345" s="81">
        <f>prodnorm21</f>
        <v>0</v>
      </c>
      <c r="N345" s="82">
        <f>dagwerk21</f>
        <v>0</v>
      </c>
      <c r="O345" s="78" t="s">
        <v>103</v>
      </c>
      <c r="P345" s="15">
        <f>uurtarief21</f>
        <v>0</v>
      </c>
      <c r="Q345" s="80" t="e">
        <f t="shared" si="97"/>
        <v>#DIV/0!</v>
      </c>
      <c r="R345" s="80" t="e">
        <f t="shared" si="98"/>
        <v>#DIV/0!</v>
      </c>
      <c r="S345" s="15" t="e">
        <f t="shared" si="99"/>
        <v>#DIV/0!</v>
      </c>
      <c r="T345" s="80" t="e">
        <f t="shared" si="100"/>
        <v>#DIV/0!</v>
      </c>
      <c r="U345" s="16" t="e">
        <f t="shared" si="101"/>
        <v>#DIV/0!</v>
      </c>
    </row>
    <row r="346" spans="1:21" x14ac:dyDescent="0.3">
      <c r="A346" s="77" t="s">
        <v>575</v>
      </c>
      <c r="B346" s="78" t="s">
        <v>40</v>
      </c>
      <c r="C346" s="78" t="s">
        <v>280</v>
      </c>
      <c r="D346" s="78" t="s">
        <v>292</v>
      </c>
      <c r="E346" s="79" t="s">
        <v>583</v>
      </c>
      <c r="F346" s="78" t="s">
        <v>580</v>
      </c>
      <c r="G346" s="78" t="s">
        <v>216</v>
      </c>
      <c r="H346" s="78" t="s">
        <v>11</v>
      </c>
      <c r="I346" s="78" t="s">
        <v>214</v>
      </c>
      <c r="J346" s="79" t="s">
        <v>217</v>
      </c>
      <c r="K346" s="80">
        <v>12.9</v>
      </c>
      <c r="L346" s="80">
        <f t="shared" si="96"/>
        <v>10.117647058823529</v>
      </c>
      <c r="M346" s="81">
        <f>prodnorm6</f>
        <v>0</v>
      </c>
      <c r="N346" s="82">
        <f>dagwerk6</f>
        <v>0</v>
      </c>
      <c r="O346" s="78" t="s">
        <v>103</v>
      </c>
      <c r="P346" s="15">
        <f>uurtarief6</f>
        <v>0</v>
      </c>
      <c r="Q346" s="80" t="e">
        <f t="shared" si="97"/>
        <v>#DIV/0!</v>
      </c>
      <c r="R346" s="80" t="e">
        <f t="shared" si="98"/>
        <v>#DIV/0!</v>
      </c>
      <c r="S346" s="15" t="e">
        <f t="shared" si="99"/>
        <v>#DIV/0!</v>
      </c>
      <c r="T346" s="80" t="e">
        <f t="shared" si="100"/>
        <v>#DIV/0!</v>
      </c>
      <c r="U346" s="16" t="e">
        <f t="shared" si="101"/>
        <v>#DIV/0!</v>
      </c>
    </row>
    <row r="347" spans="1:21" x14ac:dyDescent="0.3">
      <c r="A347" s="77" t="s">
        <v>575</v>
      </c>
      <c r="B347" s="78" t="s">
        <v>40</v>
      </c>
      <c r="C347" s="78" t="s">
        <v>280</v>
      </c>
      <c r="D347" s="78" t="s">
        <v>294</v>
      </c>
      <c r="E347" s="79" t="s">
        <v>584</v>
      </c>
      <c r="F347" s="78" t="s">
        <v>580</v>
      </c>
      <c r="G347" s="78" t="s">
        <v>240</v>
      </c>
      <c r="H347" s="78" t="s">
        <v>11</v>
      </c>
      <c r="I347" s="78" t="s">
        <v>214</v>
      </c>
      <c r="J347" s="79" t="s">
        <v>241</v>
      </c>
      <c r="K347" s="80">
        <v>13.7</v>
      </c>
      <c r="L347" s="80">
        <f t="shared" si="96"/>
        <v>10.745098039215685</v>
      </c>
      <c r="M347" s="81">
        <f>prodnorm25</f>
        <v>0</v>
      </c>
      <c r="N347" s="82">
        <f>dagwerk25</f>
        <v>0</v>
      </c>
      <c r="O347" s="78" t="s">
        <v>103</v>
      </c>
      <c r="P347" s="15">
        <f>uurtarief25</f>
        <v>0</v>
      </c>
      <c r="Q347" s="80" t="e">
        <f t="shared" si="97"/>
        <v>#DIV/0!</v>
      </c>
      <c r="R347" s="80" t="e">
        <f t="shared" si="98"/>
        <v>#DIV/0!</v>
      </c>
      <c r="S347" s="15" t="e">
        <f t="shared" si="99"/>
        <v>#DIV/0!</v>
      </c>
      <c r="T347" s="80" t="e">
        <f t="shared" si="100"/>
        <v>#DIV/0!</v>
      </c>
      <c r="U347" s="16" t="e">
        <f t="shared" si="101"/>
        <v>#DIV/0!</v>
      </c>
    </row>
    <row r="348" spans="1:21" x14ac:dyDescent="0.3">
      <c r="A348" s="77" t="s">
        <v>575</v>
      </c>
      <c r="B348" s="78" t="s">
        <v>40</v>
      </c>
      <c r="C348" s="78" t="s">
        <v>280</v>
      </c>
      <c r="D348" s="78" t="s">
        <v>296</v>
      </c>
      <c r="E348" s="79" t="s">
        <v>582</v>
      </c>
      <c r="F348" s="78" t="s">
        <v>580</v>
      </c>
      <c r="G348" s="78" t="s">
        <v>234</v>
      </c>
      <c r="H348" s="78" t="s">
        <v>11</v>
      </c>
      <c r="I348" s="78" t="s">
        <v>214</v>
      </c>
      <c r="J348" s="79" t="s">
        <v>235</v>
      </c>
      <c r="K348" s="80">
        <v>44.9</v>
      </c>
      <c r="L348" s="80">
        <f t="shared" si="96"/>
        <v>35.2156862745098</v>
      </c>
      <c r="M348" s="81">
        <f>prodnorm21</f>
        <v>0</v>
      </c>
      <c r="N348" s="82">
        <f>dagwerk21</f>
        <v>0</v>
      </c>
      <c r="O348" s="78" t="s">
        <v>103</v>
      </c>
      <c r="P348" s="15">
        <f>uurtarief21</f>
        <v>0</v>
      </c>
      <c r="Q348" s="80" t="e">
        <f t="shared" si="97"/>
        <v>#DIV/0!</v>
      </c>
      <c r="R348" s="80" t="e">
        <f t="shared" si="98"/>
        <v>#DIV/0!</v>
      </c>
      <c r="S348" s="15" t="e">
        <f t="shared" si="99"/>
        <v>#DIV/0!</v>
      </c>
      <c r="T348" s="80" t="e">
        <f t="shared" si="100"/>
        <v>#DIV/0!</v>
      </c>
      <c r="U348" s="16" t="e">
        <f t="shared" si="101"/>
        <v>#DIV/0!</v>
      </c>
    </row>
    <row r="349" spans="1:21" x14ac:dyDescent="0.3">
      <c r="A349" s="77" t="s">
        <v>575</v>
      </c>
      <c r="B349" s="78" t="s">
        <v>40</v>
      </c>
      <c r="C349" s="78" t="s">
        <v>280</v>
      </c>
      <c r="D349" s="78" t="s">
        <v>301</v>
      </c>
      <c r="E349" s="79" t="s">
        <v>585</v>
      </c>
      <c r="F349" s="78" t="s">
        <v>580</v>
      </c>
      <c r="G349" s="78" t="s">
        <v>216</v>
      </c>
      <c r="H349" s="78" t="s">
        <v>11</v>
      </c>
      <c r="I349" s="78" t="s">
        <v>214</v>
      </c>
      <c r="J349" s="79" t="s">
        <v>217</v>
      </c>
      <c r="K349" s="80">
        <v>7.9</v>
      </c>
      <c r="L349" s="80">
        <f t="shared" si="96"/>
        <v>6.1960784313725492</v>
      </c>
      <c r="M349" s="81">
        <f>prodnorm6</f>
        <v>0</v>
      </c>
      <c r="N349" s="82">
        <f>dagwerk6</f>
        <v>0</v>
      </c>
      <c r="O349" s="78" t="s">
        <v>103</v>
      </c>
      <c r="P349" s="15">
        <f>uurtarief6</f>
        <v>0</v>
      </c>
      <c r="Q349" s="80" t="e">
        <f t="shared" si="97"/>
        <v>#DIV/0!</v>
      </c>
      <c r="R349" s="80" t="e">
        <f t="shared" si="98"/>
        <v>#DIV/0!</v>
      </c>
      <c r="S349" s="15" t="e">
        <f t="shared" si="99"/>
        <v>#DIV/0!</v>
      </c>
      <c r="T349" s="80" t="e">
        <f t="shared" si="100"/>
        <v>#DIV/0!</v>
      </c>
      <c r="U349" s="16" t="e">
        <f t="shared" si="101"/>
        <v>#DIV/0!</v>
      </c>
    </row>
    <row r="350" spans="1:21" x14ac:dyDescent="0.3">
      <c r="A350" s="77" t="s">
        <v>575</v>
      </c>
      <c r="B350" s="78" t="s">
        <v>40</v>
      </c>
      <c r="C350" s="78" t="s">
        <v>280</v>
      </c>
      <c r="D350" s="78" t="s">
        <v>304</v>
      </c>
      <c r="E350" s="79" t="s">
        <v>582</v>
      </c>
      <c r="F350" s="78" t="s">
        <v>580</v>
      </c>
      <c r="G350" s="78" t="s">
        <v>234</v>
      </c>
      <c r="H350" s="78" t="s">
        <v>11</v>
      </c>
      <c r="I350" s="78" t="s">
        <v>214</v>
      </c>
      <c r="J350" s="79" t="s">
        <v>235</v>
      </c>
      <c r="K350" s="80">
        <v>45.7</v>
      </c>
      <c r="L350" s="80">
        <f t="shared" si="96"/>
        <v>35.843137254901961</v>
      </c>
      <c r="M350" s="81">
        <f>prodnorm21</f>
        <v>0</v>
      </c>
      <c r="N350" s="82">
        <f>dagwerk21</f>
        <v>0</v>
      </c>
      <c r="O350" s="78" t="s">
        <v>103</v>
      </c>
      <c r="P350" s="15">
        <f>uurtarief21</f>
        <v>0</v>
      </c>
      <c r="Q350" s="80" t="e">
        <f t="shared" si="97"/>
        <v>#DIV/0!</v>
      </c>
      <c r="R350" s="80" t="e">
        <f t="shared" si="98"/>
        <v>#DIV/0!</v>
      </c>
      <c r="S350" s="15" t="e">
        <f t="shared" si="99"/>
        <v>#DIV/0!</v>
      </c>
      <c r="T350" s="80" t="e">
        <f t="shared" si="100"/>
        <v>#DIV/0!</v>
      </c>
      <c r="U350" s="16" t="e">
        <f t="shared" si="101"/>
        <v>#DIV/0!</v>
      </c>
    </row>
    <row r="351" spans="1:21" ht="27" x14ac:dyDescent="0.3">
      <c r="A351" s="77" t="s">
        <v>575</v>
      </c>
      <c r="B351" s="78" t="s">
        <v>40</v>
      </c>
      <c r="C351" s="78" t="s">
        <v>280</v>
      </c>
      <c r="D351" s="78" t="s">
        <v>309</v>
      </c>
      <c r="E351" s="79" t="s">
        <v>579</v>
      </c>
      <c r="F351" s="78" t="s">
        <v>580</v>
      </c>
      <c r="G351" s="78" t="s">
        <v>256</v>
      </c>
      <c r="H351" s="78" t="s">
        <v>11</v>
      </c>
      <c r="I351" s="78" t="s">
        <v>214</v>
      </c>
      <c r="J351" s="79" t="s">
        <v>257</v>
      </c>
      <c r="K351" s="80">
        <v>93.3</v>
      </c>
      <c r="L351" s="80">
        <f t="shared" si="96"/>
        <v>73.17647058823529</v>
      </c>
      <c r="M351" s="81">
        <f>prodnorm33</f>
        <v>0</v>
      </c>
      <c r="N351" s="82">
        <f>dagwerk33</f>
        <v>0</v>
      </c>
      <c r="O351" s="78" t="s">
        <v>103</v>
      </c>
      <c r="P351" s="15">
        <f>uurtarief33</f>
        <v>0</v>
      </c>
      <c r="Q351" s="80" t="e">
        <f t="shared" si="97"/>
        <v>#DIV/0!</v>
      </c>
      <c r="R351" s="80" t="e">
        <f t="shared" si="98"/>
        <v>#DIV/0!</v>
      </c>
      <c r="S351" s="15" t="e">
        <f t="shared" si="99"/>
        <v>#DIV/0!</v>
      </c>
      <c r="T351" s="80" t="e">
        <f t="shared" si="100"/>
        <v>#DIV/0!</v>
      </c>
      <c r="U351" s="16" t="e">
        <f t="shared" si="101"/>
        <v>#DIV/0!</v>
      </c>
    </row>
    <row r="352" spans="1:21" ht="27" x14ac:dyDescent="0.3">
      <c r="A352" s="77" t="s">
        <v>575</v>
      </c>
      <c r="B352" s="78" t="s">
        <v>40</v>
      </c>
      <c r="C352" s="78" t="s">
        <v>280</v>
      </c>
      <c r="D352" s="78" t="s">
        <v>586</v>
      </c>
      <c r="E352" s="79" t="s">
        <v>579</v>
      </c>
      <c r="F352" s="78" t="s">
        <v>580</v>
      </c>
      <c r="G352" s="78" t="s">
        <v>256</v>
      </c>
      <c r="H352" s="78" t="s">
        <v>11</v>
      </c>
      <c r="I352" s="78" t="s">
        <v>214</v>
      </c>
      <c r="J352" s="79" t="s">
        <v>257</v>
      </c>
      <c r="K352" s="80">
        <v>31.9</v>
      </c>
      <c r="L352" s="80">
        <f t="shared" si="96"/>
        <v>25.019607843137255</v>
      </c>
      <c r="M352" s="81">
        <f>prodnorm33</f>
        <v>0</v>
      </c>
      <c r="N352" s="82">
        <f>dagwerk33</f>
        <v>0</v>
      </c>
      <c r="O352" s="78" t="s">
        <v>103</v>
      </c>
      <c r="P352" s="15">
        <f>uurtarief33</f>
        <v>0</v>
      </c>
      <c r="Q352" s="80" t="e">
        <f t="shared" si="97"/>
        <v>#DIV/0!</v>
      </c>
      <c r="R352" s="80" t="e">
        <f t="shared" si="98"/>
        <v>#DIV/0!</v>
      </c>
      <c r="S352" s="15" t="e">
        <f t="shared" si="99"/>
        <v>#DIV/0!</v>
      </c>
      <c r="T352" s="80" t="e">
        <f t="shared" si="100"/>
        <v>#DIV/0!</v>
      </c>
      <c r="U352" s="16" t="e">
        <f t="shared" si="101"/>
        <v>#DIV/0!</v>
      </c>
    </row>
    <row r="353" spans="1:21" x14ac:dyDescent="0.3">
      <c r="A353" s="77" t="s">
        <v>575</v>
      </c>
      <c r="B353" s="78" t="s">
        <v>40</v>
      </c>
      <c r="C353" s="78" t="s">
        <v>280</v>
      </c>
      <c r="D353" s="78" t="s">
        <v>587</v>
      </c>
      <c r="E353" s="79" t="s">
        <v>588</v>
      </c>
      <c r="F353" s="78" t="s">
        <v>404</v>
      </c>
      <c r="G353" s="78" t="s">
        <v>300</v>
      </c>
      <c r="H353" s="78"/>
      <c r="I353" s="78"/>
      <c r="J353" s="78"/>
      <c r="K353" s="80">
        <v>10.8</v>
      </c>
      <c r="L353" s="80"/>
      <c r="M353" s="81"/>
      <c r="N353" s="82"/>
      <c r="O353" s="78"/>
      <c r="P353" s="15"/>
      <c r="Q353" s="80"/>
      <c r="R353" s="80"/>
      <c r="S353" s="15"/>
      <c r="T353" s="83"/>
      <c r="U353" s="16"/>
    </row>
    <row r="354" spans="1:21" x14ac:dyDescent="0.3">
      <c r="A354" s="77" t="s">
        <v>575</v>
      </c>
      <c r="B354" s="78" t="s">
        <v>40</v>
      </c>
      <c r="C354" s="78" t="s">
        <v>280</v>
      </c>
      <c r="D354" s="78" t="s">
        <v>589</v>
      </c>
      <c r="E354" s="79" t="s">
        <v>590</v>
      </c>
      <c r="F354" s="78" t="s">
        <v>591</v>
      </c>
      <c r="G354" s="78" t="s">
        <v>250</v>
      </c>
      <c r="H354" s="78" t="s">
        <v>11</v>
      </c>
      <c r="I354" s="78" t="s">
        <v>214</v>
      </c>
      <c r="J354" s="79" t="s">
        <v>251</v>
      </c>
      <c r="K354" s="80">
        <v>1.4</v>
      </c>
      <c r="L354" s="80">
        <f>K354*VLOOKUP(H354,dagsoorttabel1,2,FALSE)</f>
        <v>1.0980392156862744</v>
      </c>
      <c r="M354" s="81">
        <f>prodnorm30</f>
        <v>0</v>
      </c>
      <c r="N354" s="82">
        <f>dagwerk30</f>
        <v>0</v>
      </c>
      <c r="O354" s="78" t="s">
        <v>103</v>
      </c>
      <c r="P354" s="15">
        <f>uurtarief30</f>
        <v>0</v>
      </c>
      <c r="Q354" s="80" t="e">
        <f>IF(ISBLANK(M354),0,L354/ROUND(M354,4))</f>
        <v>#DIV/0!</v>
      </c>
      <c r="R354" s="80" t="e">
        <f>IF(ISBLANK(M354),0,Q354*ROUND(N354,2))</f>
        <v>#DIV/0!</v>
      </c>
      <c r="S354" s="15" t="e">
        <f>ROUND(P354,2)*Q354</f>
        <v>#DIV/0!</v>
      </c>
      <c r="T354" s="80" t="e">
        <f>Q354*dagenperjaar1</f>
        <v>#DIV/0!</v>
      </c>
      <c r="U354" s="16" t="e">
        <f>T354*ROUND(P354,2)</f>
        <v>#DIV/0!</v>
      </c>
    </row>
    <row r="355" spans="1:21" x14ac:dyDescent="0.3">
      <c r="A355" s="77" t="s">
        <v>575</v>
      </c>
      <c r="B355" s="78" t="s">
        <v>40</v>
      </c>
      <c r="C355" s="78" t="s">
        <v>280</v>
      </c>
      <c r="D355" s="78" t="s">
        <v>311</v>
      </c>
      <c r="E355" s="79" t="s">
        <v>582</v>
      </c>
      <c r="F355" s="78" t="s">
        <v>580</v>
      </c>
      <c r="G355" s="78" t="s">
        <v>234</v>
      </c>
      <c r="H355" s="78" t="s">
        <v>11</v>
      </c>
      <c r="I355" s="78" t="s">
        <v>214</v>
      </c>
      <c r="J355" s="79" t="s">
        <v>235</v>
      </c>
      <c r="K355" s="80">
        <v>44.4</v>
      </c>
      <c r="L355" s="80">
        <f>K355*VLOOKUP(H355,dagsoorttabel1,2,FALSE)</f>
        <v>34.823529411764703</v>
      </c>
      <c r="M355" s="81">
        <f>prodnorm21</f>
        <v>0</v>
      </c>
      <c r="N355" s="82">
        <f>dagwerk21</f>
        <v>0</v>
      </c>
      <c r="O355" s="78" t="s">
        <v>103</v>
      </c>
      <c r="P355" s="15">
        <f>uurtarief21</f>
        <v>0</v>
      </c>
      <c r="Q355" s="80" t="e">
        <f>IF(ISBLANK(M355),0,L355/ROUND(M355,4))</f>
        <v>#DIV/0!</v>
      </c>
      <c r="R355" s="80" t="e">
        <f>IF(ISBLANK(M355),0,Q355*ROUND(N355,2))</f>
        <v>#DIV/0!</v>
      </c>
      <c r="S355" s="15" t="e">
        <f>ROUND(P355,2)*Q355</f>
        <v>#DIV/0!</v>
      </c>
      <c r="T355" s="80" t="e">
        <f>Q355*dagenperjaar1</f>
        <v>#DIV/0!</v>
      </c>
      <c r="U355" s="16" t="e">
        <f>T355*ROUND(P355,2)</f>
        <v>#DIV/0!</v>
      </c>
    </row>
    <row r="356" spans="1:21" x14ac:dyDescent="0.3">
      <c r="A356" s="77" t="s">
        <v>575</v>
      </c>
      <c r="B356" s="78" t="s">
        <v>40</v>
      </c>
      <c r="C356" s="78" t="s">
        <v>280</v>
      </c>
      <c r="D356" s="78" t="s">
        <v>313</v>
      </c>
      <c r="E356" s="79" t="s">
        <v>584</v>
      </c>
      <c r="F356" s="78" t="s">
        <v>580</v>
      </c>
      <c r="G356" s="78" t="s">
        <v>240</v>
      </c>
      <c r="H356" s="78" t="s">
        <v>11</v>
      </c>
      <c r="I356" s="78" t="s">
        <v>214</v>
      </c>
      <c r="J356" s="79" t="s">
        <v>241</v>
      </c>
      <c r="K356" s="80">
        <v>22.1</v>
      </c>
      <c r="L356" s="80">
        <f>K356*VLOOKUP(H356,dagsoorttabel1,2,FALSE)</f>
        <v>17.333333333333336</v>
      </c>
      <c r="M356" s="81">
        <f>prodnorm25</f>
        <v>0</v>
      </c>
      <c r="N356" s="82">
        <f>dagwerk25</f>
        <v>0</v>
      </c>
      <c r="O356" s="78" t="s">
        <v>103</v>
      </c>
      <c r="P356" s="15">
        <f>uurtarief25</f>
        <v>0</v>
      </c>
      <c r="Q356" s="80" t="e">
        <f>IF(ISBLANK(M356),0,L356/ROUND(M356,4))</f>
        <v>#DIV/0!</v>
      </c>
      <c r="R356" s="80" t="e">
        <f>IF(ISBLANK(M356),0,Q356*ROUND(N356,2))</f>
        <v>#DIV/0!</v>
      </c>
      <c r="S356" s="15" t="e">
        <f>ROUND(P356,2)*Q356</f>
        <v>#DIV/0!</v>
      </c>
      <c r="T356" s="80" t="e">
        <f>Q356*dagenperjaar1</f>
        <v>#DIV/0!</v>
      </c>
      <c r="U356" s="16" t="e">
        <f>T356*ROUND(P356,2)</f>
        <v>#DIV/0!</v>
      </c>
    </row>
    <row r="357" spans="1:21" x14ac:dyDescent="0.3">
      <c r="A357" s="77" t="s">
        <v>575</v>
      </c>
      <c r="B357" s="78" t="s">
        <v>40</v>
      </c>
      <c r="C357" s="78" t="s">
        <v>280</v>
      </c>
      <c r="D357" s="78" t="s">
        <v>315</v>
      </c>
      <c r="E357" s="79" t="s">
        <v>584</v>
      </c>
      <c r="F357" s="78" t="s">
        <v>580</v>
      </c>
      <c r="G357" s="78" t="s">
        <v>240</v>
      </c>
      <c r="H357" s="78" t="s">
        <v>11</v>
      </c>
      <c r="I357" s="78" t="s">
        <v>214</v>
      </c>
      <c r="J357" s="79" t="s">
        <v>241</v>
      </c>
      <c r="K357" s="80">
        <v>4.5999999999999996</v>
      </c>
      <c r="L357" s="80">
        <f>K357*VLOOKUP(H357,dagsoorttabel1,2,FALSE)</f>
        <v>3.6078431372549016</v>
      </c>
      <c r="M357" s="81">
        <f>prodnorm25</f>
        <v>0</v>
      </c>
      <c r="N357" s="82">
        <f>dagwerk25</f>
        <v>0</v>
      </c>
      <c r="O357" s="78" t="s">
        <v>103</v>
      </c>
      <c r="P357" s="15">
        <f>uurtarief25</f>
        <v>0</v>
      </c>
      <c r="Q357" s="80" t="e">
        <f>IF(ISBLANK(M357),0,L357/ROUND(M357,4))</f>
        <v>#DIV/0!</v>
      </c>
      <c r="R357" s="80" t="e">
        <f>IF(ISBLANK(M357),0,Q357*ROUND(N357,2))</f>
        <v>#DIV/0!</v>
      </c>
      <c r="S357" s="15" t="e">
        <f>ROUND(P357,2)*Q357</f>
        <v>#DIV/0!</v>
      </c>
      <c r="T357" s="80" t="e">
        <f>Q357*dagenperjaar1</f>
        <v>#DIV/0!</v>
      </c>
      <c r="U357" s="16" t="e">
        <f>T357*ROUND(P357,2)</f>
        <v>#DIV/0!</v>
      </c>
    </row>
    <row r="358" spans="1:21" x14ac:dyDescent="0.3">
      <c r="A358" s="77" t="s">
        <v>575</v>
      </c>
      <c r="B358" s="78" t="s">
        <v>40</v>
      </c>
      <c r="C358" s="78" t="s">
        <v>280</v>
      </c>
      <c r="D358" s="78" t="s">
        <v>317</v>
      </c>
      <c r="E358" s="79" t="s">
        <v>582</v>
      </c>
      <c r="F358" s="78" t="s">
        <v>580</v>
      </c>
      <c r="G358" s="78" t="s">
        <v>234</v>
      </c>
      <c r="H358" s="78" t="s">
        <v>11</v>
      </c>
      <c r="I358" s="78" t="s">
        <v>214</v>
      </c>
      <c r="J358" s="79" t="s">
        <v>235</v>
      </c>
      <c r="K358" s="80">
        <v>45.4</v>
      </c>
      <c r="L358" s="80">
        <f>K358*VLOOKUP(H358,dagsoorttabel1,2,FALSE)</f>
        <v>35.607843137254903</v>
      </c>
      <c r="M358" s="81">
        <f>prodnorm21</f>
        <v>0</v>
      </c>
      <c r="N358" s="82">
        <f>dagwerk21</f>
        <v>0</v>
      </c>
      <c r="O358" s="78" t="s">
        <v>103</v>
      </c>
      <c r="P358" s="15">
        <f>uurtarief21</f>
        <v>0</v>
      </c>
      <c r="Q358" s="80" t="e">
        <f>IF(ISBLANK(M358),0,L358/ROUND(M358,4))</f>
        <v>#DIV/0!</v>
      </c>
      <c r="R358" s="80" t="e">
        <f>IF(ISBLANK(M358),0,Q358*ROUND(N358,2))</f>
        <v>#DIV/0!</v>
      </c>
      <c r="S358" s="15" t="e">
        <f>ROUND(P358,2)*Q358</f>
        <v>#DIV/0!</v>
      </c>
      <c r="T358" s="80" t="e">
        <f>Q358*dagenperjaar1</f>
        <v>#DIV/0!</v>
      </c>
      <c r="U358" s="16" t="e">
        <f>T358*ROUND(P358,2)</f>
        <v>#DIV/0!</v>
      </c>
    </row>
    <row r="359" spans="1:21" x14ac:dyDescent="0.3">
      <c r="A359" s="77" t="s">
        <v>575</v>
      </c>
      <c r="B359" s="78" t="s">
        <v>40</v>
      </c>
      <c r="C359" s="78" t="s">
        <v>280</v>
      </c>
      <c r="D359" s="78" t="s">
        <v>319</v>
      </c>
      <c r="E359" s="79" t="s">
        <v>592</v>
      </c>
      <c r="F359" s="78" t="s">
        <v>580</v>
      </c>
      <c r="G359" s="78" t="s">
        <v>300</v>
      </c>
      <c r="H359" s="78"/>
      <c r="I359" s="78"/>
      <c r="J359" s="78"/>
      <c r="K359" s="80">
        <v>10</v>
      </c>
      <c r="L359" s="80"/>
      <c r="M359" s="81"/>
      <c r="N359" s="82"/>
      <c r="O359" s="78"/>
      <c r="P359" s="15"/>
      <c r="Q359" s="80"/>
      <c r="R359" s="80"/>
      <c r="S359" s="15"/>
      <c r="T359" s="83"/>
      <c r="U359" s="16"/>
    </row>
    <row r="360" spans="1:21" x14ac:dyDescent="0.3">
      <c r="A360" s="77" t="s">
        <v>575</v>
      </c>
      <c r="B360" s="78" t="s">
        <v>40</v>
      </c>
      <c r="C360" s="78" t="s">
        <v>280</v>
      </c>
      <c r="D360" s="78" t="s">
        <v>593</v>
      </c>
      <c r="E360" s="79" t="s">
        <v>594</v>
      </c>
      <c r="F360" s="78" t="s">
        <v>404</v>
      </c>
      <c r="G360" s="78" t="s">
        <v>252</v>
      </c>
      <c r="H360" s="78" t="s">
        <v>11</v>
      </c>
      <c r="I360" s="78" t="s">
        <v>214</v>
      </c>
      <c r="J360" s="79" t="s">
        <v>253</v>
      </c>
      <c r="K360" s="80">
        <v>8.8000000000000007</v>
      </c>
      <c r="L360" s="80">
        <f>K360*VLOOKUP(H360,dagsoorttabel1,2,FALSE)</f>
        <v>6.9019607843137258</v>
      </c>
      <c r="M360" s="81">
        <f>prodnorm31</f>
        <v>0</v>
      </c>
      <c r="N360" s="82">
        <f>dagwerk31</f>
        <v>0</v>
      </c>
      <c r="O360" s="78" t="s">
        <v>103</v>
      </c>
      <c r="P360" s="15">
        <f>uurtarief31</f>
        <v>0</v>
      </c>
      <c r="Q360" s="80" t="e">
        <f>IF(ISBLANK(M360),0,L360/ROUND(M360,4))</f>
        <v>#DIV/0!</v>
      </c>
      <c r="R360" s="80" t="e">
        <f>IF(ISBLANK(M360),0,Q360*ROUND(N360,2))</f>
        <v>#DIV/0!</v>
      </c>
      <c r="S360" s="15" t="e">
        <f>ROUND(P360,2)*Q360</f>
        <v>#DIV/0!</v>
      </c>
      <c r="T360" s="80" t="e">
        <f>Q360*dagenperjaar1</f>
        <v>#DIV/0!</v>
      </c>
      <c r="U360" s="16" t="e">
        <f>T360*ROUND(P360,2)</f>
        <v>#DIV/0!</v>
      </c>
    </row>
    <row r="361" spans="1:21" x14ac:dyDescent="0.3">
      <c r="A361" s="77" t="s">
        <v>575</v>
      </c>
      <c r="B361" s="78" t="s">
        <v>40</v>
      </c>
      <c r="C361" s="78" t="s">
        <v>280</v>
      </c>
      <c r="D361" s="78" t="s">
        <v>322</v>
      </c>
      <c r="E361" s="79" t="s">
        <v>595</v>
      </c>
      <c r="F361" s="78" t="s">
        <v>580</v>
      </c>
      <c r="G361" s="78" t="s">
        <v>244</v>
      </c>
      <c r="H361" s="78" t="s">
        <v>11</v>
      </c>
      <c r="I361" s="78" t="s">
        <v>214</v>
      </c>
      <c r="J361" s="79" t="s">
        <v>245</v>
      </c>
      <c r="K361" s="80">
        <v>9.1</v>
      </c>
      <c r="L361" s="80">
        <f>K361*VLOOKUP(H361,dagsoorttabel1,2,FALSE)</f>
        <v>7.1372549019607838</v>
      </c>
      <c r="M361" s="81">
        <f>prodnorm27</f>
        <v>0</v>
      </c>
      <c r="N361" s="82">
        <f>dagwerk27</f>
        <v>0</v>
      </c>
      <c r="O361" s="78" t="s">
        <v>103</v>
      </c>
      <c r="P361" s="15">
        <f>uurtarief27</f>
        <v>0</v>
      </c>
      <c r="Q361" s="80" t="e">
        <f>IF(ISBLANK(M361),0,L361/ROUND(M361,4))</f>
        <v>#DIV/0!</v>
      </c>
      <c r="R361" s="80" t="e">
        <f>IF(ISBLANK(M361),0,Q361*ROUND(N361,2))</f>
        <v>#DIV/0!</v>
      </c>
      <c r="S361" s="15" t="e">
        <f>ROUND(P361,2)*Q361</f>
        <v>#DIV/0!</v>
      </c>
      <c r="T361" s="80" t="e">
        <f>Q361*dagenperjaar1</f>
        <v>#DIV/0!</v>
      </c>
      <c r="U361" s="16" t="e">
        <f>T361*ROUND(P361,2)</f>
        <v>#DIV/0!</v>
      </c>
    </row>
    <row r="362" spans="1:21" x14ac:dyDescent="0.3">
      <c r="A362" s="77" t="s">
        <v>575</v>
      </c>
      <c r="B362" s="78" t="s">
        <v>40</v>
      </c>
      <c r="C362" s="78" t="s">
        <v>280</v>
      </c>
      <c r="D362" s="78" t="s">
        <v>326</v>
      </c>
      <c r="E362" s="79" t="s">
        <v>596</v>
      </c>
      <c r="F362" s="78" t="s">
        <v>580</v>
      </c>
      <c r="G362" s="78" t="s">
        <v>300</v>
      </c>
      <c r="H362" s="78"/>
      <c r="I362" s="78"/>
      <c r="J362" s="78"/>
      <c r="K362" s="80">
        <v>27.3</v>
      </c>
      <c r="L362" s="80"/>
      <c r="M362" s="81"/>
      <c r="N362" s="82"/>
      <c r="O362" s="78"/>
      <c r="P362" s="15"/>
      <c r="Q362" s="80"/>
      <c r="R362" s="80"/>
      <c r="S362" s="15"/>
      <c r="T362" s="83"/>
      <c r="U362" s="16"/>
    </row>
    <row r="363" spans="1:21" x14ac:dyDescent="0.3">
      <c r="A363" s="77" t="s">
        <v>575</v>
      </c>
      <c r="B363" s="78" t="s">
        <v>40</v>
      </c>
      <c r="C363" s="78" t="s">
        <v>280</v>
      </c>
      <c r="D363" s="78" t="s">
        <v>328</v>
      </c>
      <c r="E363" s="79" t="s">
        <v>597</v>
      </c>
      <c r="F363" s="78" t="s">
        <v>580</v>
      </c>
      <c r="G363" s="78" t="s">
        <v>300</v>
      </c>
      <c r="H363" s="78"/>
      <c r="I363" s="78"/>
      <c r="J363" s="78"/>
      <c r="K363" s="80">
        <v>26</v>
      </c>
      <c r="L363" s="80"/>
      <c r="M363" s="81"/>
      <c r="N363" s="82"/>
      <c r="O363" s="78"/>
      <c r="P363" s="15"/>
      <c r="Q363" s="80"/>
      <c r="R363" s="80"/>
      <c r="S363" s="15"/>
      <c r="T363" s="83"/>
      <c r="U363" s="16"/>
    </row>
    <row r="364" spans="1:21" x14ac:dyDescent="0.3">
      <c r="A364" s="77" t="s">
        <v>575</v>
      </c>
      <c r="B364" s="78" t="s">
        <v>40</v>
      </c>
      <c r="C364" s="78" t="s">
        <v>280</v>
      </c>
      <c r="D364" s="78" t="s">
        <v>329</v>
      </c>
      <c r="E364" s="79" t="s">
        <v>598</v>
      </c>
      <c r="F364" s="78" t="s">
        <v>580</v>
      </c>
      <c r="G364" s="78" t="s">
        <v>234</v>
      </c>
      <c r="H364" s="78" t="s">
        <v>11</v>
      </c>
      <c r="I364" s="78" t="s">
        <v>214</v>
      </c>
      <c r="J364" s="79" t="s">
        <v>235</v>
      </c>
      <c r="K364" s="80">
        <v>11.8</v>
      </c>
      <c r="L364" s="80">
        <f>K364*VLOOKUP(H364,dagsoorttabel1,2,FALSE)</f>
        <v>9.2549019607843146</v>
      </c>
      <c r="M364" s="81">
        <f>prodnorm21</f>
        <v>0</v>
      </c>
      <c r="N364" s="82">
        <f>dagwerk21</f>
        <v>0</v>
      </c>
      <c r="O364" s="78" t="s">
        <v>103</v>
      </c>
      <c r="P364" s="15">
        <f>uurtarief21</f>
        <v>0</v>
      </c>
      <c r="Q364" s="80" t="e">
        <f>IF(ISBLANK(M364),0,L364/ROUND(M364,4))</f>
        <v>#DIV/0!</v>
      </c>
      <c r="R364" s="80" t="e">
        <f>IF(ISBLANK(M364),0,Q364*ROUND(N364,2))</f>
        <v>#DIV/0!</v>
      </c>
      <c r="S364" s="15" t="e">
        <f>ROUND(P364,2)*Q364</f>
        <v>#DIV/0!</v>
      </c>
      <c r="T364" s="80" t="e">
        <f>Q364*dagenperjaar1</f>
        <v>#DIV/0!</v>
      </c>
      <c r="U364" s="16" t="e">
        <f>T364*ROUND(P364,2)</f>
        <v>#DIV/0!</v>
      </c>
    </row>
    <row r="365" spans="1:21" x14ac:dyDescent="0.3">
      <c r="A365" s="77" t="s">
        <v>575</v>
      </c>
      <c r="B365" s="78" t="s">
        <v>40</v>
      </c>
      <c r="C365" s="78" t="s">
        <v>280</v>
      </c>
      <c r="D365" s="78" t="s">
        <v>330</v>
      </c>
      <c r="E365" s="79" t="s">
        <v>599</v>
      </c>
      <c r="F365" s="78" t="s">
        <v>580</v>
      </c>
      <c r="G365" s="78" t="s">
        <v>248</v>
      </c>
      <c r="H365" s="78" t="s">
        <v>11</v>
      </c>
      <c r="I365" s="78" t="s">
        <v>214</v>
      </c>
      <c r="J365" s="79" t="s">
        <v>249</v>
      </c>
      <c r="K365" s="80">
        <v>71</v>
      </c>
      <c r="L365" s="80">
        <f>K365*VLOOKUP(H365,dagsoorttabel1,2,FALSE)</f>
        <v>55.686274509803923</v>
      </c>
      <c r="M365" s="81">
        <f>prodnorm29</f>
        <v>0</v>
      </c>
      <c r="N365" s="82">
        <f>dagwerk29</f>
        <v>0</v>
      </c>
      <c r="O365" s="78" t="s">
        <v>103</v>
      </c>
      <c r="P365" s="15">
        <f>uurtarief29</f>
        <v>0</v>
      </c>
      <c r="Q365" s="80" t="e">
        <f>IF(ISBLANK(M365),0,L365/ROUND(M365,4))</f>
        <v>#DIV/0!</v>
      </c>
      <c r="R365" s="80" t="e">
        <f>IF(ISBLANK(M365),0,Q365*ROUND(N365,2))</f>
        <v>#DIV/0!</v>
      </c>
      <c r="S365" s="15" t="e">
        <f>ROUND(P365,2)*Q365</f>
        <v>#DIV/0!</v>
      </c>
      <c r="T365" s="80" t="e">
        <f>Q365*dagenperjaar1</f>
        <v>#DIV/0!</v>
      </c>
      <c r="U365" s="16" t="e">
        <f>T365*ROUND(P365,2)</f>
        <v>#DIV/0!</v>
      </c>
    </row>
    <row r="366" spans="1:21" x14ac:dyDescent="0.3">
      <c r="A366" s="77" t="s">
        <v>575</v>
      </c>
      <c r="B366" s="78" t="s">
        <v>40</v>
      </c>
      <c r="C366" s="78" t="s">
        <v>280</v>
      </c>
      <c r="D366" s="78" t="s">
        <v>332</v>
      </c>
      <c r="E366" s="79" t="s">
        <v>600</v>
      </c>
      <c r="F366" s="78" t="s">
        <v>580</v>
      </c>
      <c r="G366" s="78" t="s">
        <v>216</v>
      </c>
      <c r="H366" s="78" t="s">
        <v>11</v>
      </c>
      <c r="I366" s="78" t="s">
        <v>214</v>
      </c>
      <c r="J366" s="79" t="s">
        <v>217</v>
      </c>
      <c r="K366" s="80">
        <v>12.8</v>
      </c>
      <c r="L366" s="80">
        <f>K366*VLOOKUP(H366,dagsoorttabel1,2,FALSE)</f>
        <v>10.03921568627451</v>
      </c>
      <c r="M366" s="81">
        <f>prodnorm6</f>
        <v>0</v>
      </c>
      <c r="N366" s="82">
        <f>dagwerk6</f>
        <v>0</v>
      </c>
      <c r="O366" s="78" t="s">
        <v>103</v>
      </c>
      <c r="P366" s="15">
        <f>uurtarief6</f>
        <v>0</v>
      </c>
      <c r="Q366" s="80" t="e">
        <f>IF(ISBLANK(M366),0,L366/ROUND(M366,4))</f>
        <v>#DIV/0!</v>
      </c>
      <c r="R366" s="80" t="e">
        <f>IF(ISBLANK(M366),0,Q366*ROUND(N366,2))</f>
        <v>#DIV/0!</v>
      </c>
      <c r="S366" s="15" t="e">
        <f>ROUND(P366,2)*Q366</f>
        <v>#DIV/0!</v>
      </c>
      <c r="T366" s="80" t="e">
        <f>Q366*dagenperjaar1</f>
        <v>#DIV/0!</v>
      </c>
      <c r="U366" s="16" t="e">
        <f>T366*ROUND(P366,2)</f>
        <v>#DIV/0!</v>
      </c>
    </row>
    <row r="367" spans="1:21" x14ac:dyDescent="0.3">
      <c r="A367" s="77" t="s">
        <v>575</v>
      </c>
      <c r="B367" s="78" t="s">
        <v>40</v>
      </c>
      <c r="C367" s="78" t="s">
        <v>280</v>
      </c>
      <c r="D367" s="78" t="s">
        <v>334</v>
      </c>
      <c r="E367" s="79" t="s">
        <v>601</v>
      </c>
      <c r="F367" s="78" t="s">
        <v>580</v>
      </c>
      <c r="G367" s="78" t="s">
        <v>248</v>
      </c>
      <c r="H367" s="78" t="s">
        <v>11</v>
      </c>
      <c r="I367" s="78" t="s">
        <v>214</v>
      </c>
      <c r="J367" s="79" t="s">
        <v>249</v>
      </c>
      <c r="K367" s="80">
        <v>72.5</v>
      </c>
      <c r="L367" s="80">
        <f>K367*VLOOKUP(H367,dagsoorttabel1,2,FALSE)</f>
        <v>56.862745098039213</v>
      </c>
      <c r="M367" s="81">
        <f>prodnorm29</f>
        <v>0</v>
      </c>
      <c r="N367" s="82">
        <f>dagwerk29</f>
        <v>0</v>
      </c>
      <c r="O367" s="78" t="s">
        <v>103</v>
      </c>
      <c r="P367" s="15">
        <f>uurtarief29</f>
        <v>0</v>
      </c>
      <c r="Q367" s="80" t="e">
        <f>IF(ISBLANK(M367),0,L367/ROUND(M367,4))</f>
        <v>#DIV/0!</v>
      </c>
      <c r="R367" s="80" t="e">
        <f>IF(ISBLANK(M367),0,Q367*ROUND(N367,2))</f>
        <v>#DIV/0!</v>
      </c>
      <c r="S367" s="15" t="e">
        <f>ROUND(P367,2)*Q367</f>
        <v>#DIV/0!</v>
      </c>
      <c r="T367" s="80" t="e">
        <f>Q367*dagenperjaar1</f>
        <v>#DIV/0!</v>
      </c>
      <c r="U367" s="16" t="e">
        <f>T367*ROUND(P367,2)</f>
        <v>#DIV/0!</v>
      </c>
    </row>
    <row r="368" spans="1:21" ht="27" x14ac:dyDescent="0.3">
      <c r="A368" s="77" t="s">
        <v>575</v>
      </c>
      <c r="B368" s="78" t="s">
        <v>40</v>
      </c>
      <c r="C368" s="78" t="s">
        <v>280</v>
      </c>
      <c r="D368" s="78" t="s">
        <v>336</v>
      </c>
      <c r="E368" s="79" t="s">
        <v>602</v>
      </c>
      <c r="F368" s="78" t="s">
        <v>580</v>
      </c>
      <c r="G368" s="78" t="s">
        <v>300</v>
      </c>
      <c r="H368" s="78"/>
      <c r="I368" s="78"/>
      <c r="J368" s="78"/>
      <c r="K368" s="80">
        <v>17.100000000000001</v>
      </c>
      <c r="L368" s="80"/>
      <c r="M368" s="81"/>
      <c r="N368" s="82"/>
      <c r="O368" s="78"/>
      <c r="P368" s="15"/>
      <c r="Q368" s="80"/>
      <c r="R368" s="80"/>
      <c r="S368" s="15"/>
      <c r="T368" s="83"/>
      <c r="U368" s="16"/>
    </row>
    <row r="369" spans="1:21" x14ac:dyDescent="0.3">
      <c r="A369" s="77" t="s">
        <v>575</v>
      </c>
      <c r="B369" s="78" t="s">
        <v>40</v>
      </c>
      <c r="C369" s="78" t="s">
        <v>280</v>
      </c>
      <c r="D369" s="78" t="s">
        <v>603</v>
      </c>
      <c r="E369" s="79" t="s">
        <v>604</v>
      </c>
      <c r="F369" s="78" t="s">
        <v>580</v>
      </c>
      <c r="G369" s="78" t="s">
        <v>234</v>
      </c>
      <c r="H369" s="78" t="s">
        <v>11</v>
      </c>
      <c r="I369" s="78" t="s">
        <v>214</v>
      </c>
      <c r="J369" s="79" t="s">
        <v>235</v>
      </c>
      <c r="K369" s="80">
        <v>12.7</v>
      </c>
      <c r="L369" s="80">
        <f>K369*VLOOKUP(H369,dagsoorttabel1,2,FALSE)</f>
        <v>9.9607843137254903</v>
      </c>
      <c r="M369" s="81">
        <f>prodnorm21</f>
        <v>0</v>
      </c>
      <c r="N369" s="82">
        <f>dagwerk21</f>
        <v>0</v>
      </c>
      <c r="O369" s="78" t="s">
        <v>103</v>
      </c>
      <c r="P369" s="15">
        <f>uurtarief21</f>
        <v>0</v>
      </c>
      <c r="Q369" s="80" t="e">
        <f>IF(ISBLANK(M369),0,L369/ROUND(M369,4))</f>
        <v>#DIV/0!</v>
      </c>
      <c r="R369" s="80" t="e">
        <f>IF(ISBLANK(M369),0,Q369*ROUND(N369,2))</f>
        <v>#DIV/0!</v>
      </c>
      <c r="S369" s="15" t="e">
        <f>ROUND(P369,2)*Q369</f>
        <v>#DIV/0!</v>
      </c>
      <c r="T369" s="80" t="e">
        <f>Q369*dagenperjaar1</f>
        <v>#DIV/0!</v>
      </c>
      <c r="U369" s="16" t="e">
        <f>T369*ROUND(P369,2)</f>
        <v>#DIV/0!</v>
      </c>
    </row>
    <row r="370" spans="1:21" x14ac:dyDescent="0.3">
      <c r="A370" s="77" t="s">
        <v>575</v>
      </c>
      <c r="B370" s="78" t="s">
        <v>40</v>
      </c>
      <c r="C370" s="78" t="s">
        <v>280</v>
      </c>
      <c r="D370" s="78" t="s">
        <v>337</v>
      </c>
      <c r="E370" s="79" t="s">
        <v>605</v>
      </c>
      <c r="F370" s="78" t="s">
        <v>580</v>
      </c>
      <c r="G370" s="78" t="s">
        <v>248</v>
      </c>
      <c r="H370" s="78" t="s">
        <v>11</v>
      </c>
      <c r="I370" s="78" t="s">
        <v>214</v>
      </c>
      <c r="J370" s="79" t="s">
        <v>249</v>
      </c>
      <c r="K370" s="80">
        <v>65.8</v>
      </c>
      <c r="L370" s="80">
        <f>K370*VLOOKUP(H370,dagsoorttabel1,2,FALSE)</f>
        <v>51.607843137254896</v>
      </c>
      <c r="M370" s="81">
        <f>prodnorm29</f>
        <v>0</v>
      </c>
      <c r="N370" s="82">
        <f>dagwerk29</f>
        <v>0</v>
      </c>
      <c r="O370" s="78" t="s">
        <v>103</v>
      </c>
      <c r="P370" s="15">
        <f>uurtarief29</f>
        <v>0</v>
      </c>
      <c r="Q370" s="80" t="e">
        <f>IF(ISBLANK(M370),0,L370/ROUND(M370,4))</f>
        <v>#DIV/0!</v>
      </c>
      <c r="R370" s="80" t="e">
        <f>IF(ISBLANK(M370),0,Q370*ROUND(N370,2))</f>
        <v>#DIV/0!</v>
      </c>
      <c r="S370" s="15" t="e">
        <f>ROUND(P370,2)*Q370</f>
        <v>#DIV/0!</v>
      </c>
      <c r="T370" s="80" t="e">
        <f>Q370*dagenperjaar1</f>
        <v>#DIV/0!</v>
      </c>
      <c r="U370" s="16" t="e">
        <f>T370*ROUND(P370,2)</f>
        <v>#DIV/0!</v>
      </c>
    </row>
    <row r="371" spans="1:21" x14ac:dyDescent="0.3">
      <c r="A371" s="77" t="s">
        <v>575</v>
      </c>
      <c r="B371" s="78" t="s">
        <v>40</v>
      </c>
      <c r="C371" s="78" t="s">
        <v>280</v>
      </c>
      <c r="D371" s="78" t="s">
        <v>417</v>
      </c>
      <c r="E371" s="79" t="s">
        <v>600</v>
      </c>
      <c r="F371" s="78" t="s">
        <v>580</v>
      </c>
      <c r="G371" s="78" t="s">
        <v>216</v>
      </c>
      <c r="H371" s="78" t="s">
        <v>11</v>
      </c>
      <c r="I371" s="78" t="s">
        <v>214</v>
      </c>
      <c r="J371" s="79" t="s">
        <v>217</v>
      </c>
      <c r="K371" s="80">
        <v>12.8</v>
      </c>
      <c r="L371" s="80">
        <f>K371*VLOOKUP(H371,dagsoorttabel1,2,FALSE)</f>
        <v>10.03921568627451</v>
      </c>
      <c r="M371" s="81">
        <f>prodnorm6</f>
        <v>0</v>
      </c>
      <c r="N371" s="82">
        <f>dagwerk6</f>
        <v>0</v>
      </c>
      <c r="O371" s="78" t="s">
        <v>103</v>
      </c>
      <c r="P371" s="15">
        <f>uurtarief6</f>
        <v>0</v>
      </c>
      <c r="Q371" s="80" t="e">
        <f>IF(ISBLANK(M371),0,L371/ROUND(M371,4))</f>
        <v>#DIV/0!</v>
      </c>
      <c r="R371" s="80" t="e">
        <f>IF(ISBLANK(M371),0,Q371*ROUND(N371,2))</f>
        <v>#DIV/0!</v>
      </c>
      <c r="S371" s="15" t="e">
        <f>ROUND(P371,2)*Q371</f>
        <v>#DIV/0!</v>
      </c>
      <c r="T371" s="80" t="e">
        <f>Q371*dagenperjaar1</f>
        <v>#DIV/0!</v>
      </c>
      <c r="U371" s="16" t="e">
        <f>T371*ROUND(P371,2)</f>
        <v>#DIV/0!</v>
      </c>
    </row>
    <row r="372" spans="1:21" x14ac:dyDescent="0.3">
      <c r="A372" s="77" t="s">
        <v>575</v>
      </c>
      <c r="B372" s="78" t="s">
        <v>40</v>
      </c>
      <c r="C372" s="78" t="s">
        <v>280</v>
      </c>
      <c r="D372" s="78" t="s">
        <v>418</v>
      </c>
      <c r="E372" s="79" t="s">
        <v>606</v>
      </c>
      <c r="F372" s="78" t="s">
        <v>580</v>
      </c>
      <c r="G372" s="78" t="s">
        <v>234</v>
      </c>
      <c r="H372" s="78" t="s">
        <v>11</v>
      </c>
      <c r="I372" s="78" t="s">
        <v>214</v>
      </c>
      <c r="J372" s="79" t="s">
        <v>235</v>
      </c>
      <c r="K372" s="80">
        <v>70</v>
      </c>
      <c r="L372" s="80">
        <f>K372*VLOOKUP(H372,dagsoorttabel1,2,FALSE)</f>
        <v>54.901960784313722</v>
      </c>
      <c r="M372" s="81">
        <f>prodnorm21</f>
        <v>0</v>
      </c>
      <c r="N372" s="82">
        <f>dagwerk21</f>
        <v>0</v>
      </c>
      <c r="O372" s="78" t="s">
        <v>103</v>
      </c>
      <c r="P372" s="15">
        <f>uurtarief21</f>
        <v>0</v>
      </c>
      <c r="Q372" s="80" t="e">
        <f>IF(ISBLANK(M372),0,L372/ROUND(M372,4))</f>
        <v>#DIV/0!</v>
      </c>
      <c r="R372" s="80" t="e">
        <f>IF(ISBLANK(M372),0,Q372*ROUND(N372,2))</f>
        <v>#DIV/0!</v>
      </c>
      <c r="S372" s="15" t="e">
        <f>ROUND(P372,2)*Q372</f>
        <v>#DIV/0!</v>
      </c>
      <c r="T372" s="80" t="e">
        <f>Q372*dagenperjaar1</f>
        <v>#DIV/0!</v>
      </c>
      <c r="U372" s="16" t="e">
        <f>T372*ROUND(P372,2)</f>
        <v>#DIV/0!</v>
      </c>
    </row>
    <row r="373" spans="1:21" x14ac:dyDescent="0.3">
      <c r="A373" s="77" t="s">
        <v>575</v>
      </c>
      <c r="B373" s="78" t="s">
        <v>40</v>
      </c>
      <c r="C373" s="78" t="s">
        <v>280</v>
      </c>
      <c r="D373" s="78" t="s">
        <v>420</v>
      </c>
      <c r="E373" s="79" t="s">
        <v>607</v>
      </c>
      <c r="F373" s="78" t="s">
        <v>580</v>
      </c>
      <c r="G373" s="78" t="s">
        <v>300</v>
      </c>
      <c r="H373" s="78"/>
      <c r="I373" s="78"/>
      <c r="J373" s="78"/>
      <c r="K373" s="80">
        <v>13</v>
      </c>
      <c r="L373" s="80"/>
      <c r="M373" s="81"/>
      <c r="N373" s="82"/>
      <c r="O373" s="78"/>
      <c r="P373" s="15"/>
      <c r="Q373" s="80"/>
      <c r="R373" s="80"/>
      <c r="S373" s="15"/>
      <c r="T373" s="83"/>
      <c r="U373" s="16"/>
    </row>
    <row r="374" spans="1:21" x14ac:dyDescent="0.3">
      <c r="A374" s="77" t="s">
        <v>575</v>
      </c>
      <c r="B374" s="78" t="s">
        <v>40</v>
      </c>
      <c r="C374" s="78" t="s">
        <v>280</v>
      </c>
      <c r="D374" s="78" t="s">
        <v>531</v>
      </c>
      <c r="E374" s="79" t="s">
        <v>608</v>
      </c>
      <c r="F374" s="78" t="s">
        <v>580</v>
      </c>
      <c r="G374" s="78" t="s">
        <v>300</v>
      </c>
      <c r="H374" s="78"/>
      <c r="I374" s="78"/>
      <c r="J374" s="78"/>
      <c r="K374" s="80">
        <v>4.5</v>
      </c>
      <c r="L374" s="80"/>
      <c r="M374" s="81"/>
      <c r="N374" s="82"/>
      <c r="O374" s="78"/>
      <c r="P374" s="15"/>
      <c r="Q374" s="80"/>
      <c r="R374" s="80"/>
      <c r="S374" s="15"/>
      <c r="T374" s="83"/>
      <c r="U374" s="16"/>
    </row>
    <row r="375" spans="1:21" ht="27" x14ac:dyDescent="0.3">
      <c r="A375" s="77" t="s">
        <v>575</v>
      </c>
      <c r="B375" s="78" t="s">
        <v>40</v>
      </c>
      <c r="C375" s="78" t="s">
        <v>280</v>
      </c>
      <c r="D375" s="78" t="s">
        <v>534</v>
      </c>
      <c r="E375" s="79" t="s">
        <v>579</v>
      </c>
      <c r="F375" s="78" t="s">
        <v>580</v>
      </c>
      <c r="G375" s="78" t="s">
        <v>256</v>
      </c>
      <c r="H375" s="78" t="s">
        <v>11</v>
      </c>
      <c r="I375" s="78" t="s">
        <v>214</v>
      </c>
      <c r="J375" s="79" t="s">
        <v>257</v>
      </c>
      <c r="K375" s="80">
        <v>111</v>
      </c>
      <c r="L375" s="80">
        <f>K375*VLOOKUP(H375,dagsoorttabel1,2,FALSE)</f>
        <v>87.058823529411768</v>
      </c>
      <c r="M375" s="81">
        <f>prodnorm33</f>
        <v>0</v>
      </c>
      <c r="N375" s="82">
        <f>dagwerk33</f>
        <v>0</v>
      </c>
      <c r="O375" s="78" t="s">
        <v>103</v>
      </c>
      <c r="P375" s="15">
        <f>uurtarief33</f>
        <v>0</v>
      </c>
      <c r="Q375" s="80" t="e">
        <f>IF(ISBLANK(M375),0,L375/ROUND(M375,4))</f>
        <v>#DIV/0!</v>
      </c>
      <c r="R375" s="80" t="e">
        <f>IF(ISBLANK(M375),0,Q375*ROUND(N375,2))</f>
        <v>#DIV/0!</v>
      </c>
      <c r="S375" s="15" t="e">
        <f>ROUND(P375,2)*Q375</f>
        <v>#DIV/0!</v>
      </c>
      <c r="T375" s="80" t="e">
        <f>Q375*dagenperjaar1</f>
        <v>#DIV/0!</v>
      </c>
      <c r="U375" s="16" t="e">
        <f>T375*ROUND(P375,2)</f>
        <v>#DIV/0!</v>
      </c>
    </row>
    <row r="376" spans="1:21" ht="27" x14ac:dyDescent="0.3">
      <c r="A376" s="77" t="s">
        <v>575</v>
      </c>
      <c r="B376" s="78" t="s">
        <v>40</v>
      </c>
      <c r="C376" s="78" t="s">
        <v>280</v>
      </c>
      <c r="D376" s="78" t="s">
        <v>535</v>
      </c>
      <c r="E376" s="79" t="s">
        <v>579</v>
      </c>
      <c r="F376" s="78" t="s">
        <v>580</v>
      </c>
      <c r="G376" s="78" t="s">
        <v>256</v>
      </c>
      <c r="H376" s="78" t="s">
        <v>11</v>
      </c>
      <c r="I376" s="78" t="s">
        <v>214</v>
      </c>
      <c r="J376" s="79" t="s">
        <v>257</v>
      </c>
      <c r="K376" s="80">
        <v>43.1</v>
      </c>
      <c r="L376" s="80">
        <f>K376*VLOOKUP(H376,dagsoorttabel1,2,FALSE)</f>
        <v>33.803921568627452</v>
      </c>
      <c r="M376" s="81">
        <f>prodnorm33</f>
        <v>0</v>
      </c>
      <c r="N376" s="82">
        <f>dagwerk33</f>
        <v>0</v>
      </c>
      <c r="O376" s="78" t="s">
        <v>103</v>
      </c>
      <c r="P376" s="15">
        <f>uurtarief33</f>
        <v>0</v>
      </c>
      <c r="Q376" s="80" t="e">
        <f>IF(ISBLANK(M376),0,L376/ROUND(M376,4))</f>
        <v>#DIV/0!</v>
      </c>
      <c r="R376" s="80" t="e">
        <f>IF(ISBLANK(M376),0,Q376*ROUND(N376,2))</f>
        <v>#DIV/0!</v>
      </c>
      <c r="S376" s="15" t="e">
        <f>ROUND(P376,2)*Q376</f>
        <v>#DIV/0!</v>
      </c>
      <c r="T376" s="80" t="e">
        <f>Q376*dagenperjaar1</f>
        <v>#DIV/0!</v>
      </c>
      <c r="U376" s="16" t="e">
        <f>T376*ROUND(P376,2)</f>
        <v>#DIV/0!</v>
      </c>
    </row>
    <row r="377" spans="1:21" x14ac:dyDescent="0.3">
      <c r="A377" s="77" t="s">
        <v>575</v>
      </c>
      <c r="B377" s="78" t="s">
        <v>40</v>
      </c>
      <c r="C377" s="78" t="s">
        <v>280</v>
      </c>
      <c r="D377" s="78" t="s">
        <v>609</v>
      </c>
      <c r="E377" s="79" t="s">
        <v>594</v>
      </c>
      <c r="F377" s="78" t="s">
        <v>404</v>
      </c>
      <c r="G377" s="78" t="s">
        <v>252</v>
      </c>
      <c r="H377" s="78" t="s">
        <v>11</v>
      </c>
      <c r="I377" s="78" t="s">
        <v>214</v>
      </c>
      <c r="J377" s="79" t="s">
        <v>253</v>
      </c>
      <c r="K377" s="80">
        <v>17.8</v>
      </c>
      <c r="L377" s="80">
        <f>K377*VLOOKUP(H377,dagsoorttabel1,2,FALSE)</f>
        <v>13.96078431372549</v>
      </c>
      <c r="M377" s="81">
        <f>prodnorm31</f>
        <v>0</v>
      </c>
      <c r="N377" s="82">
        <f>dagwerk31</f>
        <v>0</v>
      </c>
      <c r="O377" s="78" t="s">
        <v>103</v>
      </c>
      <c r="P377" s="15">
        <f>uurtarief31</f>
        <v>0</v>
      </c>
      <c r="Q377" s="80" t="e">
        <f>IF(ISBLANK(M377),0,L377/ROUND(M377,4))</f>
        <v>#DIV/0!</v>
      </c>
      <c r="R377" s="80" t="e">
        <f>IF(ISBLANK(M377),0,Q377*ROUND(N377,2))</f>
        <v>#DIV/0!</v>
      </c>
      <c r="S377" s="15" t="e">
        <f>ROUND(P377,2)*Q377</f>
        <v>#DIV/0!</v>
      </c>
      <c r="T377" s="80" t="e">
        <f>Q377*dagenperjaar1</f>
        <v>#DIV/0!</v>
      </c>
      <c r="U377" s="16" t="e">
        <f>T377*ROUND(P377,2)</f>
        <v>#DIV/0!</v>
      </c>
    </row>
    <row r="378" spans="1:21" x14ac:dyDescent="0.3">
      <c r="A378" s="77" t="s">
        <v>575</v>
      </c>
      <c r="B378" s="78" t="s">
        <v>40</v>
      </c>
      <c r="C378" s="78" t="s">
        <v>280</v>
      </c>
      <c r="D378" s="78" t="s">
        <v>536</v>
      </c>
      <c r="E378" s="79" t="s">
        <v>610</v>
      </c>
      <c r="F378" s="78" t="s">
        <v>591</v>
      </c>
      <c r="G378" s="78" t="s">
        <v>250</v>
      </c>
      <c r="H378" s="78" t="s">
        <v>11</v>
      </c>
      <c r="I378" s="78" t="s">
        <v>214</v>
      </c>
      <c r="J378" s="79" t="s">
        <v>251</v>
      </c>
      <c r="K378" s="80">
        <v>3.2</v>
      </c>
      <c r="L378" s="80">
        <f>K378*VLOOKUP(H378,dagsoorttabel1,2,FALSE)</f>
        <v>2.5098039215686274</v>
      </c>
      <c r="M378" s="81">
        <f>prodnorm30</f>
        <v>0</v>
      </c>
      <c r="N378" s="82">
        <f>dagwerk30</f>
        <v>0</v>
      </c>
      <c r="O378" s="78" t="s">
        <v>103</v>
      </c>
      <c r="P378" s="15">
        <f>uurtarief30</f>
        <v>0</v>
      </c>
      <c r="Q378" s="80" t="e">
        <f>IF(ISBLANK(M378),0,L378/ROUND(M378,4))</f>
        <v>#DIV/0!</v>
      </c>
      <c r="R378" s="80" t="e">
        <f>IF(ISBLANK(M378),0,Q378*ROUND(N378,2))</f>
        <v>#DIV/0!</v>
      </c>
      <c r="S378" s="15" t="e">
        <f>ROUND(P378,2)*Q378</f>
        <v>#DIV/0!</v>
      </c>
      <c r="T378" s="80" t="e">
        <f>Q378*dagenperjaar1</f>
        <v>#DIV/0!</v>
      </c>
      <c r="U378" s="16" t="e">
        <f>T378*ROUND(P378,2)</f>
        <v>#DIV/0!</v>
      </c>
    </row>
    <row r="379" spans="1:21" x14ac:dyDescent="0.3">
      <c r="A379" s="77" t="s">
        <v>575</v>
      </c>
      <c r="B379" s="78" t="s">
        <v>40</v>
      </c>
      <c r="C379" s="78" t="s">
        <v>280</v>
      </c>
      <c r="D379" s="78" t="s">
        <v>538</v>
      </c>
      <c r="E379" s="79" t="s">
        <v>611</v>
      </c>
      <c r="F379" s="78" t="s">
        <v>580</v>
      </c>
      <c r="G379" s="78" t="s">
        <v>300</v>
      </c>
      <c r="H379" s="78"/>
      <c r="I379" s="78"/>
      <c r="J379" s="78"/>
      <c r="K379" s="80">
        <v>23.2</v>
      </c>
      <c r="L379" s="80"/>
      <c r="M379" s="81"/>
      <c r="N379" s="82"/>
      <c r="O379" s="78"/>
      <c r="P379" s="15"/>
      <c r="Q379" s="80"/>
      <c r="R379" s="80"/>
      <c r="S379" s="15"/>
      <c r="T379" s="83"/>
      <c r="U379" s="16"/>
    </row>
    <row r="380" spans="1:21" x14ac:dyDescent="0.3">
      <c r="A380" s="77" t="s">
        <v>575</v>
      </c>
      <c r="B380" s="78" t="s">
        <v>40</v>
      </c>
      <c r="C380" s="78" t="s">
        <v>280</v>
      </c>
      <c r="D380" s="78" t="s">
        <v>540</v>
      </c>
      <c r="E380" s="79" t="s">
        <v>612</v>
      </c>
      <c r="F380" s="78" t="s">
        <v>580</v>
      </c>
      <c r="G380" s="78" t="s">
        <v>300</v>
      </c>
      <c r="H380" s="78"/>
      <c r="I380" s="78"/>
      <c r="J380" s="78"/>
      <c r="K380" s="80">
        <v>14</v>
      </c>
      <c r="L380" s="80"/>
      <c r="M380" s="81"/>
      <c r="N380" s="82"/>
      <c r="O380" s="78"/>
      <c r="P380" s="15"/>
      <c r="Q380" s="80"/>
      <c r="R380" s="80"/>
      <c r="S380" s="15"/>
      <c r="T380" s="83"/>
      <c r="U380" s="16"/>
    </row>
    <row r="381" spans="1:21" x14ac:dyDescent="0.3">
      <c r="A381" s="77" t="s">
        <v>575</v>
      </c>
      <c r="B381" s="78" t="s">
        <v>40</v>
      </c>
      <c r="C381" s="78" t="s">
        <v>280</v>
      </c>
      <c r="D381" s="78" t="s">
        <v>541</v>
      </c>
      <c r="E381" s="79" t="s">
        <v>613</v>
      </c>
      <c r="F381" s="78" t="s">
        <v>580</v>
      </c>
      <c r="G381" s="78" t="s">
        <v>234</v>
      </c>
      <c r="H381" s="78" t="s">
        <v>11</v>
      </c>
      <c r="I381" s="78" t="s">
        <v>214</v>
      </c>
      <c r="J381" s="79" t="s">
        <v>235</v>
      </c>
      <c r="K381" s="80">
        <v>41.6</v>
      </c>
      <c r="L381" s="80">
        <f>K381*VLOOKUP(H381,dagsoorttabel1,2,FALSE)</f>
        <v>32.627450980392155</v>
      </c>
      <c r="M381" s="81">
        <f>prodnorm21</f>
        <v>0</v>
      </c>
      <c r="N381" s="82">
        <f>dagwerk21</f>
        <v>0</v>
      </c>
      <c r="O381" s="78" t="s">
        <v>103</v>
      </c>
      <c r="P381" s="15">
        <f>uurtarief21</f>
        <v>0</v>
      </c>
      <c r="Q381" s="80" t="e">
        <f>IF(ISBLANK(M381),0,L381/ROUND(M381,4))</f>
        <v>#DIV/0!</v>
      </c>
      <c r="R381" s="80" t="e">
        <f>IF(ISBLANK(M381),0,Q381*ROUND(N381,2))</f>
        <v>#DIV/0!</v>
      </c>
      <c r="S381" s="15" t="e">
        <f>ROUND(P381,2)*Q381</f>
        <v>#DIV/0!</v>
      </c>
      <c r="T381" s="80" t="e">
        <f>Q381*dagenperjaar1</f>
        <v>#DIV/0!</v>
      </c>
      <c r="U381" s="16" t="e">
        <f>T381*ROUND(P381,2)</f>
        <v>#DIV/0!</v>
      </c>
    </row>
    <row r="382" spans="1:21" x14ac:dyDescent="0.3">
      <c r="A382" s="77" t="s">
        <v>575</v>
      </c>
      <c r="B382" s="78" t="s">
        <v>40</v>
      </c>
      <c r="C382" s="78" t="s">
        <v>280</v>
      </c>
      <c r="D382" s="78" t="s">
        <v>542</v>
      </c>
      <c r="E382" s="79" t="s">
        <v>614</v>
      </c>
      <c r="F382" s="78" t="s">
        <v>580</v>
      </c>
      <c r="G382" s="78" t="s">
        <v>248</v>
      </c>
      <c r="H382" s="78" t="s">
        <v>11</v>
      </c>
      <c r="I382" s="78" t="s">
        <v>214</v>
      </c>
      <c r="J382" s="79" t="s">
        <v>249</v>
      </c>
      <c r="K382" s="80">
        <v>70</v>
      </c>
      <c r="L382" s="80">
        <f>K382*VLOOKUP(H382,dagsoorttabel1,2,FALSE)</f>
        <v>54.901960784313722</v>
      </c>
      <c r="M382" s="81">
        <f>prodnorm29</f>
        <v>0</v>
      </c>
      <c r="N382" s="82">
        <f>dagwerk29</f>
        <v>0</v>
      </c>
      <c r="O382" s="78" t="s">
        <v>103</v>
      </c>
      <c r="P382" s="15">
        <f>uurtarief29</f>
        <v>0</v>
      </c>
      <c r="Q382" s="80" t="e">
        <f>IF(ISBLANK(M382),0,L382/ROUND(M382,4))</f>
        <v>#DIV/0!</v>
      </c>
      <c r="R382" s="80" t="e">
        <f>IF(ISBLANK(M382),0,Q382*ROUND(N382,2))</f>
        <v>#DIV/0!</v>
      </c>
      <c r="S382" s="15" t="e">
        <f>ROUND(P382,2)*Q382</f>
        <v>#DIV/0!</v>
      </c>
      <c r="T382" s="80" t="e">
        <f>Q382*dagenperjaar1</f>
        <v>#DIV/0!</v>
      </c>
      <c r="U382" s="16" t="e">
        <f>T382*ROUND(P382,2)</f>
        <v>#DIV/0!</v>
      </c>
    </row>
    <row r="383" spans="1:21" x14ac:dyDescent="0.3">
      <c r="A383" s="77" t="s">
        <v>575</v>
      </c>
      <c r="B383" s="78" t="s">
        <v>40</v>
      </c>
      <c r="C383" s="78" t="s">
        <v>280</v>
      </c>
      <c r="D383" s="78" t="s">
        <v>543</v>
      </c>
      <c r="E383" s="79" t="s">
        <v>615</v>
      </c>
      <c r="F383" s="78" t="s">
        <v>580</v>
      </c>
      <c r="G383" s="78" t="s">
        <v>234</v>
      </c>
      <c r="H383" s="78" t="s">
        <v>11</v>
      </c>
      <c r="I383" s="78" t="s">
        <v>214</v>
      </c>
      <c r="J383" s="79" t="s">
        <v>235</v>
      </c>
      <c r="K383" s="80">
        <v>24.3</v>
      </c>
      <c r="L383" s="80">
        <f>K383*VLOOKUP(H383,dagsoorttabel1,2,FALSE)</f>
        <v>19.058823529411764</v>
      </c>
      <c r="M383" s="81">
        <f>prodnorm21</f>
        <v>0</v>
      </c>
      <c r="N383" s="82">
        <f>dagwerk21</f>
        <v>0</v>
      </c>
      <c r="O383" s="78" t="s">
        <v>103</v>
      </c>
      <c r="P383" s="15">
        <f>uurtarief21</f>
        <v>0</v>
      </c>
      <c r="Q383" s="80" t="e">
        <f>IF(ISBLANK(M383),0,L383/ROUND(M383,4))</f>
        <v>#DIV/0!</v>
      </c>
      <c r="R383" s="80" t="e">
        <f>IF(ISBLANK(M383),0,Q383*ROUND(N383,2))</f>
        <v>#DIV/0!</v>
      </c>
      <c r="S383" s="15" t="e">
        <f>ROUND(P383,2)*Q383</f>
        <v>#DIV/0!</v>
      </c>
      <c r="T383" s="80" t="e">
        <f>Q383*dagenperjaar1</f>
        <v>#DIV/0!</v>
      </c>
      <c r="U383" s="16" t="e">
        <f>T383*ROUND(P383,2)</f>
        <v>#DIV/0!</v>
      </c>
    </row>
    <row r="384" spans="1:21" x14ac:dyDescent="0.3">
      <c r="A384" s="77" t="s">
        <v>575</v>
      </c>
      <c r="B384" s="78" t="s">
        <v>40</v>
      </c>
      <c r="C384" s="78" t="s">
        <v>280</v>
      </c>
      <c r="D384" s="78" t="s">
        <v>545</v>
      </c>
      <c r="E384" s="79" t="s">
        <v>616</v>
      </c>
      <c r="F384" s="78" t="s">
        <v>580</v>
      </c>
      <c r="G384" s="78" t="s">
        <v>248</v>
      </c>
      <c r="H384" s="78" t="s">
        <v>11</v>
      </c>
      <c r="I384" s="78" t="s">
        <v>214</v>
      </c>
      <c r="J384" s="79" t="s">
        <v>249</v>
      </c>
      <c r="K384" s="80">
        <v>70</v>
      </c>
      <c r="L384" s="80">
        <f>K384*VLOOKUP(H384,dagsoorttabel1,2,FALSE)</f>
        <v>54.901960784313722</v>
      </c>
      <c r="M384" s="81">
        <f>prodnorm29</f>
        <v>0</v>
      </c>
      <c r="N384" s="82">
        <f>dagwerk29</f>
        <v>0</v>
      </c>
      <c r="O384" s="78" t="s">
        <v>103</v>
      </c>
      <c r="P384" s="15">
        <f>uurtarief29</f>
        <v>0</v>
      </c>
      <c r="Q384" s="80" t="e">
        <f>IF(ISBLANK(M384),0,L384/ROUND(M384,4))</f>
        <v>#DIV/0!</v>
      </c>
      <c r="R384" s="80" t="e">
        <f>IF(ISBLANK(M384),0,Q384*ROUND(N384,2))</f>
        <v>#DIV/0!</v>
      </c>
      <c r="S384" s="15" t="e">
        <f>ROUND(P384,2)*Q384</f>
        <v>#DIV/0!</v>
      </c>
      <c r="T384" s="80" t="e">
        <f>Q384*dagenperjaar1</f>
        <v>#DIV/0!</v>
      </c>
      <c r="U384" s="16" t="e">
        <f>T384*ROUND(P384,2)</f>
        <v>#DIV/0!</v>
      </c>
    </row>
    <row r="385" spans="1:21" x14ac:dyDescent="0.3">
      <c r="A385" s="77" t="s">
        <v>575</v>
      </c>
      <c r="B385" s="78" t="s">
        <v>40</v>
      </c>
      <c r="C385" s="78" t="s">
        <v>280</v>
      </c>
      <c r="D385" s="78" t="s">
        <v>546</v>
      </c>
      <c r="E385" s="79" t="s">
        <v>617</v>
      </c>
      <c r="F385" s="78" t="s">
        <v>591</v>
      </c>
      <c r="G385" s="78" t="s">
        <v>246</v>
      </c>
      <c r="H385" s="78" t="s">
        <v>11</v>
      </c>
      <c r="I385" s="78" t="s">
        <v>214</v>
      </c>
      <c r="J385" s="79" t="s">
        <v>247</v>
      </c>
      <c r="K385" s="80">
        <v>100.6</v>
      </c>
      <c r="L385" s="80">
        <f>K385*VLOOKUP(H385,dagsoorttabel1,2,FALSE)</f>
        <v>78.901960784313715</v>
      </c>
      <c r="M385" s="81">
        <f>prodnorm28</f>
        <v>0</v>
      </c>
      <c r="N385" s="82">
        <f>dagwerk28</f>
        <v>0</v>
      </c>
      <c r="O385" s="78" t="s">
        <v>103</v>
      </c>
      <c r="P385" s="15">
        <f>uurtarief28</f>
        <v>0</v>
      </c>
      <c r="Q385" s="80" t="e">
        <f>IF(ISBLANK(M385),0,L385/ROUND(M385,4))</f>
        <v>#DIV/0!</v>
      </c>
      <c r="R385" s="80" t="e">
        <f>IF(ISBLANK(M385),0,Q385*ROUND(N385,2))</f>
        <v>#DIV/0!</v>
      </c>
      <c r="S385" s="15" t="e">
        <f>ROUND(P385,2)*Q385</f>
        <v>#DIV/0!</v>
      </c>
      <c r="T385" s="80" t="e">
        <f>Q385*dagenperjaar1</f>
        <v>#DIV/0!</v>
      </c>
      <c r="U385" s="16" t="e">
        <f>T385*ROUND(P385,2)</f>
        <v>#DIV/0!</v>
      </c>
    </row>
    <row r="386" spans="1:21" x14ac:dyDescent="0.3">
      <c r="A386" s="77" t="s">
        <v>575</v>
      </c>
      <c r="B386" s="78" t="s">
        <v>40</v>
      </c>
      <c r="C386" s="78" t="s">
        <v>280</v>
      </c>
      <c r="D386" s="78" t="s">
        <v>548</v>
      </c>
      <c r="E386" s="79" t="s">
        <v>618</v>
      </c>
      <c r="F386" s="78" t="s">
        <v>580</v>
      </c>
      <c r="G386" s="78" t="s">
        <v>300</v>
      </c>
      <c r="H386" s="78"/>
      <c r="I386" s="78"/>
      <c r="J386" s="78"/>
      <c r="K386" s="80">
        <v>12.9</v>
      </c>
      <c r="L386" s="80"/>
      <c r="M386" s="81"/>
      <c r="N386" s="82"/>
      <c r="O386" s="78"/>
      <c r="P386" s="15"/>
      <c r="Q386" s="80"/>
      <c r="R386" s="80"/>
      <c r="S386" s="15"/>
      <c r="T386" s="83"/>
      <c r="U386" s="16"/>
    </row>
    <row r="387" spans="1:21" x14ac:dyDescent="0.3">
      <c r="A387" s="77" t="s">
        <v>575</v>
      </c>
      <c r="B387" s="78" t="s">
        <v>40</v>
      </c>
      <c r="C387" s="78" t="s">
        <v>280</v>
      </c>
      <c r="D387" s="78" t="s">
        <v>549</v>
      </c>
      <c r="E387" s="79" t="s">
        <v>619</v>
      </c>
      <c r="F387" s="78" t="s">
        <v>580</v>
      </c>
      <c r="G387" s="78" t="s">
        <v>213</v>
      </c>
      <c r="H387" s="78" t="s">
        <v>11</v>
      </c>
      <c r="I387" s="78" t="s">
        <v>214</v>
      </c>
      <c r="J387" s="79" t="s">
        <v>215</v>
      </c>
      <c r="K387" s="80">
        <v>273</v>
      </c>
      <c r="L387" s="80">
        <f t="shared" ref="L387:L393" si="102">K387*VLOOKUP(H387,dagsoorttabel1,2,FALSE)</f>
        <v>214.11764705882354</v>
      </c>
      <c r="M387" s="81">
        <f>prodnorm5</f>
        <v>0</v>
      </c>
      <c r="N387" s="82">
        <f>dagwerk5</f>
        <v>0</v>
      </c>
      <c r="O387" s="78" t="s">
        <v>103</v>
      </c>
      <c r="P387" s="15">
        <f>uurtarief5</f>
        <v>0</v>
      </c>
      <c r="Q387" s="80" t="e">
        <f t="shared" ref="Q387:Q393" si="103">IF(ISBLANK(M387),0,L387/ROUND(M387,4))</f>
        <v>#DIV/0!</v>
      </c>
      <c r="R387" s="80" t="e">
        <f t="shared" ref="R387:R393" si="104">IF(ISBLANK(M387),0,Q387*ROUND(N387,2))</f>
        <v>#DIV/0!</v>
      </c>
      <c r="S387" s="15" t="e">
        <f t="shared" ref="S387:S393" si="105">ROUND(P387,2)*Q387</f>
        <v>#DIV/0!</v>
      </c>
      <c r="T387" s="80" t="e">
        <f t="shared" ref="T387:T393" si="106">Q387*dagenperjaar1</f>
        <v>#DIV/0!</v>
      </c>
      <c r="U387" s="16" t="e">
        <f t="shared" ref="U387:U393" si="107">T387*ROUND(P387,2)</f>
        <v>#DIV/0!</v>
      </c>
    </row>
    <row r="388" spans="1:21" x14ac:dyDescent="0.3">
      <c r="A388" s="77" t="s">
        <v>575</v>
      </c>
      <c r="B388" s="78" t="s">
        <v>40</v>
      </c>
      <c r="C388" s="78" t="s">
        <v>280</v>
      </c>
      <c r="D388" s="78" t="s">
        <v>620</v>
      </c>
      <c r="E388" s="79" t="s">
        <v>621</v>
      </c>
      <c r="F388" s="78" t="s">
        <v>580</v>
      </c>
      <c r="G388" s="78" t="s">
        <v>213</v>
      </c>
      <c r="H388" s="78" t="s">
        <v>11</v>
      </c>
      <c r="I388" s="78" t="s">
        <v>214</v>
      </c>
      <c r="J388" s="79" t="s">
        <v>215</v>
      </c>
      <c r="K388" s="80">
        <v>75</v>
      </c>
      <c r="L388" s="80">
        <f t="shared" si="102"/>
        <v>58.823529411764703</v>
      </c>
      <c r="M388" s="81">
        <f>prodnorm5</f>
        <v>0</v>
      </c>
      <c r="N388" s="82">
        <f>dagwerk5</f>
        <v>0</v>
      </c>
      <c r="O388" s="78" t="s">
        <v>103</v>
      </c>
      <c r="P388" s="15">
        <f>uurtarief5</f>
        <v>0</v>
      </c>
      <c r="Q388" s="80" t="e">
        <f t="shared" si="103"/>
        <v>#DIV/0!</v>
      </c>
      <c r="R388" s="80" t="e">
        <f t="shared" si="104"/>
        <v>#DIV/0!</v>
      </c>
      <c r="S388" s="15" t="e">
        <f t="shared" si="105"/>
        <v>#DIV/0!</v>
      </c>
      <c r="T388" s="80" t="e">
        <f t="shared" si="106"/>
        <v>#DIV/0!</v>
      </c>
      <c r="U388" s="16" t="e">
        <f t="shared" si="107"/>
        <v>#DIV/0!</v>
      </c>
    </row>
    <row r="389" spans="1:21" x14ac:dyDescent="0.3">
      <c r="A389" s="77" t="s">
        <v>575</v>
      </c>
      <c r="B389" s="78" t="s">
        <v>40</v>
      </c>
      <c r="C389" s="78" t="s">
        <v>280</v>
      </c>
      <c r="D389" s="78" t="s">
        <v>622</v>
      </c>
      <c r="E389" s="79" t="s">
        <v>619</v>
      </c>
      <c r="F389" s="78" t="s">
        <v>580</v>
      </c>
      <c r="G389" s="78" t="s">
        <v>213</v>
      </c>
      <c r="H389" s="78" t="s">
        <v>11</v>
      </c>
      <c r="I389" s="78" t="s">
        <v>214</v>
      </c>
      <c r="J389" s="79" t="s">
        <v>215</v>
      </c>
      <c r="K389" s="80">
        <v>75</v>
      </c>
      <c r="L389" s="80">
        <f t="shared" si="102"/>
        <v>58.823529411764703</v>
      </c>
      <c r="M389" s="81">
        <f>prodnorm5</f>
        <v>0</v>
      </c>
      <c r="N389" s="82">
        <f>dagwerk5</f>
        <v>0</v>
      </c>
      <c r="O389" s="78" t="s">
        <v>103</v>
      </c>
      <c r="P389" s="15">
        <f>uurtarief5</f>
        <v>0</v>
      </c>
      <c r="Q389" s="80" t="e">
        <f t="shared" si="103"/>
        <v>#DIV/0!</v>
      </c>
      <c r="R389" s="80" t="e">
        <f t="shared" si="104"/>
        <v>#DIV/0!</v>
      </c>
      <c r="S389" s="15" t="e">
        <f t="shared" si="105"/>
        <v>#DIV/0!</v>
      </c>
      <c r="T389" s="80" t="e">
        <f t="shared" si="106"/>
        <v>#DIV/0!</v>
      </c>
      <c r="U389" s="16" t="e">
        <f t="shared" si="107"/>
        <v>#DIV/0!</v>
      </c>
    </row>
    <row r="390" spans="1:21" x14ac:dyDescent="0.3">
      <c r="A390" s="77" t="s">
        <v>575</v>
      </c>
      <c r="B390" s="78" t="s">
        <v>40</v>
      </c>
      <c r="C390" s="78" t="s">
        <v>280</v>
      </c>
      <c r="D390" s="78" t="s">
        <v>550</v>
      </c>
      <c r="E390" s="79" t="s">
        <v>623</v>
      </c>
      <c r="F390" s="78" t="s">
        <v>580</v>
      </c>
      <c r="G390" s="78" t="s">
        <v>248</v>
      </c>
      <c r="H390" s="78" t="s">
        <v>11</v>
      </c>
      <c r="I390" s="78" t="s">
        <v>214</v>
      </c>
      <c r="J390" s="79" t="s">
        <v>249</v>
      </c>
      <c r="K390" s="80">
        <v>48.3</v>
      </c>
      <c r="L390" s="80">
        <f t="shared" si="102"/>
        <v>37.882352941176471</v>
      </c>
      <c r="M390" s="81">
        <f>prodnorm29</f>
        <v>0</v>
      </c>
      <c r="N390" s="82">
        <f>dagwerk29</f>
        <v>0</v>
      </c>
      <c r="O390" s="78" t="s">
        <v>103</v>
      </c>
      <c r="P390" s="15">
        <f>uurtarief29</f>
        <v>0</v>
      </c>
      <c r="Q390" s="80" t="e">
        <f t="shared" si="103"/>
        <v>#DIV/0!</v>
      </c>
      <c r="R390" s="80" t="e">
        <f t="shared" si="104"/>
        <v>#DIV/0!</v>
      </c>
      <c r="S390" s="15" t="e">
        <f t="shared" si="105"/>
        <v>#DIV/0!</v>
      </c>
      <c r="T390" s="80" t="e">
        <f t="shared" si="106"/>
        <v>#DIV/0!</v>
      </c>
      <c r="U390" s="16" t="e">
        <f t="shared" si="107"/>
        <v>#DIV/0!</v>
      </c>
    </row>
    <row r="391" spans="1:21" ht="27" x14ac:dyDescent="0.3">
      <c r="A391" s="77" t="s">
        <v>575</v>
      </c>
      <c r="B391" s="78" t="s">
        <v>40</v>
      </c>
      <c r="C391" s="78" t="s">
        <v>280</v>
      </c>
      <c r="D391" s="78" t="s">
        <v>624</v>
      </c>
      <c r="E391" s="79" t="s">
        <v>579</v>
      </c>
      <c r="F391" s="78" t="s">
        <v>580</v>
      </c>
      <c r="G391" s="78" t="s">
        <v>256</v>
      </c>
      <c r="H391" s="78" t="s">
        <v>11</v>
      </c>
      <c r="I391" s="78" t="s">
        <v>214</v>
      </c>
      <c r="J391" s="79" t="s">
        <v>257</v>
      </c>
      <c r="K391" s="80">
        <v>114.7</v>
      </c>
      <c r="L391" s="80">
        <f t="shared" si="102"/>
        <v>89.960784313725497</v>
      </c>
      <c r="M391" s="81">
        <f>prodnorm33</f>
        <v>0</v>
      </c>
      <c r="N391" s="82">
        <f>dagwerk33</f>
        <v>0</v>
      </c>
      <c r="O391" s="78" t="s">
        <v>103</v>
      </c>
      <c r="P391" s="15">
        <f>uurtarief33</f>
        <v>0</v>
      </c>
      <c r="Q391" s="80" t="e">
        <f t="shared" si="103"/>
        <v>#DIV/0!</v>
      </c>
      <c r="R391" s="80" t="e">
        <f t="shared" si="104"/>
        <v>#DIV/0!</v>
      </c>
      <c r="S391" s="15" t="e">
        <f t="shared" si="105"/>
        <v>#DIV/0!</v>
      </c>
      <c r="T391" s="80" t="e">
        <f t="shared" si="106"/>
        <v>#DIV/0!</v>
      </c>
      <c r="U391" s="16" t="e">
        <f t="shared" si="107"/>
        <v>#DIV/0!</v>
      </c>
    </row>
    <row r="392" spans="1:21" x14ac:dyDescent="0.3">
      <c r="A392" s="77" t="s">
        <v>575</v>
      </c>
      <c r="B392" s="78" t="s">
        <v>40</v>
      </c>
      <c r="C392" s="78" t="s">
        <v>280</v>
      </c>
      <c r="D392" s="78" t="s">
        <v>625</v>
      </c>
      <c r="E392" s="79" t="s">
        <v>626</v>
      </c>
      <c r="F392" s="78" t="s">
        <v>591</v>
      </c>
      <c r="G392" s="78" t="s">
        <v>242</v>
      </c>
      <c r="H392" s="78" t="s">
        <v>11</v>
      </c>
      <c r="I392" s="78" t="s">
        <v>214</v>
      </c>
      <c r="J392" s="79" t="s">
        <v>243</v>
      </c>
      <c r="K392" s="80">
        <v>14.9</v>
      </c>
      <c r="L392" s="80">
        <f t="shared" si="102"/>
        <v>11.686274509803921</v>
      </c>
      <c r="M392" s="81">
        <f>prodnorm26</f>
        <v>0</v>
      </c>
      <c r="N392" s="82">
        <f>dagwerk26</f>
        <v>0</v>
      </c>
      <c r="O392" s="78" t="s">
        <v>103</v>
      </c>
      <c r="P392" s="15">
        <f>uurtarief26</f>
        <v>0</v>
      </c>
      <c r="Q392" s="80" t="e">
        <f t="shared" si="103"/>
        <v>#DIV/0!</v>
      </c>
      <c r="R392" s="80" t="e">
        <f t="shared" si="104"/>
        <v>#DIV/0!</v>
      </c>
      <c r="S392" s="15" t="e">
        <f t="shared" si="105"/>
        <v>#DIV/0!</v>
      </c>
      <c r="T392" s="80" t="e">
        <f t="shared" si="106"/>
        <v>#DIV/0!</v>
      </c>
      <c r="U392" s="16" t="e">
        <f t="shared" si="107"/>
        <v>#DIV/0!</v>
      </c>
    </row>
    <row r="393" spans="1:21" x14ac:dyDescent="0.3">
      <c r="A393" s="77" t="s">
        <v>575</v>
      </c>
      <c r="B393" s="78" t="s">
        <v>40</v>
      </c>
      <c r="C393" s="78" t="s">
        <v>280</v>
      </c>
      <c r="D393" s="78" t="s">
        <v>627</v>
      </c>
      <c r="E393" s="79" t="s">
        <v>628</v>
      </c>
      <c r="F393" s="78" t="s">
        <v>580</v>
      </c>
      <c r="G393" s="78" t="s">
        <v>248</v>
      </c>
      <c r="H393" s="78" t="s">
        <v>11</v>
      </c>
      <c r="I393" s="78" t="s">
        <v>214</v>
      </c>
      <c r="J393" s="79" t="s">
        <v>249</v>
      </c>
      <c r="K393" s="80">
        <v>12.5</v>
      </c>
      <c r="L393" s="80">
        <f t="shared" si="102"/>
        <v>9.8039215686274517</v>
      </c>
      <c r="M393" s="81">
        <f>prodnorm29</f>
        <v>0</v>
      </c>
      <c r="N393" s="82">
        <f>dagwerk29</f>
        <v>0</v>
      </c>
      <c r="O393" s="78" t="s">
        <v>103</v>
      </c>
      <c r="P393" s="15">
        <f>uurtarief29</f>
        <v>0</v>
      </c>
      <c r="Q393" s="80" t="e">
        <f t="shared" si="103"/>
        <v>#DIV/0!</v>
      </c>
      <c r="R393" s="80" t="e">
        <f t="shared" si="104"/>
        <v>#DIV/0!</v>
      </c>
      <c r="S393" s="15" t="e">
        <f t="shared" si="105"/>
        <v>#DIV/0!</v>
      </c>
      <c r="T393" s="80" t="e">
        <f t="shared" si="106"/>
        <v>#DIV/0!</v>
      </c>
      <c r="U393" s="16" t="e">
        <f t="shared" si="107"/>
        <v>#DIV/0!</v>
      </c>
    </row>
    <row r="394" spans="1:21" x14ac:dyDescent="0.3">
      <c r="A394" s="77" t="s">
        <v>575</v>
      </c>
      <c r="B394" s="78" t="s">
        <v>40</v>
      </c>
      <c r="C394" s="78" t="s">
        <v>280</v>
      </c>
      <c r="D394" s="78" t="s">
        <v>629</v>
      </c>
      <c r="E394" s="79" t="s">
        <v>630</v>
      </c>
      <c r="F394" s="78" t="s">
        <v>580</v>
      </c>
      <c r="G394" s="78" t="s">
        <v>300</v>
      </c>
      <c r="H394" s="78"/>
      <c r="I394" s="78"/>
      <c r="J394" s="78"/>
      <c r="K394" s="80">
        <v>9.6999999999999993</v>
      </c>
      <c r="L394" s="80"/>
      <c r="M394" s="81"/>
      <c r="N394" s="82"/>
      <c r="O394" s="78"/>
      <c r="P394" s="15"/>
      <c r="Q394" s="80"/>
      <c r="R394" s="80"/>
      <c r="S394" s="15"/>
      <c r="T394" s="83"/>
      <c r="U394" s="16"/>
    </row>
    <row r="395" spans="1:21" x14ac:dyDescent="0.3">
      <c r="A395" s="77" t="s">
        <v>575</v>
      </c>
      <c r="B395" s="78" t="s">
        <v>40</v>
      </c>
      <c r="C395" s="78" t="s">
        <v>280</v>
      </c>
      <c r="D395" s="78" t="s">
        <v>631</v>
      </c>
      <c r="E395" s="79" t="s">
        <v>590</v>
      </c>
      <c r="F395" s="78" t="s">
        <v>591</v>
      </c>
      <c r="G395" s="78" t="s">
        <v>250</v>
      </c>
      <c r="H395" s="78" t="s">
        <v>11</v>
      </c>
      <c r="I395" s="78" t="s">
        <v>214</v>
      </c>
      <c r="J395" s="79" t="s">
        <v>251</v>
      </c>
      <c r="K395" s="80">
        <v>7.1</v>
      </c>
      <c r="L395" s="80">
        <f t="shared" ref="L395:L404" si="108">K395*VLOOKUP(H395,dagsoorttabel1,2,FALSE)</f>
        <v>5.5686274509803919</v>
      </c>
      <c r="M395" s="81">
        <f>prodnorm30</f>
        <v>0</v>
      </c>
      <c r="N395" s="82">
        <f>dagwerk30</f>
        <v>0</v>
      </c>
      <c r="O395" s="78" t="s">
        <v>103</v>
      </c>
      <c r="P395" s="15">
        <f>uurtarief30</f>
        <v>0</v>
      </c>
      <c r="Q395" s="80" t="e">
        <f t="shared" ref="Q395:Q404" si="109">IF(ISBLANK(M395),0,L395/ROUND(M395,4))</f>
        <v>#DIV/0!</v>
      </c>
      <c r="R395" s="80" t="e">
        <f t="shared" ref="R395:R404" si="110">IF(ISBLANK(M395),0,Q395*ROUND(N395,2))</f>
        <v>#DIV/0!</v>
      </c>
      <c r="S395" s="15" t="e">
        <f t="shared" ref="S395:S404" si="111">ROUND(P395,2)*Q395</f>
        <v>#DIV/0!</v>
      </c>
      <c r="T395" s="80" t="e">
        <f t="shared" ref="T395:T404" si="112">Q395*dagenperjaar1</f>
        <v>#DIV/0!</v>
      </c>
      <c r="U395" s="16" t="e">
        <f t="shared" ref="U395:U404" si="113">T395*ROUND(P395,2)</f>
        <v>#DIV/0!</v>
      </c>
    </row>
    <row r="396" spans="1:21" x14ac:dyDescent="0.3">
      <c r="A396" s="77" t="s">
        <v>575</v>
      </c>
      <c r="B396" s="78" t="s">
        <v>40</v>
      </c>
      <c r="C396" s="78" t="s">
        <v>280</v>
      </c>
      <c r="D396" s="78" t="s">
        <v>632</v>
      </c>
      <c r="E396" s="79" t="s">
        <v>633</v>
      </c>
      <c r="F396" s="78" t="s">
        <v>580</v>
      </c>
      <c r="G396" s="78" t="s">
        <v>244</v>
      </c>
      <c r="H396" s="78" t="s">
        <v>11</v>
      </c>
      <c r="I396" s="78" t="s">
        <v>214</v>
      </c>
      <c r="J396" s="79" t="s">
        <v>245</v>
      </c>
      <c r="K396" s="80">
        <v>72.3</v>
      </c>
      <c r="L396" s="80">
        <f t="shared" si="108"/>
        <v>56.705882352941174</v>
      </c>
      <c r="M396" s="81">
        <f>prodnorm27</f>
        <v>0</v>
      </c>
      <c r="N396" s="82">
        <f>dagwerk27</f>
        <v>0</v>
      </c>
      <c r="O396" s="78" t="s">
        <v>103</v>
      </c>
      <c r="P396" s="15">
        <f>uurtarief27</f>
        <v>0</v>
      </c>
      <c r="Q396" s="80" t="e">
        <f t="shared" si="109"/>
        <v>#DIV/0!</v>
      </c>
      <c r="R396" s="80" t="e">
        <f t="shared" si="110"/>
        <v>#DIV/0!</v>
      </c>
      <c r="S396" s="15" t="e">
        <f t="shared" si="111"/>
        <v>#DIV/0!</v>
      </c>
      <c r="T396" s="80" t="e">
        <f t="shared" si="112"/>
        <v>#DIV/0!</v>
      </c>
      <c r="U396" s="16" t="e">
        <f t="shared" si="113"/>
        <v>#DIV/0!</v>
      </c>
    </row>
    <row r="397" spans="1:21" x14ac:dyDescent="0.3">
      <c r="A397" s="77" t="s">
        <v>575</v>
      </c>
      <c r="B397" s="78" t="s">
        <v>40</v>
      </c>
      <c r="C397" s="78" t="s">
        <v>280</v>
      </c>
      <c r="D397" s="78" t="s">
        <v>634</v>
      </c>
      <c r="E397" s="79" t="s">
        <v>600</v>
      </c>
      <c r="F397" s="78" t="s">
        <v>580</v>
      </c>
      <c r="G397" s="78" t="s">
        <v>216</v>
      </c>
      <c r="H397" s="78" t="s">
        <v>11</v>
      </c>
      <c r="I397" s="78" t="s">
        <v>214</v>
      </c>
      <c r="J397" s="79" t="s">
        <v>217</v>
      </c>
      <c r="K397" s="80">
        <v>12.7</v>
      </c>
      <c r="L397" s="80">
        <f t="shared" si="108"/>
        <v>9.9607843137254903</v>
      </c>
      <c r="M397" s="81">
        <f>prodnorm6</f>
        <v>0</v>
      </c>
      <c r="N397" s="82">
        <f>dagwerk6</f>
        <v>0</v>
      </c>
      <c r="O397" s="78" t="s">
        <v>103</v>
      </c>
      <c r="P397" s="15">
        <f>uurtarief6</f>
        <v>0</v>
      </c>
      <c r="Q397" s="80" t="e">
        <f t="shared" si="109"/>
        <v>#DIV/0!</v>
      </c>
      <c r="R397" s="80" t="e">
        <f t="shared" si="110"/>
        <v>#DIV/0!</v>
      </c>
      <c r="S397" s="15" t="e">
        <f t="shared" si="111"/>
        <v>#DIV/0!</v>
      </c>
      <c r="T397" s="80" t="e">
        <f t="shared" si="112"/>
        <v>#DIV/0!</v>
      </c>
      <c r="U397" s="16" t="e">
        <f t="shared" si="113"/>
        <v>#DIV/0!</v>
      </c>
    </row>
    <row r="398" spans="1:21" x14ac:dyDescent="0.3">
      <c r="A398" s="77" t="s">
        <v>575</v>
      </c>
      <c r="B398" s="78" t="s">
        <v>40</v>
      </c>
      <c r="C398" s="78" t="s">
        <v>280</v>
      </c>
      <c r="D398" s="78" t="s">
        <v>635</v>
      </c>
      <c r="E398" s="79" t="s">
        <v>584</v>
      </c>
      <c r="F398" s="78" t="s">
        <v>580</v>
      </c>
      <c r="G398" s="78" t="s">
        <v>240</v>
      </c>
      <c r="H398" s="78" t="s">
        <v>11</v>
      </c>
      <c r="I398" s="78" t="s">
        <v>214</v>
      </c>
      <c r="J398" s="79" t="s">
        <v>241</v>
      </c>
      <c r="K398" s="80">
        <v>11.6</v>
      </c>
      <c r="L398" s="80">
        <f t="shared" si="108"/>
        <v>9.0980392156862742</v>
      </c>
      <c r="M398" s="81">
        <f>prodnorm25</f>
        <v>0</v>
      </c>
      <c r="N398" s="82">
        <f>dagwerk25</f>
        <v>0</v>
      </c>
      <c r="O398" s="78" t="s">
        <v>103</v>
      </c>
      <c r="P398" s="15">
        <f>uurtarief25</f>
        <v>0</v>
      </c>
      <c r="Q398" s="80" t="e">
        <f t="shared" si="109"/>
        <v>#DIV/0!</v>
      </c>
      <c r="R398" s="80" t="e">
        <f t="shared" si="110"/>
        <v>#DIV/0!</v>
      </c>
      <c r="S398" s="15" t="e">
        <f t="shared" si="111"/>
        <v>#DIV/0!</v>
      </c>
      <c r="T398" s="80" t="e">
        <f t="shared" si="112"/>
        <v>#DIV/0!</v>
      </c>
      <c r="U398" s="16" t="e">
        <f t="shared" si="113"/>
        <v>#DIV/0!</v>
      </c>
    </row>
    <row r="399" spans="1:21" x14ac:dyDescent="0.3">
      <c r="A399" s="77" t="s">
        <v>575</v>
      </c>
      <c r="B399" s="78" t="s">
        <v>40</v>
      </c>
      <c r="C399" s="78" t="s">
        <v>280</v>
      </c>
      <c r="D399" s="78" t="s">
        <v>636</v>
      </c>
      <c r="E399" s="79" t="s">
        <v>582</v>
      </c>
      <c r="F399" s="78" t="s">
        <v>580</v>
      </c>
      <c r="G399" s="78" t="s">
        <v>234</v>
      </c>
      <c r="H399" s="78" t="s">
        <v>11</v>
      </c>
      <c r="I399" s="78" t="s">
        <v>214</v>
      </c>
      <c r="J399" s="79" t="s">
        <v>235</v>
      </c>
      <c r="K399" s="80">
        <v>44.4</v>
      </c>
      <c r="L399" s="80">
        <f t="shared" si="108"/>
        <v>34.823529411764703</v>
      </c>
      <c r="M399" s="81">
        <f>prodnorm21</f>
        <v>0</v>
      </c>
      <c r="N399" s="82">
        <f>dagwerk21</f>
        <v>0</v>
      </c>
      <c r="O399" s="78" t="s">
        <v>103</v>
      </c>
      <c r="P399" s="15">
        <f>uurtarief21</f>
        <v>0</v>
      </c>
      <c r="Q399" s="80" t="e">
        <f t="shared" si="109"/>
        <v>#DIV/0!</v>
      </c>
      <c r="R399" s="80" t="e">
        <f t="shared" si="110"/>
        <v>#DIV/0!</v>
      </c>
      <c r="S399" s="15" t="e">
        <f t="shared" si="111"/>
        <v>#DIV/0!</v>
      </c>
      <c r="T399" s="80" t="e">
        <f t="shared" si="112"/>
        <v>#DIV/0!</v>
      </c>
      <c r="U399" s="16" t="e">
        <f t="shared" si="113"/>
        <v>#DIV/0!</v>
      </c>
    </row>
    <row r="400" spans="1:21" x14ac:dyDescent="0.3">
      <c r="A400" s="77" t="s">
        <v>575</v>
      </c>
      <c r="B400" s="78" t="s">
        <v>40</v>
      </c>
      <c r="C400" s="78" t="s">
        <v>280</v>
      </c>
      <c r="D400" s="78" t="s">
        <v>637</v>
      </c>
      <c r="E400" s="79" t="s">
        <v>585</v>
      </c>
      <c r="F400" s="78" t="s">
        <v>580</v>
      </c>
      <c r="G400" s="78" t="s">
        <v>216</v>
      </c>
      <c r="H400" s="78" t="s">
        <v>11</v>
      </c>
      <c r="I400" s="78" t="s">
        <v>214</v>
      </c>
      <c r="J400" s="79" t="s">
        <v>217</v>
      </c>
      <c r="K400" s="80">
        <v>11.5</v>
      </c>
      <c r="L400" s="80">
        <f t="shared" si="108"/>
        <v>9.0196078431372548</v>
      </c>
      <c r="M400" s="81">
        <f>prodnorm6</f>
        <v>0</v>
      </c>
      <c r="N400" s="82">
        <f>dagwerk6</f>
        <v>0</v>
      </c>
      <c r="O400" s="78" t="s">
        <v>103</v>
      </c>
      <c r="P400" s="15">
        <f>uurtarief6</f>
        <v>0</v>
      </c>
      <c r="Q400" s="80" t="e">
        <f t="shared" si="109"/>
        <v>#DIV/0!</v>
      </c>
      <c r="R400" s="80" t="e">
        <f t="shared" si="110"/>
        <v>#DIV/0!</v>
      </c>
      <c r="S400" s="15" t="e">
        <f t="shared" si="111"/>
        <v>#DIV/0!</v>
      </c>
      <c r="T400" s="80" t="e">
        <f t="shared" si="112"/>
        <v>#DIV/0!</v>
      </c>
      <c r="U400" s="16" t="e">
        <f t="shared" si="113"/>
        <v>#DIV/0!</v>
      </c>
    </row>
    <row r="401" spans="1:21" x14ac:dyDescent="0.3">
      <c r="A401" s="77" t="s">
        <v>575</v>
      </c>
      <c r="B401" s="78" t="s">
        <v>40</v>
      </c>
      <c r="C401" s="78" t="s">
        <v>280</v>
      </c>
      <c r="D401" s="78" t="s">
        <v>638</v>
      </c>
      <c r="E401" s="79" t="s">
        <v>582</v>
      </c>
      <c r="F401" s="78" t="s">
        <v>580</v>
      </c>
      <c r="G401" s="78" t="s">
        <v>234</v>
      </c>
      <c r="H401" s="78" t="s">
        <v>11</v>
      </c>
      <c r="I401" s="78" t="s">
        <v>214</v>
      </c>
      <c r="J401" s="79" t="s">
        <v>235</v>
      </c>
      <c r="K401" s="80">
        <v>45.8</v>
      </c>
      <c r="L401" s="80">
        <f t="shared" si="108"/>
        <v>35.921568627450981</v>
      </c>
      <c r="M401" s="81">
        <f>prodnorm21</f>
        <v>0</v>
      </c>
      <c r="N401" s="82">
        <f>dagwerk21</f>
        <v>0</v>
      </c>
      <c r="O401" s="78" t="s">
        <v>103</v>
      </c>
      <c r="P401" s="15">
        <f>uurtarief21</f>
        <v>0</v>
      </c>
      <c r="Q401" s="80" t="e">
        <f t="shared" si="109"/>
        <v>#DIV/0!</v>
      </c>
      <c r="R401" s="80" t="e">
        <f t="shared" si="110"/>
        <v>#DIV/0!</v>
      </c>
      <c r="S401" s="15" t="e">
        <f t="shared" si="111"/>
        <v>#DIV/0!</v>
      </c>
      <c r="T401" s="80" t="e">
        <f t="shared" si="112"/>
        <v>#DIV/0!</v>
      </c>
      <c r="U401" s="16" t="e">
        <f t="shared" si="113"/>
        <v>#DIV/0!</v>
      </c>
    </row>
    <row r="402" spans="1:21" x14ac:dyDescent="0.3">
      <c r="A402" s="77" t="s">
        <v>575</v>
      </c>
      <c r="B402" s="78" t="s">
        <v>40</v>
      </c>
      <c r="C402" s="78" t="s">
        <v>280</v>
      </c>
      <c r="D402" s="78" t="s">
        <v>639</v>
      </c>
      <c r="E402" s="79" t="s">
        <v>584</v>
      </c>
      <c r="F402" s="78" t="s">
        <v>580</v>
      </c>
      <c r="G402" s="78" t="s">
        <v>240</v>
      </c>
      <c r="H402" s="78" t="s">
        <v>11</v>
      </c>
      <c r="I402" s="78" t="s">
        <v>214</v>
      </c>
      <c r="J402" s="79" t="s">
        <v>241</v>
      </c>
      <c r="K402" s="80">
        <v>39.200000000000003</v>
      </c>
      <c r="L402" s="80">
        <f t="shared" si="108"/>
        <v>30.745098039215687</v>
      </c>
      <c r="M402" s="81">
        <f>prodnorm25</f>
        <v>0</v>
      </c>
      <c r="N402" s="82">
        <f>dagwerk25</f>
        <v>0</v>
      </c>
      <c r="O402" s="78" t="s">
        <v>103</v>
      </c>
      <c r="P402" s="15">
        <f>uurtarief25</f>
        <v>0</v>
      </c>
      <c r="Q402" s="80" t="e">
        <f t="shared" si="109"/>
        <v>#DIV/0!</v>
      </c>
      <c r="R402" s="80" t="e">
        <f t="shared" si="110"/>
        <v>#DIV/0!</v>
      </c>
      <c r="S402" s="15" t="e">
        <f t="shared" si="111"/>
        <v>#DIV/0!</v>
      </c>
      <c r="T402" s="80" t="e">
        <f t="shared" si="112"/>
        <v>#DIV/0!</v>
      </c>
      <c r="U402" s="16" t="e">
        <f t="shared" si="113"/>
        <v>#DIV/0!</v>
      </c>
    </row>
    <row r="403" spans="1:21" x14ac:dyDescent="0.3">
      <c r="A403" s="77" t="s">
        <v>575</v>
      </c>
      <c r="B403" s="78" t="s">
        <v>40</v>
      </c>
      <c r="C403" s="78" t="s">
        <v>280</v>
      </c>
      <c r="D403" s="78" t="s">
        <v>640</v>
      </c>
      <c r="E403" s="79" t="s">
        <v>582</v>
      </c>
      <c r="F403" s="78" t="s">
        <v>580</v>
      </c>
      <c r="G403" s="78" t="s">
        <v>234</v>
      </c>
      <c r="H403" s="78" t="s">
        <v>11</v>
      </c>
      <c r="I403" s="78" t="s">
        <v>214</v>
      </c>
      <c r="J403" s="79" t="s">
        <v>235</v>
      </c>
      <c r="K403" s="80">
        <v>45.1</v>
      </c>
      <c r="L403" s="80">
        <f t="shared" si="108"/>
        <v>35.372549019607845</v>
      </c>
      <c r="M403" s="81">
        <f>prodnorm21</f>
        <v>0</v>
      </c>
      <c r="N403" s="82">
        <f>dagwerk21</f>
        <v>0</v>
      </c>
      <c r="O403" s="78" t="s">
        <v>103</v>
      </c>
      <c r="P403" s="15">
        <f>uurtarief21</f>
        <v>0</v>
      </c>
      <c r="Q403" s="80" t="e">
        <f t="shared" si="109"/>
        <v>#DIV/0!</v>
      </c>
      <c r="R403" s="80" t="e">
        <f t="shared" si="110"/>
        <v>#DIV/0!</v>
      </c>
      <c r="S403" s="15" t="e">
        <f t="shared" si="111"/>
        <v>#DIV/0!</v>
      </c>
      <c r="T403" s="80" t="e">
        <f t="shared" si="112"/>
        <v>#DIV/0!</v>
      </c>
      <c r="U403" s="16" t="e">
        <f t="shared" si="113"/>
        <v>#DIV/0!</v>
      </c>
    </row>
    <row r="404" spans="1:21" x14ac:dyDescent="0.3">
      <c r="A404" s="77" t="s">
        <v>575</v>
      </c>
      <c r="B404" s="78" t="s">
        <v>40</v>
      </c>
      <c r="C404" s="78" t="s">
        <v>280</v>
      </c>
      <c r="D404" s="78" t="s">
        <v>641</v>
      </c>
      <c r="E404" s="79" t="s">
        <v>582</v>
      </c>
      <c r="F404" s="78" t="s">
        <v>580</v>
      </c>
      <c r="G404" s="78" t="s">
        <v>234</v>
      </c>
      <c r="H404" s="78" t="s">
        <v>11</v>
      </c>
      <c r="I404" s="78" t="s">
        <v>214</v>
      </c>
      <c r="J404" s="79" t="s">
        <v>235</v>
      </c>
      <c r="K404" s="80">
        <v>45.5</v>
      </c>
      <c r="L404" s="80">
        <f t="shared" si="108"/>
        <v>35.686274509803923</v>
      </c>
      <c r="M404" s="81">
        <f>prodnorm21</f>
        <v>0</v>
      </c>
      <c r="N404" s="82">
        <f>dagwerk21</f>
        <v>0</v>
      </c>
      <c r="O404" s="78" t="s">
        <v>103</v>
      </c>
      <c r="P404" s="15">
        <f>uurtarief21</f>
        <v>0</v>
      </c>
      <c r="Q404" s="80" t="e">
        <f t="shared" si="109"/>
        <v>#DIV/0!</v>
      </c>
      <c r="R404" s="80" t="e">
        <f t="shared" si="110"/>
        <v>#DIV/0!</v>
      </c>
      <c r="S404" s="15" t="e">
        <f t="shared" si="111"/>
        <v>#DIV/0!</v>
      </c>
      <c r="T404" s="80" t="e">
        <f t="shared" si="112"/>
        <v>#DIV/0!</v>
      </c>
      <c r="U404" s="16" t="e">
        <f t="shared" si="113"/>
        <v>#DIV/0!</v>
      </c>
    </row>
    <row r="405" spans="1:21" x14ac:dyDescent="0.3">
      <c r="A405" s="77" t="s">
        <v>575</v>
      </c>
      <c r="B405" s="78" t="s">
        <v>40</v>
      </c>
      <c r="C405" s="78" t="s">
        <v>280</v>
      </c>
      <c r="D405" s="78" t="s">
        <v>642</v>
      </c>
      <c r="E405" s="79" t="s">
        <v>643</v>
      </c>
      <c r="F405" s="78" t="s">
        <v>580</v>
      </c>
      <c r="G405" s="78" t="s">
        <v>300</v>
      </c>
      <c r="H405" s="78"/>
      <c r="I405" s="78"/>
      <c r="J405" s="78"/>
      <c r="K405" s="80">
        <v>12.9</v>
      </c>
      <c r="L405" s="80"/>
      <c r="M405" s="81"/>
      <c r="N405" s="82"/>
      <c r="O405" s="78"/>
      <c r="P405" s="15"/>
      <c r="Q405" s="80"/>
      <c r="R405" s="80"/>
      <c r="S405" s="15"/>
      <c r="T405" s="83"/>
      <c r="U405" s="16"/>
    </row>
    <row r="406" spans="1:21" x14ac:dyDescent="0.3">
      <c r="A406" s="77" t="s">
        <v>575</v>
      </c>
      <c r="B406" s="78" t="s">
        <v>40</v>
      </c>
      <c r="C406" s="78" t="s">
        <v>280</v>
      </c>
      <c r="D406" s="78" t="s">
        <v>644</v>
      </c>
      <c r="E406" s="79" t="s">
        <v>582</v>
      </c>
      <c r="F406" s="78" t="s">
        <v>580</v>
      </c>
      <c r="G406" s="78" t="s">
        <v>234</v>
      </c>
      <c r="H406" s="78" t="s">
        <v>11</v>
      </c>
      <c r="I406" s="78" t="s">
        <v>214</v>
      </c>
      <c r="J406" s="79" t="s">
        <v>235</v>
      </c>
      <c r="K406" s="80">
        <v>44.1</v>
      </c>
      <c r="L406" s="80">
        <f>K406*VLOOKUP(H406,dagsoorttabel1,2,FALSE)</f>
        <v>34.588235294117645</v>
      </c>
      <c r="M406" s="81">
        <f>prodnorm21</f>
        <v>0</v>
      </c>
      <c r="N406" s="82">
        <f>dagwerk21</f>
        <v>0</v>
      </c>
      <c r="O406" s="78" t="s">
        <v>103</v>
      </c>
      <c r="P406" s="15">
        <f>uurtarief21</f>
        <v>0</v>
      </c>
      <c r="Q406" s="80" t="e">
        <f>IF(ISBLANK(M406),0,L406/ROUND(M406,4))</f>
        <v>#DIV/0!</v>
      </c>
      <c r="R406" s="80" t="e">
        <f>IF(ISBLANK(M406),0,Q406*ROUND(N406,2))</f>
        <v>#DIV/0!</v>
      </c>
      <c r="S406" s="15" t="e">
        <f>ROUND(P406,2)*Q406</f>
        <v>#DIV/0!</v>
      </c>
      <c r="T406" s="80" t="e">
        <f>Q406*dagenperjaar1</f>
        <v>#DIV/0!</v>
      </c>
      <c r="U406" s="16" t="e">
        <f>T406*ROUND(P406,2)</f>
        <v>#DIV/0!</v>
      </c>
    </row>
    <row r="407" spans="1:21" x14ac:dyDescent="0.3">
      <c r="A407" s="77" t="s">
        <v>575</v>
      </c>
      <c r="B407" s="78" t="s">
        <v>40</v>
      </c>
      <c r="C407" s="78" t="s">
        <v>280</v>
      </c>
      <c r="D407" s="78" t="s">
        <v>645</v>
      </c>
      <c r="E407" s="79" t="s">
        <v>581</v>
      </c>
      <c r="F407" s="78" t="s">
        <v>580</v>
      </c>
      <c r="G407" s="78" t="s">
        <v>216</v>
      </c>
      <c r="H407" s="78" t="s">
        <v>11</v>
      </c>
      <c r="I407" s="78" t="s">
        <v>214</v>
      </c>
      <c r="J407" s="79" t="s">
        <v>217</v>
      </c>
      <c r="K407" s="80">
        <v>21.9</v>
      </c>
      <c r="L407" s="80">
        <f>K407*VLOOKUP(H407,dagsoorttabel1,2,FALSE)</f>
        <v>17.176470588235293</v>
      </c>
      <c r="M407" s="81">
        <f>prodnorm6</f>
        <v>0</v>
      </c>
      <c r="N407" s="82">
        <f>dagwerk6</f>
        <v>0</v>
      </c>
      <c r="O407" s="78" t="s">
        <v>103</v>
      </c>
      <c r="P407" s="15">
        <f>uurtarief6</f>
        <v>0</v>
      </c>
      <c r="Q407" s="80" t="e">
        <f>IF(ISBLANK(M407),0,L407/ROUND(M407,4))</f>
        <v>#DIV/0!</v>
      </c>
      <c r="R407" s="80" t="e">
        <f>IF(ISBLANK(M407),0,Q407*ROUND(N407,2))</f>
        <v>#DIV/0!</v>
      </c>
      <c r="S407" s="15" t="e">
        <f>ROUND(P407,2)*Q407</f>
        <v>#DIV/0!</v>
      </c>
      <c r="T407" s="80" t="e">
        <f>Q407*dagenperjaar1</f>
        <v>#DIV/0!</v>
      </c>
      <c r="U407" s="16" t="e">
        <f>T407*ROUND(P407,2)</f>
        <v>#DIV/0!</v>
      </c>
    </row>
    <row r="408" spans="1:21" x14ac:dyDescent="0.3">
      <c r="A408" s="77" t="s">
        <v>575</v>
      </c>
      <c r="B408" s="78" t="s">
        <v>40</v>
      </c>
      <c r="C408" s="78" t="s">
        <v>280</v>
      </c>
      <c r="D408" s="78" t="s">
        <v>646</v>
      </c>
      <c r="E408" s="79" t="s">
        <v>578</v>
      </c>
      <c r="F408" s="78" t="s">
        <v>524</v>
      </c>
      <c r="G408" s="78" t="s">
        <v>224</v>
      </c>
      <c r="H408" s="78" t="s">
        <v>11</v>
      </c>
      <c r="I408" s="78" t="s">
        <v>214</v>
      </c>
      <c r="J408" s="79" t="s">
        <v>225</v>
      </c>
      <c r="K408" s="80">
        <v>11.1</v>
      </c>
      <c r="L408" s="80">
        <f>K408*VLOOKUP(H408,dagsoorttabel1,2,FALSE)</f>
        <v>8.7058823529411757</v>
      </c>
      <c r="M408" s="81">
        <f>prodnorm13</f>
        <v>0</v>
      </c>
      <c r="N408" s="82">
        <f>dagwerk13</f>
        <v>0</v>
      </c>
      <c r="O408" s="78" t="s">
        <v>103</v>
      </c>
      <c r="P408" s="15">
        <f>uurtarief13</f>
        <v>0</v>
      </c>
      <c r="Q408" s="80" t="e">
        <f>IF(ISBLANK(M408),0,L408/ROUND(M408,4))</f>
        <v>#DIV/0!</v>
      </c>
      <c r="R408" s="80" t="e">
        <f>IF(ISBLANK(M408),0,Q408*ROUND(N408,2))</f>
        <v>#DIV/0!</v>
      </c>
      <c r="S408" s="15" t="e">
        <f>ROUND(P408,2)*Q408</f>
        <v>#DIV/0!</v>
      </c>
      <c r="T408" s="80" t="e">
        <f>Q408*dagenperjaar1</f>
        <v>#DIV/0!</v>
      </c>
      <c r="U408" s="16" t="e">
        <f>T408*ROUND(P408,2)</f>
        <v>#DIV/0!</v>
      </c>
    </row>
    <row r="409" spans="1:21" x14ac:dyDescent="0.3">
      <c r="A409" s="77" t="s">
        <v>575</v>
      </c>
      <c r="B409" s="78" t="s">
        <v>40</v>
      </c>
      <c r="C409" s="78" t="s">
        <v>280</v>
      </c>
      <c r="D409" s="78" t="s">
        <v>647</v>
      </c>
      <c r="E409" s="79" t="s">
        <v>582</v>
      </c>
      <c r="F409" s="78" t="s">
        <v>580</v>
      </c>
      <c r="G409" s="78" t="s">
        <v>234</v>
      </c>
      <c r="H409" s="78" t="s">
        <v>11</v>
      </c>
      <c r="I409" s="78" t="s">
        <v>214</v>
      </c>
      <c r="J409" s="79" t="s">
        <v>235</v>
      </c>
      <c r="K409" s="80">
        <v>44.5</v>
      </c>
      <c r="L409" s="80">
        <f>K409*VLOOKUP(H409,dagsoorttabel1,2,FALSE)</f>
        <v>34.901960784313722</v>
      </c>
      <c r="M409" s="81">
        <f>prodnorm21</f>
        <v>0</v>
      </c>
      <c r="N409" s="82">
        <f>dagwerk21</f>
        <v>0</v>
      </c>
      <c r="O409" s="78" t="s">
        <v>103</v>
      </c>
      <c r="P409" s="15">
        <f>uurtarief21</f>
        <v>0</v>
      </c>
      <c r="Q409" s="80" t="e">
        <f>IF(ISBLANK(M409),0,L409/ROUND(M409,4))</f>
        <v>#DIV/0!</v>
      </c>
      <c r="R409" s="80" t="e">
        <f>IF(ISBLANK(M409),0,Q409*ROUND(N409,2))</f>
        <v>#DIV/0!</v>
      </c>
      <c r="S409" s="15" t="e">
        <f>ROUND(P409,2)*Q409</f>
        <v>#DIV/0!</v>
      </c>
      <c r="T409" s="80" t="e">
        <f>Q409*dagenperjaar1</f>
        <v>#DIV/0!</v>
      </c>
      <c r="U409" s="16" t="e">
        <f>T409*ROUND(P409,2)</f>
        <v>#DIV/0!</v>
      </c>
    </row>
    <row r="410" spans="1:21" x14ac:dyDescent="0.3">
      <c r="A410" s="77" t="s">
        <v>575</v>
      </c>
      <c r="B410" s="78" t="s">
        <v>40</v>
      </c>
      <c r="C410" s="78" t="s">
        <v>280</v>
      </c>
      <c r="D410" s="78" t="s">
        <v>648</v>
      </c>
      <c r="E410" s="79" t="s">
        <v>649</v>
      </c>
      <c r="F410" s="78" t="s">
        <v>580</v>
      </c>
      <c r="G410" s="78" t="s">
        <v>300</v>
      </c>
      <c r="H410" s="78"/>
      <c r="I410" s="78"/>
      <c r="J410" s="78"/>
      <c r="K410" s="80">
        <v>4.5</v>
      </c>
      <c r="L410" s="80"/>
      <c r="M410" s="81"/>
      <c r="N410" s="82"/>
      <c r="O410" s="78"/>
      <c r="P410" s="15"/>
      <c r="Q410" s="80"/>
      <c r="R410" s="80"/>
      <c r="S410" s="15"/>
      <c r="T410" s="83"/>
      <c r="U410" s="16"/>
    </row>
    <row r="411" spans="1:21" x14ac:dyDescent="0.3">
      <c r="A411" s="77" t="s">
        <v>575</v>
      </c>
      <c r="B411" s="78" t="s">
        <v>40</v>
      </c>
      <c r="C411" s="78" t="s">
        <v>280</v>
      </c>
      <c r="D411" s="78" t="s">
        <v>650</v>
      </c>
      <c r="E411" s="79" t="s">
        <v>594</v>
      </c>
      <c r="F411" s="78" t="s">
        <v>404</v>
      </c>
      <c r="G411" s="78" t="s">
        <v>252</v>
      </c>
      <c r="H411" s="78" t="s">
        <v>11</v>
      </c>
      <c r="I411" s="78" t="s">
        <v>214</v>
      </c>
      <c r="J411" s="79" t="s">
        <v>253</v>
      </c>
      <c r="K411" s="80">
        <v>8.8000000000000007</v>
      </c>
      <c r="L411" s="80">
        <f>K411*VLOOKUP(H411,dagsoorttabel1,2,FALSE)</f>
        <v>6.9019607843137258</v>
      </c>
      <c r="M411" s="81">
        <f>prodnorm31</f>
        <v>0</v>
      </c>
      <c r="N411" s="82">
        <f>dagwerk31</f>
        <v>0</v>
      </c>
      <c r="O411" s="78" t="s">
        <v>103</v>
      </c>
      <c r="P411" s="15">
        <f>uurtarief31</f>
        <v>0</v>
      </c>
      <c r="Q411" s="80" t="e">
        <f>IF(ISBLANK(M411),0,L411/ROUND(M411,4))</f>
        <v>#DIV/0!</v>
      </c>
      <c r="R411" s="80" t="e">
        <f>IF(ISBLANK(M411),0,Q411*ROUND(N411,2))</f>
        <v>#DIV/0!</v>
      </c>
      <c r="S411" s="15" t="e">
        <f>ROUND(P411,2)*Q411</f>
        <v>#DIV/0!</v>
      </c>
      <c r="T411" s="80" t="e">
        <f>Q411*dagenperjaar1</f>
        <v>#DIV/0!</v>
      </c>
      <c r="U411" s="16" t="e">
        <f>T411*ROUND(P411,2)</f>
        <v>#DIV/0!</v>
      </c>
    </row>
    <row r="412" spans="1:21" x14ac:dyDescent="0.3">
      <c r="A412" s="77" t="s">
        <v>575</v>
      </c>
      <c r="B412" s="78" t="s">
        <v>40</v>
      </c>
      <c r="C412" s="78" t="s">
        <v>280</v>
      </c>
      <c r="D412" s="78" t="s">
        <v>651</v>
      </c>
      <c r="E412" s="79" t="s">
        <v>584</v>
      </c>
      <c r="F412" s="78" t="s">
        <v>580</v>
      </c>
      <c r="G412" s="78" t="s">
        <v>240</v>
      </c>
      <c r="H412" s="78" t="s">
        <v>11</v>
      </c>
      <c r="I412" s="78" t="s">
        <v>214</v>
      </c>
      <c r="J412" s="79" t="s">
        <v>241</v>
      </c>
      <c r="K412" s="80">
        <v>16.100000000000001</v>
      </c>
      <c r="L412" s="80">
        <f>K412*VLOOKUP(H412,dagsoorttabel1,2,FALSE)</f>
        <v>12.627450980392158</v>
      </c>
      <c r="M412" s="81">
        <f>prodnorm25</f>
        <v>0</v>
      </c>
      <c r="N412" s="82">
        <f>dagwerk25</f>
        <v>0</v>
      </c>
      <c r="O412" s="78" t="s">
        <v>103</v>
      </c>
      <c r="P412" s="15">
        <f>uurtarief25</f>
        <v>0</v>
      </c>
      <c r="Q412" s="80" t="e">
        <f>IF(ISBLANK(M412),0,L412/ROUND(M412,4))</f>
        <v>#DIV/0!</v>
      </c>
      <c r="R412" s="80" t="e">
        <f>IF(ISBLANK(M412),0,Q412*ROUND(N412,2))</f>
        <v>#DIV/0!</v>
      </c>
      <c r="S412" s="15" t="e">
        <f>ROUND(P412,2)*Q412</f>
        <v>#DIV/0!</v>
      </c>
      <c r="T412" s="80" t="e">
        <f>Q412*dagenperjaar1</f>
        <v>#DIV/0!</v>
      </c>
      <c r="U412" s="16" t="e">
        <f>T412*ROUND(P412,2)</f>
        <v>#DIV/0!</v>
      </c>
    </row>
    <row r="413" spans="1:21" x14ac:dyDescent="0.3">
      <c r="A413" s="77" t="s">
        <v>575</v>
      </c>
      <c r="B413" s="78" t="s">
        <v>40</v>
      </c>
      <c r="C413" s="78" t="s">
        <v>280</v>
      </c>
      <c r="D413" s="78" t="s">
        <v>652</v>
      </c>
      <c r="E413" s="79" t="s">
        <v>582</v>
      </c>
      <c r="F413" s="78" t="s">
        <v>580</v>
      </c>
      <c r="G413" s="78" t="s">
        <v>234</v>
      </c>
      <c r="H413" s="78" t="s">
        <v>11</v>
      </c>
      <c r="I413" s="78" t="s">
        <v>214</v>
      </c>
      <c r="J413" s="79" t="s">
        <v>235</v>
      </c>
      <c r="K413" s="80">
        <v>44.1</v>
      </c>
      <c r="L413" s="80">
        <f>K413*VLOOKUP(H413,dagsoorttabel1,2,FALSE)</f>
        <v>34.588235294117645</v>
      </c>
      <c r="M413" s="81">
        <f>prodnorm21</f>
        <v>0</v>
      </c>
      <c r="N413" s="82">
        <f>dagwerk21</f>
        <v>0</v>
      </c>
      <c r="O413" s="78" t="s">
        <v>103</v>
      </c>
      <c r="P413" s="15">
        <f>uurtarief21</f>
        <v>0</v>
      </c>
      <c r="Q413" s="80" t="e">
        <f>IF(ISBLANK(M413),0,L413/ROUND(M413,4))</f>
        <v>#DIV/0!</v>
      </c>
      <c r="R413" s="80" t="e">
        <f>IF(ISBLANK(M413),0,Q413*ROUND(N413,2))</f>
        <v>#DIV/0!</v>
      </c>
      <c r="S413" s="15" t="e">
        <f>ROUND(P413,2)*Q413</f>
        <v>#DIV/0!</v>
      </c>
      <c r="T413" s="80" t="e">
        <f>Q413*dagenperjaar1</f>
        <v>#DIV/0!</v>
      </c>
      <c r="U413" s="16" t="e">
        <f>T413*ROUND(P413,2)</f>
        <v>#DIV/0!</v>
      </c>
    </row>
    <row r="414" spans="1:21" x14ac:dyDescent="0.3">
      <c r="A414" s="77" t="s">
        <v>575</v>
      </c>
      <c r="B414" s="78" t="s">
        <v>40</v>
      </c>
      <c r="C414" s="78" t="s">
        <v>280</v>
      </c>
      <c r="D414" s="78" t="s">
        <v>653</v>
      </c>
      <c r="E414" s="79" t="s">
        <v>600</v>
      </c>
      <c r="F414" s="78" t="s">
        <v>580</v>
      </c>
      <c r="G414" s="78" t="s">
        <v>216</v>
      </c>
      <c r="H414" s="78" t="s">
        <v>11</v>
      </c>
      <c r="I414" s="78" t="s">
        <v>214</v>
      </c>
      <c r="J414" s="79" t="s">
        <v>217</v>
      </c>
      <c r="K414" s="80">
        <v>13.1</v>
      </c>
      <c r="L414" s="80">
        <f>K414*VLOOKUP(H414,dagsoorttabel1,2,FALSE)</f>
        <v>10.274509803921568</v>
      </c>
      <c r="M414" s="81">
        <f>prodnorm6</f>
        <v>0</v>
      </c>
      <c r="N414" s="82">
        <f>dagwerk6</f>
        <v>0</v>
      </c>
      <c r="O414" s="78" t="s">
        <v>103</v>
      </c>
      <c r="P414" s="15">
        <f>uurtarief6</f>
        <v>0</v>
      </c>
      <c r="Q414" s="80" t="e">
        <f>IF(ISBLANK(M414),0,L414/ROUND(M414,4))</f>
        <v>#DIV/0!</v>
      </c>
      <c r="R414" s="80" t="e">
        <f>IF(ISBLANK(M414),0,Q414*ROUND(N414,2))</f>
        <v>#DIV/0!</v>
      </c>
      <c r="S414" s="15" t="e">
        <f>ROUND(P414,2)*Q414</f>
        <v>#DIV/0!</v>
      </c>
      <c r="T414" s="80" t="e">
        <f>Q414*dagenperjaar1</f>
        <v>#DIV/0!</v>
      </c>
      <c r="U414" s="16" t="e">
        <f>T414*ROUND(P414,2)</f>
        <v>#DIV/0!</v>
      </c>
    </row>
    <row r="415" spans="1:21" x14ac:dyDescent="0.3">
      <c r="A415" s="77" t="s">
        <v>575</v>
      </c>
      <c r="B415" s="78" t="s">
        <v>40</v>
      </c>
      <c r="C415" s="78" t="s">
        <v>280</v>
      </c>
      <c r="D415" s="78" t="s">
        <v>654</v>
      </c>
      <c r="E415" s="79" t="s">
        <v>592</v>
      </c>
      <c r="F415" s="78" t="s">
        <v>580</v>
      </c>
      <c r="G415" s="78" t="s">
        <v>300</v>
      </c>
      <c r="H415" s="78"/>
      <c r="I415" s="78"/>
      <c r="J415" s="78"/>
      <c r="K415" s="80">
        <v>12.1</v>
      </c>
      <c r="L415" s="80"/>
      <c r="M415" s="81"/>
      <c r="N415" s="82"/>
      <c r="O415" s="78"/>
      <c r="P415" s="15"/>
      <c r="Q415" s="80"/>
      <c r="R415" s="80"/>
      <c r="S415" s="15"/>
      <c r="T415" s="83"/>
      <c r="U415" s="16"/>
    </row>
    <row r="416" spans="1:21" x14ac:dyDescent="0.3">
      <c r="A416" s="77" t="s">
        <v>575</v>
      </c>
      <c r="B416" s="78" t="s">
        <v>40</v>
      </c>
      <c r="C416" s="78" t="s">
        <v>280</v>
      </c>
      <c r="D416" s="78" t="s">
        <v>655</v>
      </c>
      <c r="E416" s="79" t="s">
        <v>590</v>
      </c>
      <c r="F416" s="78" t="s">
        <v>591</v>
      </c>
      <c r="G416" s="78" t="s">
        <v>250</v>
      </c>
      <c r="H416" s="78" t="s">
        <v>11</v>
      </c>
      <c r="I416" s="78" t="s">
        <v>214</v>
      </c>
      <c r="J416" s="79" t="s">
        <v>251</v>
      </c>
      <c r="K416" s="80">
        <v>5.7</v>
      </c>
      <c r="L416" s="80">
        <f>K416*VLOOKUP(H416,dagsoorttabel1,2,FALSE)</f>
        <v>4.4705882352941178</v>
      </c>
      <c r="M416" s="81">
        <f>prodnorm30</f>
        <v>0</v>
      </c>
      <c r="N416" s="82">
        <f>dagwerk30</f>
        <v>0</v>
      </c>
      <c r="O416" s="78" t="s">
        <v>103</v>
      </c>
      <c r="P416" s="15">
        <f>uurtarief30</f>
        <v>0</v>
      </c>
      <c r="Q416" s="80" t="e">
        <f>IF(ISBLANK(M416),0,L416/ROUND(M416,4))</f>
        <v>#DIV/0!</v>
      </c>
      <c r="R416" s="80" t="e">
        <f>IF(ISBLANK(M416),0,Q416*ROUND(N416,2))</f>
        <v>#DIV/0!</v>
      </c>
      <c r="S416" s="15" t="e">
        <f>ROUND(P416,2)*Q416</f>
        <v>#DIV/0!</v>
      </c>
      <c r="T416" s="80" t="e">
        <f>Q416*dagenperjaar1</f>
        <v>#DIV/0!</v>
      </c>
      <c r="U416" s="16" t="e">
        <f>T416*ROUND(P416,2)</f>
        <v>#DIV/0!</v>
      </c>
    </row>
    <row r="417" spans="1:21" x14ac:dyDescent="0.3">
      <c r="A417" s="77" t="s">
        <v>575</v>
      </c>
      <c r="B417" s="78" t="s">
        <v>40</v>
      </c>
      <c r="C417" s="78" t="s">
        <v>280</v>
      </c>
      <c r="D417" s="78" t="s">
        <v>656</v>
      </c>
      <c r="E417" s="79" t="s">
        <v>590</v>
      </c>
      <c r="F417" s="78" t="s">
        <v>591</v>
      </c>
      <c r="G417" s="78" t="s">
        <v>250</v>
      </c>
      <c r="H417" s="78" t="s">
        <v>11</v>
      </c>
      <c r="I417" s="78" t="s">
        <v>214</v>
      </c>
      <c r="J417" s="79" t="s">
        <v>251</v>
      </c>
      <c r="K417" s="80">
        <v>5.7</v>
      </c>
      <c r="L417" s="80">
        <f>K417*VLOOKUP(H417,dagsoorttabel1,2,FALSE)</f>
        <v>4.4705882352941178</v>
      </c>
      <c r="M417" s="81">
        <f>prodnorm30</f>
        <v>0</v>
      </c>
      <c r="N417" s="82">
        <f>dagwerk30</f>
        <v>0</v>
      </c>
      <c r="O417" s="78" t="s">
        <v>103</v>
      </c>
      <c r="P417" s="15">
        <f>uurtarief30</f>
        <v>0</v>
      </c>
      <c r="Q417" s="80" t="e">
        <f>IF(ISBLANK(M417),0,L417/ROUND(M417,4))</f>
        <v>#DIV/0!</v>
      </c>
      <c r="R417" s="80" t="e">
        <f>IF(ISBLANK(M417),0,Q417*ROUND(N417,2))</f>
        <v>#DIV/0!</v>
      </c>
      <c r="S417" s="15" t="e">
        <f>ROUND(P417,2)*Q417</f>
        <v>#DIV/0!</v>
      </c>
      <c r="T417" s="80" t="e">
        <f>Q417*dagenperjaar1</f>
        <v>#DIV/0!</v>
      </c>
      <c r="U417" s="16" t="e">
        <f>T417*ROUND(P417,2)</f>
        <v>#DIV/0!</v>
      </c>
    </row>
    <row r="418" spans="1:21" x14ac:dyDescent="0.3">
      <c r="A418" s="77" t="s">
        <v>575</v>
      </c>
      <c r="B418" s="78" t="s">
        <v>40</v>
      </c>
      <c r="C418" s="78" t="s">
        <v>280</v>
      </c>
      <c r="D418" s="78" t="s">
        <v>657</v>
      </c>
      <c r="E418" s="79" t="s">
        <v>592</v>
      </c>
      <c r="F418" s="78" t="s">
        <v>580</v>
      </c>
      <c r="G418" s="78" t="s">
        <v>300</v>
      </c>
      <c r="H418" s="78"/>
      <c r="I418" s="78"/>
      <c r="J418" s="78"/>
      <c r="K418" s="80">
        <v>9.9</v>
      </c>
      <c r="L418" s="80"/>
      <c r="M418" s="81"/>
      <c r="N418" s="82"/>
      <c r="O418" s="78"/>
      <c r="P418" s="15"/>
      <c r="Q418" s="80"/>
      <c r="R418" s="80"/>
      <c r="S418" s="15"/>
      <c r="T418" s="83"/>
      <c r="U418" s="16"/>
    </row>
    <row r="419" spans="1:21" x14ac:dyDescent="0.3">
      <c r="A419" s="77" t="s">
        <v>575</v>
      </c>
      <c r="B419" s="78" t="s">
        <v>40</v>
      </c>
      <c r="C419" s="78" t="s">
        <v>280</v>
      </c>
      <c r="D419" s="78" t="s">
        <v>658</v>
      </c>
      <c r="E419" s="79" t="s">
        <v>584</v>
      </c>
      <c r="F419" s="78" t="s">
        <v>580</v>
      </c>
      <c r="G419" s="78" t="s">
        <v>240</v>
      </c>
      <c r="H419" s="78" t="s">
        <v>11</v>
      </c>
      <c r="I419" s="78" t="s">
        <v>214</v>
      </c>
      <c r="J419" s="79" t="s">
        <v>241</v>
      </c>
      <c r="K419" s="80">
        <v>11.1</v>
      </c>
      <c r="L419" s="80">
        <f t="shared" ref="L419:L425" si="114">K419*VLOOKUP(H419,dagsoorttabel1,2,FALSE)</f>
        <v>8.7058823529411757</v>
      </c>
      <c r="M419" s="81">
        <f>prodnorm25</f>
        <v>0</v>
      </c>
      <c r="N419" s="82">
        <f>dagwerk25</f>
        <v>0</v>
      </c>
      <c r="O419" s="78" t="s">
        <v>103</v>
      </c>
      <c r="P419" s="15">
        <f>uurtarief25</f>
        <v>0</v>
      </c>
      <c r="Q419" s="80" t="e">
        <f t="shared" ref="Q419:Q425" si="115">IF(ISBLANK(M419),0,L419/ROUND(M419,4))</f>
        <v>#DIV/0!</v>
      </c>
      <c r="R419" s="80" t="e">
        <f t="shared" ref="R419:R425" si="116">IF(ISBLANK(M419),0,Q419*ROUND(N419,2))</f>
        <v>#DIV/0!</v>
      </c>
      <c r="S419" s="15" t="e">
        <f t="shared" ref="S419:S425" si="117">ROUND(P419,2)*Q419</f>
        <v>#DIV/0!</v>
      </c>
      <c r="T419" s="80" t="e">
        <f t="shared" ref="T419:T425" si="118">Q419*dagenperjaar1</f>
        <v>#DIV/0!</v>
      </c>
      <c r="U419" s="16" t="e">
        <f t="shared" ref="U419:U425" si="119">T419*ROUND(P419,2)</f>
        <v>#DIV/0!</v>
      </c>
    </row>
    <row r="420" spans="1:21" x14ac:dyDescent="0.3">
      <c r="A420" s="77" t="s">
        <v>575</v>
      </c>
      <c r="B420" s="78" t="s">
        <v>40</v>
      </c>
      <c r="C420" s="78" t="s">
        <v>280</v>
      </c>
      <c r="D420" s="78" t="s">
        <v>659</v>
      </c>
      <c r="E420" s="79" t="s">
        <v>600</v>
      </c>
      <c r="F420" s="78" t="s">
        <v>580</v>
      </c>
      <c r="G420" s="78" t="s">
        <v>216</v>
      </c>
      <c r="H420" s="78" t="s">
        <v>11</v>
      </c>
      <c r="I420" s="78" t="s">
        <v>214</v>
      </c>
      <c r="J420" s="79" t="s">
        <v>217</v>
      </c>
      <c r="K420" s="80">
        <v>13</v>
      </c>
      <c r="L420" s="80">
        <f t="shared" si="114"/>
        <v>10.196078431372548</v>
      </c>
      <c r="M420" s="81">
        <f>prodnorm6</f>
        <v>0</v>
      </c>
      <c r="N420" s="82">
        <f>dagwerk6</f>
        <v>0</v>
      </c>
      <c r="O420" s="78" t="s">
        <v>103</v>
      </c>
      <c r="P420" s="15">
        <f>uurtarief6</f>
        <v>0</v>
      </c>
      <c r="Q420" s="80" t="e">
        <f t="shared" si="115"/>
        <v>#DIV/0!</v>
      </c>
      <c r="R420" s="80" t="e">
        <f t="shared" si="116"/>
        <v>#DIV/0!</v>
      </c>
      <c r="S420" s="15" t="e">
        <f t="shared" si="117"/>
        <v>#DIV/0!</v>
      </c>
      <c r="T420" s="80" t="e">
        <f t="shared" si="118"/>
        <v>#DIV/0!</v>
      </c>
      <c r="U420" s="16" t="e">
        <f t="shared" si="119"/>
        <v>#DIV/0!</v>
      </c>
    </row>
    <row r="421" spans="1:21" x14ac:dyDescent="0.3">
      <c r="A421" s="77" t="s">
        <v>575</v>
      </c>
      <c r="B421" s="78" t="s">
        <v>40</v>
      </c>
      <c r="C421" s="78" t="s">
        <v>280</v>
      </c>
      <c r="D421" s="78" t="s">
        <v>660</v>
      </c>
      <c r="E421" s="79" t="s">
        <v>581</v>
      </c>
      <c r="F421" s="78" t="s">
        <v>580</v>
      </c>
      <c r="G421" s="78" t="s">
        <v>216</v>
      </c>
      <c r="H421" s="78" t="s">
        <v>11</v>
      </c>
      <c r="I421" s="78" t="s">
        <v>214</v>
      </c>
      <c r="J421" s="79" t="s">
        <v>217</v>
      </c>
      <c r="K421" s="80">
        <v>21.9</v>
      </c>
      <c r="L421" s="80">
        <f t="shared" si="114"/>
        <v>17.176470588235293</v>
      </c>
      <c r="M421" s="81">
        <f>prodnorm6</f>
        <v>0</v>
      </c>
      <c r="N421" s="82">
        <f>dagwerk6</f>
        <v>0</v>
      </c>
      <c r="O421" s="78" t="s">
        <v>103</v>
      </c>
      <c r="P421" s="15">
        <f>uurtarief6</f>
        <v>0</v>
      </c>
      <c r="Q421" s="80" t="e">
        <f t="shared" si="115"/>
        <v>#DIV/0!</v>
      </c>
      <c r="R421" s="80" t="e">
        <f t="shared" si="116"/>
        <v>#DIV/0!</v>
      </c>
      <c r="S421" s="15" t="e">
        <f t="shared" si="117"/>
        <v>#DIV/0!</v>
      </c>
      <c r="T421" s="80" t="e">
        <f t="shared" si="118"/>
        <v>#DIV/0!</v>
      </c>
      <c r="U421" s="16" t="e">
        <f t="shared" si="119"/>
        <v>#DIV/0!</v>
      </c>
    </row>
    <row r="422" spans="1:21" x14ac:dyDescent="0.3">
      <c r="A422" s="77" t="s">
        <v>575</v>
      </c>
      <c r="B422" s="78" t="s">
        <v>40</v>
      </c>
      <c r="C422" s="78" t="s">
        <v>280</v>
      </c>
      <c r="D422" s="78" t="s">
        <v>661</v>
      </c>
      <c r="E422" s="79" t="s">
        <v>584</v>
      </c>
      <c r="F422" s="78" t="s">
        <v>580</v>
      </c>
      <c r="G422" s="78" t="s">
        <v>240</v>
      </c>
      <c r="H422" s="78" t="s">
        <v>11</v>
      </c>
      <c r="I422" s="78" t="s">
        <v>214</v>
      </c>
      <c r="J422" s="79" t="s">
        <v>241</v>
      </c>
      <c r="K422" s="80">
        <v>8.6999999999999993</v>
      </c>
      <c r="L422" s="80">
        <f t="shared" si="114"/>
        <v>6.8235294117647056</v>
      </c>
      <c r="M422" s="81">
        <f>prodnorm25</f>
        <v>0</v>
      </c>
      <c r="N422" s="82">
        <f>dagwerk25</f>
        <v>0</v>
      </c>
      <c r="O422" s="78" t="s">
        <v>103</v>
      </c>
      <c r="P422" s="15">
        <f>uurtarief25</f>
        <v>0</v>
      </c>
      <c r="Q422" s="80" t="e">
        <f t="shared" si="115"/>
        <v>#DIV/0!</v>
      </c>
      <c r="R422" s="80" t="e">
        <f t="shared" si="116"/>
        <v>#DIV/0!</v>
      </c>
      <c r="S422" s="15" t="e">
        <f t="shared" si="117"/>
        <v>#DIV/0!</v>
      </c>
      <c r="T422" s="80" t="e">
        <f t="shared" si="118"/>
        <v>#DIV/0!</v>
      </c>
      <c r="U422" s="16" t="e">
        <f t="shared" si="119"/>
        <v>#DIV/0!</v>
      </c>
    </row>
    <row r="423" spans="1:21" ht="27" x14ac:dyDescent="0.3">
      <c r="A423" s="77" t="s">
        <v>575</v>
      </c>
      <c r="B423" s="78" t="s">
        <v>40</v>
      </c>
      <c r="C423" s="78" t="s">
        <v>280</v>
      </c>
      <c r="D423" s="78" t="s">
        <v>662</v>
      </c>
      <c r="E423" s="79" t="s">
        <v>579</v>
      </c>
      <c r="F423" s="78" t="s">
        <v>580</v>
      </c>
      <c r="G423" s="78" t="s">
        <v>256</v>
      </c>
      <c r="H423" s="78" t="s">
        <v>11</v>
      </c>
      <c r="I423" s="78" t="s">
        <v>214</v>
      </c>
      <c r="J423" s="79" t="s">
        <v>257</v>
      </c>
      <c r="K423" s="80">
        <v>72</v>
      </c>
      <c r="L423" s="80">
        <f t="shared" si="114"/>
        <v>56.470588235294116</v>
      </c>
      <c r="M423" s="81">
        <f>prodnorm33</f>
        <v>0</v>
      </c>
      <c r="N423" s="82">
        <f>dagwerk33</f>
        <v>0</v>
      </c>
      <c r="O423" s="78" t="s">
        <v>103</v>
      </c>
      <c r="P423" s="15">
        <f>uurtarief33</f>
        <v>0</v>
      </c>
      <c r="Q423" s="80" t="e">
        <f t="shared" si="115"/>
        <v>#DIV/0!</v>
      </c>
      <c r="R423" s="80" t="e">
        <f t="shared" si="116"/>
        <v>#DIV/0!</v>
      </c>
      <c r="S423" s="15" t="e">
        <f t="shared" si="117"/>
        <v>#DIV/0!</v>
      </c>
      <c r="T423" s="80" t="e">
        <f t="shared" si="118"/>
        <v>#DIV/0!</v>
      </c>
      <c r="U423" s="16" t="e">
        <f t="shared" si="119"/>
        <v>#DIV/0!</v>
      </c>
    </row>
    <row r="424" spans="1:21" x14ac:dyDescent="0.3">
      <c r="A424" s="77" t="s">
        <v>575</v>
      </c>
      <c r="B424" s="78" t="s">
        <v>40</v>
      </c>
      <c r="C424" s="78" t="s">
        <v>280</v>
      </c>
      <c r="D424" s="78" t="s">
        <v>663</v>
      </c>
      <c r="E424" s="79" t="s">
        <v>578</v>
      </c>
      <c r="F424" s="78" t="s">
        <v>524</v>
      </c>
      <c r="G424" s="78" t="s">
        <v>224</v>
      </c>
      <c r="H424" s="78" t="s">
        <v>11</v>
      </c>
      <c r="I424" s="78" t="s">
        <v>214</v>
      </c>
      <c r="J424" s="79" t="s">
        <v>225</v>
      </c>
      <c r="K424" s="80">
        <v>11.6</v>
      </c>
      <c r="L424" s="80">
        <f t="shared" si="114"/>
        <v>9.0980392156862742</v>
      </c>
      <c r="M424" s="81">
        <f>prodnorm13</f>
        <v>0</v>
      </c>
      <c r="N424" s="82">
        <f>dagwerk13</f>
        <v>0</v>
      </c>
      <c r="O424" s="78" t="s">
        <v>103</v>
      </c>
      <c r="P424" s="15">
        <f>uurtarief13</f>
        <v>0</v>
      </c>
      <c r="Q424" s="80" t="e">
        <f t="shared" si="115"/>
        <v>#DIV/0!</v>
      </c>
      <c r="R424" s="80" t="e">
        <f t="shared" si="116"/>
        <v>#DIV/0!</v>
      </c>
      <c r="S424" s="15" t="e">
        <f t="shared" si="117"/>
        <v>#DIV/0!</v>
      </c>
      <c r="T424" s="80" t="e">
        <f t="shared" si="118"/>
        <v>#DIV/0!</v>
      </c>
      <c r="U424" s="16" t="e">
        <f t="shared" si="119"/>
        <v>#DIV/0!</v>
      </c>
    </row>
    <row r="425" spans="1:21" x14ac:dyDescent="0.3">
      <c r="A425" s="77" t="s">
        <v>575</v>
      </c>
      <c r="B425" s="78" t="s">
        <v>40</v>
      </c>
      <c r="C425" s="78" t="s">
        <v>280</v>
      </c>
      <c r="D425" s="78" t="s">
        <v>664</v>
      </c>
      <c r="E425" s="79" t="s">
        <v>582</v>
      </c>
      <c r="F425" s="78" t="s">
        <v>580</v>
      </c>
      <c r="G425" s="78" t="s">
        <v>234</v>
      </c>
      <c r="H425" s="78" t="s">
        <v>11</v>
      </c>
      <c r="I425" s="78" t="s">
        <v>214</v>
      </c>
      <c r="J425" s="79" t="s">
        <v>235</v>
      </c>
      <c r="K425" s="80">
        <v>44.5</v>
      </c>
      <c r="L425" s="80">
        <f t="shared" si="114"/>
        <v>34.901960784313722</v>
      </c>
      <c r="M425" s="81">
        <f>prodnorm21</f>
        <v>0</v>
      </c>
      <c r="N425" s="82">
        <f>dagwerk21</f>
        <v>0</v>
      </c>
      <c r="O425" s="78" t="s">
        <v>103</v>
      </c>
      <c r="P425" s="15">
        <f>uurtarief21</f>
        <v>0</v>
      </c>
      <c r="Q425" s="80" t="e">
        <f t="shared" si="115"/>
        <v>#DIV/0!</v>
      </c>
      <c r="R425" s="80" t="e">
        <f t="shared" si="116"/>
        <v>#DIV/0!</v>
      </c>
      <c r="S425" s="15" t="e">
        <f t="shared" si="117"/>
        <v>#DIV/0!</v>
      </c>
      <c r="T425" s="80" t="e">
        <f t="shared" si="118"/>
        <v>#DIV/0!</v>
      </c>
      <c r="U425" s="16" t="e">
        <f t="shared" si="119"/>
        <v>#DIV/0!</v>
      </c>
    </row>
    <row r="426" spans="1:21" x14ac:dyDescent="0.3">
      <c r="A426" s="77" t="s">
        <v>575</v>
      </c>
      <c r="B426" s="78" t="s">
        <v>40</v>
      </c>
      <c r="C426" s="78" t="s">
        <v>280</v>
      </c>
      <c r="D426" s="78" t="s">
        <v>665</v>
      </c>
      <c r="E426" s="79" t="s">
        <v>649</v>
      </c>
      <c r="F426" s="78" t="s">
        <v>580</v>
      </c>
      <c r="G426" s="78" t="s">
        <v>300</v>
      </c>
      <c r="H426" s="78"/>
      <c r="I426" s="78"/>
      <c r="J426" s="78"/>
      <c r="K426" s="80">
        <v>4.5</v>
      </c>
      <c r="L426" s="80"/>
      <c r="M426" s="81"/>
      <c r="N426" s="82"/>
      <c r="O426" s="78"/>
      <c r="P426" s="15"/>
      <c r="Q426" s="80"/>
      <c r="R426" s="80"/>
      <c r="S426" s="15"/>
      <c r="T426" s="83"/>
      <c r="U426" s="16"/>
    </row>
    <row r="427" spans="1:21" x14ac:dyDescent="0.3">
      <c r="A427" s="77" t="s">
        <v>575</v>
      </c>
      <c r="B427" s="78" t="s">
        <v>40</v>
      </c>
      <c r="C427" s="78" t="s">
        <v>280</v>
      </c>
      <c r="D427" s="78" t="s">
        <v>666</v>
      </c>
      <c r="E427" s="79" t="s">
        <v>594</v>
      </c>
      <c r="F427" s="78" t="s">
        <v>404</v>
      </c>
      <c r="G427" s="78" t="s">
        <v>252</v>
      </c>
      <c r="H427" s="78" t="s">
        <v>11</v>
      </c>
      <c r="I427" s="78" t="s">
        <v>214</v>
      </c>
      <c r="J427" s="79" t="s">
        <v>253</v>
      </c>
      <c r="K427" s="80">
        <v>8.8000000000000007</v>
      </c>
      <c r="L427" s="80">
        <f t="shared" ref="L427:L437" si="120">K427*VLOOKUP(H427,dagsoorttabel1,2,FALSE)</f>
        <v>6.9019607843137258</v>
      </c>
      <c r="M427" s="81">
        <f>prodnorm31</f>
        <v>0</v>
      </c>
      <c r="N427" s="82">
        <f>dagwerk31</f>
        <v>0</v>
      </c>
      <c r="O427" s="78" t="s">
        <v>103</v>
      </c>
      <c r="P427" s="15">
        <f>uurtarief31</f>
        <v>0</v>
      </c>
      <c r="Q427" s="80" t="e">
        <f t="shared" ref="Q427:Q437" si="121">IF(ISBLANK(M427),0,L427/ROUND(M427,4))</f>
        <v>#DIV/0!</v>
      </c>
      <c r="R427" s="80" t="e">
        <f t="shared" ref="R427:R437" si="122">IF(ISBLANK(M427),0,Q427*ROUND(N427,2))</f>
        <v>#DIV/0!</v>
      </c>
      <c r="S427" s="15" t="e">
        <f t="shared" ref="S427:S437" si="123">ROUND(P427,2)*Q427</f>
        <v>#DIV/0!</v>
      </c>
      <c r="T427" s="80" t="e">
        <f t="shared" ref="T427:T437" si="124">Q427*dagenperjaar1</f>
        <v>#DIV/0!</v>
      </c>
      <c r="U427" s="16" t="e">
        <f t="shared" ref="U427:U437" si="125">T427*ROUND(P427,2)</f>
        <v>#DIV/0!</v>
      </c>
    </row>
    <row r="428" spans="1:21" x14ac:dyDescent="0.3">
      <c r="A428" s="77" t="s">
        <v>575</v>
      </c>
      <c r="B428" s="78" t="s">
        <v>40</v>
      </c>
      <c r="C428" s="78" t="s">
        <v>280</v>
      </c>
      <c r="D428" s="78" t="s">
        <v>667</v>
      </c>
      <c r="E428" s="79" t="s">
        <v>582</v>
      </c>
      <c r="F428" s="78" t="s">
        <v>580</v>
      </c>
      <c r="G428" s="78" t="s">
        <v>234</v>
      </c>
      <c r="H428" s="78" t="s">
        <v>11</v>
      </c>
      <c r="I428" s="78" t="s">
        <v>214</v>
      </c>
      <c r="J428" s="79" t="s">
        <v>235</v>
      </c>
      <c r="K428" s="80">
        <v>44.7</v>
      </c>
      <c r="L428" s="80">
        <f t="shared" si="120"/>
        <v>35.058823529411768</v>
      </c>
      <c r="M428" s="81">
        <f>prodnorm21</f>
        <v>0</v>
      </c>
      <c r="N428" s="82">
        <f>dagwerk21</f>
        <v>0</v>
      </c>
      <c r="O428" s="78" t="s">
        <v>103</v>
      </c>
      <c r="P428" s="15">
        <f>uurtarief21</f>
        <v>0</v>
      </c>
      <c r="Q428" s="80" t="e">
        <f t="shared" si="121"/>
        <v>#DIV/0!</v>
      </c>
      <c r="R428" s="80" t="e">
        <f t="shared" si="122"/>
        <v>#DIV/0!</v>
      </c>
      <c r="S428" s="15" t="e">
        <f t="shared" si="123"/>
        <v>#DIV/0!</v>
      </c>
      <c r="T428" s="80" t="e">
        <f t="shared" si="124"/>
        <v>#DIV/0!</v>
      </c>
      <c r="U428" s="16" t="e">
        <f t="shared" si="125"/>
        <v>#DIV/0!</v>
      </c>
    </row>
    <row r="429" spans="1:21" x14ac:dyDescent="0.3">
      <c r="A429" s="77" t="s">
        <v>575</v>
      </c>
      <c r="B429" s="78" t="s">
        <v>40</v>
      </c>
      <c r="C429" s="78" t="s">
        <v>280</v>
      </c>
      <c r="D429" s="78" t="s">
        <v>668</v>
      </c>
      <c r="E429" s="79" t="s">
        <v>582</v>
      </c>
      <c r="F429" s="78" t="s">
        <v>580</v>
      </c>
      <c r="G429" s="78" t="s">
        <v>234</v>
      </c>
      <c r="H429" s="78" t="s">
        <v>11</v>
      </c>
      <c r="I429" s="78" t="s">
        <v>214</v>
      </c>
      <c r="J429" s="79" t="s">
        <v>235</v>
      </c>
      <c r="K429" s="80">
        <v>42</v>
      </c>
      <c r="L429" s="80">
        <f t="shared" si="120"/>
        <v>32.941176470588232</v>
      </c>
      <c r="M429" s="81">
        <f>prodnorm21</f>
        <v>0</v>
      </c>
      <c r="N429" s="82">
        <f>dagwerk21</f>
        <v>0</v>
      </c>
      <c r="O429" s="78" t="s">
        <v>103</v>
      </c>
      <c r="P429" s="15">
        <f>uurtarief21</f>
        <v>0</v>
      </c>
      <c r="Q429" s="80" t="e">
        <f t="shared" si="121"/>
        <v>#DIV/0!</v>
      </c>
      <c r="R429" s="80" t="e">
        <f t="shared" si="122"/>
        <v>#DIV/0!</v>
      </c>
      <c r="S429" s="15" t="e">
        <f t="shared" si="123"/>
        <v>#DIV/0!</v>
      </c>
      <c r="T429" s="80" t="e">
        <f t="shared" si="124"/>
        <v>#DIV/0!</v>
      </c>
      <c r="U429" s="16" t="e">
        <f t="shared" si="125"/>
        <v>#DIV/0!</v>
      </c>
    </row>
    <row r="430" spans="1:21" x14ac:dyDescent="0.3">
      <c r="A430" s="77" t="s">
        <v>575</v>
      </c>
      <c r="B430" s="78" t="s">
        <v>40</v>
      </c>
      <c r="C430" s="78" t="s">
        <v>280</v>
      </c>
      <c r="D430" s="78" t="s">
        <v>669</v>
      </c>
      <c r="E430" s="79" t="s">
        <v>584</v>
      </c>
      <c r="F430" s="78" t="s">
        <v>580</v>
      </c>
      <c r="G430" s="78" t="s">
        <v>240</v>
      </c>
      <c r="H430" s="78" t="s">
        <v>11</v>
      </c>
      <c r="I430" s="78" t="s">
        <v>214</v>
      </c>
      <c r="J430" s="79" t="s">
        <v>241</v>
      </c>
      <c r="K430" s="80">
        <v>18.899999999999999</v>
      </c>
      <c r="L430" s="80">
        <f t="shared" si="120"/>
        <v>14.823529411764705</v>
      </c>
      <c r="M430" s="81">
        <f>prodnorm25</f>
        <v>0</v>
      </c>
      <c r="N430" s="82">
        <f>dagwerk25</f>
        <v>0</v>
      </c>
      <c r="O430" s="78" t="s">
        <v>103</v>
      </c>
      <c r="P430" s="15">
        <f>uurtarief25</f>
        <v>0</v>
      </c>
      <c r="Q430" s="80" t="e">
        <f t="shared" si="121"/>
        <v>#DIV/0!</v>
      </c>
      <c r="R430" s="80" t="e">
        <f t="shared" si="122"/>
        <v>#DIV/0!</v>
      </c>
      <c r="S430" s="15" t="e">
        <f t="shared" si="123"/>
        <v>#DIV/0!</v>
      </c>
      <c r="T430" s="80" t="e">
        <f t="shared" si="124"/>
        <v>#DIV/0!</v>
      </c>
      <c r="U430" s="16" t="e">
        <f t="shared" si="125"/>
        <v>#DIV/0!</v>
      </c>
    </row>
    <row r="431" spans="1:21" x14ac:dyDescent="0.3">
      <c r="A431" s="77" t="s">
        <v>575</v>
      </c>
      <c r="B431" s="78" t="s">
        <v>40</v>
      </c>
      <c r="C431" s="78" t="s">
        <v>280</v>
      </c>
      <c r="D431" s="78" t="s">
        <v>670</v>
      </c>
      <c r="E431" s="79" t="s">
        <v>582</v>
      </c>
      <c r="F431" s="78" t="s">
        <v>580</v>
      </c>
      <c r="G431" s="78" t="s">
        <v>234</v>
      </c>
      <c r="H431" s="78" t="s">
        <v>11</v>
      </c>
      <c r="I431" s="78" t="s">
        <v>214</v>
      </c>
      <c r="J431" s="79" t="s">
        <v>235</v>
      </c>
      <c r="K431" s="80">
        <v>42.4</v>
      </c>
      <c r="L431" s="80">
        <f t="shared" si="120"/>
        <v>33.254901960784309</v>
      </c>
      <c r="M431" s="81">
        <f>prodnorm21</f>
        <v>0</v>
      </c>
      <c r="N431" s="82">
        <f>dagwerk21</f>
        <v>0</v>
      </c>
      <c r="O431" s="78" t="s">
        <v>103</v>
      </c>
      <c r="P431" s="15">
        <f>uurtarief21</f>
        <v>0</v>
      </c>
      <c r="Q431" s="80" t="e">
        <f t="shared" si="121"/>
        <v>#DIV/0!</v>
      </c>
      <c r="R431" s="80" t="e">
        <f t="shared" si="122"/>
        <v>#DIV/0!</v>
      </c>
      <c r="S431" s="15" t="e">
        <f t="shared" si="123"/>
        <v>#DIV/0!</v>
      </c>
      <c r="T431" s="80" t="e">
        <f t="shared" si="124"/>
        <v>#DIV/0!</v>
      </c>
      <c r="U431" s="16" t="e">
        <f t="shared" si="125"/>
        <v>#DIV/0!</v>
      </c>
    </row>
    <row r="432" spans="1:21" x14ac:dyDescent="0.3">
      <c r="A432" s="77" t="s">
        <v>575</v>
      </c>
      <c r="B432" s="78" t="s">
        <v>40</v>
      </c>
      <c r="C432" s="78" t="s">
        <v>280</v>
      </c>
      <c r="D432" s="78" t="s">
        <v>671</v>
      </c>
      <c r="E432" s="79" t="s">
        <v>582</v>
      </c>
      <c r="F432" s="78" t="s">
        <v>580</v>
      </c>
      <c r="G432" s="78" t="s">
        <v>234</v>
      </c>
      <c r="H432" s="78" t="s">
        <v>11</v>
      </c>
      <c r="I432" s="78" t="s">
        <v>214</v>
      </c>
      <c r="J432" s="79" t="s">
        <v>235</v>
      </c>
      <c r="K432" s="80">
        <v>43.7</v>
      </c>
      <c r="L432" s="80">
        <f t="shared" si="120"/>
        <v>34.274509803921568</v>
      </c>
      <c r="M432" s="81">
        <f>prodnorm21</f>
        <v>0</v>
      </c>
      <c r="N432" s="82">
        <f>dagwerk21</f>
        <v>0</v>
      </c>
      <c r="O432" s="78" t="s">
        <v>103</v>
      </c>
      <c r="P432" s="15">
        <f>uurtarief21</f>
        <v>0</v>
      </c>
      <c r="Q432" s="80" t="e">
        <f t="shared" si="121"/>
        <v>#DIV/0!</v>
      </c>
      <c r="R432" s="80" t="e">
        <f t="shared" si="122"/>
        <v>#DIV/0!</v>
      </c>
      <c r="S432" s="15" t="e">
        <f t="shared" si="123"/>
        <v>#DIV/0!</v>
      </c>
      <c r="T432" s="80" t="e">
        <f t="shared" si="124"/>
        <v>#DIV/0!</v>
      </c>
      <c r="U432" s="16" t="e">
        <f t="shared" si="125"/>
        <v>#DIV/0!</v>
      </c>
    </row>
    <row r="433" spans="1:21" x14ac:dyDescent="0.3">
      <c r="A433" s="77" t="s">
        <v>575</v>
      </c>
      <c r="B433" s="78" t="s">
        <v>40</v>
      </c>
      <c r="C433" s="78" t="s">
        <v>280</v>
      </c>
      <c r="D433" s="78" t="s">
        <v>672</v>
      </c>
      <c r="E433" s="79" t="s">
        <v>585</v>
      </c>
      <c r="F433" s="78" t="s">
        <v>580</v>
      </c>
      <c r="G433" s="78" t="s">
        <v>216</v>
      </c>
      <c r="H433" s="78" t="s">
        <v>11</v>
      </c>
      <c r="I433" s="78" t="s">
        <v>214</v>
      </c>
      <c r="J433" s="79" t="s">
        <v>217</v>
      </c>
      <c r="K433" s="80">
        <v>10.7</v>
      </c>
      <c r="L433" s="80">
        <f t="shared" si="120"/>
        <v>8.3921568627450966</v>
      </c>
      <c r="M433" s="81">
        <f>prodnorm6</f>
        <v>0</v>
      </c>
      <c r="N433" s="82">
        <f>dagwerk6</f>
        <v>0</v>
      </c>
      <c r="O433" s="78" t="s">
        <v>103</v>
      </c>
      <c r="P433" s="15">
        <f>uurtarief6</f>
        <v>0</v>
      </c>
      <c r="Q433" s="80" t="e">
        <f t="shared" si="121"/>
        <v>#DIV/0!</v>
      </c>
      <c r="R433" s="80" t="e">
        <f t="shared" si="122"/>
        <v>#DIV/0!</v>
      </c>
      <c r="S433" s="15" t="e">
        <f t="shared" si="123"/>
        <v>#DIV/0!</v>
      </c>
      <c r="T433" s="80" t="e">
        <f t="shared" si="124"/>
        <v>#DIV/0!</v>
      </c>
      <c r="U433" s="16" t="e">
        <f t="shared" si="125"/>
        <v>#DIV/0!</v>
      </c>
    </row>
    <row r="434" spans="1:21" x14ac:dyDescent="0.3">
      <c r="A434" s="77" t="s">
        <v>575</v>
      </c>
      <c r="B434" s="78" t="s">
        <v>40</v>
      </c>
      <c r="C434" s="78" t="s">
        <v>280</v>
      </c>
      <c r="D434" s="78" t="s">
        <v>673</v>
      </c>
      <c r="E434" s="79" t="s">
        <v>600</v>
      </c>
      <c r="F434" s="78" t="s">
        <v>580</v>
      </c>
      <c r="G434" s="78" t="s">
        <v>216</v>
      </c>
      <c r="H434" s="78" t="s">
        <v>11</v>
      </c>
      <c r="I434" s="78" t="s">
        <v>214</v>
      </c>
      <c r="J434" s="79" t="s">
        <v>217</v>
      </c>
      <c r="K434" s="80">
        <v>12.9</v>
      </c>
      <c r="L434" s="80">
        <f t="shared" si="120"/>
        <v>10.117647058823529</v>
      </c>
      <c r="M434" s="81">
        <f>prodnorm6</f>
        <v>0</v>
      </c>
      <c r="N434" s="82">
        <f>dagwerk6</f>
        <v>0</v>
      </c>
      <c r="O434" s="78" t="s">
        <v>103</v>
      </c>
      <c r="P434" s="15">
        <f>uurtarief6</f>
        <v>0</v>
      </c>
      <c r="Q434" s="80" t="e">
        <f t="shared" si="121"/>
        <v>#DIV/0!</v>
      </c>
      <c r="R434" s="80" t="e">
        <f t="shared" si="122"/>
        <v>#DIV/0!</v>
      </c>
      <c r="S434" s="15" t="e">
        <f t="shared" si="123"/>
        <v>#DIV/0!</v>
      </c>
      <c r="T434" s="80" t="e">
        <f t="shared" si="124"/>
        <v>#DIV/0!</v>
      </c>
      <c r="U434" s="16" t="e">
        <f t="shared" si="125"/>
        <v>#DIV/0!</v>
      </c>
    </row>
    <row r="435" spans="1:21" x14ac:dyDescent="0.3">
      <c r="A435" s="77" t="s">
        <v>575</v>
      </c>
      <c r="B435" s="78" t="s">
        <v>40</v>
      </c>
      <c r="C435" s="78" t="s">
        <v>280</v>
      </c>
      <c r="D435" s="78" t="s">
        <v>674</v>
      </c>
      <c r="E435" s="79" t="s">
        <v>590</v>
      </c>
      <c r="F435" s="78" t="s">
        <v>591</v>
      </c>
      <c r="G435" s="78" t="s">
        <v>250</v>
      </c>
      <c r="H435" s="78" t="s">
        <v>11</v>
      </c>
      <c r="I435" s="78" t="s">
        <v>214</v>
      </c>
      <c r="J435" s="79" t="s">
        <v>251</v>
      </c>
      <c r="K435" s="80">
        <v>5</v>
      </c>
      <c r="L435" s="80">
        <f t="shared" si="120"/>
        <v>3.9215686274509802</v>
      </c>
      <c r="M435" s="81">
        <f>prodnorm30</f>
        <v>0</v>
      </c>
      <c r="N435" s="82">
        <f>dagwerk30</f>
        <v>0</v>
      </c>
      <c r="O435" s="78" t="s">
        <v>103</v>
      </c>
      <c r="P435" s="15">
        <f>uurtarief30</f>
        <v>0</v>
      </c>
      <c r="Q435" s="80" t="e">
        <f t="shared" si="121"/>
        <v>#DIV/0!</v>
      </c>
      <c r="R435" s="80" t="e">
        <f t="shared" si="122"/>
        <v>#DIV/0!</v>
      </c>
      <c r="S435" s="15" t="e">
        <f t="shared" si="123"/>
        <v>#DIV/0!</v>
      </c>
      <c r="T435" s="80" t="e">
        <f t="shared" si="124"/>
        <v>#DIV/0!</v>
      </c>
      <c r="U435" s="16" t="e">
        <f t="shared" si="125"/>
        <v>#DIV/0!</v>
      </c>
    </row>
    <row r="436" spans="1:21" x14ac:dyDescent="0.3">
      <c r="A436" s="77" t="s">
        <v>575</v>
      </c>
      <c r="B436" s="78" t="s">
        <v>40</v>
      </c>
      <c r="C436" s="78" t="s">
        <v>280</v>
      </c>
      <c r="D436" s="78" t="s">
        <v>675</v>
      </c>
      <c r="E436" s="79" t="s">
        <v>590</v>
      </c>
      <c r="F436" s="78" t="s">
        <v>591</v>
      </c>
      <c r="G436" s="78" t="s">
        <v>250</v>
      </c>
      <c r="H436" s="78" t="s">
        <v>11</v>
      </c>
      <c r="I436" s="78" t="s">
        <v>214</v>
      </c>
      <c r="J436" s="79" t="s">
        <v>251</v>
      </c>
      <c r="K436" s="80">
        <v>5</v>
      </c>
      <c r="L436" s="80">
        <f t="shared" si="120"/>
        <v>3.9215686274509802</v>
      </c>
      <c r="M436" s="81">
        <f>prodnorm30</f>
        <v>0</v>
      </c>
      <c r="N436" s="82">
        <f>dagwerk30</f>
        <v>0</v>
      </c>
      <c r="O436" s="78" t="s">
        <v>103</v>
      </c>
      <c r="P436" s="15">
        <f>uurtarief30</f>
        <v>0</v>
      </c>
      <c r="Q436" s="80" t="e">
        <f t="shared" si="121"/>
        <v>#DIV/0!</v>
      </c>
      <c r="R436" s="80" t="e">
        <f t="shared" si="122"/>
        <v>#DIV/0!</v>
      </c>
      <c r="S436" s="15" t="e">
        <f t="shared" si="123"/>
        <v>#DIV/0!</v>
      </c>
      <c r="T436" s="80" t="e">
        <f t="shared" si="124"/>
        <v>#DIV/0!</v>
      </c>
      <c r="U436" s="16" t="e">
        <f t="shared" si="125"/>
        <v>#DIV/0!</v>
      </c>
    </row>
    <row r="437" spans="1:21" x14ac:dyDescent="0.3">
      <c r="A437" s="77" t="s">
        <v>575</v>
      </c>
      <c r="B437" s="78" t="s">
        <v>40</v>
      </c>
      <c r="C437" s="78" t="s">
        <v>280</v>
      </c>
      <c r="D437" s="78" t="s">
        <v>676</v>
      </c>
      <c r="E437" s="79" t="s">
        <v>316</v>
      </c>
      <c r="F437" s="78" t="s">
        <v>591</v>
      </c>
      <c r="G437" s="78" t="s">
        <v>250</v>
      </c>
      <c r="H437" s="78" t="s">
        <v>11</v>
      </c>
      <c r="I437" s="78" t="s">
        <v>214</v>
      </c>
      <c r="J437" s="79" t="s">
        <v>251</v>
      </c>
      <c r="K437" s="80">
        <v>3.7</v>
      </c>
      <c r="L437" s="80">
        <f t="shared" si="120"/>
        <v>2.9019607843137254</v>
      </c>
      <c r="M437" s="81">
        <f>prodnorm30</f>
        <v>0</v>
      </c>
      <c r="N437" s="82">
        <f>dagwerk30</f>
        <v>0</v>
      </c>
      <c r="O437" s="78" t="s">
        <v>103</v>
      </c>
      <c r="P437" s="15">
        <f>uurtarief30</f>
        <v>0</v>
      </c>
      <c r="Q437" s="80" t="e">
        <f t="shared" si="121"/>
        <v>#DIV/0!</v>
      </c>
      <c r="R437" s="80" t="e">
        <f t="shared" si="122"/>
        <v>#DIV/0!</v>
      </c>
      <c r="S437" s="15" t="e">
        <f t="shared" si="123"/>
        <v>#DIV/0!</v>
      </c>
      <c r="T437" s="80" t="e">
        <f t="shared" si="124"/>
        <v>#DIV/0!</v>
      </c>
      <c r="U437" s="16" t="e">
        <f t="shared" si="125"/>
        <v>#DIV/0!</v>
      </c>
    </row>
    <row r="438" spans="1:21" x14ac:dyDescent="0.3">
      <c r="A438" s="77" t="s">
        <v>575</v>
      </c>
      <c r="B438" s="78" t="s">
        <v>40</v>
      </c>
      <c r="C438" s="78" t="s">
        <v>280</v>
      </c>
      <c r="D438" s="78" t="s">
        <v>677</v>
      </c>
      <c r="E438" s="79" t="s">
        <v>678</v>
      </c>
      <c r="F438" s="78" t="s">
        <v>580</v>
      </c>
      <c r="G438" s="78" t="s">
        <v>300</v>
      </c>
      <c r="H438" s="78"/>
      <c r="I438" s="78"/>
      <c r="J438" s="78"/>
      <c r="K438" s="80">
        <v>6.2</v>
      </c>
      <c r="L438" s="80"/>
      <c r="M438" s="81"/>
      <c r="N438" s="82"/>
      <c r="O438" s="78"/>
      <c r="P438" s="15"/>
      <c r="Q438" s="80"/>
      <c r="R438" s="80"/>
      <c r="S438" s="15"/>
      <c r="T438" s="83"/>
      <c r="U438" s="16"/>
    </row>
    <row r="439" spans="1:21" x14ac:dyDescent="0.3">
      <c r="A439" s="77" t="s">
        <v>575</v>
      </c>
      <c r="B439" s="78" t="s">
        <v>40</v>
      </c>
      <c r="C439" s="78" t="s">
        <v>280</v>
      </c>
      <c r="D439" s="78" t="s">
        <v>679</v>
      </c>
      <c r="E439" s="79" t="s">
        <v>584</v>
      </c>
      <c r="F439" s="78" t="s">
        <v>580</v>
      </c>
      <c r="G439" s="78" t="s">
        <v>240</v>
      </c>
      <c r="H439" s="78" t="s">
        <v>11</v>
      </c>
      <c r="I439" s="78" t="s">
        <v>214</v>
      </c>
      <c r="J439" s="79" t="s">
        <v>241</v>
      </c>
      <c r="K439" s="80">
        <v>10.3</v>
      </c>
      <c r="L439" s="80">
        <f>K439*VLOOKUP(H439,dagsoorttabel1,2,FALSE)</f>
        <v>8.0784313725490193</v>
      </c>
      <c r="M439" s="81">
        <f>prodnorm25</f>
        <v>0</v>
      </c>
      <c r="N439" s="82">
        <f>dagwerk25</f>
        <v>0</v>
      </c>
      <c r="O439" s="78" t="s">
        <v>103</v>
      </c>
      <c r="P439" s="15">
        <f>uurtarief25</f>
        <v>0</v>
      </c>
      <c r="Q439" s="80" t="e">
        <f>IF(ISBLANK(M439),0,L439/ROUND(M439,4))</f>
        <v>#DIV/0!</v>
      </c>
      <c r="R439" s="80" t="e">
        <f>IF(ISBLANK(M439),0,Q439*ROUND(N439,2))</f>
        <v>#DIV/0!</v>
      </c>
      <c r="S439" s="15" t="e">
        <f>ROUND(P439,2)*Q439</f>
        <v>#DIV/0!</v>
      </c>
      <c r="T439" s="80" t="e">
        <f>Q439*dagenperjaar1</f>
        <v>#DIV/0!</v>
      </c>
      <c r="U439" s="16" t="e">
        <f>T439*ROUND(P439,2)</f>
        <v>#DIV/0!</v>
      </c>
    </row>
    <row r="440" spans="1:21" x14ac:dyDescent="0.3">
      <c r="A440" s="77" t="s">
        <v>575</v>
      </c>
      <c r="B440" s="78" t="s">
        <v>40</v>
      </c>
      <c r="C440" s="78" t="s">
        <v>280</v>
      </c>
      <c r="D440" s="78" t="s">
        <v>680</v>
      </c>
      <c r="E440" s="79" t="s">
        <v>681</v>
      </c>
      <c r="F440" s="78" t="s">
        <v>580</v>
      </c>
      <c r="G440" s="78" t="s">
        <v>216</v>
      </c>
      <c r="H440" s="78" t="s">
        <v>11</v>
      </c>
      <c r="I440" s="78" t="s">
        <v>214</v>
      </c>
      <c r="J440" s="79" t="s">
        <v>217</v>
      </c>
      <c r="K440" s="80">
        <v>15.3</v>
      </c>
      <c r="L440" s="80">
        <f>K440*VLOOKUP(H440,dagsoorttabel1,2,FALSE)</f>
        <v>12</v>
      </c>
      <c r="M440" s="81">
        <f>prodnorm6</f>
        <v>0</v>
      </c>
      <c r="N440" s="82">
        <f>dagwerk6</f>
        <v>0</v>
      </c>
      <c r="O440" s="78" t="s">
        <v>103</v>
      </c>
      <c r="P440" s="15">
        <f>uurtarief6</f>
        <v>0</v>
      </c>
      <c r="Q440" s="80" t="e">
        <f>IF(ISBLANK(M440),0,L440/ROUND(M440,4))</f>
        <v>#DIV/0!</v>
      </c>
      <c r="R440" s="80" t="e">
        <f>IF(ISBLANK(M440),0,Q440*ROUND(N440,2))</f>
        <v>#DIV/0!</v>
      </c>
      <c r="S440" s="15" t="e">
        <f>ROUND(P440,2)*Q440</f>
        <v>#DIV/0!</v>
      </c>
      <c r="T440" s="80" t="e">
        <f>Q440*dagenperjaar1</f>
        <v>#DIV/0!</v>
      </c>
      <c r="U440" s="16" t="e">
        <f>T440*ROUND(P440,2)</f>
        <v>#DIV/0!</v>
      </c>
    </row>
    <row r="441" spans="1:21" ht="27" x14ac:dyDescent="0.3">
      <c r="A441" s="77" t="s">
        <v>575</v>
      </c>
      <c r="B441" s="78" t="s">
        <v>40</v>
      </c>
      <c r="C441" s="78" t="s">
        <v>280</v>
      </c>
      <c r="D441" s="78" t="s">
        <v>682</v>
      </c>
      <c r="E441" s="79" t="s">
        <v>579</v>
      </c>
      <c r="F441" s="78" t="s">
        <v>580</v>
      </c>
      <c r="G441" s="78" t="s">
        <v>256</v>
      </c>
      <c r="H441" s="78" t="s">
        <v>11</v>
      </c>
      <c r="I441" s="78" t="s">
        <v>214</v>
      </c>
      <c r="J441" s="79" t="s">
        <v>257</v>
      </c>
      <c r="K441" s="80">
        <v>12.5</v>
      </c>
      <c r="L441" s="80">
        <f>K441*VLOOKUP(H441,dagsoorttabel1,2,FALSE)</f>
        <v>9.8039215686274517</v>
      </c>
      <c r="M441" s="81">
        <f>prodnorm33</f>
        <v>0</v>
      </c>
      <c r="N441" s="82">
        <f>dagwerk33</f>
        <v>0</v>
      </c>
      <c r="O441" s="78" t="s">
        <v>103</v>
      </c>
      <c r="P441" s="15">
        <f>uurtarief33</f>
        <v>0</v>
      </c>
      <c r="Q441" s="80" t="e">
        <f>IF(ISBLANK(M441),0,L441/ROUND(M441,4))</f>
        <v>#DIV/0!</v>
      </c>
      <c r="R441" s="80" t="e">
        <f>IF(ISBLANK(M441),0,Q441*ROUND(N441,2))</f>
        <v>#DIV/0!</v>
      </c>
      <c r="S441" s="15" t="e">
        <f>ROUND(P441,2)*Q441</f>
        <v>#DIV/0!</v>
      </c>
      <c r="T441" s="80" t="e">
        <f>Q441*dagenperjaar1</f>
        <v>#DIV/0!</v>
      </c>
      <c r="U441" s="16" t="e">
        <f>T441*ROUND(P441,2)</f>
        <v>#DIV/0!</v>
      </c>
    </row>
    <row r="442" spans="1:21" x14ac:dyDescent="0.3">
      <c r="A442" s="77" t="s">
        <v>575</v>
      </c>
      <c r="B442" s="78" t="s">
        <v>40</v>
      </c>
      <c r="C442" s="78" t="s">
        <v>280</v>
      </c>
      <c r="D442" s="78" t="s">
        <v>683</v>
      </c>
      <c r="E442" s="79" t="s">
        <v>684</v>
      </c>
      <c r="F442" s="78" t="s">
        <v>580</v>
      </c>
      <c r="G442" s="78" t="s">
        <v>230</v>
      </c>
      <c r="H442" s="78" t="s">
        <v>18</v>
      </c>
      <c r="I442" s="78" t="s">
        <v>214</v>
      </c>
      <c r="J442" s="79" t="s">
        <v>231</v>
      </c>
      <c r="K442" s="80">
        <v>4.2</v>
      </c>
      <c r="L442" s="80">
        <f>K442*VLOOKUP(H442,dagsoorttabel1,2,FALSE)</f>
        <v>0.6588235294117647</v>
      </c>
      <c r="M442" s="81">
        <f>prodnorm18</f>
        <v>0</v>
      </c>
      <c r="N442" s="82">
        <f>dagwerk18</f>
        <v>0</v>
      </c>
      <c r="O442" s="78" t="s">
        <v>103</v>
      </c>
      <c r="P442" s="15">
        <f>uurtarief18</f>
        <v>0</v>
      </c>
      <c r="Q442" s="80" t="e">
        <f>IF(ISBLANK(M442),0,L442/ROUND(M442,4))</f>
        <v>#DIV/0!</v>
      </c>
      <c r="R442" s="80" t="e">
        <f>IF(ISBLANK(M442),0,Q442*ROUND(N442,2))</f>
        <v>#DIV/0!</v>
      </c>
      <c r="S442" s="15" t="e">
        <f>ROUND(P442,2)*Q442</f>
        <v>#DIV/0!</v>
      </c>
      <c r="T442" s="80" t="e">
        <f>Q442*dagenperjaar1</f>
        <v>#DIV/0!</v>
      </c>
      <c r="U442" s="16" t="e">
        <f>T442*ROUND(P442,2)</f>
        <v>#DIV/0!</v>
      </c>
    </row>
    <row r="443" spans="1:21" x14ac:dyDescent="0.3">
      <c r="A443" s="77" t="s">
        <v>575</v>
      </c>
      <c r="B443" s="78" t="s">
        <v>40</v>
      </c>
      <c r="C443" s="78" t="s">
        <v>280</v>
      </c>
      <c r="D443" s="78" t="s">
        <v>685</v>
      </c>
      <c r="E443" s="79" t="s">
        <v>686</v>
      </c>
      <c r="F443" s="78" t="s">
        <v>40</v>
      </c>
      <c r="G443" s="78" t="s">
        <v>300</v>
      </c>
      <c r="H443" s="78"/>
      <c r="I443" s="78"/>
      <c r="J443" s="78"/>
      <c r="K443" s="80">
        <v>66.2</v>
      </c>
      <c r="L443" s="80"/>
      <c r="M443" s="81"/>
      <c r="N443" s="82"/>
      <c r="O443" s="78"/>
      <c r="P443" s="15"/>
      <c r="Q443" s="80"/>
      <c r="R443" s="80"/>
      <c r="S443" s="15"/>
      <c r="T443" s="83"/>
      <c r="U443" s="16"/>
    </row>
    <row r="444" spans="1:21" x14ac:dyDescent="0.3">
      <c r="A444" s="77" t="s">
        <v>575</v>
      </c>
      <c r="B444" s="78" t="s">
        <v>40</v>
      </c>
      <c r="C444" s="78" t="s">
        <v>280</v>
      </c>
      <c r="D444" s="78" t="s">
        <v>687</v>
      </c>
      <c r="E444" s="79" t="s">
        <v>688</v>
      </c>
      <c r="F444" s="78" t="s">
        <v>40</v>
      </c>
      <c r="G444" s="78" t="s">
        <v>300</v>
      </c>
      <c r="H444" s="78"/>
      <c r="I444" s="78"/>
      <c r="J444" s="78"/>
      <c r="K444" s="80">
        <v>75.099999999999994</v>
      </c>
      <c r="L444" s="80"/>
      <c r="M444" s="81"/>
      <c r="N444" s="82"/>
      <c r="O444" s="78"/>
      <c r="P444" s="15"/>
      <c r="Q444" s="80"/>
      <c r="R444" s="80"/>
      <c r="S444" s="15"/>
      <c r="T444" s="83"/>
      <c r="U444" s="16"/>
    </row>
    <row r="445" spans="1:21" x14ac:dyDescent="0.3">
      <c r="A445" s="77" t="s">
        <v>575</v>
      </c>
      <c r="B445" s="78" t="s">
        <v>40</v>
      </c>
      <c r="C445" s="78" t="s">
        <v>280</v>
      </c>
      <c r="D445" s="78" t="s">
        <v>687</v>
      </c>
      <c r="E445" s="79" t="s">
        <v>689</v>
      </c>
      <c r="F445" s="78" t="s">
        <v>40</v>
      </c>
      <c r="G445" s="78" t="s">
        <v>300</v>
      </c>
      <c r="H445" s="78"/>
      <c r="I445" s="78"/>
      <c r="J445" s="78"/>
      <c r="K445" s="80">
        <v>32.200000000000003</v>
      </c>
      <c r="L445" s="80"/>
      <c r="M445" s="81"/>
      <c r="N445" s="82"/>
      <c r="O445" s="78"/>
      <c r="P445" s="15"/>
      <c r="Q445" s="80"/>
      <c r="R445" s="80"/>
      <c r="S445" s="15"/>
      <c r="T445" s="83"/>
      <c r="U445" s="16"/>
    </row>
    <row r="446" spans="1:21" x14ac:dyDescent="0.3">
      <c r="A446" s="77" t="s">
        <v>575</v>
      </c>
      <c r="B446" s="78" t="s">
        <v>40</v>
      </c>
      <c r="C446" s="78" t="s">
        <v>338</v>
      </c>
      <c r="D446" s="78" t="s">
        <v>339</v>
      </c>
      <c r="E446" s="79" t="s">
        <v>582</v>
      </c>
      <c r="F446" s="78" t="s">
        <v>580</v>
      </c>
      <c r="G446" s="78" t="s">
        <v>234</v>
      </c>
      <c r="H446" s="78" t="s">
        <v>11</v>
      </c>
      <c r="I446" s="78" t="s">
        <v>214</v>
      </c>
      <c r="J446" s="79" t="s">
        <v>235</v>
      </c>
      <c r="K446" s="80">
        <v>46.3</v>
      </c>
      <c r="L446" s="80">
        <f t="shared" ref="L446:L456" si="126">K446*VLOOKUP(H446,dagsoorttabel1,2,FALSE)</f>
        <v>36.313725490196077</v>
      </c>
      <c r="M446" s="81">
        <f>prodnorm21</f>
        <v>0</v>
      </c>
      <c r="N446" s="82">
        <f>dagwerk21</f>
        <v>0</v>
      </c>
      <c r="O446" s="78" t="s">
        <v>103</v>
      </c>
      <c r="P446" s="15">
        <f>uurtarief21</f>
        <v>0</v>
      </c>
      <c r="Q446" s="80" t="e">
        <f t="shared" ref="Q446:Q456" si="127">IF(ISBLANK(M446),0,L446/ROUND(M446,4))</f>
        <v>#DIV/0!</v>
      </c>
      <c r="R446" s="80" t="e">
        <f t="shared" ref="R446:R456" si="128">IF(ISBLANK(M446),0,Q446*ROUND(N446,2))</f>
        <v>#DIV/0!</v>
      </c>
      <c r="S446" s="15" t="e">
        <f t="shared" ref="S446:S456" si="129">ROUND(P446,2)*Q446</f>
        <v>#DIV/0!</v>
      </c>
      <c r="T446" s="80" t="e">
        <f t="shared" ref="T446:T456" si="130">Q446*dagenperjaar1</f>
        <v>#DIV/0!</v>
      </c>
      <c r="U446" s="16" t="e">
        <f t="shared" ref="U446:U456" si="131">T446*ROUND(P446,2)</f>
        <v>#DIV/0!</v>
      </c>
    </row>
    <row r="447" spans="1:21" x14ac:dyDescent="0.3">
      <c r="A447" s="77" t="s">
        <v>575</v>
      </c>
      <c r="B447" s="78" t="s">
        <v>40</v>
      </c>
      <c r="C447" s="78" t="s">
        <v>338</v>
      </c>
      <c r="D447" s="78" t="s">
        <v>340</v>
      </c>
      <c r="E447" s="79" t="s">
        <v>582</v>
      </c>
      <c r="F447" s="78" t="s">
        <v>580</v>
      </c>
      <c r="G447" s="78" t="s">
        <v>234</v>
      </c>
      <c r="H447" s="78" t="s">
        <v>11</v>
      </c>
      <c r="I447" s="78" t="s">
        <v>214</v>
      </c>
      <c r="J447" s="79" t="s">
        <v>235</v>
      </c>
      <c r="K447" s="80">
        <v>44.4</v>
      </c>
      <c r="L447" s="80">
        <f t="shared" si="126"/>
        <v>34.823529411764703</v>
      </c>
      <c r="M447" s="81">
        <f>prodnorm21</f>
        <v>0</v>
      </c>
      <c r="N447" s="82">
        <f>dagwerk21</f>
        <v>0</v>
      </c>
      <c r="O447" s="78" t="s">
        <v>103</v>
      </c>
      <c r="P447" s="15">
        <f>uurtarief21</f>
        <v>0</v>
      </c>
      <c r="Q447" s="80" t="e">
        <f t="shared" si="127"/>
        <v>#DIV/0!</v>
      </c>
      <c r="R447" s="80" t="e">
        <f t="shared" si="128"/>
        <v>#DIV/0!</v>
      </c>
      <c r="S447" s="15" t="e">
        <f t="shared" si="129"/>
        <v>#DIV/0!</v>
      </c>
      <c r="T447" s="80" t="e">
        <f t="shared" si="130"/>
        <v>#DIV/0!</v>
      </c>
      <c r="U447" s="16" t="e">
        <f t="shared" si="131"/>
        <v>#DIV/0!</v>
      </c>
    </row>
    <row r="448" spans="1:21" x14ac:dyDescent="0.3">
      <c r="A448" s="77" t="s">
        <v>575</v>
      </c>
      <c r="B448" s="78" t="s">
        <v>40</v>
      </c>
      <c r="C448" s="78" t="s">
        <v>338</v>
      </c>
      <c r="D448" s="78" t="s">
        <v>341</v>
      </c>
      <c r="E448" s="79" t="s">
        <v>600</v>
      </c>
      <c r="F448" s="78" t="s">
        <v>580</v>
      </c>
      <c r="G448" s="78" t="s">
        <v>216</v>
      </c>
      <c r="H448" s="78" t="s">
        <v>11</v>
      </c>
      <c r="I448" s="78" t="s">
        <v>214</v>
      </c>
      <c r="J448" s="79" t="s">
        <v>217</v>
      </c>
      <c r="K448" s="80">
        <v>13</v>
      </c>
      <c r="L448" s="80">
        <f t="shared" si="126"/>
        <v>10.196078431372548</v>
      </c>
      <c r="M448" s="81">
        <f>prodnorm6</f>
        <v>0</v>
      </c>
      <c r="N448" s="82">
        <f>dagwerk6</f>
        <v>0</v>
      </c>
      <c r="O448" s="78" t="s">
        <v>103</v>
      </c>
      <c r="P448" s="15">
        <f>uurtarief6</f>
        <v>0</v>
      </c>
      <c r="Q448" s="80" t="e">
        <f t="shared" si="127"/>
        <v>#DIV/0!</v>
      </c>
      <c r="R448" s="80" t="e">
        <f t="shared" si="128"/>
        <v>#DIV/0!</v>
      </c>
      <c r="S448" s="15" t="e">
        <f t="shared" si="129"/>
        <v>#DIV/0!</v>
      </c>
      <c r="T448" s="80" t="e">
        <f t="shared" si="130"/>
        <v>#DIV/0!</v>
      </c>
      <c r="U448" s="16" t="e">
        <f t="shared" si="131"/>
        <v>#DIV/0!</v>
      </c>
    </row>
    <row r="449" spans="1:21" x14ac:dyDescent="0.3">
      <c r="A449" s="77" t="s">
        <v>575</v>
      </c>
      <c r="B449" s="78" t="s">
        <v>40</v>
      </c>
      <c r="C449" s="78" t="s">
        <v>338</v>
      </c>
      <c r="D449" s="78" t="s">
        <v>342</v>
      </c>
      <c r="E449" s="79" t="s">
        <v>584</v>
      </c>
      <c r="F449" s="78" t="s">
        <v>580</v>
      </c>
      <c r="G449" s="78" t="s">
        <v>240</v>
      </c>
      <c r="H449" s="78" t="s">
        <v>11</v>
      </c>
      <c r="I449" s="78" t="s">
        <v>214</v>
      </c>
      <c r="J449" s="79" t="s">
        <v>241</v>
      </c>
      <c r="K449" s="80">
        <v>13.6</v>
      </c>
      <c r="L449" s="80">
        <f t="shared" si="126"/>
        <v>10.666666666666666</v>
      </c>
      <c r="M449" s="81">
        <f>prodnorm25</f>
        <v>0</v>
      </c>
      <c r="N449" s="82">
        <f>dagwerk25</f>
        <v>0</v>
      </c>
      <c r="O449" s="78" t="s">
        <v>103</v>
      </c>
      <c r="P449" s="15">
        <f>uurtarief25</f>
        <v>0</v>
      </c>
      <c r="Q449" s="80" t="e">
        <f t="shared" si="127"/>
        <v>#DIV/0!</v>
      </c>
      <c r="R449" s="80" t="e">
        <f t="shared" si="128"/>
        <v>#DIV/0!</v>
      </c>
      <c r="S449" s="15" t="e">
        <f t="shared" si="129"/>
        <v>#DIV/0!</v>
      </c>
      <c r="T449" s="80" t="e">
        <f t="shared" si="130"/>
        <v>#DIV/0!</v>
      </c>
      <c r="U449" s="16" t="e">
        <f t="shared" si="131"/>
        <v>#DIV/0!</v>
      </c>
    </row>
    <row r="450" spans="1:21" x14ac:dyDescent="0.3">
      <c r="A450" s="77" t="s">
        <v>575</v>
      </c>
      <c r="B450" s="78" t="s">
        <v>40</v>
      </c>
      <c r="C450" s="78" t="s">
        <v>338</v>
      </c>
      <c r="D450" s="78" t="s">
        <v>344</v>
      </c>
      <c r="E450" s="79" t="s">
        <v>582</v>
      </c>
      <c r="F450" s="78" t="s">
        <v>580</v>
      </c>
      <c r="G450" s="78" t="s">
        <v>234</v>
      </c>
      <c r="H450" s="78" t="s">
        <v>11</v>
      </c>
      <c r="I450" s="78" t="s">
        <v>214</v>
      </c>
      <c r="J450" s="79" t="s">
        <v>235</v>
      </c>
      <c r="K450" s="80">
        <v>44.4</v>
      </c>
      <c r="L450" s="80">
        <f t="shared" si="126"/>
        <v>34.823529411764703</v>
      </c>
      <c r="M450" s="81">
        <f>prodnorm21</f>
        <v>0</v>
      </c>
      <c r="N450" s="82">
        <f>dagwerk21</f>
        <v>0</v>
      </c>
      <c r="O450" s="78" t="s">
        <v>103</v>
      </c>
      <c r="P450" s="15">
        <f>uurtarief21</f>
        <v>0</v>
      </c>
      <c r="Q450" s="80" t="e">
        <f t="shared" si="127"/>
        <v>#DIV/0!</v>
      </c>
      <c r="R450" s="80" t="e">
        <f t="shared" si="128"/>
        <v>#DIV/0!</v>
      </c>
      <c r="S450" s="15" t="e">
        <f t="shared" si="129"/>
        <v>#DIV/0!</v>
      </c>
      <c r="T450" s="80" t="e">
        <f t="shared" si="130"/>
        <v>#DIV/0!</v>
      </c>
      <c r="U450" s="16" t="e">
        <f t="shared" si="131"/>
        <v>#DIV/0!</v>
      </c>
    </row>
    <row r="451" spans="1:21" x14ac:dyDescent="0.3">
      <c r="A451" s="77" t="s">
        <v>575</v>
      </c>
      <c r="B451" s="78" t="s">
        <v>40</v>
      </c>
      <c r="C451" s="78" t="s">
        <v>338</v>
      </c>
      <c r="D451" s="78" t="s">
        <v>345</v>
      </c>
      <c r="E451" s="79" t="s">
        <v>585</v>
      </c>
      <c r="F451" s="78" t="s">
        <v>580</v>
      </c>
      <c r="G451" s="78" t="s">
        <v>216</v>
      </c>
      <c r="H451" s="78" t="s">
        <v>11</v>
      </c>
      <c r="I451" s="78" t="s">
        <v>214</v>
      </c>
      <c r="J451" s="79" t="s">
        <v>217</v>
      </c>
      <c r="K451" s="80">
        <v>7.9</v>
      </c>
      <c r="L451" s="80">
        <f t="shared" si="126"/>
        <v>6.1960784313725492</v>
      </c>
      <c r="M451" s="81">
        <f>prodnorm6</f>
        <v>0</v>
      </c>
      <c r="N451" s="82">
        <f>dagwerk6</f>
        <v>0</v>
      </c>
      <c r="O451" s="78" t="s">
        <v>103</v>
      </c>
      <c r="P451" s="15">
        <f>uurtarief6</f>
        <v>0</v>
      </c>
      <c r="Q451" s="80" t="e">
        <f t="shared" si="127"/>
        <v>#DIV/0!</v>
      </c>
      <c r="R451" s="80" t="e">
        <f t="shared" si="128"/>
        <v>#DIV/0!</v>
      </c>
      <c r="S451" s="15" t="e">
        <f t="shared" si="129"/>
        <v>#DIV/0!</v>
      </c>
      <c r="T451" s="80" t="e">
        <f t="shared" si="130"/>
        <v>#DIV/0!</v>
      </c>
      <c r="U451" s="16" t="e">
        <f t="shared" si="131"/>
        <v>#DIV/0!</v>
      </c>
    </row>
    <row r="452" spans="1:21" x14ac:dyDescent="0.3">
      <c r="A452" s="77" t="s">
        <v>575</v>
      </c>
      <c r="B452" s="78" t="s">
        <v>40</v>
      </c>
      <c r="C452" s="78" t="s">
        <v>338</v>
      </c>
      <c r="D452" s="78" t="s">
        <v>346</v>
      </c>
      <c r="E452" s="79" t="s">
        <v>582</v>
      </c>
      <c r="F452" s="78" t="s">
        <v>580</v>
      </c>
      <c r="G452" s="78" t="s">
        <v>234</v>
      </c>
      <c r="H452" s="78" t="s">
        <v>11</v>
      </c>
      <c r="I452" s="78" t="s">
        <v>214</v>
      </c>
      <c r="J452" s="79" t="s">
        <v>235</v>
      </c>
      <c r="K452" s="80">
        <v>46.1</v>
      </c>
      <c r="L452" s="80">
        <f t="shared" si="126"/>
        <v>36.156862745098039</v>
      </c>
      <c r="M452" s="81">
        <f>prodnorm21</f>
        <v>0</v>
      </c>
      <c r="N452" s="82">
        <f>dagwerk21</f>
        <v>0</v>
      </c>
      <c r="O452" s="78" t="s">
        <v>103</v>
      </c>
      <c r="P452" s="15">
        <f>uurtarief21</f>
        <v>0</v>
      </c>
      <c r="Q452" s="80" t="e">
        <f t="shared" si="127"/>
        <v>#DIV/0!</v>
      </c>
      <c r="R452" s="80" t="e">
        <f t="shared" si="128"/>
        <v>#DIV/0!</v>
      </c>
      <c r="S452" s="15" t="e">
        <f t="shared" si="129"/>
        <v>#DIV/0!</v>
      </c>
      <c r="T452" s="80" t="e">
        <f t="shared" si="130"/>
        <v>#DIV/0!</v>
      </c>
      <c r="U452" s="16" t="e">
        <f t="shared" si="131"/>
        <v>#DIV/0!</v>
      </c>
    </row>
    <row r="453" spans="1:21" x14ac:dyDescent="0.3">
      <c r="A453" s="77" t="s">
        <v>575</v>
      </c>
      <c r="B453" s="78" t="s">
        <v>40</v>
      </c>
      <c r="C453" s="78" t="s">
        <v>338</v>
      </c>
      <c r="D453" s="78" t="s">
        <v>347</v>
      </c>
      <c r="E453" s="79" t="s">
        <v>584</v>
      </c>
      <c r="F453" s="78" t="s">
        <v>580</v>
      </c>
      <c r="G453" s="78" t="s">
        <v>240</v>
      </c>
      <c r="H453" s="78" t="s">
        <v>11</v>
      </c>
      <c r="I453" s="78" t="s">
        <v>214</v>
      </c>
      <c r="J453" s="79" t="s">
        <v>241</v>
      </c>
      <c r="K453" s="80">
        <v>21.9</v>
      </c>
      <c r="L453" s="80">
        <f t="shared" si="126"/>
        <v>17.176470588235293</v>
      </c>
      <c r="M453" s="81">
        <f>prodnorm25</f>
        <v>0</v>
      </c>
      <c r="N453" s="82">
        <f>dagwerk25</f>
        <v>0</v>
      </c>
      <c r="O453" s="78" t="s">
        <v>103</v>
      </c>
      <c r="P453" s="15">
        <f>uurtarief25</f>
        <v>0</v>
      </c>
      <c r="Q453" s="80" t="e">
        <f t="shared" si="127"/>
        <v>#DIV/0!</v>
      </c>
      <c r="R453" s="80" t="e">
        <f t="shared" si="128"/>
        <v>#DIV/0!</v>
      </c>
      <c r="S453" s="15" t="e">
        <f t="shared" si="129"/>
        <v>#DIV/0!</v>
      </c>
      <c r="T453" s="80" t="e">
        <f t="shared" si="130"/>
        <v>#DIV/0!</v>
      </c>
      <c r="U453" s="16" t="e">
        <f t="shared" si="131"/>
        <v>#DIV/0!</v>
      </c>
    </row>
    <row r="454" spans="1:21" ht="27" x14ac:dyDescent="0.3">
      <c r="A454" s="77" t="s">
        <v>575</v>
      </c>
      <c r="B454" s="78" t="s">
        <v>40</v>
      </c>
      <c r="C454" s="78" t="s">
        <v>338</v>
      </c>
      <c r="D454" s="78" t="s">
        <v>348</v>
      </c>
      <c r="E454" s="79" t="s">
        <v>579</v>
      </c>
      <c r="F454" s="78" t="s">
        <v>580</v>
      </c>
      <c r="G454" s="78" t="s">
        <v>256</v>
      </c>
      <c r="H454" s="78" t="s">
        <v>11</v>
      </c>
      <c r="I454" s="78" t="s">
        <v>214</v>
      </c>
      <c r="J454" s="79" t="s">
        <v>257</v>
      </c>
      <c r="K454" s="80">
        <v>79.8</v>
      </c>
      <c r="L454" s="80">
        <f t="shared" si="126"/>
        <v>62.588235294117645</v>
      </c>
      <c r="M454" s="81">
        <f>prodnorm33</f>
        <v>0</v>
      </c>
      <c r="N454" s="82">
        <f>dagwerk33</f>
        <v>0</v>
      </c>
      <c r="O454" s="78" t="s">
        <v>103</v>
      </c>
      <c r="P454" s="15">
        <f>uurtarief33</f>
        <v>0</v>
      </c>
      <c r="Q454" s="80" t="e">
        <f t="shared" si="127"/>
        <v>#DIV/0!</v>
      </c>
      <c r="R454" s="80" t="e">
        <f t="shared" si="128"/>
        <v>#DIV/0!</v>
      </c>
      <c r="S454" s="15" t="e">
        <f t="shared" si="129"/>
        <v>#DIV/0!</v>
      </c>
      <c r="T454" s="80" t="e">
        <f t="shared" si="130"/>
        <v>#DIV/0!</v>
      </c>
      <c r="U454" s="16" t="e">
        <f t="shared" si="131"/>
        <v>#DIV/0!</v>
      </c>
    </row>
    <row r="455" spans="1:21" x14ac:dyDescent="0.3">
      <c r="A455" s="77" t="s">
        <v>575</v>
      </c>
      <c r="B455" s="78" t="s">
        <v>40</v>
      </c>
      <c r="C455" s="78" t="s">
        <v>338</v>
      </c>
      <c r="D455" s="78" t="s">
        <v>349</v>
      </c>
      <c r="E455" s="79" t="s">
        <v>582</v>
      </c>
      <c r="F455" s="78" t="s">
        <v>580</v>
      </c>
      <c r="G455" s="78" t="s">
        <v>234</v>
      </c>
      <c r="H455" s="78" t="s">
        <v>11</v>
      </c>
      <c r="I455" s="78" t="s">
        <v>214</v>
      </c>
      <c r="J455" s="79" t="s">
        <v>235</v>
      </c>
      <c r="K455" s="80">
        <v>44.4</v>
      </c>
      <c r="L455" s="80">
        <f t="shared" si="126"/>
        <v>34.823529411764703</v>
      </c>
      <c r="M455" s="81">
        <f>prodnorm21</f>
        <v>0</v>
      </c>
      <c r="N455" s="82">
        <f>dagwerk21</f>
        <v>0</v>
      </c>
      <c r="O455" s="78" t="s">
        <v>103</v>
      </c>
      <c r="P455" s="15">
        <f>uurtarief21</f>
        <v>0</v>
      </c>
      <c r="Q455" s="80" t="e">
        <f t="shared" si="127"/>
        <v>#DIV/0!</v>
      </c>
      <c r="R455" s="80" t="e">
        <f t="shared" si="128"/>
        <v>#DIV/0!</v>
      </c>
      <c r="S455" s="15" t="e">
        <f t="shared" si="129"/>
        <v>#DIV/0!</v>
      </c>
      <c r="T455" s="80" t="e">
        <f t="shared" si="130"/>
        <v>#DIV/0!</v>
      </c>
      <c r="U455" s="16" t="e">
        <f t="shared" si="131"/>
        <v>#DIV/0!</v>
      </c>
    </row>
    <row r="456" spans="1:21" x14ac:dyDescent="0.3">
      <c r="A456" s="77" t="s">
        <v>575</v>
      </c>
      <c r="B456" s="78" t="s">
        <v>40</v>
      </c>
      <c r="C456" s="78" t="s">
        <v>338</v>
      </c>
      <c r="D456" s="78" t="s">
        <v>351</v>
      </c>
      <c r="E456" s="79" t="s">
        <v>690</v>
      </c>
      <c r="F456" s="78" t="s">
        <v>580</v>
      </c>
      <c r="G456" s="78" t="s">
        <v>216</v>
      </c>
      <c r="H456" s="78" t="s">
        <v>11</v>
      </c>
      <c r="I456" s="78" t="s">
        <v>214</v>
      </c>
      <c r="J456" s="79" t="s">
        <v>217</v>
      </c>
      <c r="K456" s="80">
        <v>33.1</v>
      </c>
      <c r="L456" s="80">
        <f t="shared" si="126"/>
        <v>25.96078431372549</v>
      </c>
      <c r="M456" s="81">
        <f>prodnorm6</f>
        <v>0</v>
      </c>
      <c r="N456" s="82">
        <f>dagwerk6</f>
        <v>0</v>
      </c>
      <c r="O456" s="78" t="s">
        <v>103</v>
      </c>
      <c r="P456" s="15">
        <f>uurtarief6</f>
        <v>0</v>
      </c>
      <c r="Q456" s="80" t="e">
        <f t="shared" si="127"/>
        <v>#DIV/0!</v>
      </c>
      <c r="R456" s="80" t="e">
        <f t="shared" si="128"/>
        <v>#DIV/0!</v>
      </c>
      <c r="S456" s="15" t="e">
        <f t="shared" si="129"/>
        <v>#DIV/0!</v>
      </c>
      <c r="T456" s="80" t="e">
        <f t="shared" si="130"/>
        <v>#DIV/0!</v>
      </c>
      <c r="U456" s="16" t="e">
        <f t="shared" si="131"/>
        <v>#DIV/0!</v>
      </c>
    </row>
    <row r="457" spans="1:21" x14ac:dyDescent="0.3">
      <c r="A457" s="77" t="s">
        <v>575</v>
      </c>
      <c r="B457" s="78" t="s">
        <v>40</v>
      </c>
      <c r="C457" s="78" t="s">
        <v>338</v>
      </c>
      <c r="D457" s="78" t="s">
        <v>352</v>
      </c>
      <c r="E457" s="79" t="s">
        <v>592</v>
      </c>
      <c r="F457" s="78" t="s">
        <v>580</v>
      </c>
      <c r="G457" s="78" t="s">
        <v>300</v>
      </c>
      <c r="H457" s="78"/>
      <c r="I457" s="78"/>
      <c r="J457" s="78"/>
      <c r="K457" s="80">
        <v>4.0999999999999996</v>
      </c>
      <c r="L457" s="80"/>
      <c r="M457" s="81"/>
      <c r="N457" s="82"/>
      <c r="O457" s="78"/>
      <c r="P457" s="15"/>
      <c r="Q457" s="80"/>
      <c r="R457" s="80"/>
      <c r="S457" s="15"/>
      <c r="T457" s="83"/>
      <c r="U457" s="16"/>
    </row>
    <row r="458" spans="1:21" x14ac:dyDescent="0.3">
      <c r="A458" s="77" t="s">
        <v>575</v>
      </c>
      <c r="B458" s="78" t="s">
        <v>40</v>
      </c>
      <c r="C458" s="78" t="s">
        <v>338</v>
      </c>
      <c r="D458" s="78" t="s">
        <v>354</v>
      </c>
      <c r="E458" s="79" t="s">
        <v>691</v>
      </c>
      <c r="F458" s="78" t="s">
        <v>692</v>
      </c>
      <c r="G458" s="78" t="s">
        <v>228</v>
      </c>
      <c r="H458" s="78" t="s">
        <v>11</v>
      </c>
      <c r="I458" s="78" t="s">
        <v>214</v>
      </c>
      <c r="J458" s="79" t="s">
        <v>229</v>
      </c>
      <c r="K458" s="80">
        <v>55.6</v>
      </c>
      <c r="L458" s="80">
        <f t="shared" ref="L458:L465" si="132">K458*VLOOKUP(H458,dagsoorttabel1,2,FALSE)</f>
        <v>43.607843137254903</v>
      </c>
      <c r="M458" s="81">
        <f>prodnorm15</f>
        <v>0</v>
      </c>
      <c r="N458" s="82">
        <f>dagwerk15</f>
        <v>0</v>
      </c>
      <c r="O458" s="78" t="s">
        <v>103</v>
      </c>
      <c r="P458" s="15">
        <f>uurtarief15</f>
        <v>0</v>
      </c>
      <c r="Q458" s="80" t="e">
        <f t="shared" ref="Q458:Q465" si="133">IF(ISBLANK(M458),0,L458/ROUND(M458,4))</f>
        <v>#DIV/0!</v>
      </c>
      <c r="R458" s="80" t="e">
        <f t="shared" ref="R458:R465" si="134">IF(ISBLANK(M458),0,Q458*ROUND(N458,2))</f>
        <v>#DIV/0!</v>
      </c>
      <c r="S458" s="15" t="e">
        <f t="shared" ref="S458:S465" si="135">ROUND(P458,2)*Q458</f>
        <v>#DIV/0!</v>
      </c>
      <c r="T458" s="80" t="e">
        <f t="shared" ref="T458:T465" si="136">Q458*dagenperjaar1</f>
        <v>#DIV/0!</v>
      </c>
      <c r="U458" s="16" t="e">
        <f t="shared" ref="U458:U465" si="137">T458*ROUND(P458,2)</f>
        <v>#DIV/0!</v>
      </c>
    </row>
    <row r="459" spans="1:21" x14ac:dyDescent="0.3">
      <c r="A459" s="77" t="s">
        <v>575</v>
      </c>
      <c r="B459" s="78" t="s">
        <v>40</v>
      </c>
      <c r="C459" s="78" t="s">
        <v>338</v>
      </c>
      <c r="D459" s="78" t="s">
        <v>355</v>
      </c>
      <c r="E459" s="79" t="s">
        <v>600</v>
      </c>
      <c r="F459" s="78" t="s">
        <v>580</v>
      </c>
      <c r="G459" s="78" t="s">
        <v>216</v>
      </c>
      <c r="H459" s="78" t="s">
        <v>11</v>
      </c>
      <c r="I459" s="78" t="s">
        <v>214</v>
      </c>
      <c r="J459" s="79" t="s">
        <v>217</v>
      </c>
      <c r="K459" s="80">
        <v>8.1</v>
      </c>
      <c r="L459" s="80">
        <f t="shared" si="132"/>
        <v>6.3529411764705879</v>
      </c>
      <c r="M459" s="81">
        <f>prodnorm6</f>
        <v>0</v>
      </c>
      <c r="N459" s="82">
        <f>dagwerk6</f>
        <v>0</v>
      </c>
      <c r="O459" s="78" t="s">
        <v>103</v>
      </c>
      <c r="P459" s="15">
        <f>uurtarief6</f>
        <v>0</v>
      </c>
      <c r="Q459" s="80" t="e">
        <f t="shared" si="133"/>
        <v>#DIV/0!</v>
      </c>
      <c r="R459" s="80" t="e">
        <f t="shared" si="134"/>
        <v>#DIV/0!</v>
      </c>
      <c r="S459" s="15" t="e">
        <f t="shared" si="135"/>
        <v>#DIV/0!</v>
      </c>
      <c r="T459" s="80" t="e">
        <f t="shared" si="136"/>
        <v>#DIV/0!</v>
      </c>
      <c r="U459" s="16" t="e">
        <f t="shared" si="137"/>
        <v>#DIV/0!</v>
      </c>
    </row>
    <row r="460" spans="1:21" x14ac:dyDescent="0.3">
      <c r="A460" s="77" t="s">
        <v>575</v>
      </c>
      <c r="B460" s="78" t="s">
        <v>40</v>
      </c>
      <c r="C460" s="78" t="s">
        <v>338</v>
      </c>
      <c r="D460" s="78" t="s">
        <v>356</v>
      </c>
      <c r="E460" s="79" t="s">
        <v>693</v>
      </c>
      <c r="F460" s="78" t="s">
        <v>580</v>
      </c>
      <c r="G460" s="78" t="s">
        <v>228</v>
      </c>
      <c r="H460" s="78" t="s">
        <v>18</v>
      </c>
      <c r="I460" s="78" t="s">
        <v>214</v>
      </c>
      <c r="J460" s="79" t="s">
        <v>229</v>
      </c>
      <c r="K460" s="80">
        <v>38.6</v>
      </c>
      <c r="L460" s="80">
        <f t="shared" si="132"/>
        <v>6.0549019607843135</v>
      </c>
      <c r="M460" s="81">
        <f>prodnorm16</f>
        <v>0</v>
      </c>
      <c r="N460" s="82">
        <f>dagwerk16</f>
        <v>0</v>
      </c>
      <c r="O460" s="78" t="s">
        <v>103</v>
      </c>
      <c r="P460" s="15">
        <f>uurtarief16</f>
        <v>0</v>
      </c>
      <c r="Q460" s="80" t="e">
        <f t="shared" si="133"/>
        <v>#DIV/0!</v>
      </c>
      <c r="R460" s="80" t="e">
        <f t="shared" si="134"/>
        <v>#DIV/0!</v>
      </c>
      <c r="S460" s="15" t="e">
        <f t="shared" si="135"/>
        <v>#DIV/0!</v>
      </c>
      <c r="T460" s="80" t="e">
        <f t="shared" si="136"/>
        <v>#DIV/0!</v>
      </c>
      <c r="U460" s="16" t="e">
        <f t="shared" si="137"/>
        <v>#DIV/0!</v>
      </c>
    </row>
    <row r="461" spans="1:21" x14ac:dyDescent="0.3">
      <c r="A461" s="77" t="s">
        <v>575</v>
      </c>
      <c r="B461" s="78" t="s">
        <v>40</v>
      </c>
      <c r="C461" s="78" t="s">
        <v>338</v>
      </c>
      <c r="D461" s="78" t="s">
        <v>357</v>
      </c>
      <c r="E461" s="79" t="s">
        <v>694</v>
      </c>
      <c r="F461" s="78" t="s">
        <v>692</v>
      </c>
      <c r="G461" s="78" t="s">
        <v>228</v>
      </c>
      <c r="H461" s="78" t="s">
        <v>11</v>
      </c>
      <c r="I461" s="78" t="s">
        <v>214</v>
      </c>
      <c r="J461" s="79" t="s">
        <v>229</v>
      </c>
      <c r="K461" s="80">
        <v>254.4</v>
      </c>
      <c r="L461" s="80">
        <f t="shared" si="132"/>
        <v>199.52941176470588</v>
      </c>
      <c r="M461" s="81">
        <f>prodnorm15</f>
        <v>0</v>
      </c>
      <c r="N461" s="82">
        <f>dagwerk15</f>
        <v>0</v>
      </c>
      <c r="O461" s="78" t="s">
        <v>103</v>
      </c>
      <c r="P461" s="15">
        <f>uurtarief15</f>
        <v>0</v>
      </c>
      <c r="Q461" s="80" t="e">
        <f t="shared" si="133"/>
        <v>#DIV/0!</v>
      </c>
      <c r="R461" s="80" t="e">
        <f t="shared" si="134"/>
        <v>#DIV/0!</v>
      </c>
      <c r="S461" s="15" t="e">
        <f t="shared" si="135"/>
        <v>#DIV/0!</v>
      </c>
      <c r="T461" s="80" t="e">
        <f t="shared" si="136"/>
        <v>#DIV/0!</v>
      </c>
      <c r="U461" s="16" t="e">
        <f t="shared" si="137"/>
        <v>#DIV/0!</v>
      </c>
    </row>
    <row r="462" spans="1:21" x14ac:dyDescent="0.3">
      <c r="A462" s="77" t="s">
        <v>575</v>
      </c>
      <c r="B462" s="78" t="s">
        <v>40</v>
      </c>
      <c r="C462" s="78" t="s">
        <v>338</v>
      </c>
      <c r="D462" s="78" t="s">
        <v>358</v>
      </c>
      <c r="E462" s="79" t="s">
        <v>695</v>
      </c>
      <c r="F462" s="78" t="s">
        <v>580</v>
      </c>
      <c r="G462" s="78" t="s">
        <v>216</v>
      </c>
      <c r="H462" s="78" t="s">
        <v>11</v>
      </c>
      <c r="I462" s="78" t="s">
        <v>214</v>
      </c>
      <c r="J462" s="79" t="s">
        <v>217</v>
      </c>
      <c r="K462" s="80">
        <v>12.7</v>
      </c>
      <c r="L462" s="80">
        <f t="shared" si="132"/>
        <v>9.9607843137254903</v>
      </c>
      <c r="M462" s="81">
        <f>prodnorm6</f>
        <v>0</v>
      </c>
      <c r="N462" s="82">
        <f>dagwerk6</f>
        <v>0</v>
      </c>
      <c r="O462" s="78" t="s">
        <v>103</v>
      </c>
      <c r="P462" s="15">
        <f>uurtarief6</f>
        <v>0</v>
      </c>
      <c r="Q462" s="80" t="e">
        <f t="shared" si="133"/>
        <v>#DIV/0!</v>
      </c>
      <c r="R462" s="80" t="e">
        <f t="shared" si="134"/>
        <v>#DIV/0!</v>
      </c>
      <c r="S462" s="15" t="e">
        <f t="shared" si="135"/>
        <v>#DIV/0!</v>
      </c>
      <c r="T462" s="80" t="e">
        <f t="shared" si="136"/>
        <v>#DIV/0!</v>
      </c>
      <c r="U462" s="16" t="e">
        <f t="shared" si="137"/>
        <v>#DIV/0!</v>
      </c>
    </row>
    <row r="463" spans="1:21" x14ac:dyDescent="0.3">
      <c r="A463" s="77" t="s">
        <v>575</v>
      </c>
      <c r="B463" s="78" t="s">
        <v>40</v>
      </c>
      <c r="C463" s="78" t="s">
        <v>338</v>
      </c>
      <c r="D463" s="78" t="s">
        <v>360</v>
      </c>
      <c r="E463" s="79" t="s">
        <v>696</v>
      </c>
      <c r="F463" s="78" t="s">
        <v>591</v>
      </c>
      <c r="G463" s="78" t="s">
        <v>232</v>
      </c>
      <c r="H463" s="78" t="s">
        <v>11</v>
      </c>
      <c r="I463" s="78" t="s">
        <v>214</v>
      </c>
      <c r="J463" s="79" t="s">
        <v>233</v>
      </c>
      <c r="K463" s="80">
        <v>29.5</v>
      </c>
      <c r="L463" s="80">
        <f t="shared" si="132"/>
        <v>23.137254901960784</v>
      </c>
      <c r="M463" s="81">
        <f>prodnorm19</f>
        <v>0</v>
      </c>
      <c r="N463" s="82">
        <f>dagwerk19</f>
        <v>0</v>
      </c>
      <c r="O463" s="78" t="s">
        <v>103</v>
      </c>
      <c r="P463" s="15">
        <f>uurtarief19</f>
        <v>0</v>
      </c>
      <c r="Q463" s="80" t="e">
        <f t="shared" si="133"/>
        <v>#DIV/0!</v>
      </c>
      <c r="R463" s="80" t="e">
        <f t="shared" si="134"/>
        <v>#DIV/0!</v>
      </c>
      <c r="S463" s="15" t="e">
        <f t="shared" si="135"/>
        <v>#DIV/0!</v>
      </c>
      <c r="T463" s="80" t="e">
        <f t="shared" si="136"/>
        <v>#DIV/0!</v>
      </c>
      <c r="U463" s="16" t="e">
        <f t="shared" si="137"/>
        <v>#DIV/0!</v>
      </c>
    </row>
    <row r="464" spans="1:21" x14ac:dyDescent="0.3">
      <c r="A464" s="77" t="s">
        <v>575</v>
      </c>
      <c r="B464" s="78" t="s">
        <v>40</v>
      </c>
      <c r="C464" s="78" t="s">
        <v>338</v>
      </c>
      <c r="D464" s="78" t="s">
        <v>361</v>
      </c>
      <c r="E464" s="79" t="s">
        <v>610</v>
      </c>
      <c r="F464" s="78" t="s">
        <v>591</v>
      </c>
      <c r="G464" s="78" t="s">
        <v>250</v>
      </c>
      <c r="H464" s="78" t="s">
        <v>11</v>
      </c>
      <c r="I464" s="78" t="s">
        <v>214</v>
      </c>
      <c r="J464" s="79" t="s">
        <v>251</v>
      </c>
      <c r="K464" s="80">
        <v>1</v>
      </c>
      <c r="L464" s="80">
        <f t="shared" si="132"/>
        <v>0.78431372549019607</v>
      </c>
      <c r="M464" s="81">
        <f>prodnorm30</f>
        <v>0</v>
      </c>
      <c r="N464" s="82">
        <f>dagwerk30</f>
        <v>0</v>
      </c>
      <c r="O464" s="78" t="s">
        <v>103</v>
      </c>
      <c r="P464" s="15">
        <f>uurtarief30</f>
        <v>0</v>
      </c>
      <c r="Q464" s="80" t="e">
        <f t="shared" si="133"/>
        <v>#DIV/0!</v>
      </c>
      <c r="R464" s="80" t="e">
        <f t="shared" si="134"/>
        <v>#DIV/0!</v>
      </c>
      <c r="S464" s="15" t="e">
        <f t="shared" si="135"/>
        <v>#DIV/0!</v>
      </c>
      <c r="T464" s="80" t="e">
        <f t="shared" si="136"/>
        <v>#DIV/0!</v>
      </c>
      <c r="U464" s="16" t="e">
        <f t="shared" si="137"/>
        <v>#DIV/0!</v>
      </c>
    </row>
    <row r="465" spans="1:21" x14ac:dyDescent="0.3">
      <c r="A465" s="77" t="s">
        <v>575</v>
      </c>
      <c r="B465" s="78" t="s">
        <v>40</v>
      </c>
      <c r="C465" s="78" t="s">
        <v>338</v>
      </c>
      <c r="D465" s="78" t="s">
        <v>363</v>
      </c>
      <c r="E465" s="79" t="s">
        <v>610</v>
      </c>
      <c r="F465" s="78" t="s">
        <v>591</v>
      </c>
      <c r="G465" s="78" t="s">
        <v>250</v>
      </c>
      <c r="H465" s="78" t="s">
        <v>11</v>
      </c>
      <c r="I465" s="78" t="s">
        <v>214</v>
      </c>
      <c r="J465" s="79" t="s">
        <v>251</v>
      </c>
      <c r="K465" s="80">
        <v>1</v>
      </c>
      <c r="L465" s="80">
        <f t="shared" si="132"/>
        <v>0.78431372549019607</v>
      </c>
      <c r="M465" s="81">
        <f>prodnorm30</f>
        <v>0</v>
      </c>
      <c r="N465" s="82">
        <f>dagwerk30</f>
        <v>0</v>
      </c>
      <c r="O465" s="78" t="s">
        <v>103</v>
      </c>
      <c r="P465" s="15">
        <f>uurtarief30</f>
        <v>0</v>
      </c>
      <c r="Q465" s="80" t="e">
        <f t="shared" si="133"/>
        <v>#DIV/0!</v>
      </c>
      <c r="R465" s="80" t="e">
        <f t="shared" si="134"/>
        <v>#DIV/0!</v>
      </c>
      <c r="S465" s="15" t="e">
        <f t="shared" si="135"/>
        <v>#DIV/0!</v>
      </c>
      <c r="T465" s="80" t="e">
        <f t="shared" si="136"/>
        <v>#DIV/0!</v>
      </c>
      <c r="U465" s="16" t="e">
        <f t="shared" si="137"/>
        <v>#DIV/0!</v>
      </c>
    </row>
    <row r="466" spans="1:21" x14ac:dyDescent="0.3">
      <c r="A466" s="77" t="s">
        <v>575</v>
      </c>
      <c r="B466" s="78" t="s">
        <v>40</v>
      </c>
      <c r="C466" s="78" t="s">
        <v>338</v>
      </c>
      <c r="D466" s="78" t="s">
        <v>365</v>
      </c>
      <c r="E466" s="79" t="s">
        <v>697</v>
      </c>
      <c r="F466" s="78" t="s">
        <v>404</v>
      </c>
      <c r="G466" s="78" t="s">
        <v>300</v>
      </c>
      <c r="H466" s="78"/>
      <c r="I466" s="78"/>
      <c r="J466" s="78"/>
      <c r="K466" s="80">
        <v>6</v>
      </c>
      <c r="L466" s="80"/>
      <c r="M466" s="81"/>
      <c r="N466" s="82"/>
      <c r="O466" s="78"/>
      <c r="P466" s="15"/>
      <c r="Q466" s="80"/>
      <c r="R466" s="80"/>
      <c r="S466" s="15"/>
      <c r="T466" s="83"/>
      <c r="U466" s="16"/>
    </row>
    <row r="467" spans="1:21" x14ac:dyDescent="0.3">
      <c r="A467" s="77" t="s">
        <v>575</v>
      </c>
      <c r="B467" s="78" t="s">
        <v>40</v>
      </c>
      <c r="C467" s="78" t="s">
        <v>338</v>
      </c>
      <c r="D467" s="78" t="s">
        <v>366</v>
      </c>
      <c r="E467" s="79" t="s">
        <v>696</v>
      </c>
      <c r="F467" s="78" t="s">
        <v>591</v>
      </c>
      <c r="G467" s="78" t="s">
        <v>232</v>
      </c>
      <c r="H467" s="78" t="s">
        <v>11</v>
      </c>
      <c r="I467" s="78" t="s">
        <v>214</v>
      </c>
      <c r="J467" s="79" t="s">
        <v>233</v>
      </c>
      <c r="K467" s="80">
        <v>29.9</v>
      </c>
      <c r="L467" s="80">
        <f>K467*VLOOKUP(H467,dagsoorttabel1,2,FALSE)</f>
        <v>23.450980392156861</v>
      </c>
      <c r="M467" s="81">
        <f>prodnorm19</f>
        <v>0</v>
      </c>
      <c r="N467" s="82">
        <f>dagwerk19</f>
        <v>0</v>
      </c>
      <c r="O467" s="78" t="s">
        <v>103</v>
      </c>
      <c r="P467" s="15">
        <f>uurtarief19</f>
        <v>0</v>
      </c>
      <c r="Q467" s="80" t="e">
        <f>IF(ISBLANK(M467),0,L467/ROUND(M467,4))</f>
        <v>#DIV/0!</v>
      </c>
      <c r="R467" s="80" t="e">
        <f>IF(ISBLANK(M467),0,Q467*ROUND(N467,2))</f>
        <v>#DIV/0!</v>
      </c>
      <c r="S467" s="15" t="e">
        <f>ROUND(P467,2)*Q467</f>
        <v>#DIV/0!</v>
      </c>
      <c r="T467" s="80" t="e">
        <f>Q467*dagenperjaar1</f>
        <v>#DIV/0!</v>
      </c>
      <c r="U467" s="16" t="e">
        <f>T467*ROUND(P467,2)</f>
        <v>#DIV/0!</v>
      </c>
    </row>
    <row r="468" spans="1:21" ht="27" x14ac:dyDescent="0.3">
      <c r="A468" s="77" t="s">
        <v>575</v>
      </c>
      <c r="B468" s="78" t="s">
        <v>40</v>
      </c>
      <c r="C468" s="78" t="s">
        <v>338</v>
      </c>
      <c r="D468" s="78" t="s">
        <v>367</v>
      </c>
      <c r="E468" s="79" t="s">
        <v>579</v>
      </c>
      <c r="F468" s="78" t="s">
        <v>580</v>
      </c>
      <c r="G468" s="78" t="s">
        <v>256</v>
      </c>
      <c r="H468" s="78" t="s">
        <v>11</v>
      </c>
      <c r="I468" s="78" t="s">
        <v>214</v>
      </c>
      <c r="J468" s="79" t="s">
        <v>257</v>
      </c>
      <c r="K468" s="80">
        <v>42.2</v>
      </c>
      <c r="L468" s="80">
        <f>K468*VLOOKUP(H468,dagsoorttabel1,2,FALSE)</f>
        <v>33.098039215686278</v>
      </c>
      <c r="M468" s="81">
        <f>prodnorm33</f>
        <v>0</v>
      </c>
      <c r="N468" s="82">
        <f>dagwerk33</f>
        <v>0</v>
      </c>
      <c r="O468" s="78" t="s">
        <v>103</v>
      </c>
      <c r="P468" s="15">
        <f>uurtarief33</f>
        <v>0</v>
      </c>
      <c r="Q468" s="80" t="e">
        <f>IF(ISBLANK(M468),0,L468/ROUND(M468,4))</f>
        <v>#DIV/0!</v>
      </c>
      <c r="R468" s="80" t="e">
        <f>IF(ISBLANK(M468),0,Q468*ROUND(N468,2))</f>
        <v>#DIV/0!</v>
      </c>
      <c r="S468" s="15" t="e">
        <f>ROUND(P468,2)*Q468</f>
        <v>#DIV/0!</v>
      </c>
      <c r="T468" s="80" t="e">
        <f>Q468*dagenperjaar1</f>
        <v>#DIV/0!</v>
      </c>
      <c r="U468" s="16" t="e">
        <f>T468*ROUND(P468,2)</f>
        <v>#DIV/0!</v>
      </c>
    </row>
    <row r="469" spans="1:21" ht="27" x14ac:dyDescent="0.3">
      <c r="A469" s="77" t="s">
        <v>575</v>
      </c>
      <c r="B469" s="78" t="s">
        <v>40</v>
      </c>
      <c r="C469" s="78" t="s">
        <v>338</v>
      </c>
      <c r="D469" s="78" t="s">
        <v>368</v>
      </c>
      <c r="E469" s="79" t="s">
        <v>579</v>
      </c>
      <c r="F469" s="78" t="s">
        <v>580</v>
      </c>
      <c r="G469" s="78" t="s">
        <v>256</v>
      </c>
      <c r="H469" s="78" t="s">
        <v>11</v>
      </c>
      <c r="I469" s="78" t="s">
        <v>214</v>
      </c>
      <c r="J469" s="79" t="s">
        <v>257</v>
      </c>
      <c r="K469" s="80">
        <v>84.3</v>
      </c>
      <c r="L469" s="80">
        <f>K469*VLOOKUP(H469,dagsoorttabel1,2,FALSE)</f>
        <v>66.117647058823522</v>
      </c>
      <c r="M469" s="81">
        <f>prodnorm33</f>
        <v>0</v>
      </c>
      <c r="N469" s="82">
        <f>dagwerk33</f>
        <v>0</v>
      </c>
      <c r="O469" s="78" t="s">
        <v>103</v>
      </c>
      <c r="P469" s="15">
        <f>uurtarief33</f>
        <v>0</v>
      </c>
      <c r="Q469" s="80" t="e">
        <f>IF(ISBLANK(M469),0,L469/ROUND(M469,4))</f>
        <v>#DIV/0!</v>
      </c>
      <c r="R469" s="80" t="e">
        <f>IF(ISBLANK(M469),0,Q469*ROUND(N469,2))</f>
        <v>#DIV/0!</v>
      </c>
      <c r="S469" s="15" t="e">
        <f>ROUND(P469,2)*Q469</f>
        <v>#DIV/0!</v>
      </c>
      <c r="T469" s="80" t="e">
        <f>Q469*dagenperjaar1</f>
        <v>#DIV/0!</v>
      </c>
      <c r="U469" s="16" t="e">
        <f>T469*ROUND(P469,2)</f>
        <v>#DIV/0!</v>
      </c>
    </row>
    <row r="470" spans="1:21" x14ac:dyDescent="0.3">
      <c r="A470" s="77" t="s">
        <v>575</v>
      </c>
      <c r="B470" s="78" t="s">
        <v>40</v>
      </c>
      <c r="C470" s="78" t="s">
        <v>338</v>
      </c>
      <c r="D470" s="78" t="s">
        <v>369</v>
      </c>
      <c r="E470" s="79" t="s">
        <v>698</v>
      </c>
      <c r="F470" s="78" t="s">
        <v>580</v>
      </c>
      <c r="G470" s="78" t="s">
        <v>236</v>
      </c>
      <c r="H470" s="78" t="s">
        <v>11</v>
      </c>
      <c r="I470" s="78" t="s">
        <v>214</v>
      </c>
      <c r="J470" s="79" t="s">
        <v>237</v>
      </c>
      <c r="K470" s="80">
        <v>59.1</v>
      </c>
      <c r="L470" s="80">
        <f>K470*VLOOKUP(H470,dagsoorttabel1,2,FALSE)</f>
        <v>46.352941176470587</v>
      </c>
      <c r="M470" s="81">
        <f>prodnorm22</f>
        <v>0</v>
      </c>
      <c r="N470" s="82">
        <f>dagwerk22</f>
        <v>0</v>
      </c>
      <c r="O470" s="78" t="s">
        <v>103</v>
      </c>
      <c r="P470" s="15">
        <f>uurtarief22</f>
        <v>0</v>
      </c>
      <c r="Q470" s="80" t="e">
        <f>IF(ISBLANK(M470),0,L470/ROUND(M470,4))</f>
        <v>#DIV/0!</v>
      </c>
      <c r="R470" s="80" t="e">
        <f>IF(ISBLANK(M470),0,Q470*ROUND(N470,2))</f>
        <v>#DIV/0!</v>
      </c>
      <c r="S470" s="15" t="e">
        <f>ROUND(P470,2)*Q470</f>
        <v>#DIV/0!</v>
      </c>
      <c r="T470" s="80" t="e">
        <f>Q470*dagenperjaar1</f>
        <v>#DIV/0!</v>
      </c>
      <c r="U470" s="16" t="e">
        <f>T470*ROUND(P470,2)</f>
        <v>#DIV/0!</v>
      </c>
    </row>
    <row r="471" spans="1:21" x14ac:dyDescent="0.3">
      <c r="A471" s="77" t="s">
        <v>575</v>
      </c>
      <c r="B471" s="78" t="s">
        <v>40</v>
      </c>
      <c r="C471" s="78" t="s">
        <v>338</v>
      </c>
      <c r="D471" s="78" t="s">
        <v>370</v>
      </c>
      <c r="E471" s="79" t="s">
        <v>649</v>
      </c>
      <c r="F471" s="78" t="s">
        <v>580</v>
      </c>
      <c r="G471" s="78" t="s">
        <v>300</v>
      </c>
      <c r="H471" s="78"/>
      <c r="I471" s="78"/>
      <c r="J471" s="78"/>
      <c r="K471" s="80">
        <v>9.6</v>
      </c>
      <c r="L471" s="80"/>
      <c r="M471" s="81"/>
      <c r="N471" s="82"/>
      <c r="O471" s="78"/>
      <c r="P471" s="15"/>
      <c r="Q471" s="80"/>
      <c r="R471" s="80"/>
      <c r="S471" s="15"/>
      <c r="T471" s="83"/>
      <c r="U471" s="16"/>
    </row>
    <row r="472" spans="1:21" x14ac:dyDescent="0.3">
      <c r="A472" s="77" t="s">
        <v>575</v>
      </c>
      <c r="B472" s="78" t="s">
        <v>40</v>
      </c>
      <c r="C472" s="78" t="s">
        <v>338</v>
      </c>
      <c r="D472" s="78" t="s">
        <v>431</v>
      </c>
      <c r="E472" s="79" t="s">
        <v>696</v>
      </c>
      <c r="F472" s="78" t="s">
        <v>591</v>
      </c>
      <c r="G472" s="78" t="s">
        <v>232</v>
      </c>
      <c r="H472" s="78" t="s">
        <v>11</v>
      </c>
      <c r="I472" s="78" t="s">
        <v>214</v>
      </c>
      <c r="J472" s="79" t="s">
        <v>233</v>
      </c>
      <c r="K472" s="80">
        <v>29.4</v>
      </c>
      <c r="L472" s="80">
        <f t="shared" ref="L472:L502" si="138">K472*VLOOKUP(H472,dagsoorttabel1,2,FALSE)</f>
        <v>23.058823529411764</v>
      </c>
      <c r="M472" s="81">
        <f>prodnorm19</f>
        <v>0</v>
      </c>
      <c r="N472" s="82">
        <f>dagwerk19</f>
        <v>0</v>
      </c>
      <c r="O472" s="78" t="s">
        <v>103</v>
      </c>
      <c r="P472" s="15">
        <f>uurtarief19</f>
        <v>0</v>
      </c>
      <c r="Q472" s="80" t="e">
        <f t="shared" ref="Q472:Q502" si="139">IF(ISBLANK(M472),0,L472/ROUND(M472,4))</f>
        <v>#DIV/0!</v>
      </c>
      <c r="R472" s="80" t="e">
        <f t="shared" ref="R472:R502" si="140">IF(ISBLANK(M472),0,Q472*ROUND(N472,2))</f>
        <v>#DIV/0!</v>
      </c>
      <c r="S472" s="15" t="e">
        <f t="shared" ref="S472:S502" si="141">ROUND(P472,2)*Q472</f>
        <v>#DIV/0!</v>
      </c>
      <c r="T472" s="80" t="e">
        <f t="shared" ref="T472:T502" si="142">Q472*dagenperjaar1</f>
        <v>#DIV/0!</v>
      </c>
      <c r="U472" s="16" t="e">
        <f t="shared" ref="U472:U502" si="143">T472*ROUND(P472,2)</f>
        <v>#DIV/0!</v>
      </c>
    </row>
    <row r="473" spans="1:21" x14ac:dyDescent="0.3">
      <c r="A473" s="77" t="s">
        <v>575</v>
      </c>
      <c r="B473" s="78" t="s">
        <v>40</v>
      </c>
      <c r="C473" s="78" t="s">
        <v>338</v>
      </c>
      <c r="D473" s="78" t="s">
        <v>432</v>
      </c>
      <c r="E473" s="79" t="s">
        <v>610</v>
      </c>
      <c r="F473" s="78" t="s">
        <v>591</v>
      </c>
      <c r="G473" s="78" t="s">
        <v>250</v>
      </c>
      <c r="H473" s="78" t="s">
        <v>11</v>
      </c>
      <c r="I473" s="78" t="s">
        <v>214</v>
      </c>
      <c r="J473" s="79" t="s">
        <v>251</v>
      </c>
      <c r="K473" s="80">
        <v>1</v>
      </c>
      <c r="L473" s="80">
        <f t="shared" si="138"/>
        <v>0.78431372549019607</v>
      </c>
      <c r="M473" s="81">
        <f>prodnorm30</f>
        <v>0</v>
      </c>
      <c r="N473" s="82">
        <f>dagwerk30</f>
        <v>0</v>
      </c>
      <c r="O473" s="78" t="s">
        <v>103</v>
      </c>
      <c r="P473" s="15">
        <f>uurtarief30</f>
        <v>0</v>
      </c>
      <c r="Q473" s="80" t="e">
        <f t="shared" si="139"/>
        <v>#DIV/0!</v>
      </c>
      <c r="R473" s="80" t="e">
        <f t="shared" si="140"/>
        <v>#DIV/0!</v>
      </c>
      <c r="S473" s="15" t="e">
        <f t="shared" si="141"/>
        <v>#DIV/0!</v>
      </c>
      <c r="T473" s="80" t="e">
        <f t="shared" si="142"/>
        <v>#DIV/0!</v>
      </c>
      <c r="U473" s="16" t="e">
        <f t="shared" si="143"/>
        <v>#DIV/0!</v>
      </c>
    </row>
    <row r="474" spans="1:21" x14ac:dyDescent="0.3">
      <c r="A474" s="77" t="s">
        <v>575</v>
      </c>
      <c r="B474" s="78" t="s">
        <v>40</v>
      </c>
      <c r="C474" s="78" t="s">
        <v>338</v>
      </c>
      <c r="D474" s="78" t="s">
        <v>433</v>
      </c>
      <c r="E474" s="79" t="s">
        <v>610</v>
      </c>
      <c r="F474" s="78" t="s">
        <v>591</v>
      </c>
      <c r="G474" s="78" t="s">
        <v>250</v>
      </c>
      <c r="H474" s="78" t="s">
        <v>11</v>
      </c>
      <c r="I474" s="78" t="s">
        <v>214</v>
      </c>
      <c r="J474" s="79" t="s">
        <v>251</v>
      </c>
      <c r="K474" s="80">
        <v>1</v>
      </c>
      <c r="L474" s="80">
        <f t="shared" si="138"/>
        <v>0.78431372549019607</v>
      </c>
      <c r="M474" s="81">
        <f>prodnorm30</f>
        <v>0</v>
      </c>
      <c r="N474" s="82">
        <f>dagwerk30</f>
        <v>0</v>
      </c>
      <c r="O474" s="78" t="s">
        <v>103</v>
      </c>
      <c r="P474" s="15">
        <f>uurtarief30</f>
        <v>0</v>
      </c>
      <c r="Q474" s="80" t="e">
        <f t="shared" si="139"/>
        <v>#DIV/0!</v>
      </c>
      <c r="R474" s="80" t="e">
        <f t="shared" si="140"/>
        <v>#DIV/0!</v>
      </c>
      <c r="S474" s="15" t="e">
        <f t="shared" si="141"/>
        <v>#DIV/0!</v>
      </c>
      <c r="T474" s="80" t="e">
        <f t="shared" si="142"/>
        <v>#DIV/0!</v>
      </c>
      <c r="U474" s="16" t="e">
        <f t="shared" si="143"/>
        <v>#DIV/0!</v>
      </c>
    </row>
    <row r="475" spans="1:21" x14ac:dyDescent="0.3">
      <c r="A475" s="77" t="s">
        <v>575</v>
      </c>
      <c r="B475" s="78" t="s">
        <v>40</v>
      </c>
      <c r="C475" s="78" t="s">
        <v>338</v>
      </c>
      <c r="D475" s="78" t="s">
        <v>434</v>
      </c>
      <c r="E475" s="79" t="s">
        <v>699</v>
      </c>
      <c r="F475" s="78" t="s">
        <v>591</v>
      </c>
      <c r="G475" s="78" t="s">
        <v>250</v>
      </c>
      <c r="H475" s="78" t="s">
        <v>11</v>
      </c>
      <c r="I475" s="78" t="s">
        <v>214</v>
      </c>
      <c r="J475" s="79" t="s">
        <v>251</v>
      </c>
      <c r="K475" s="80">
        <v>5.5</v>
      </c>
      <c r="L475" s="80">
        <f t="shared" si="138"/>
        <v>4.3137254901960782</v>
      </c>
      <c r="M475" s="81">
        <f>prodnorm30</f>
        <v>0</v>
      </c>
      <c r="N475" s="82">
        <f>dagwerk30</f>
        <v>0</v>
      </c>
      <c r="O475" s="78" t="s">
        <v>103</v>
      </c>
      <c r="P475" s="15">
        <f>uurtarief30</f>
        <v>0</v>
      </c>
      <c r="Q475" s="80" t="e">
        <f t="shared" si="139"/>
        <v>#DIV/0!</v>
      </c>
      <c r="R475" s="80" t="e">
        <f t="shared" si="140"/>
        <v>#DIV/0!</v>
      </c>
      <c r="S475" s="15" t="e">
        <f t="shared" si="141"/>
        <v>#DIV/0!</v>
      </c>
      <c r="T475" s="80" t="e">
        <f t="shared" si="142"/>
        <v>#DIV/0!</v>
      </c>
      <c r="U475" s="16" t="e">
        <f t="shared" si="143"/>
        <v>#DIV/0!</v>
      </c>
    </row>
    <row r="476" spans="1:21" x14ac:dyDescent="0.3">
      <c r="A476" s="77" t="s">
        <v>575</v>
      </c>
      <c r="B476" s="78" t="s">
        <v>40</v>
      </c>
      <c r="C476" s="78" t="s">
        <v>338</v>
      </c>
      <c r="D476" s="78" t="s">
        <v>700</v>
      </c>
      <c r="E476" s="79" t="s">
        <v>696</v>
      </c>
      <c r="F476" s="78" t="s">
        <v>591</v>
      </c>
      <c r="G476" s="78" t="s">
        <v>232</v>
      </c>
      <c r="H476" s="78" t="s">
        <v>11</v>
      </c>
      <c r="I476" s="78" t="s">
        <v>214</v>
      </c>
      <c r="J476" s="79" t="s">
        <v>233</v>
      </c>
      <c r="K476" s="80">
        <v>29.8</v>
      </c>
      <c r="L476" s="80">
        <f t="shared" si="138"/>
        <v>23.372549019607842</v>
      </c>
      <c r="M476" s="81">
        <f>prodnorm19</f>
        <v>0</v>
      </c>
      <c r="N476" s="82">
        <f>dagwerk19</f>
        <v>0</v>
      </c>
      <c r="O476" s="78" t="s">
        <v>103</v>
      </c>
      <c r="P476" s="15">
        <f>uurtarief19</f>
        <v>0</v>
      </c>
      <c r="Q476" s="80" t="e">
        <f t="shared" si="139"/>
        <v>#DIV/0!</v>
      </c>
      <c r="R476" s="80" t="e">
        <f t="shared" si="140"/>
        <v>#DIV/0!</v>
      </c>
      <c r="S476" s="15" t="e">
        <f t="shared" si="141"/>
        <v>#DIV/0!</v>
      </c>
      <c r="T476" s="80" t="e">
        <f t="shared" si="142"/>
        <v>#DIV/0!</v>
      </c>
      <c r="U476" s="16" t="e">
        <f t="shared" si="143"/>
        <v>#DIV/0!</v>
      </c>
    </row>
    <row r="477" spans="1:21" x14ac:dyDescent="0.3">
      <c r="A477" s="77" t="s">
        <v>575</v>
      </c>
      <c r="B477" s="78" t="s">
        <v>40</v>
      </c>
      <c r="C477" s="78" t="s">
        <v>338</v>
      </c>
      <c r="D477" s="78" t="s">
        <v>701</v>
      </c>
      <c r="E477" s="79" t="s">
        <v>694</v>
      </c>
      <c r="F477" s="78" t="s">
        <v>692</v>
      </c>
      <c r="G477" s="78" t="s">
        <v>228</v>
      </c>
      <c r="H477" s="78" t="s">
        <v>11</v>
      </c>
      <c r="I477" s="78" t="s">
        <v>214</v>
      </c>
      <c r="J477" s="79" t="s">
        <v>229</v>
      </c>
      <c r="K477" s="80">
        <v>254.1</v>
      </c>
      <c r="L477" s="80">
        <f t="shared" si="138"/>
        <v>199.29411764705881</v>
      </c>
      <c r="M477" s="81">
        <f>prodnorm15</f>
        <v>0</v>
      </c>
      <c r="N477" s="82">
        <f>dagwerk15</f>
        <v>0</v>
      </c>
      <c r="O477" s="78" t="s">
        <v>103</v>
      </c>
      <c r="P477" s="15">
        <f>uurtarief15</f>
        <v>0</v>
      </c>
      <c r="Q477" s="80" t="e">
        <f t="shared" si="139"/>
        <v>#DIV/0!</v>
      </c>
      <c r="R477" s="80" t="e">
        <f t="shared" si="140"/>
        <v>#DIV/0!</v>
      </c>
      <c r="S477" s="15" t="e">
        <f t="shared" si="141"/>
        <v>#DIV/0!</v>
      </c>
      <c r="T477" s="80" t="e">
        <f t="shared" si="142"/>
        <v>#DIV/0!</v>
      </c>
      <c r="U477" s="16" t="e">
        <f t="shared" si="143"/>
        <v>#DIV/0!</v>
      </c>
    </row>
    <row r="478" spans="1:21" x14ac:dyDescent="0.3">
      <c r="A478" s="77" t="s">
        <v>575</v>
      </c>
      <c r="B478" s="78" t="s">
        <v>40</v>
      </c>
      <c r="C478" s="78" t="s">
        <v>338</v>
      </c>
      <c r="D478" s="78" t="s">
        <v>702</v>
      </c>
      <c r="E478" s="79" t="s">
        <v>693</v>
      </c>
      <c r="F478" s="78" t="s">
        <v>692</v>
      </c>
      <c r="G478" s="78" t="s">
        <v>228</v>
      </c>
      <c r="H478" s="78" t="s">
        <v>18</v>
      </c>
      <c r="I478" s="78" t="s">
        <v>214</v>
      </c>
      <c r="J478" s="79" t="s">
        <v>229</v>
      </c>
      <c r="K478" s="80">
        <v>36.200000000000003</v>
      </c>
      <c r="L478" s="80">
        <f t="shared" si="138"/>
        <v>5.6784313725490199</v>
      </c>
      <c r="M478" s="81">
        <f>prodnorm16</f>
        <v>0</v>
      </c>
      <c r="N478" s="82">
        <f>dagwerk16</f>
        <v>0</v>
      </c>
      <c r="O478" s="78" t="s">
        <v>103</v>
      </c>
      <c r="P478" s="15">
        <f>uurtarief16</f>
        <v>0</v>
      </c>
      <c r="Q478" s="80" t="e">
        <f t="shared" si="139"/>
        <v>#DIV/0!</v>
      </c>
      <c r="R478" s="80" t="e">
        <f t="shared" si="140"/>
        <v>#DIV/0!</v>
      </c>
      <c r="S478" s="15" t="e">
        <f t="shared" si="141"/>
        <v>#DIV/0!</v>
      </c>
      <c r="T478" s="80" t="e">
        <f t="shared" si="142"/>
        <v>#DIV/0!</v>
      </c>
      <c r="U478" s="16" t="e">
        <f t="shared" si="143"/>
        <v>#DIV/0!</v>
      </c>
    </row>
    <row r="479" spans="1:21" x14ac:dyDescent="0.3">
      <c r="A479" s="77" t="s">
        <v>575</v>
      </c>
      <c r="B479" s="78" t="s">
        <v>40</v>
      </c>
      <c r="C479" s="78" t="s">
        <v>338</v>
      </c>
      <c r="D479" s="78" t="s">
        <v>703</v>
      </c>
      <c r="E479" s="79" t="s">
        <v>704</v>
      </c>
      <c r="F479" s="78" t="s">
        <v>580</v>
      </c>
      <c r="G479" s="78" t="s">
        <v>216</v>
      </c>
      <c r="H479" s="78" t="s">
        <v>11</v>
      </c>
      <c r="I479" s="78" t="s">
        <v>214</v>
      </c>
      <c r="J479" s="79" t="s">
        <v>217</v>
      </c>
      <c r="K479" s="80">
        <v>27.6</v>
      </c>
      <c r="L479" s="80">
        <f t="shared" si="138"/>
        <v>21.647058823529413</v>
      </c>
      <c r="M479" s="81">
        <f>prodnorm6</f>
        <v>0</v>
      </c>
      <c r="N479" s="82">
        <f>dagwerk6</f>
        <v>0</v>
      </c>
      <c r="O479" s="78" t="s">
        <v>103</v>
      </c>
      <c r="P479" s="15">
        <f>uurtarief6</f>
        <v>0</v>
      </c>
      <c r="Q479" s="80" t="e">
        <f t="shared" si="139"/>
        <v>#DIV/0!</v>
      </c>
      <c r="R479" s="80" t="e">
        <f t="shared" si="140"/>
        <v>#DIV/0!</v>
      </c>
      <c r="S479" s="15" t="e">
        <f t="shared" si="141"/>
        <v>#DIV/0!</v>
      </c>
      <c r="T479" s="80" t="e">
        <f t="shared" si="142"/>
        <v>#DIV/0!</v>
      </c>
      <c r="U479" s="16" t="e">
        <f t="shared" si="143"/>
        <v>#DIV/0!</v>
      </c>
    </row>
    <row r="480" spans="1:21" ht="27" x14ac:dyDescent="0.3">
      <c r="A480" s="77" t="s">
        <v>575</v>
      </c>
      <c r="B480" s="78" t="s">
        <v>40</v>
      </c>
      <c r="C480" s="78" t="s">
        <v>338</v>
      </c>
      <c r="D480" s="78" t="s">
        <v>705</v>
      </c>
      <c r="E480" s="79" t="s">
        <v>579</v>
      </c>
      <c r="F480" s="78" t="s">
        <v>580</v>
      </c>
      <c r="G480" s="78" t="s">
        <v>256</v>
      </c>
      <c r="H480" s="78" t="s">
        <v>11</v>
      </c>
      <c r="I480" s="78" t="s">
        <v>214</v>
      </c>
      <c r="J480" s="79" t="s">
        <v>257</v>
      </c>
      <c r="K480" s="80">
        <v>125.6</v>
      </c>
      <c r="L480" s="80">
        <f t="shared" si="138"/>
        <v>98.509803921568619</v>
      </c>
      <c r="M480" s="81">
        <f>prodnorm33</f>
        <v>0</v>
      </c>
      <c r="N480" s="82">
        <f>dagwerk33</f>
        <v>0</v>
      </c>
      <c r="O480" s="78" t="s">
        <v>103</v>
      </c>
      <c r="P480" s="15">
        <f>uurtarief33</f>
        <v>0</v>
      </c>
      <c r="Q480" s="80" t="e">
        <f t="shared" si="139"/>
        <v>#DIV/0!</v>
      </c>
      <c r="R480" s="80" t="e">
        <f t="shared" si="140"/>
        <v>#DIV/0!</v>
      </c>
      <c r="S480" s="15" t="e">
        <f t="shared" si="141"/>
        <v>#DIV/0!</v>
      </c>
      <c r="T480" s="80" t="e">
        <f t="shared" si="142"/>
        <v>#DIV/0!</v>
      </c>
      <c r="U480" s="16" t="e">
        <f t="shared" si="143"/>
        <v>#DIV/0!</v>
      </c>
    </row>
    <row r="481" spans="1:21" x14ac:dyDescent="0.3">
      <c r="A481" s="77" t="s">
        <v>575</v>
      </c>
      <c r="B481" s="78" t="s">
        <v>40</v>
      </c>
      <c r="C481" s="78" t="s">
        <v>338</v>
      </c>
      <c r="D481" s="78" t="s">
        <v>706</v>
      </c>
      <c r="E481" s="79" t="s">
        <v>704</v>
      </c>
      <c r="F481" s="78" t="s">
        <v>580</v>
      </c>
      <c r="G481" s="78" t="s">
        <v>216</v>
      </c>
      <c r="H481" s="78" t="s">
        <v>11</v>
      </c>
      <c r="I481" s="78" t="s">
        <v>214</v>
      </c>
      <c r="J481" s="79" t="s">
        <v>217</v>
      </c>
      <c r="K481" s="80">
        <v>21.6</v>
      </c>
      <c r="L481" s="80">
        <f t="shared" si="138"/>
        <v>16.941176470588236</v>
      </c>
      <c r="M481" s="81">
        <f>prodnorm6</f>
        <v>0</v>
      </c>
      <c r="N481" s="82">
        <f>dagwerk6</f>
        <v>0</v>
      </c>
      <c r="O481" s="78" t="s">
        <v>103</v>
      </c>
      <c r="P481" s="15">
        <f>uurtarief6</f>
        <v>0</v>
      </c>
      <c r="Q481" s="80" t="e">
        <f t="shared" si="139"/>
        <v>#DIV/0!</v>
      </c>
      <c r="R481" s="80" t="e">
        <f t="shared" si="140"/>
        <v>#DIV/0!</v>
      </c>
      <c r="S481" s="15" t="e">
        <f t="shared" si="141"/>
        <v>#DIV/0!</v>
      </c>
      <c r="T481" s="80" t="e">
        <f t="shared" si="142"/>
        <v>#DIV/0!</v>
      </c>
      <c r="U481" s="16" t="e">
        <f t="shared" si="143"/>
        <v>#DIV/0!</v>
      </c>
    </row>
    <row r="482" spans="1:21" x14ac:dyDescent="0.3">
      <c r="A482" s="77" t="s">
        <v>575</v>
      </c>
      <c r="B482" s="78" t="s">
        <v>40</v>
      </c>
      <c r="C482" s="78" t="s">
        <v>338</v>
      </c>
      <c r="D482" s="78" t="s">
        <v>707</v>
      </c>
      <c r="E482" s="79" t="s">
        <v>600</v>
      </c>
      <c r="F482" s="78" t="s">
        <v>580</v>
      </c>
      <c r="G482" s="78" t="s">
        <v>216</v>
      </c>
      <c r="H482" s="78" t="s">
        <v>11</v>
      </c>
      <c r="I482" s="78" t="s">
        <v>214</v>
      </c>
      <c r="J482" s="79" t="s">
        <v>217</v>
      </c>
      <c r="K482" s="80">
        <v>11.5</v>
      </c>
      <c r="L482" s="80">
        <f t="shared" si="138"/>
        <v>9.0196078431372548</v>
      </c>
      <c r="M482" s="81">
        <f>prodnorm6</f>
        <v>0</v>
      </c>
      <c r="N482" s="82">
        <f>dagwerk6</f>
        <v>0</v>
      </c>
      <c r="O482" s="78" t="s">
        <v>103</v>
      </c>
      <c r="P482" s="15">
        <f>uurtarief6</f>
        <v>0</v>
      </c>
      <c r="Q482" s="80" t="e">
        <f t="shared" si="139"/>
        <v>#DIV/0!</v>
      </c>
      <c r="R482" s="80" t="e">
        <f t="shared" si="140"/>
        <v>#DIV/0!</v>
      </c>
      <c r="S482" s="15" t="e">
        <f t="shared" si="141"/>
        <v>#DIV/0!</v>
      </c>
      <c r="T482" s="80" t="e">
        <f t="shared" si="142"/>
        <v>#DIV/0!</v>
      </c>
      <c r="U482" s="16" t="e">
        <f t="shared" si="143"/>
        <v>#DIV/0!</v>
      </c>
    </row>
    <row r="483" spans="1:21" x14ac:dyDescent="0.3">
      <c r="A483" s="77" t="s">
        <v>575</v>
      </c>
      <c r="B483" s="78" t="s">
        <v>40</v>
      </c>
      <c r="C483" s="78" t="s">
        <v>338</v>
      </c>
      <c r="D483" s="78" t="s">
        <v>708</v>
      </c>
      <c r="E483" s="79" t="s">
        <v>709</v>
      </c>
      <c r="F483" s="78" t="s">
        <v>580</v>
      </c>
      <c r="G483" s="78" t="s">
        <v>216</v>
      </c>
      <c r="H483" s="78" t="s">
        <v>11</v>
      </c>
      <c r="I483" s="78" t="s">
        <v>214</v>
      </c>
      <c r="J483" s="79" t="s">
        <v>217</v>
      </c>
      <c r="K483" s="80">
        <v>21.7</v>
      </c>
      <c r="L483" s="80">
        <f t="shared" si="138"/>
        <v>17.019607843137255</v>
      </c>
      <c r="M483" s="81">
        <f>prodnorm6</f>
        <v>0</v>
      </c>
      <c r="N483" s="82">
        <f>dagwerk6</f>
        <v>0</v>
      </c>
      <c r="O483" s="78" t="s">
        <v>103</v>
      </c>
      <c r="P483" s="15">
        <f>uurtarief6</f>
        <v>0</v>
      </c>
      <c r="Q483" s="80" t="e">
        <f t="shared" si="139"/>
        <v>#DIV/0!</v>
      </c>
      <c r="R483" s="80" t="e">
        <f t="shared" si="140"/>
        <v>#DIV/0!</v>
      </c>
      <c r="S483" s="15" t="e">
        <f t="shared" si="141"/>
        <v>#DIV/0!</v>
      </c>
      <c r="T483" s="80" t="e">
        <f t="shared" si="142"/>
        <v>#DIV/0!</v>
      </c>
      <c r="U483" s="16" t="e">
        <f t="shared" si="143"/>
        <v>#DIV/0!</v>
      </c>
    </row>
    <row r="484" spans="1:21" x14ac:dyDescent="0.3">
      <c r="A484" s="77" t="s">
        <v>575</v>
      </c>
      <c r="B484" s="78" t="s">
        <v>40</v>
      </c>
      <c r="C484" s="78" t="s">
        <v>338</v>
      </c>
      <c r="D484" s="78" t="s">
        <v>710</v>
      </c>
      <c r="E484" s="79" t="s">
        <v>584</v>
      </c>
      <c r="F484" s="78" t="s">
        <v>580</v>
      </c>
      <c r="G484" s="78" t="s">
        <v>216</v>
      </c>
      <c r="H484" s="78" t="s">
        <v>11</v>
      </c>
      <c r="I484" s="78" t="s">
        <v>214</v>
      </c>
      <c r="J484" s="79" t="s">
        <v>217</v>
      </c>
      <c r="K484" s="80">
        <v>5.4</v>
      </c>
      <c r="L484" s="80">
        <f t="shared" si="138"/>
        <v>4.2352941176470589</v>
      </c>
      <c r="M484" s="81">
        <f>prodnorm6</f>
        <v>0</v>
      </c>
      <c r="N484" s="82">
        <f>dagwerk6</f>
        <v>0</v>
      </c>
      <c r="O484" s="78" t="s">
        <v>103</v>
      </c>
      <c r="P484" s="15">
        <f>uurtarief6</f>
        <v>0</v>
      </c>
      <c r="Q484" s="80" t="e">
        <f t="shared" si="139"/>
        <v>#DIV/0!</v>
      </c>
      <c r="R484" s="80" t="e">
        <f t="shared" si="140"/>
        <v>#DIV/0!</v>
      </c>
      <c r="S484" s="15" t="e">
        <f t="shared" si="141"/>
        <v>#DIV/0!</v>
      </c>
      <c r="T484" s="80" t="e">
        <f t="shared" si="142"/>
        <v>#DIV/0!</v>
      </c>
      <c r="U484" s="16" t="e">
        <f t="shared" si="143"/>
        <v>#DIV/0!</v>
      </c>
    </row>
    <row r="485" spans="1:21" x14ac:dyDescent="0.3">
      <c r="A485" s="77" t="s">
        <v>575</v>
      </c>
      <c r="B485" s="78" t="s">
        <v>40</v>
      </c>
      <c r="C485" s="78" t="s">
        <v>338</v>
      </c>
      <c r="D485" s="78" t="s">
        <v>711</v>
      </c>
      <c r="E485" s="79" t="s">
        <v>712</v>
      </c>
      <c r="F485" s="78" t="s">
        <v>580</v>
      </c>
      <c r="G485" s="78" t="s">
        <v>216</v>
      </c>
      <c r="H485" s="78" t="s">
        <v>11</v>
      </c>
      <c r="I485" s="78" t="s">
        <v>214</v>
      </c>
      <c r="J485" s="79" t="s">
        <v>217</v>
      </c>
      <c r="K485" s="80">
        <v>92.6</v>
      </c>
      <c r="L485" s="80">
        <f t="shared" si="138"/>
        <v>72.627450980392155</v>
      </c>
      <c r="M485" s="81">
        <f>prodnorm6</f>
        <v>0</v>
      </c>
      <c r="N485" s="82">
        <f>dagwerk6</f>
        <v>0</v>
      </c>
      <c r="O485" s="78" t="s">
        <v>103</v>
      </c>
      <c r="P485" s="15">
        <f>uurtarief6</f>
        <v>0</v>
      </c>
      <c r="Q485" s="80" t="e">
        <f t="shared" si="139"/>
        <v>#DIV/0!</v>
      </c>
      <c r="R485" s="80" t="e">
        <f t="shared" si="140"/>
        <v>#DIV/0!</v>
      </c>
      <c r="S485" s="15" t="e">
        <f t="shared" si="141"/>
        <v>#DIV/0!</v>
      </c>
      <c r="T485" s="80" t="e">
        <f t="shared" si="142"/>
        <v>#DIV/0!</v>
      </c>
      <c r="U485" s="16" t="e">
        <f t="shared" si="143"/>
        <v>#DIV/0!</v>
      </c>
    </row>
    <row r="486" spans="1:21" x14ac:dyDescent="0.3">
      <c r="A486" s="77" t="s">
        <v>575</v>
      </c>
      <c r="B486" s="78" t="s">
        <v>40</v>
      </c>
      <c r="C486" s="78" t="s">
        <v>338</v>
      </c>
      <c r="D486" s="78" t="s">
        <v>713</v>
      </c>
      <c r="E486" s="79" t="s">
        <v>582</v>
      </c>
      <c r="F486" s="78" t="s">
        <v>580</v>
      </c>
      <c r="G486" s="78" t="s">
        <v>234</v>
      </c>
      <c r="H486" s="78" t="s">
        <v>11</v>
      </c>
      <c r="I486" s="78" t="s">
        <v>214</v>
      </c>
      <c r="J486" s="79" t="s">
        <v>235</v>
      </c>
      <c r="K486" s="80">
        <v>44.4</v>
      </c>
      <c r="L486" s="80">
        <f t="shared" si="138"/>
        <v>34.823529411764703</v>
      </c>
      <c r="M486" s="81">
        <f>prodnorm21</f>
        <v>0</v>
      </c>
      <c r="N486" s="82">
        <f>dagwerk21</f>
        <v>0</v>
      </c>
      <c r="O486" s="78" t="s">
        <v>103</v>
      </c>
      <c r="P486" s="15">
        <f>uurtarief21</f>
        <v>0</v>
      </c>
      <c r="Q486" s="80" t="e">
        <f t="shared" si="139"/>
        <v>#DIV/0!</v>
      </c>
      <c r="R486" s="80" t="e">
        <f t="shared" si="140"/>
        <v>#DIV/0!</v>
      </c>
      <c r="S486" s="15" t="e">
        <f t="shared" si="141"/>
        <v>#DIV/0!</v>
      </c>
      <c r="T486" s="80" t="e">
        <f t="shared" si="142"/>
        <v>#DIV/0!</v>
      </c>
      <c r="U486" s="16" t="e">
        <f t="shared" si="143"/>
        <v>#DIV/0!</v>
      </c>
    </row>
    <row r="487" spans="1:21" x14ac:dyDescent="0.3">
      <c r="A487" s="77" t="s">
        <v>575</v>
      </c>
      <c r="B487" s="78" t="s">
        <v>40</v>
      </c>
      <c r="C487" s="78" t="s">
        <v>338</v>
      </c>
      <c r="D487" s="78" t="s">
        <v>714</v>
      </c>
      <c r="E487" s="79" t="s">
        <v>590</v>
      </c>
      <c r="F487" s="78" t="s">
        <v>591</v>
      </c>
      <c r="G487" s="78" t="s">
        <v>250</v>
      </c>
      <c r="H487" s="78" t="s">
        <v>11</v>
      </c>
      <c r="I487" s="78" t="s">
        <v>214</v>
      </c>
      <c r="J487" s="79" t="s">
        <v>251</v>
      </c>
      <c r="K487" s="80">
        <v>7</v>
      </c>
      <c r="L487" s="80">
        <f t="shared" si="138"/>
        <v>5.4901960784313726</v>
      </c>
      <c r="M487" s="81">
        <f>prodnorm30</f>
        <v>0</v>
      </c>
      <c r="N487" s="82">
        <f>dagwerk30</f>
        <v>0</v>
      </c>
      <c r="O487" s="78" t="s">
        <v>103</v>
      </c>
      <c r="P487" s="15">
        <f>uurtarief30</f>
        <v>0</v>
      </c>
      <c r="Q487" s="80" t="e">
        <f t="shared" si="139"/>
        <v>#DIV/0!</v>
      </c>
      <c r="R487" s="80" t="e">
        <f t="shared" si="140"/>
        <v>#DIV/0!</v>
      </c>
      <c r="S487" s="15" t="e">
        <f t="shared" si="141"/>
        <v>#DIV/0!</v>
      </c>
      <c r="T487" s="80" t="e">
        <f t="shared" si="142"/>
        <v>#DIV/0!</v>
      </c>
      <c r="U487" s="16" t="e">
        <f t="shared" si="143"/>
        <v>#DIV/0!</v>
      </c>
    </row>
    <row r="488" spans="1:21" x14ac:dyDescent="0.3">
      <c r="A488" s="77" t="s">
        <v>575</v>
      </c>
      <c r="B488" s="78" t="s">
        <v>40</v>
      </c>
      <c r="C488" s="78" t="s">
        <v>338</v>
      </c>
      <c r="D488" s="78" t="s">
        <v>715</v>
      </c>
      <c r="E488" s="79" t="s">
        <v>582</v>
      </c>
      <c r="F488" s="78" t="s">
        <v>580</v>
      </c>
      <c r="G488" s="78" t="s">
        <v>234</v>
      </c>
      <c r="H488" s="78" t="s">
        <v>11</v>
      </c>
      <c r="I488" s="78" t="s">
        <v>214</v>
      </c>
      <c r="J488" s="79" t="s">
        <v>235</v>
      </c>
      <c r="K488" s="80">
        <v>44.4</v>
      </c>
      <c r="L488" s="80">
        <f t="shared" si="138"/>
        <v>34.823529411764703</v>
      </c>
      <c r="M488" s="81">
        <f>prodnorm21</f>
        <v>0</v>
      </c>
      <c r="N488" s="82">
        <f>dagwerk21</f>
        <v>0</v>
      </c>
      <c r="O488" s="78" t="s">
        <v>103</v>
      </c>
      <c r="P488" s="15">
        <f>uurtarief21</f>
        <v>0</v>
      </c>
      <c r="Q488" s="80" t="e">
        <f t="shared" si="139"/>
        <v>#DIV/0!</v>
      </c>
      <c r="R488" s="80" t="e">
        <f t="shared" si="140"/>
        <v>#DIV/0!</v>
      </c>
      <c r="S488" s="15" t="e">
        <f t="shared" si="141"/>
        <v>#DIV/0!</v>
      </c>
      <c r="T488" s="80" t="e">
        <f t="shared" si="142"/>
        <v>#DIV/0!</v>
      </c>
      <c r="U488" s="16" t="e">
        <f t="shared" si="143"/>
        <v>#DIV/0!</v>
      </c>
    </row>
    <row r="489" spans="1:21" x14ac:dyDescent="0.3">
      <c r="A489" s="77" t="s">
        <v>575</v>
      </c>
      <c r="B489" s="78" t="s">
        <v>40</v>
      </c>
      <c r="C489" s="78" t="s">
        <v>338</v>
      </c>
      <c r="D489" s="78" t="s">
        <v>716</v>
      </c>
      <c r="E489" s="79" t="s">
        <v>600</v>
      </c>
      <c r="F489" s="78" t="s">
        <v>580</v>
      </c>
      <c r="G489" s="78" t="s">
        <v>216</v>
      </c>
      <c r="H489" s="78" t="s">
        <v>11</v>
      </c>
      <c r="I489" s="78" t="s">
        <v>214</v>
      </c>
      <c r="J489" s="79" t="s">
        <v>217</v>
      </c>
      <c r="K489" s="80">
        <v>12</v>
      </c>
      <c r="L489" s="80">
        <f t="shared" si="138"/>
        <v>9.4117647058823533</v>
      </c>
      <c r="M489" s="81">
        <f>prodnorm6</f>
        <v>0</v>
      </c>
      <c r="N489" s="82">
        <f>dagwerk6</f>
        <v>0</v>
      </c>
      <c r="O489" s="78" t="s">
        <v>103</v>
      </c>
      <c r="P489" s="15">
        <f>uurtarief6</f>
        <v>0</v>
      </c>
      <c r="Q489" s="80" t="e">
        <f t="shared" si="139"/>
        <v>#DIV/0!</v>
      </c>
      <c r="R489" s="80" t="e">
        <f t="shared" si="140"/>
        <v>#DIV/0!</v>
      </c>
      <c r="S489" s="15" t="e">
        <f t="shared" si="141"/>
        <v>#DIV/0!</v>
      </c>
      <c r="T489" s="80" t="e">
        <f t="shared" si="142"/>
        <v>#DIV/0!</v>
      </c>
      <c r="U489" s="16" t="e">
        <f t="shared" si="143"/>
        <v>#DIV/0!</v>
      </c>
    </row>
    <row r="490" spans="1:21" x14ac:dyDescent="0.3">
      <c r="A490" s="77" t="s">
        <v>575</v>
      </c>
      <c r="B490" s="78" t="s">
        <v>40</v>
      </c>
      <c r="C490" s="78" t="s">
        <v>338</v>
      </c>
      <c r="D490" s="78" t="s">
        <v>717</v>
      </c>
      <c r="E490" s="79" t="s">
        <v>584</v>
      </c>
      <c r="F490" s="78" t="s">
        <v>580</v>
      </c>
      <c r="G490" s="78" t="s">
        <v>240</v>
      </c>
      <c r="H490" s="78" t="s">
        <v>11</v>
      </c>
      <c r="I490" s="78" t="s">
        <v>214</v>
      </c>
      <c r="J490" s="79" t="s">
        <v>241</v>
      </c>
      <c r="K490" s="80">
        <v>12.3</v>
      </c>
      <c r="L490" s="80">
        <f t="shared" si="138"/>
        <v>9.647058823529413</v>
      </c>
      <c r="M490" s="81">
        <f>prodnorm25</f>
        <v>0</v>
      </c>
      <c r="N490" s="82">
        <f>dagwerk25</f>
        <v>0</v>
      </c>
      <c r="O490" s="78" t="s">
        <v>103</v>
      </c>
      <c r="P490" s="15">
        <f>uurtarief25</f>
        <v>0</v>
      </c>
      <c r="Q490" s="80" t="e">
        <f t="shared" si="139"/>
        <v>#DIV/0!</v>
      </c>
      <c r="R490" s="80" t="e">
        <f t="shared" si="140"/>
        <v>#DIV/0!</v>
      </c>
      <c r="S490" s="15" t="e">
        <f t="shared" si="141"/>
        <v>#DIV/0!</v>
      </c>
      <c r="T490" s="80" t="e">
        <f t="shared" si="142"/>
        <v>#DIV/0!</v>
      </c>
      <c r="U490" s="16" t="e">
        <f t="shared" si="143"/>
        <v>#DIV/0!</v>
      </c>
    </row>
    <row r="491" spans="1:21" x14ac:dyDescent="0.3">
      <c r="A491" s="77" t="s">
        <v>575</v>
      </c>
      <c r="B491" s="78" t="s">
        <v>40</v>
      </c>
      <c r="C491" s="78" t="s">
        <v>338</v>
      </c>
      <c r="D491" s="78" t="s">
        <v>718</v>
      </c>
      <c r="E491" s="79" t="s">
        <v>582</v>
      </c>
      <c r="F491" s="78" t="s">
        <v>580</v>
      </c>
      <c r="G491" s="78" t="s">
        <v>234</v>
      </c>
      <c r="H491" s="78" t="s">
        <v>11</v>
      </c>
      <c r="I491" s="78" t="s">
        <v>214</v>
      </c>
      <c r="J491" s="79" t="s">
        <v>235</v>
      </c>
      <c r="K491" s="80">
        <v>44.4</v>
      </c>
      <c r="L491" s="80">
        <f t="shared" si="138"/>
        <v>34.823529411764703</v>
      </c>
      <c r="M491" s="81">
        <f>prodnorm21</f>
        <v>0</v>
      </c>
      <c r="N491" s="82">
        <f>dagwerk21</f>
        <v>0</v>
      </c>
      <c r="O491" s="78" t="s">
        <v>103</v>
      </c>
      <c r="P491" s="15">
        <f>uurtarief21</f>
        <v>0</v>
      </c>
      <c r="Q491" s="80" t="e">
        <f t="shared" si="139"/>
        <v>#DIV/0!</v>
      </c>
      <c r="R491" s="80" t="e">
        <f t="shared" si="140"/>
        <v>#DIV/0!</v>
      </c>
      <c r="S491" s="15" t="e">
        <f t="shared" si="141"/>
        <v>#DIV/0!</v>
      </c>
      <c r="T491" s="80" t="e">
        <f t="shared" si="142"/>
        <v>#DIV/0!</v>
      </c>
      <c r="U491" s="16" t="e">
        <f t="shared" si="143"/>
        <v>#DIV/0!</v>
      </c>
    </row>
    <row r="492" spans="1:21" x14ac:dyDescent="0.3">
      <c r="A492" s="77" t="s">
        <v>575</v>
      </c>
      <c r="B492" s="78" t="s">
        <v>40</v>
      </c>
      <c r="C492" s="78" t="s">
        <v>338</v>
      </c>
      <c r="D492" s="78" t="s">
        <v>719</v>
      </c>
      <c r="E492" s="79" t="s">
        <v>585</v>
      </c>
      <c r="F492" s="78" t="s">
        <v>580</v>
      </c>
      <c r="G492" s="78" t="s">
        <v>216</v>
      </c>
      <c r="H492" s="78" t="s">
        <v>11</v>
      </c>
      <c r="I492" s="78" t="s">
        <v>214</v>
      </c>
      <c r="J492" s="79" t="s">
        <v>217</v>
      </c>
      <c r="K492" s="80">
        <v>10.8</v>
      </c>
      <c r="L492" s="80">
        <f t="shared" si="138"/>
        <v>8.4705882352941178</v>
      </c>
      <c r="M492" s="81">
        <f>prodnorm6</f>
        <v>0</v>
      </c>
      <c r="N492" s="82">
        <f>dagwerk6</f>
        <v>0</v>
      </c>
      <c r="O492" s="78" t="s">
        <v>103</v>
      </c>
      <c r="P492" s="15">
        <f>uurtarief6</f>
        <v>0</v>
      </c>
      <c r="Q492" s="80" t="e">
        <f t="shared" si="139"/>
        <v>#DIV/0!</v>
      </c>
      <c r="R492" s="80" t="e">
        <f t="shared" si="140"/>
        <v>#DIV/0!</v>
      </c>
      <c r="S492" s="15" t="e">
        <f t="shared" si="141"/>
        <v>#DIV/0!</v>
      </c>
      <c r="T492" s="80" t="e">
        <f t="shared" si="142"/>
        <v>#DIV/0!</v>
      </c>
      <c r="U492" s="16" t="e">
        <f t="shared" si="143"/>
        <v>#DIV/0!</v>
      </c>
    </row>
    <row r="493" spans="1:21" x14ac:dyDescent="0.3">
      <c r="A493" s="77" t="s">
        <v>575</v>
      </c>
      <c r="B493" s="78" t="s">
        <v>40</v>
      </c>
      <c r="C493" s="78" t="s">
        <v>338</v>
      </c>
      <c r="D493" s="78" t="s">
        <v>720</v>
      </c>
      <c r="E493" s="79" t="s">
        <v>582</v>
      </c>
      <c r="F493" s="78" t="s">
        <v>580</v>
      </c>
      <c r="G493" s="78" t="s">
        <v>234</v>
      </c>
      <c r="H493" s="78" t="s">
        <v>11</v>
      </c>
      <c r="I493" s="78" t="s">
        <v>214</v>
      </c>
      <c r="J493" s="79" t="s">
        <v>235</v>
      </c>
      <c r="K493" s="80">
        <v>44.4</v>
      </c>
      <c r="L493" s="80">
        <f t="shared" si="138"/>
        <v>34.823529411764703</v>
      </c>
      <c r="M493" s="81">
        <f>prodnorm21</f>
        <v>0</v>
      </c>
      <c r="N493" s="82">
        <f>dagwerk21</f>
        <v>0</v>
      </c>
      <c r="O493" s="78" t="s">
        <v>103</v>
      </c>
      <c r="P493" s="15">
        <f>uurtarief21</f>
        <v>0</v>
      </c>
      <c r="Q493" s="80" t="e">
        <f t="shared" si="139"/>
        <v>#DIV/0!</v>
      </c>
      <c r="R493" s="80" t="e">
        <f t="shared" si="140"/>
        <v>#DIV/0!</v>
      </c>
      <c r="S493" s="15" t="e">
        <f t="shared" si="141"/>
        <v>#DIV/0!</v>
      </c>
      <c r="T493" s="80" t="e">
        <f t="shared" si="142"/>
        <v>#DIV/0!</v>
      </c>
      <c r="U493" s="16" t="e">
        <f t="shared" si="143"/>
        <v>#DIV/0!</v>
      </c>
    </row>
    <row r="494" spans="1:21" x14ac:dyDescent="0.3">
      <c r="A494" s="77" t="s">
        <v>575</v>
      </c>
      <c r="B494" s="78" t="s">
        <v>40</v>
      </c>
      <c r="C494" s="78" t="s">
        <v>338</v>
      </c>
      <c r="D494" s="78" t="s">
        <v>721</v>
      </c>
      <c r="E494" s="79" t="s">
        <v>584</v>
      </c>
      <c r="F494" s="78" t="s">
        <v>580</v>
      </c>
      <c r="G494" s="78" t="s">
        <v>240</v>
      </c>
      <c r="H494" s="78" t="s">
        <v>11</v>
      </c>
      <c r="I494" s="78" t="s">
        <v>214</v>
      </c>
      <c r="J494" s="79" t="s">
        <v>241</v>
      </c>
      <c r="K494" s="80">
        <v>42.5</v>
      </c>
      <c r="L494" s="80">
        <f t="shared" si="138"/>
        <v>33.333333333333336</v>
      </c>
      <c r="M494" s="81">
        <f>prodnorm25</f>
        <v>0</v>
      </c>
      <c r="N494" s="82">
        <f>dagwerk25</f>
        <v>0</v>
      </c>
      <c r="O494" s="78" t="s">
        <v>103</v>
      </c>
      <c r="P494" s="15">
        <f>uurtarief25</f>
        <v>0</v>
      </c>
      <c r="Q494" s="80" t="e">
        <f t="shared" si="139"/>
        <v>#DIV/0!</v>
      </c>
      <c r="R494" s="80" t="e">
        <f t="shared" si="140"/>
        <v>#DIV/0!</v>
      </c>
      <c r="S494" s="15" t="e">
        <f t="shared" si="141"/>
        <v>#DIV/0!</v>
      </c>
      <c r="T494" s="80" t="e">
        <f t="shared" si="142"/>
        <v>#DIV/0!</v>
      </c>
      <c r="U494" s="16" t="e">
        <f t="shared" si="143"/>
        <v>#DIV/0!</v>
      </c>
    </row>
    <row r="495" spans="1:21" x14ac:dyDescent="0.3">
      <c r="A495" s="77" t="s">
        <v>575</v>
      </c>
      <c r="B495" s="78" t="s">
        <v>40</v>
      </c>
      <c r="C495" s="78" t="s">
        <v>338</v>
      </c>
      <c r="D495" s="78" t="s">
        <v>722</v>
      </c>
      <c r="E495" s="79" t="s">
        <v>582</v>
      </c>
      <c r="F495" s="78" t="s">
        <v>580</v>
      </c>
      <c r="G495" s="78" t="s">
        <v>234</v>
      </c>
      <c r="H495" s="78" t="s">
        <v>11</v>
      </c>
      <c r="I495" s="78" t="s">
        <v>214</v>
      </c>
      <c r="J495" s="79" t="s">
        <v>235</v>
      </c>
      <c r="K495" s="80">
        <v>46.3</v>
      </c>
      <c r="L495" s="80">
        <f t="shared" si="138"/>
        <v>36.313725490196077</v>
      </c>
      <c r="M495" s="81">
        <f>prodnorm21</f>
        <v>0</v>
      </c>
      <c r="N495" s="82">
        <f>dagwerk21</f>
        <v>0</v>
      </c>
      <c r="O495" s="78" t="s">
        <v>103</v>
      </c>
      <c r="P495" s="15">
        <f>uurtarief21</f>
        <v>0</v>
      </c>
      <c r="Q495" s="80" t="e">
        <f t="shared" si="139"/>
        <v>#DIV/0!</v>
      </c>
      <c r="R495" s="80" t="e">
        <f t="shared" si="140"/>
        <v>#DIV/0!</v>
      </c>
      <c r="S495" s="15" t="e">
        <f t="shared" si="141"/>
        <v>#DIV/0!</v>
      </c>
      <c r="T495" s="80" t="e">
        <f t="shared" si="142"/>
        <v>#DIV/0!</v>
      </c>
      <c r="U495" s="16" t="e">
        <f t="shared" si="143"/>
        <v>#DIV/0!</v>
      </c>
    </row>
    <row r="496" spans="1:21" x14ac:dyDescent="0.3">
      <c r="A496" s="77" t="s">
        <v>575</v>
      </c>
      <c r="B496" s="78" t="s">
        <v>40</v>
      </c>
      <c r="C496" s="78" t="s">
        <v>338</v>
      </c>
      <c r="D496" s="78" t="s">
        <v>723</v>
      </c>
      <c r="E496" s="79" t="s">
        <v>582</v>
      </c>
      <c r="F496" s="78" t="s">
        <v>580</v>
      </c>
      <c r="G496" s="78" t="s">
        <v>234</v>
      </c>
      <c r="H496" s="78" t="s">
        <v>11</v>
      </c>
      <c r="I496" s="78" t="s">
        <v>214</v>
      </c>
      <c r="J496" s="79" t="s">
        <v>235</v>
      </c>
      <c r="K496" s="80">
        <v>47.7</v>
      </c>
      <c r="L496" s="80">
        <f t="shared" si="138"/>
        <v>37.411764705882355</v>
      </c>
      <c r="M496" s="81">
        <f>prodnorm21</f>
        <v>0</v>
      </c>
      <c r="N496" s="82">
        <f>dagwerk21</f>
        <v>0</v>
      </c>
      <c r="O496" s="78" t="s">
        <v>103</v>
      </c>
      <c r="P496" s="15">
        <f>uurtarief21</f>
        <v>0</v>
      </c>
      <c r="Q496" s="80" t="e">
        <f t="shared" si="139"/>
        <v>#DIV/0!</v>
      </c>
      <c r="R496" s="80" t="e">
        <f t="shared" si="140"/>
        <v>#DIV/0!</v>
      </c>
      <c r="S496" s="15" t="e">
        <f t="shared" si="141"/>
        <v>#DIV/0!</v>
      </c>
      <c r="T496" s="80" t="e">
        <f t="shared" si="142"/>
        <v>#DIV/0!</v>
      </c>
      <c r="U496" s="16" t="e">
        <f t="shared" si="143"/>
        <v>#DIV/0!</v>
      </c>
    </row>
    <row r="497" spans="1:21" x14ac:dyDescent="0.3">
      <c r="A497" s="77" t="s">
        <v>575</v>
      </c>
      <c r="B497" s="78" t="s">
        <v>40</v>
      </c>
      <c r="C497" s="78" t="s">
        <v>338</v>
      </c>
      <c r="D497" s="78" t="s">
        <v>724</v>
      </c>
      <c r="E497" s="79" t="s">
        <v>582</v>
      </c>
      <c r="F497" s="78" t="s">
        <v>580</v>
      </c>
      <c r="G497" s="78" t="s">
        <v>234</v>
      </c>
      <c r="H497" s="78" t="s">
        <v>11</v>
      </c>
      <c r="I497" s="78" t="s">
        <v>214</v>
      </c>
      <c r="J497" s="79" t="s">
        <v>235</v>
      </c>
      <c r="K497" s="80">
        <v>44.7</v>
      </c>
      <c r="L497" s="80">
        <f t="shared" si="138"/>
        <v>35.058823529411768</v>
      </c>
      <c r="M497" s="81">
        <f>prodnorm21</f>
        <v>0</v>
      </c>
      <c r="N497" s="82">
        <f>dagwerk21</f>
        <v>0</v>
      </c>
      <c r="O497" s="78" t="s">
        <v>103</v>
      </c>
      <c r="P497" s="15">
        <f>uurtarief21</f>
        <v>0</v>
      </c>
      <c r="Q497" s="80" t="e">
        <f t="shared" si="139"/>
        <v>#DIV/0!</v>
      </c>
      <c r="R497" s="80" t="e">
        <f t="shared" si="140"/>
        <v>#DIV/0!</v>
      </c>
      <c r="S497" s="15" t="e">
        <f t="shared" si="141"/>
        <v>#DIV/0!</v>
      </c>
      <c r="T497" s="80" t="e">
        <f t="shared" si="142"/>
        <v>#DIV/0!</v>
      </c>
      <c r="U497" s="16" t="e">
        <f t="shared" si="143"/>
        <v>#DIV/0!</v>
      </c>
    </row>
    <row r="498" spans="1:21" x14ac:dyDescent="0.3">
      <c r="A498" s="77" t="s">
        <v>575</v>
      </c>
      <c r="B498" s="78" t="s">
        <v>40</v>
      </c>
      <c r="C498" s="78" t="s">
        <v>338</v>
      </c>
      <c r="D498" s="78" t="s">
        <v>725</v>
      </c>
      <c r="E498" s="79" t="s">
        <v>582</v>
      </c>
      <c r="F498" s="78" t="s">
        <v>580</v>
      </c>
      <c r="G498" s="78" t="s">
        <v>234</v>
      </c>
      <c r="H498" s="78" t="s">
        <v>11</v>
      </c>
      <c r="I498" s="78" t="s">
        <v>214</v>
      </c>
      <c r="J498" s="79" t="s">
        <v>235</v>
      </c>
      <c r="K498" s="80">
        <v>44.4</v>
      </c>
      <c r="L498" s="80">
        <f t="shared" si="138"/>
        <v>34.823529411764703</v>
      </c>
      <c r="M498" s="81">
        <f>prodnorm21</f>
        <v>0</v>
      </c>
      <c r="N498" s="82">
        <f>dagwerk21</f>
        <v>0</v>
      </c>
      <c r="O498" s="78" t="s">
        <v>103</v>
      </c>
      <c r="P498" s="15">
        <f>uurtarief21</f>
        <v>0</v>
      </c>
      <c r="Q498" s="80" t="e">
        <f t="shared" si="139"/>
        <v>#DIV/0!</v>
      </c>
      <c r="R498" s="80" t="e">
        <f t="shared" si="140"/>
        <v>#DIV/0!</v>
      </c>
      <c r="S498" s="15" t="e">
        <f t="shared" si="141"/>
        <v>#DIV/0!</v>
      </c>
      <c r="T498" s="80" t="e">
        <f t="shared" si="142"/>
        <v>#DIV/0!</v>
      </c>
      <c r="U498" s="16" t="e">
        <f t="shared" si="143"/>
        <v>#DIV/0!</v>
      </c>
    </row>
    <row r="499" spans="1:21" x14ac:dyDescent="0.3">
      <c r="A499" s="77" t="s">
        <v>575</v>
      </c>
      <c r="B499" s="78" t="s">
        <v>40</v>
      </c>
      <c r="C499" s="78" t="s">
        <v>338</v>
      </c>
      <c r="D499" s="78" t="s">
        <v>726</v>
      </c>
      <c r="E499" s="79" t="s">
        <v>582</v>
      </c>
      <c r="F499" s="78" t="s">
        <v>580</v>
      </c>
      <c r="G499" s="78" t="s">
        <v>234</v>
      </c>
      <c r="H499" s="78" t="s">
        <v>11</v>
      </c>
      <c r="I499" s="78" t="s">
        <v>214</v>
      </c>
      <c r="J499" s="79" t="s">
        <v>235</v>
      </c>
      <c r="K499" s="80">
        <v>44.4</v>
      </c>
      <c r="L499" s="80">
        <f t="shared" si="138"/>
        <v>34.823529411764703</v>
      </c>
      <c r="M499" s="81">
        <f>prodnorm21</f>
        <v>0</v>
      </c>
      <c r="N499" s="82">
        <f>dagwerk21</f>
        <v>0</v>
      </c>
      <c r="O499" s="78" t="s">
        <v>103</v>
      </c>
      <c r="P499" s="15">
        <f>uurtarief21</f>
        <v>0</v>
      </c>
      <c r="Q499" s="80" t="e">
        <f t="shared" si="139"/>
        <v>#DIV/0!</v>
      </c>
      <c r="R499" s="80" t="e">
        <f t="shared" si="140"/>
        <v>#DIV/0!</v>
      </c>
      <c r="S499" s="15" t="e">
        <f t="shared" si="141"/>
        <v>#DIV/0!</v>
      </c>
      <c r="T499" s="80" t="e">
        <f t="shared" si="142"/>
        <v>#DIV/0!</v>
      </c>
      <c r="U499" s="16" t="e">
        <f t="shared" si="143"/>
        <v>#DIV/0!</v>
      </c>
    </row>
    <row r="500" spans="1:21" x14ac:dyDescent="0.3">
      <c r="A500" s="77" t="s">
        <v>575</v>
      </c>
      <c r="B500" s="78" t="s">
        <v>40</v>
      </c>
      <c r="C500" s="78" t="s">
        <v>338</v>
      </c>
      <c r="D500" s="78" t="s">
        <v>727</v>
      </c>
      <c r="E500" s="79" t="s">
        <v>584</v>
      </c>
      <c r="F500" s="78" t="s">
        <v>580</v>
      </c>
      <c r="G500" s="78" t="s">
        <v>240</v>
      </c>
      <c r="H500" s="78" t="s">
        <v>11</v>
      </c>
      <c r="I500" s="78" t="s">
        <v>214</v>
      </c>
      <c r="J500" s="79" t="s">
        <v>241</v>
      </c>
      <c r="K500" s="80">
        <v>8.6</v>
      </c>
      <c r="L500" s="80">
        <f t="shared" si="138"/>
        <v>6.7450980392156863</v>
      </c>
      <c r="M500" s="81">
        <f>prodnorm25</f>
        <v>0</v>
      </c>
      <c r="N500" s="82">
        <f>dagwerk25</f>
        <v>0</v>
      </c>
      <c r="O500" s="78" t="s">
        <v>103</v>
      </c>
      <c r="P500" s="15">
        <f>uurtarief25</f>
        <v>0</v>
      </c>
      <c r="Q500" s="80" t="e">
        <f t="shared" si="139"/>
        <v>#DIV/0!</v>
      </c>
      <c r="R500" s="80" t="e">
        <f t="shared" si="140"/>
        <v>#DIV/0!</v>
      </c>
      <c r="S500" s="15" t="e">
        <f t="shared" si="141"/>
        <v>#DIV/0!</v>
      </c>
      <c r="T500" s="80" t="e">
        <f t="shared" si="142"/>
        <v>#DIV/0!</v>
      </c>
      <c r="U500" s="16" t="e">
        <f t="shared" si="143"/>
        <v>#DIV/0!</v>
      </c>
    </row>
    <row r="501" spans="1:21" x14ac:dyDescent="0.3">
      <c r="A501" s="77" t="s">
        <v>575</v>
      </c>
      <c r="B501" s="78" t="s">
        <v>40</v>
      </c>
      <c r="C501" s="78" t="s">
        <v>338</v>
      </c>
      <c r="D501" s="78" t="s">
        <v>728</v>
      </c>
      <c r="E501" s="79" t="s">
        <v>582</v>
      </c>
      <c r="F501" s="78" t="s">
        <v>580</v>
      </c>
      <c r="G501" s="78" t="s">
        <v>234</v>
      </c>
      <c r="H501" s="78" t="s">
        <v>11</v>
      </c>
      <c r="I501" s="78" t="s">
        <v>214</v>
      </c>
      <c r="J501" s="79" t="s">
        <v>235</v>
      </c>
      <c r="K501" s="80">
        <v>44.1</v>
      </c>
      <c r="L501" s="80">
        <f t="shared" si="138"/>
        <v>34.588235294117645</v>
      </c>
      <c r="M501" s="81">
        <f>prodnorm21</f>
        <v>0</v>
      </c>
      <c r="N501" s="82">
        <f>dagwerk21</f>
        <v>0</v>
      </c>
      <c r="O501" s="78" t="s">
        <v>103</v>
      </c>
      <c r="P501" s="15">
        <f>uurtarief21</f>
        <v>0</v>
      </c>
      <c r="Q501" s="80" t="e">
        <f t="shared" si="139"/>
        <v>#DIV/0!</v>
      </c>
      <c r="R501" s="80" t="e">
        <f t="shared" si="140"/>
        <v>#DIV/0!</v>
      </c>
      <c r="S501" s="15" t="e">
        <f t="shared" si="141"/>
        <v>#DIV/0!</v>
      </c>
      <c r="T501" s="80" t="e">
        <f t="shared" si="142"/>
        <v>#DIV/0!</v>
      </c>
      <c r="U501" s="16" t="e">
        <f t="shared" si="143"/>
        <v>#DIV/0!</v>
      </c>
    </row>
    <row r="502" spans="1:21" x14ac:dyDescent="0.3">
      <c r="A502" s="77" t="s">
        <v>575</v>
      </c>
      <c r="B502" s="78" t="s">
        <v>40</v>
      </c>
      <c r="C502" s="78" t="s">
        <v>338</v>
      </c>
      <c r="D502" s="78" t="s">
        <v>729</v>
      </c>
      <c r="E502" s="79" t="s">
        <v>600</v>
      </c>
      <c r="F502" s="78" t="s">
        <v>580</v>
      </c>
      <c r="G502" s="78" t="s">
        <v>216</v>
      </c>
      <c r="H502" s="78" t="s">
        <v>11</v>
      </c>
      <c r="I502" s="78" t="s">
        <v>214</v>
      </c>
      <c r="J502" s="79" t="s">
        <v>217</v>
      </c>
      <c r="K502" s="80">
        <v>11.9</v>
      </c>
      <c r="L502" s="80">
        <f t="shared" si="138"/>
        <v>9.3333333333333339</v>
      </c>
      <c r="M502" s="81">
        <f>prodnorm6</f>
        <v>0</v>
      </c>
      <c r="N502" s="82">
        <f>dagwerk6</f>
        <v>0</v>
      </c>
      <c r="O502" s="78" t="s">
        <v>103</v>
      </c>
      <c r="P502" s="15">
        <f>uurtarief6</f>
        <v>0</v>
      </c>
      <c r="Q502" s="80" t="e">
        <f t="shared" si="139"/>
        <v>#DIV/0!</v>
      </c>
      <c r="R502" s="80" t="e">
        <f t="shared" si="140"/>
        <v>#DIV/0!</v>
      </c>
      <c r="S502" s="15" t="e">
        <f t="shared" si="141"/>
        <v>#DIV/0!</v>
      </c>
      <c r="T502" s="80" t="e">
        <f t="shared" si="142"/>
        <v>#DIV/0!</v>
      </c>
      <c r="U502" s="16" t="e">
        <f t="shared" si="143"/>
        <v>#DIV/0!</v>
      </c>
    </row>
    <row r="503" spans="1:21" x14ac:dyDescent="0.3">
      <c r="A503" s="77" t="s">
        <v>575</v>
      </c>
      <c r="B503" s="78" t="s">
        <v>40</v>
      </c>
      <c r="C503" s="78" t="s">
        <v>338</v>
      </c>
      <c r="D503" s="78" t="s">
        <v>730</v>
      </c>
      <c r="E503" s="79" t="s">
        <v>731</v>
      </c>
      <c r="F503" s="78" t="s">
        <v>580</v>
      </c>
      <c r="G503" s="78" t="s">
        <v>300</v>
      </c>
      <c r="H503" s="78"/>
      <c r="I503" s="78"/>
      <c r="J503" s="78"/>
      <c r="K503" s="80">
        <v>12.1</v>
      </c>
      <c r="L503" s="80"/>
      <c r="M503" s="81"/>
      <c r="N503" s="82"/>
      <c r="O503" s="78"/>
      <c r="P503" s="15"/>
      <c r="Q503" s="80"/>
      <c r="R503" s="80"/>
      <c r="S503" s="15"/>
      <c r="T503" s="83"/>
      <c r="U503" s="16"/>
    </row>
    <row r="504" spans="1:21" ht="27" x14ac:dyDescent="0.3">
      <c r="A504" s="77" t="s">
        <v>575</v>
      </c>
      <c r="B504" s="78" t="s">
        <v>40</v>
      </c>
      <c r="C504" s="78" t="s">
        <v>338</v>
      </c>
      <c r="D504" s="78" t="s">
        <v>732</v>
      </c>
      <c r="E504" s="79" t="s">
        <v>579</v>
      </c>
      <c r="F504" s="78" t="s">
        <v>580</v>
      </c>
      <c r="G504" s="78" t="s">
        <v>256</v>
      </c>
      <c r="H504" s="78" t="s">
        <v>11</v>
      </c>
      <c r="I504" s="78" t="s">
        <v>214</v>
      </c>
      <c r="J504" s="79" t="s">
        <v>257</v>
      </c>
      <c r="K504" s="80">
        <v>81.599999999999994</v>
      </c>
      <c r="L504" s="80">
        <f t="shared" ref="L504:L525" si="144">K504*VLOOKUP(H504,dagsoorttabel1,2,FALSE)</f>
        <v>63.999999999999993</v>
      </c>
      <c r="M504" s="81">
        <f>prodnorm33</f>
        <v>0</v>
      </c>
      <c r="N504" s="82">
        <f>dagwerk33</f>
        <v>0</v>
      </c>
      <c r="O504" s="78" t="s">
        <v>103</v>
      </c>
      <c r="P504" s="15">
        <f>uurtarief33</f>
        <v>0</v>
      </c>
      <c r="Q504" s="80" t="e">
        <f t="shared" ref="Q504:Q525" si="145">IF(ISBLANK(M504),0,L504/ROUND(M504,4))</f>
        <v>#DIV/0!</v>
      </c>
      <c r="R504" s="80" t="e">
        <f t="shared" ref="R504:R525" si="146">IF(ISBLANK(M504),0,Q504*ROUND(N504,2))</f>
        <v>#DIV/0!</v>
      </c>
      <c r="S504" s="15" t="e">
        <f t="shared" ref="S504:S525" si="147">ROUND(P504,2)*Q504</f>
        <v>#DIV/0!</v>
      </c>
      <c r="T504" s="80" t="e">
        <f t="shared" ref="T504:T525" si="148">Q504*dagenperjaar1</f>
        <v>#DIV/0!</v>
      </c>
      <c r="U504" s="16" t="e">
        <f t="shared" ref="U504:U525" si="149">T504*ROUND(P504,2)</f>
        <v>#DIV/0!</v>
      </c>
    </row>
    <row r="505" spans="1:21" x14ac:dyDescent="0.3">
      <c r="A505" s="77" t="s">
        <v>575</v>
      </c>
      <c r="B505" s="78" t="s">
        <v>40</v>
      </c>
      <c r="C505" s="78" t="s">
        <v>338</v>
      </c>
      <c r="D505" s="78" t="s">
        <v>733</v>
      </c>
      <c r="E505" s="79" t="s">
        <v>590</v>
      </c>
      <c r="F505" s="78" t="s">
        <v>591</v>
      </c>
      <c r="G505" s="78" t="s">
        <v>250</v>
      </c>
      <c r="H505" s="78" t="s">
        <v>11</v>
      </c>
      <c r="I505" s="78" t="s">
        <v>214</v>
      </c>
      <c r="J505" s="79" t="s">
        <v>251</v>
      </c>
      <c r="K505" s="80">
        <v>5.7</v>
      </c>
      <c r="L505" s="80">
        <f t="shared" si="144"/>
        <v>4.4705882352941178</v>
      </c>
      <c r="M505" s="81">
        <f>prodnorm30</f>
        <v>0</v>
      </c>
      <c r="N505" s="82">
        <f>dagwerk30</f>
        <v>0</v>
      </c>
      <c r="O505" s="78" t="s">
        <v>103</v>
      </c>
      <c r="P505" s="15">
        <f>uurtarief30</f>
        <v>0</v>
      </c>
      <c r="Q505" s="80" t="e">
        <f t="shared" si="145"/>
        <v>#DIV/0!</v>
      </c>
      <c r="R505" s="80" t="e">
        <f t="shared" si="146"/>
        <v>#DIV/0!</v>
      </c>
      <c r="S505" s="15" t="e">
        <f t="shared" si="147"/>
        <v>#DIV/0!</v>
      </c>
      <c r="T505" s="80" t="e">
        <f t="shared" si="148"/>
        <v>#DIV/0!</v>
      </c>
      <c r="U505" s="16" t="e">
        <f t="shared" si="149"/>
        <v>#DIV/0!</v>
      </c>
    </row>
    <row r="506" spans="1:21" x14ac:dyDescent="0.3">
      <c r="A506" s="77" t="s">
        <v>575</v>
      </c>
      <c r="B506" s="78" t="s">
        <v>40</v>
      </c>
      <c r="C506" s="78" t="s">
        <v>338</v>
      </c>
      <c r="D506" s="78" t="s">
        <v>734</v>
      </c>
      <c r="E506" s="79" t="s">
        <v>590</v>
      </c>
      <c r="F506" s="78" t="s">
        <v>591</v>
      </c>
      <c r="G506" s="78" t="s">
        <v>250</v>
      </c>
      <c r="H506" s="78" t="s">
        <v>11</v>
      </c>
      <c r="I506" s="78" t="s">
        <v>214</v>
      </c>
      <c r="J506" s="79" t="s">
        <v>251</v>
      </c>
      <c r="K506" s="80">
        <v>5.7</v>
      </c>
      <c r="L506" s="80">
        <f t="shared" si="144"/>
        <v>4.4705882352941178</v>
      </c>
      <c r="M506" s="81">
        <f>prodnorm30</f>
        <v>0</v>
      </c>
      <c r="N506" s="82">
        <f>dagwerk30</f>
        <v>0</v>
      </c>
      <c r="O506" s="78" t="s">
        <v>103</v>
      </c>
      <c r="P506" s="15">
        <f>uurtarief30</f>
        <v>0</v>
      </c>
      <c r="Q506" s="80" t="e">
        <f t="shared" si="145"/>
        <v>#DIV/0!</v>
      </c>
      <c r="R506" s="80" t="e">
        <f t="shared" si="146"/>
        <v>#DIV/0!</v>
      </c>
      <c r="S506" s="15" t="e">
        <f t="shared" si="147"/>
        <v>#DIV/0!</v>
      </c>
      <c r="T506" s="80" t="e">
        <f t="shared" si="148"/>
        <v>#DIV/0!</v>
      </c>
      <c r="U506" s="16" t="e">
        <f t="shared" si="149"/>
        <v>#DIV/0!</v>
      </c>
    </row>
    <row r="507" spans="1:21" x14ac:dyDescent="0.3">
      <c r="A507" s="77" t="s">
        <v>575</v>
      </c>
      <c r="B507" s="78" t="s">
        <v>40</v>
      </c>
      <c r="C507" s="78" t="s">
        <v>338</v>
      </c>
      <c r="D507" s="78" t="s">
        <v>735</v>
      </c>
      <c r="E507" s="79" t="s">
        <v>736</v>
      </c>
      <c r="F507" s="78" t="s">
        <v>580</v>
      </c>
      <c r="G507" s="78" t="s">
        <v>216</v>
      </c>
      <c r="H507" s="78" t="s">
        <v>11</v>
      </c>
      <c r="I507" s="78" t="s">
        <v>214</v>
      </c>
      <c r="J507" s="79" t="s">
        <v>217</v>
      </c>
      <c r="K507" s="80">
        <v>24.7</v>
      </c>
      <c r="L507" s="80">
        <f t="shared" si="144"/>
        <v>19.372549019607842</v>
      </c>
      <c r="M507" s="81">
        <f>prodnorm6</f>
        <v>0</v>
      </c>
      <c r="N507" s="82">
        <f>dagwerk6</f>
        <v>0</v>
      </c>
      <c r="O507" s="78" t="s">
        <v>103</v>
      </c>
      <c r="P507" s="15">
        <f>uurtarief6</f>
        <v>0</v>
      </c>
      <c r="Q507" s="80" t="e">
        <f t="shared" si="145"/>
        <v>#DIV/0!</v>
      </c>
      <c r="R507" s="80" t="e">
        <f t="shared" si="146"/>
        <v>#DIV/0!</v>
      </c>
      <c r="S507" s="15" t="e">
        <f t="shared" si="147"/>
        <v>#DIV/0!</v>
      </c>
      <c r="T507" s="80" t="e">
        <f t="shared" si="148"/>
        <v>#DIV/0!</v>
      </c>
      <c r="U507" s="16" t="e">
        <f t="shared" si="149"/>
        <v>#DIV/0!</v>
      </c>
    </row>
    <row r="508" spans="1:21" x14ac:dyDescent="0.3">
      <c r="A508" s="77" t="s">
        <v>575</v>
      </c>
      <c r="B508" s="78" t="s">
        <v>40</v>
      </c>
      <c r="C508" s="78" t="s">
        <v>338</v>
      </c>
      <c r="D508" s="78" t="s">
        <v>737</v>
      </c>
      <c r="E508" s="79" t="s">
        <v>738</v>
      </c>
      <c r="F508" s="78" t="s">
        <v>580</v>
      </c>
      <c r="G508" s="78" t="s">
        <v>216</v>
      </c>
      <c r="H508" s="78" t="s">
        <v>11</v>
      </c>
      <c r="I508" s="78" t="s">
        <v>214</v>
      </c>
      <c r="J508" s="79" t="s">
        <v>217</v>
      </c>
      <c r="K508" s="80">
        <v>8.6</v>
      </c>
      <c r="L508" s="80">
        <f t="shared" si="144"/>
        <v>6.7450980392156863</v>
      </c>
      <c r="M508" s="81">
        <f>prodnorm6</f>
        <v>0</v>
      </c>
      <c r="N508" s="82">
        <f>dagwerk6</f>
        <v>0</v>
      </c>
      <c r="O508" s="78" t="s">
        <v>103</v>
      </c>
      <c r="P508" s="15">
        <f>uurtarief6</f>
        <v>0</v>
      </c>
      <c r="Q508" s="80" t="e">
        <f t="shared" si="145"/>
        <v>#DIV/0!</v>
      </c>
      <c r="R508" s="80" t="e">
        <f t="shared" si="146"/>
        <v>#DIV/0!</v>
      </c>
      <c r="S508" s="15" t="e">
        <f t="shared" si="147"/>
        <v>#DIV/0!</v>
      </c>
      <c r="T508" s="80" t="e">
        <f t="shared" si="148"/>
        <v>#DIV/0!</v>
      </c>
      <c r="U508" s="16" t="e">
        <f t="shared" si="149"/>
        <v>#DIV/0!</v>
      </c>
    </row>
    <row r="509" spans="1:21" x14ac:dyDescent="0.3">
      <c r="A509" s="77" t="s">
        <v>575</v>
      </c>
      <c r="B509" s="78" t="s">
        <v>40</v>
      </c>
      <c r="C509" s="78" t="s">
        <v>338</v>
      </c>
      <c r="D509" s="78" t="s">
        <v>739</v>
      </c>
      <c r="E509" s="79" t="s">
        <v>590</v>
      </c>
      <c r="F509" s="78" t="s">
        <v>591</v>
      </c>
      <c r="G509" s="78" t="s">
        <v>250</v>
      </c>
      <c r="H509" s="78" t="s">
        <v>11</v>
      </c>
      <c r="I509" s="78" t="s">
        <v>214</v>
      </c>
      <c r="J509" s="79" t="s">
        <v>251</v>
      </c>
      <c r="K509" s="80">
        <v>5.7</v>
      </c>
      <c r="L509" s="80">
        <f t="shared" si="144"/>
        <v>4.4705882352941178</v>
      </c>
      <c r="M509" s="81">
        <f>prodnorm30</f>
        <v>0</v>
      </c>
      <c r="N509" s="82">
        <f>dagwerk30</f>
        <v>0</v>
      </c>
      <c r="O509" s="78" t="s">
        <v>103</v>
      </c>
      <c r="P509" s="15">
        <f>uurtarief30</f>
        <v>0</v>
      </c>
      <c r="Q509" s="80" t="e">
        <f t="shared" si="145"/>
        <v>#DIV/0!</v>
      </c>
      <c r="R509" s="80" t="e">
        <f t="shared" si="146"/>
        <v>#DIV/0!</v>
      </c>
      <c r="S509" s="15" t="e">
        <f t="shared" si="147"/>
        <v>#DIV/0!</v>
      </c>
      <c r="T509" s="80" t="e">
        <f t="shared" si="148"/>
        <v>#DIV/0!</v>
      </c>
      <c r="U509" s="16" t="e">
        <f t="shared" si="149"/>
        <v>#DIV/0!</v>
      </c>
    </row>
    <row r="510" spans="1:21" x14ac:dyDescent="0.3">
      <c r="A510" s="77" t="s">
        <v>575</v>
      </c>
      <c r="B510" s="78" t="s">
        <v>40</v>
      </c>
      <c r="C510" s="78" t="s">
        <v>338</v>
      </c>
      <c r="D510" s="78" t="s">
        <v>740</v>
      </c>
      <c r="E510" s="79" t="s">
        <v>600</v>
      </c>
      <c r="F510" s="78" t="s">
        <v>580</v>
      </c>
      <c r="G510" s="78" t="s">
        <v>216</v>
      </c>
      <c r="H510" s="78" t="s">
        <v>11</v>
      </c>
      <c r="I510" s="78" t="s">
        <v>214</v>
      </c>
      <c r="J510" s="79" t="s">
        <v>217</v>
      </c>
      <c r="K510" s="80">
        <v>12.9</v>
      </c>
      <c r="L510" s="80">
        <f t="shared" si="144"/>
        <v>10.117647058823529</v>
      </c>
      <c r="M510" s="81">
        <f>prodnorm6</f>
        <v>0</v>
      </c>
      <c r="N510" s="82">
        <f>dagwerk6</f>
        <v>0</v>
      </c>
      <c r="O510" s="78" t="s">
        <v>103</v>
      </c>
      <c r="P510" s="15">
        <f>uurtarief6</f>
        <v>0</v>
      </c>
      <c r="Q510" s="80" t="e">
        <f t="shared" si="145"/>
        <v>#DIV/0!</v>
      </c>
      <c r="R510" s="80" t="e">
        <f t="shared" si="146"/>
        <v>#DIV/0!</v>
      </c>
      <c r="S510" s="15" t="e">
        <f t="shared" si="147"/>
        <v>#DIV/0!</v>
      </c>
      <c r="T510" s="80" t="e">
        <f t="shared" si="148"/>
        <v>#DIV/0!</v>
      </c>
      <c r="U510" s="16" t="e">
        <f t="shared" si="149"/>
        <v>#DIV/0!</v>
      </c>
    </row>
    <row r="511" spans="1:21" x14ac:dyDescent="0.3">
      <c r="A511" s="77" t="s">
        <v>575</v>
      </c>
      <c r="B511" s="78" t="s">
        <v>40</v>
      </c>
      <c r="C511" s="78" t="s">
        <v>338</v>
      </c>
      <c r="D511" s="78" t="s">
        <v>741</v>
      </c>
      <c r="E511" s="79" t="s">
        <v>582</v>
      </c>
      <c r="F511" s="78" t="s">
        <v>580</v>
      </c>
      <c r="G511" s="78" t="s">
        <v>234</v>
      </c>
      <c r="H511" s="78" t="s">
        <v>11</v>
      </c>
      <c r="I511" s="78" t="s">
        <v>214</v>
      </c>
      <c r="J511" s="79" t="s">
        <v>235</v>
      </c>
      <c r="K511" s="80">
        <v>44.4</v>
      </c>
      <c r="L511" s="80">
        <f t="shared" si="144"/>
        <v>34.823529411764703</v>
      </c>
      <c r="M511" s="81">
        <f>prodnorm21</f>
        <v>0</v>
      </c>
      <c r="N511" s="82">
        <f>dagwerk21</f>
        <v>0</v>
      </c>
      <c r="O511" s="78" t="s">
        <v>103</v>
      </c>
      <c r="P511" s="15">
        <f>uurtarief21</f>
        <v>0</v>
      </c>
      <c r="Q511" s="80" t="e">
        <f t="shared" si="145"/>
        <v>#DIV/0!</v>
      </c>
      <c r="R511" s="80" t="e">
        <f t="shared" si="146"/>
        <v>#DIV/0!</v>
      </c>
      <c r="S511" s="15" t="e">
        <f t="shared" si="147"/>
        <v>#DIV/0!</v>
      </c>
      <c r="T511" s="80" t="e">
        <f t="shared" si="148"/>
        <v>#DIV/0!</v>
      </c>
      <c r="U511" s="16" t="e">
        <f t="shared" si="149"/>
        <v>#DIV/0!</v>
      </c>
    </row>
    <row r="512" spans="1:21" x14ac:dyDescent="0.3">
      <c r="A512" s="77" t="s">
        <v>575</v>
      </c>
      <c r="B512" s="78" t="s">
        <v>40</v>
      </c>
      <c r="C512" s="78" t="s">
        <v>338</v>
      </c>
      <c r="D512" s="78" t="s">
        <v>742</v>
      </c>
      <c r="E512" s="79" t="s">
        <v>584</v>
      </c>
      <c r="F512" s="78" t="s">
        <v>580</v>
      </c>
      <c r="G512" s="78" t="s">
        <v>240</v>
      </c>
      <c r="H512" s="78" t="s">
        <v>11</v>
      </c>
      <c r="I512" s="78" t="s">
        <v>214</v>
      </c>
      <c r="J512" s="79" t="s">
        <v>241</v>
      </c>
      <c r="K512" s="80">
        <v>14.5</v>
      </c>
      <c r="L512" s="80">
        <f t="shared" si="144"/>
        <v>11.372549019607844</v>
      </c>
      <c r="M512" s="81">
        <f>prodnorm25</f>
        <v>0</v>
      </c>
      <c r="N512" s="82">
        <f>dagwerk25</f>
        <v>0</v>
      </c>
      <c r="O512" s="78" t="s">
        <v>103</v>
      </c>
      <c r="P512" s="15">
        <f>uurtarief25</f>
        <v>0</v>
      </c>
      <c r="Q512" s="80" t="e">
        <f t="shared" si="145"/>
        <v>#DIV/0!</v>
      </c>
      <c r="R512" s="80" t="e">
        <f t="shared" si="146"/>
        <v>#DIV/0!</v>
      </c>
      <c r="S512" s="15" t="e">
        <f t="shared" si="147"/>
        <v>#DIV/0!</v>
      </c>
      <c r="T512" s="80" t="e">
        <f t="shared" si="148"/>
        <v>#DIV/0!</v>
      </c>
      <c r="U512" s="16" t="e">
        <f t="shared" si="149"/>
        <v>#DIV/0!</v>
      </c>
    </row>
    <row r="513" spans="1:21" x14ac:dyDescent="0.3">
      <c r="A513" s="77" t="s">
        <v>575</v>
      </c>
      <c r="B513" s="78" t="s">
        <v>40</v>
      </c>
      <c r="C513" s="78" t="s">
        <v>338</v>
      </c>
      <c r="D513" s="78" t="s">
        <v>743</v>
      </c>
      <c r="E513" s="79" t="s">
        <v>582</v>
      </c>
      <c r="F513" s="78" t="s">
        <v>580</v>
      </c>
      <c r="G513" s="78" t="s">
        <v>234</v>
      </c>
      <c r="H513" s="78" t="s">
        <v>11</v>
      </c>
      <c r="I513" s="78" t="s">
        <v>214</v>
      </c>
      <c r="J513" s="79" t="s">
        <v>235</v>
      </c>
      <c r="K513" s="80">
        <v>44.4</v>
      </c>
      <c r="L513" s="80">
        <f t="shared" si="144"/>
        <v>34.823529411764703</v>
      </c>
      <c r="M513" s="81">
        <f>prodnorm21</f>
        <v>0</v>
      </c>
      <c r="N513" s="82">
        <f>dagwerk21</f>
        <v>0</v>
      </c>
      <c r="O513" s="78" t="s">
        <v>103</v>
      </c>
      <c r="P513" s="15">
        <f>uurtarief21</f>
        <v>0</v>
      </c>
      <c r="Q513" s="80" t="e">
        <f t="shared" si="145"/>
        <v>#DIV/0!</v>
      </c>
      <c r="R513" s="80" t="e">
        <f t="shared" si="146"/>
        <v>#DIV/0!</v>
      </c>
      <c r="S513" s="15" t="e">
        <f t="shared" si="147"/>
        <v>#DIV/0!</v>
      </c>
      <c r="T513" s="80" t="e">
        <f t="shared" si="148"/>
        <v>#DIV/0!</v>
      </c>
      <c r="U513" s="16" t="e">
        <f t="shared" si="149"/>
        <v>#DIV/0!</v>
      </c>
    </row>
    <row r="514" spans="1:21" x14ac:dyDescent="0.3">
      <c r="A514" s="77" t="s">
        <v>575</v>
      </c>
      <c r="B514" s="78" t="s">
        <v>40</v>
      </c>
      <c r="C514" s="78" t="s">
        <v>338</v>
      </c>
      <c r="D514" s="78" t="s">
        <v>744</v>
      </c>
      <c r="E514" s="79" t="s">
        <v>582</v>
      </c>
      <c r="F514" s="78" t="s">
        <v>580</v>
      </c>
      <c r="G514" s="78" t="s">
        <v>234</v>
      </c>
      <c r="H514" s="78" t="s">
        <v>11</v>
      </c>
      <c r="I514" s="78" t="s">
        <v>214</v>
      </c>
      <c r="J514" s="79" t="s">
        <v>235</v>
      </c>
      <c r="K514" s="80">
        <v>44.7</v>
      </c>
      <c r="L514" s="80">
        <f t="shared" si="144"/>
        <v>35.058823529411768</v>
      </c>
      <c r="M514" s="81">
        <f>prodnorm21</f>
        <v>0</v>
      </c>
      <c r="N514" s="82">
        <f>dagwerk21</f>
        <v>0</v>
      </c>
      <c r="O514" s="78" t="s">
        <v>103</v>
      </c>
      <c r="P514" s="15">
        <f>uurtarief21</f>
        <v>0</v>
      </c>
      <c r="Q514" s="80" t="e">
        <f t="shared" si="145"/>
        <v>#DIV/0!</v>
      </c>
      <c r="R514" s="80" t="e">
        <f t="shared" si="146"/>
        <v>#DIV/0!</v>
      </c>
      <c r="S514" s="15" t="e">
        <f t="shared" si="147"/>
        <v>#DIV/0!</v>
      </c>
      <c r="T514" s="80" t="e">
        <f t="shared" si="148"/>
        <v>#DIV/0!</v>
      </c>
      <c r="U514" s="16" t="e">
        <f t="shared" si="149"/>
        <v>#DIV/0!</v>
      </c>
    </row>
    <row r="515" spans="1:21" x14ac:dyDescent="0.3">
      <c r="A515" s="77" t="s">
        <v>575</v>
      </c>
      <c r="B515" s="78" t="s">
        <v>40</v>
      </c>
      <c r="C515" s="78" t="s">
        <v>338</v>
      </c>
      <c r="D515" s="78" t="s">
        <v>745</v>
      </c>
      <c r="E515" s="79" t="s">
        <v>582</v>
      </c>
      <c r="F515" s="78" t="s">
        <v>580</v>
      </c>
      <c r="G515" s="78" t="s">
        <v>234</v>
      </c>
      <c r="H515" s="78" t="s">
        <v>11</v>
      </c>
      <c r="I515" s="78" t="s">
        <v>214</v>
      </c>
      <c r="J515" s="79" t="s">
        <v>235</v>
      </c>
      <c r="K515" s="80">
        <v>42</v>
      </c>
      <c r="L515" s="80">
        <f t="shared" si="144"/>
        <v>32.941176470588232</v>
      </c>
      <c r="M515" s="81">
        <f>prodnorm21</f>
        <v>0</v>
      </c>
      <c r="N515" s="82">
        <f>dagwerk21</f>
        <v>0</v>
      </c>
      <c r="O515" s="78" t="s">
        <v>103</v>
      </c>
      <c r="P515" s="15">
        <f>uurtarief21</f>
        <v>0</v>
      </c>
      <c r="Q515" s="80" t="e">
        <f t="shared" si="145"/>
        <v>#DIV/0!</v>
      </c>
      <c r="R515" s="80" t="e">
        <f t="shared" si="146"/>
        <v>#DIV/0!</v>
      </c>
      <c r="S515" s="15" t="e">
        <f t="shared" si="147"/>
        <v>#DIV/0!</v>
      </c>
      <c r="T515" s="80" t="e">
        <f t="shared" si="148"/>
        <v>#DIV/0!</v>
      </c>
      <c r="U515" s="16" t="e">
        <f t="shared" si="149"/>
        <v>#DIV/0!</v>
      </c>
    </row>
    <row r="516" spans="1:21" x14ac:dyDescent="0.3">
      <c r="A516" s="77" t="s">
        <v>575</v>
      </c>
      <c r="B516" s="78" t="s">
        <v>40</v>
      </c>
      <c r="C516" s="78" t="s">
        <v>338</v>
      </c>
      <c r="D516" s="78" t="s">
        <v>746</v>
      </c>
      <c r="E516" s="79" t="s">
        <v>584</v>
      </c>
      <c r="F516" s="78" t="s">
        <v>580</v>
      </c>
      <c r="G516" s="78" t="s">
        <v>240</v>
      </c>
      <c r="H516" s="78" t="s">
        <v>11</v>
      </c>
      <c r="I516" s="78" t="s">
        <v>214</v>
      </c>
      <c r="J516" s="79" t="s">
        <v>241</v>
      </c>
      <c r="K516" s="80">
        <v>14.2</v>
      </c>
      <c r="L516" s="80">
        <f t="shared" si="144"/>
        <v>11.137254901960784</v>
      </c>
      <c r="M516" s="81">
        <f>prodnorm25</f>
        <v>0</v>
      </c>
      <c r="N516" s="82">
        <f>dagwerk25</f>
        <v>0</v>
      </c>
      <c r="O516" s="78" t="s">
        <v>103</v>
      </c>
      <c r="P516" s="15">
        <f>uurtarief25</f>
        <v>0</v>
      </c>
      <c r="Q516" s="80" t="e">
        <f t="shared" si="145"/>
        <v>#DIV/0!</v>
      </c>
      <c r="R516" s="80" t="e">
        <f t="shared" si="146"/>
        <v>#DIV/0!</v>
      </c>
      <c r="S516" s="15" t="e">
        <f t="shared" si="147"/>
        <v>#DIV/0!</v>
      </c>
      <c r="T516" s="80" t="e">
        <f t="shared" si="148"/>
        <v>#DIV/0!</v>
      </c>
      <c r="U516" s="16" t="e">
        <f t="shared" si="149"/>
        <v>#DIV/0!</v>
      </c>
    </row>
    <row r="517" spans="1:21" x14ac:dyDescent="0.3">
      <c r="A517" s="77" t="s">
        <v>575</v>
      </c>
      <c r="B517" s="78" t="s">
        <v>40</v>
      </c>
      <c r="C517" s="78" t="s">
        <v>338</v>
      </c>
      <c r="D517" s="78" t="s">
        <v>747</v>
      </c>
      <c r="E517" s="79" t="s">
        <v>582</v>
      </c>
      <c r="F517" s="78" t="s">
        <v>580</v>
      </c>
      <c r="G517" s="78" t="s">
        <v>234</v>
      </c>
      <c r="H517" s="78" t="s">
        <v>11</v>
      </c>
      <c r="I517" s="78" t="s">
        <v>214</v>
      </c>
      <c r="J517" s="79" t="s">
        <v>235</v>
      </c>
      <c r="K517" s="80">
        <v>42.4</v>
      </c>
      <c r="L517" s="80">
        <f t="shared" si="144"/>
        <v>33.254901960784309</v>
      </c>
      <c r="M517" s="81">
        <f>prodnorm21</f>
        <v>0</v>
      </c>
      <c r="N517" s="82">
        <f>dagwerk21</f>
        <v>0</v>
      </c>
      <c r="O517" s="78" t="s">
        <v>103</v>
      </c>
      <c r="P517" s="15">
        <f>uurtarief21</f>
        <v>0</v>
      </c>
      <c r="Q517" s="80" t="e">
        <f t="shared" si="145"/>
        <v>#DIV/0!</v>
      </c>
      <c r="R517" s="80" t="e">
        <f t="shared" si="146"/>
        <v>#DIV/0!</v>
      </c>
      <c r="S517" s="15" t="e">
        <f t="shared" si="147"/>
        <v>#DIV/0!</v>
      </c>
      <c r="T517" s="80" t="e">
        <f t="shared" si="148"/>
        <v>#DIV/0!</v>
      </c>
      <c r="U517" s="16" t="e">
        <f t="shared" si="149"/>
        <v>#DIV/0!</v>
      </c>
    </row>
    <row r="518" spans="1:21" x14ac:dyDescent="0.3">
      <c r="A518" s="77" t="s">
        <v>575</v>
      </c>
      <c r="B518" s="78" t="s">
        <v>40</v>
      </c>
      <c r="C518" s="78" t="s">
        <v>338</v>
      </c>
      <c r="D518" s="78" t="s">
        <v>748</v>
      </c>
      <c r="E518" s="79" t="s">
        <v>582</v>
      </c>
      <c r="F518" s="78" t="s">
        <v>580</v>
      </c>
      <c r="G518" s="78" t="s">
        <v>234</v>
      </c>
      <c r="H518" s="78" t="s">
        <v>11</v>
      </c>
      <c r="I518" s="78" t="s">
        <v>214</v>
      </c>
      <c r="J518" s="79" t="s">
        <v>235</v>
      </c>
      <c r="K518" s="80">
        <v>43.7</v>
      </c>
      <c r="L518" s="80">
        <f t="shared" si="144"/>
        <v>34.274509803921568</v>
      </c>
      <c r="M518" s="81">
        <f>prodnorm21</f>
        <v>0</v>
      </c>
      <c r="N518" s="82">
        <f>dagwerk21</f>
        <v>0</v>
      </c>
      <c r="O518" s="78" t="s">
        <v>103</v>
      </c>
      <c r="P518" s="15">
        <f>uurtarief21</f>
        <v>0</v>
      </c>
      <c r="Q518" s="80" t="e">
        <f t="shared" si="145"/>
        <v>#DIV/0!</v>
      </c>
      <c r="R518" s="80" t="e">
        <f t="shared" si="146"/>
        <v>#DIV/0!</v>
      </c>
      <c r="S518" s="15" t="e">
        <f t="shared" si="147"/>
        <v>#DIV/0!</v>
      </c>
      <c r="T518" s="80" t="e">
        <f t="shared" si="148"/>
        <v>#DIV/0!</v>
      </c>
      <c r="U518" s="16" t="e">
        <f t="shared" si="149"/>
        <v>#DIV/0!</v>
      </c>
    </row>
    <row r="519" spans="1:21" x14ac:dyDescent="0.3">
      <c r="A519" s="77" t="s">
        <v>575</v>
      </c>
      <c r="B519" s="78" t="s">
        <v>40</v>
      </c>
      <c r="C519" s="78" t="s">
        <v>338</v>
      </c>
      <c r="D519" s="78" t="s">
        <v>749</v>
      </c>
      <c r="E519" s="79" t="s">
        <v>585</v>
      </c>
      <c r="F519" s="78" t="s">
        <v>580</v>
      </c>
      <c r="G519" s="78" t="s">
        <v>216</v>
      </c>
      <c r="H519" s="78" t="s">
        <v>11</v>
      </c>
      <c r="I519" s="78" t="s">
        <v>214</v>
      </c>
      <c r="J519" s="79" t="s">
        <v>217</v>
      </c>
      <c r="K519" s="80">
        <v>10.4</v>
      </c>
      <c r="L519" s="80">
        <f t="shared" si="144"/>
        <v>8.1568627450980387</v>
      </c>
      <c r="M519" s="81">
        <f>prodnorm6</f>
        <v>0</v>
      </c>
      <c r="N519" s="82">
        <f>dagwerk6</f>
        <v>0</v>
      </c>
      <c r="O519" s="78" t="s">
        <v>103</v>
      </c>
      <c r="P519" s="15">
        <f>uurtarief6</f>
        <v>0</v>
      </c>
      <c r="Q519" s="80" t="e">
        <f t="shared" si="145"/>
        <v>#DIV/0!</v>
      </c>
      <c r="R519" s="80" t="e">
        <f t="shared" si="146"/>
        <v>#DIV/0!</v>
      </c>
      <c r="S519" s="15" t="e">
        <f t="shared" si="147"/>
        <v>#DIV/0!</v>
      </c>
      <c r="T519" s="80" t="e">
        <f t="shared" si="148"/>
        <v>#DIV/0!</v>
      </c>
      <c r="U519" s="16" t="e">
        <f t="shared" si="149"/>
        <v>#DIV/0!</v>
      </c>
    </row>
    <row r="520" spans="1:21" x14ac:dyDescent="0.3">
      <c r="A520" s="77" t="s">
        <v>575</v>
      </c>
      <c r="B520" s="78" t="s">
        <v>40</v>
      </c>
      <c r="C520" s="78" t="s">
        <v>338</v>
      </c>
      <c r="D520" s="78" t="s">
        <v>750</v>
      </c>
      <c r="E520" s="79" t="s">
        <v>590</v>
      </c>
      <c r="F520" s="78" t="s">
        <v>591</v>
      </c>
      <c r="G520" s="78" t="s">
        <v>250</v>
      </c>
      <c r="H520" s="78" t="s">
        <v>11</v>
      </c>
      <c r="I520" s="78" t="s">
        <v>214</v>
      </c>
      <c r="J520" s="79" t="s">
        <v>251</v>
      </c>
      <c r="K520" s="80">
        <v>5</v>
      </c>
      <c r="L520" s="80">
        <f t="shared" si="144"/>
        <v>3.9215686274509802</v>
      </c>
      <c r="M520" s="81">
        <f>prodnorm30</f>
        <v>0</v>
      </c>
      <c r="N520" s="82">
        <f>dagwerk30</f>
        <v>0</v>
      </c>
      <c r="O520" s="78" t="s">
        <v>103</v>
      </c>
      <c r="P520" s="15">
        <f>uurtarief30</f>
        <v>0</v>
      </c>
      <c r="Q520" s="80" t="e">
        <f t="shared" si="145"/>
        <v>#DIV/0!</v>
      </c>
      <c r="R520" s="80" t="e">
        <f t="shared" si="146"/>
        <v>#DIV/0!</v>
      </c>
      <c r="S520" s="15" t="e">
        <f t="shared" si="147"/>
        <v>#DIV/0!</v>
      </c>
      <c r="T520" s="80" t="e">
        <f t="shared" si="148"/>
        <v>#DIV/0!</v>
      </c>
      <c r="U520" s="16" t="e">
        <f t="shared" si="149"/>
        <v>#DIV/0!</v>
      </c>
    </row>
    <row r="521" spans="1:21" x14ac:dyDescent="0.3">
      <c r="A521" s="77" t="s">
        <v>575</v>
      </c>
      <c r="B521" s="78" t="s">
        <v>40</v>
      </c>
      <c r="C521" s="78" t="s">
        <v>338</v>
      </c>
      <c r="D521" s="78" t="s">
        <v>751</v>
      </c>
      <c r="E521" s="79" t="s">
        <v>600</v>
      </c>
      <c r="F521" s="78" t="s">
        <v>580</v>
      </c>
      <c r="G521" s="78" t="s">
        <v>216</v>
      </c>
      <c r="H521" s="78" t="s">
        <v>11</v>
      </c>
      <c r="I521" s="78" t="s">
        <v>214</v>
      </c>
      <c r="J521" s="79" t="s">
        <v>217</v>
      </c>
      <c r="K521" s="80">
        <v>12.9</v>
      </c>
      <c r="L521" s="80">
        <f t="shared" si="144"/>
        <v>10.117647058823529</v>
      </c>
      <c r="M521" s="81">
        <f>prodnorm6</f>
        <v>0</v>
      </c>
      <c r="N521" s="82">
        <f>dagwerk6</f>
        <v>0</v>
      </c>
      <c r="O521" s="78" t="s">
        <v>103</v>
      </c>
      <c r="P521" s="15">
        <f>uurtarief6</f>
        <v>0</v>
      </c>
      <c r="Q521" s="80" t="e">
        <f t="shared" si="145"/>
        <v>#DIV/0!</v>
      </c>
      <c r="R521" s="80" t="e">
        <f t="shared" si="146"/>
        <v>#DIV/0!</v>
      </c>
      <c r="S521" s="15" t="e">
        <f t="shared" si="147"/>
        <v>#DIV/0!</v>
      </c>
      <c r="T521" s="80" t="e">
        <f t="shared" si="148"/>
        <v>#DIV/0!</v>
      </c>
      <c r="U521" s="16" t="e">
        <f t="shared" si="149"/>
        <v>#DIV/0!</v>
      </c>
    </row>
    <row r="522" spans="1:21" x14ac:dyDescent="0.3">
      <c r="A522" s="77" t="s">
        <v>575</v>
      </c>
      <c r="B522" s="78" t="s">
        <v>40</v>
      </c>
      <c r="C522" s="78" t="s">
        <v>338</v>
      </c>
      <c r="D522" s="78" t="s">
        <v>752</v>
      </c>
      <c r="E522" s="79" t="s">
        <v>590</v>
      </c>
      <c r="F522" s="78" t="s">
        <v>591</v>
      </c>
      <c r="G522" s="78" t="s">
        <v>250</v>
      </c>
      <c r="H522" s="78" t="s">
        <v>11</v>
      </c>
      <c r="I522" s="78" t="s">
        <v>214</v>
      </c>
      <c r="J522" s="79" t="s">
        <v>251</v>
      </c>
      <c r="K522" s="80">
        <v>5</v>
      </c>
      <c r="L522" s="80">
        <f t="shared" si="144"/>
        <v>3.9215686274509802</v>
      </c>
      <c r="M522" s="81">
        <f>prodnorm30</f>
        <v>0</v>
      </c>
      <c r="N522" s="82">
        <f>dagwerk30</f>
        <v>0</v>
      </c>
      <c r="O522" s="78" t="s">
        <v>103</v>
      </c>
      <c r="P522" s="15">
        <f>uurtarief30</f>
        <v>0</v>
      </c>
      <c r="Q522" s="80" t="e">
        <f t="shared" si="145"/>
        <v>#DIV/0!</v>
      </c>
      <c r="R522" s="80" t="e">
        <f t="shared" si="146"/>
        <v>#DIV/0!</v>
      </c>
      <c r="S522" s="15" t="e">
        <f t="shared" si="147"/>
        <v>#DIV/0!</v>
      </c>
      <c r="T522" s="80" t="e">
        <f t="shared" si="148"/>
        <v>#DIV/0!</v>
      </c>
      <c r="U522" s="16" t="e">
        <f t="shared" si="149"/>
        <v>#DIV/0!</v>
      </c>
    </row>
    <row r="523" spans="1:21" x14ac:dyDescent="0.3">
      <c r="A523" s="77" t="s">
        <v>575</v>
      </c>
      <c r="B523" s="78" t="s">
        <v>40</v>
      </c>
      <c r="C523" s="78" t="s">
        <v>338</v>
      </c>
      <c r="D523" s="78" t="s">
        <v>753</v>
      </c>
      <c r="E523" s="79" t="s">
        <v>699</v>
      </c>
      <c r="F523" s="78" t="s">
        <v>591</v>
      </c>
      <c r="G523" s="78" t="s">
        <v>250</v>
      </c>
      <c r="H523" s="78" t="s">
        <v>11</v>
      </c>
      <c r="I523" s="78" t="s">
        <v>214</v>
      </c>
      <c r="J523" s="79" t="s">
        <v>251</v>
      </c>
      <c r="K523" s="80">
        <v>3.7</v>
      </c>
      <c r="L523" s="80">
        <f t="shared" si="144"/>
        <v>2.9019607843137254</v>
      </c>
      <c r="M523" s="81">
        <f>prodnorm30</f>
        <v>0</v>
      </c>
      <c r="N523" s="82">
        <f>dagwerk30</f>
        <v>0</v>
      </c>
      <c r="O523" s="78" t="s">
        <v>103</v>
      </c>
      <c r="P523" s="15">
        <f>uurtarief30</f>
        <v>0</v>
      </c>
      <c r="Q523" s="80" t="e">
        <f t="shared" si="145"/>
        <v>#DIV/0!</v>
      </c>
      <c r="R523" s="80" t="e">
        <f t="shared" si="146"/>
        <v>#DIV/0!</v>
      </c>
      <c r="S523" s="15" t="e">
        <f t="shared" si="147"/>
        <v>#DIV/0!</v>
      </c>
      <c r="T523" s="80" t="e">
        <f t="shared" si="148"/>
        <v>#DIV/0!</v>
      </c>
      <c r="U523" s="16" t="e">
        <f t="shared" si="149"/>
        <v>#DIV/0!</v>
      </c>
    </row>
    <row r="524" spans="1:21" x14ac:dyDescent="0.3">
      <c r="A524" s="77" t="s">
        <v>575</v>
      </c>
      <c r="B524" s="78" t="s">
        <v>40</v>
      </c>
      <c r="C524" s="78" t="s">
        <v>338</v>
      </c>
      <c r="D524" s="78" t="s">
        <v>754</v>
      </c>
      <c r="E524" s="79" t="s">
        <v>600</v>
      </c>
      <c r="F524" s="78" t="s">
        <v>580</v>
      </c>
      <c r="G524" s="78" t="s">
        <v>216</v>
      </c>
      <c r="H524" s="78" t="s">
        <v>11</v>
      </c>
      <c r="I524" s="78" t="s">
        <v>214</v>
      </c>
      <c r="J524" s="79" t="s">
        <v>217</v>
      </c>
      <c r="K524" s="80">
        <v>12.8</v>
      </c>
      <c r="L524" s="80">
        <f t="shared" si="144"/>
        <v>10.03921568627451</v>
      </c>
      <c r="M524" s="81">
        <f>prodnorm6</f>
        <v>0</v>
      </c>
      <c r="N524" s="82">
        <f>dagwerk6</f>
        <v>0</v>
      </c>
      <c r="O524" s="78" t="s">
        <v>103</v>
      </c>
      <c r="P524" s="15">
        <f>uurtarief6</f>
        <v>0</v>
      </c>
      <c r="Q524" s="80" t="e">
        <f t="shared" si="145"/>
        <v>#DIV/0!</v>
      </c>
      <c r="R524" s="80" t="e">
        <f t="shared" si="146"/>
        <v>#DIV/0!</v>
      </c>
      <c r="S524" s="15" t="e">
        <f t="shared" si="147"/>
        <v>#DIV/0!</v>
      </c>
      <c r="T524" s="80" t="e">
        <f t="shared" si="148"/>
        <v>#DIV/0!</v>
      </c>
      <c r="U524" s="16" t="e">
        <f t="shared" si="149"/>
        <v>#DIV/0!</v>
      </c>
    </row>
    <row r="525" spans="1:21" ht="27" x14ac:dyDescent="0.3">
      <c r="A525" s="77" t="s">
        <v>575</v>
      </c>
      <c r="B525" s="78" t="s">
        <v>40</v>
      </c>
      <c r="C525" s="78" t="s">
        <v>338</v>
      </c>
      <c r="D525" s="78" t="s">
        <v>755</v>
      </c>
      <c r="E525" s="79" t="s">
        <v>579</v>
      </c>
      <c r="F525" s="78" t="s">
        <v>580</v>
      </c>
      <c r="G525" s="78" t="s">
        <v>256</v>
      </c>
      <c r="H525" s="78" t="s">
        <v>11</v>
      </c>
      <c r="I525" s="78" t="s">
        <v>214</v>
      </c>
      <c r="J525" s="79" t="s">
        <v>257</v>
      </c>
      <c r="K525" s="80">
        <v>47.7</v>
      </c>
      <c r="L525" s="80">
        <f t="shared" si="144"/>
        <v>37.411764705882355</v>
      </c>
      <c r="M525" s="81">
        <f>prodnorm33</f>
        <v>0</v>
      </c>
      <c r="N525" s="82">
        <f>dagwerk33</f>
        <v>0</v>
      </c>
      <c r="O525" s="78" t="s">
        <v>103</v>
      </c>
      <c r="P525" s="15">
        <f>uurtarief33</f>
        <v>0</v>
      </c>
      <c r="Q525" s="80" t="e">
        <f t="shared" si="145"/>
        <v>#DIV/0!</v>
      </c>
      <c r="R525" s="80" t="e">
        <f t="shared" si="146"/>
        <v>#DIV/0!</v>
      </c>
      <c r="S525" s="15" t="e">
        <f t="shared" si="147"/>
        <v>#DIV/0!</v>
      </c>
      <c r="T525" s="80" t="e">
        <f t="shared" si="148"/>
        <v>#DIV/0!</v>
      </c>
      <c r="U525" s="16" t="e">
        <f t="shared" si="149"/>
        <v>#DIV/0!</v>
      </c>
    </row>
    <row r="526" spans="1:21" x14ac:dyDescent="0.3">
      <c r="A526" s="77" t="s">
        <v>575</v>
      </c>
      <c r="B526" s="78" t="s">
        <v>40</v>
      </c>
      <c r="C526" s="78" t="s">
        <v>338</v>
      </c>
      <c r="D526" s="78" t="s">
        <v>756</v>
      </c>
      <c r="E526" s="79" t="s">
        <v>757</v>
      </c>
      <c r="F526" s="78" t="s">
        <v>404</v>
      </c>
      <c r="G526" s="78" t="s">
        <v>300</v>
      </c>
      <c r="H526" s="78"/>
      <c r="I526" s="78"/>
      <c r="J526" s="78"/>
      <c r="K526" s="80">
        <v>17.8</v>
      </c>
      <c r="L526" s="80"/>
      <c r="M526" s="81"/>
      <c r="N526" s="82"/>
      <c r="O526" s="78"/>
      <c r="P526" s="15"/>
      <c r="Q526" s="80"/>
      <c r="R526" s="80"/>
      <c r="S526" s="15"/>
      <c r="T526" s="83"/>
      <c r="U526" s="16"/>
    </row>
    <row r="527" spans="1:21" x14ac:dyDescent="0.3">
      <c r="A527" s="77" t="s">
        <v>575</v>
      </c>
      <c r="B527" s="78" t="s">
        <v>40</v>
      </c>
      <c r="C527" s="78" t="s">
        <v>338</v>
      </c>
      <c r="D527" s="78" t="s">
        <v>758</v>
      </c>
      <c r="E527" s="79" t="s">
        <v>584</v>
      </c>
      <c r="F527" s="78" t="s">
        <v>580</v>
      </c>
      <c r="G527" s="78" t="s">
        <v>240</v>
      </c>
      <c r="H527" s="78" t="s">
        <v>11</v>
      </c>
      <c r="I527" s="78" t="s">
        <v>214</v>
      </c>
      <c r="J527" s="79" t="s">
        <v>241</v>
      </c>
      <c r="K527" s="80">
        <v>11.7</v>
      </c>
      <c r="L527" s="80">
        <f>K527*VLOOKUP(H527,dagsoorttabel1,2,FALSE)</f>
        <v>9.1764705882352935</v>
      </c>
      <c r="M527" s="81">
        <f>prodnorm25</f>
        <v>0</v>
      </c>
      <c r="N527" s="82">
        <f>dagwerk25</f>
        <v>0</v>
      </c>
      <c r="O527" s="78" t="s">
        <v>103</v>
      </c>
      <c r="P527" s="15">
        <f>uurtarief25</f>
        <v>0</v>
      </c>
      <c r="Q527" s="80" t="e">
        <f>IF(ISBLANK(M527),0,L527/ROUND(M527,4))</f>
        <v>#DIV/0!</v>
      </c>
      <c r="R527" s="80" t="e">
        <f>IF(ISBLANK(M527),0,Q527*ROUND(N527,2))</f>
        <v>#DIV/0!</v>
      </c>
      <c r="S527" s="15" t="e">
        <f>ROUND(P527,2)*Q527</f>
        <v>#DIV/0!</v>
      </c>
      <c r="T527" s="80" t="e">
        <f>Q527*dagenperjaar1</f>
        <v>#DIV/0!</v>
      </c>
      <c r="U527" s="16" t="e">
        <f>T527*ROUND(P527,2)</f>
        <v>#DIV/0!</v>
      </c>
    </row>
    <row r="528" spans="1:21" x14ac:dyDescent="0.3">
      <c r="A528" s="77" t="s">
        <v>575</v>
      </c>
      <c r="B528" s="78" t="s">
        <v>40</v>
      </c>
      <c r="C528" s="78" t="s">
        <v>338</v>
      </c>
      <c r="D528" s="78" t="s">
        <v>759</v>
      </c>
      <c r="E528" s="79" t="s">
        <v>610</v>
      </c>
      <c r="F528" s="78" t="s">
        <v>591</v>
      </c>
      <c r="G528" s="78" t="s">
        <v>250</v>
      </c>
      <c r="H528" s="78" t="s">
        <v>11</v>
      </c>
      <c r="I528" s="78" t="s">
        <v>214</v>
      </c>
      <c r="J528" s="79" t="s">
        <v>251</v>
      </c>
      <c r="K528" s="80">
        <v>2.9</v>
      </c>
      <c r="L528" s="80">
        <f>K528*VLOOKUP(H528,dagsoorttabel1,2,FALSE)</f>
        <v>2.2745098039215685</v>
      </c>
      <c r="M528" s="81">
        <f>prodnorm30</f>
        <v>0</v>
      </c>
      <c r="N528" s="82">
        <f>dagwerk30</f>
        <v>0</v>
      </c>
      <c r="O528" s="78" t="s">
        <v>103</v>
      </c>
      <c r="P528" s="15">
        <f>uurtarief30</f>
        <v>0</v>
      </c>
      <c r="Q528" s="80" t="e">
        <f>IF(ISBLANK(M528),0,L528/ROUND(M528,4))</f>
        <v>#DIV/0!</v>
      </c>
      <c r="R528" s="80" t="e">
        <f>IF(ISBLANK(M528),0,Q528*ROUND(N528,2))</f>
        <v>#DIV/0!</v>
      </c>
      <c r="S528" s="15" t="e">
        <f>ROUND(P528,2)*Q528</f>
        <v>#DIV/0!</v>
      </c>
      <c r="T528" s="80" t="e">
        <f>Q528*dagenperjaar1</f>
        <v>#DIV/0!</v>
      </c>
      <c r="U528" s="16" t="e">
        <f>T528*ROUND(P528,2)</f>
        <v>#DIV/0!</v>
      </c>
    </row>
    <row r="529" spans="1:21" x14ac:dyDescent="0.3">
      <c r="A529" s="77" t="s">
        <v>575</v>
      </c>
      <c r="B529" s="78" t="s">
        <v>40</v>
      </c>
      <c r="C529" s="78" t="s">
        <v>338</v>
      </c>
      <c r="D529" s="78" t="s">
        <v>760</v>
      </c>
      <c r="E529" s="79" t="s">
        <v>761</v>
      </c>
      <c r="F529" s="78" t="s">
        <v>40</v>
      </c>
      <c r="G529" s="78" t="s">
        <v>300</v>
      </c>
      <c r="H529" s="78"/>
      <c r="I529" s="78"/>
      <c r="J529" s="78"/>
      <c r="K529" s="80">
        <v>15.1</v>
      </c>
      <c r="L529" s="80"/>
      <c r="M529" s="81"/>
      <c r="N529" s="82"/>
      <c r="O529" s="78"/>
      <c r="P529" s="15"/>
      <c r="Q529" s="80"/>
      <c r="R529" s="80"/>
      <c r="S529" s="15"/>
      <c r="T529" s="83"/>
      <c r="U529" s="16"/>
    </row>
    <row r="530" spans="1:21" x14ac:dyDescent="0.3">
      <c r="A530" s="77" t="s">
        <v>575</v>
      </c>
      <c r="B530" s="78" t="s">
        <v>40</v>
      </c>
      <c r="C530" s="78" t="s">
        <v>556</v>
      </c>
      <c r="D530" s="78" t="s">
        <v>557</v>
      </c>
      <c r="E530" s="79" t="s">
        <v>594</v>
      </c>
      <c r="F530" s="78" t="s">
        <v>404</v>
      </c>
      <c r="G530" s="78" t="s">
        <v>252</v>
      </c>
      <c r="H530" s="78" t="s">
        <v>11</v>
      </c>
      <c r="I530" s="78" t="s">
        <v>214</v>
      </c>
      <c r="J530" s="79" t="s">
        <v>253</v>
      </c>
      <c r="K530" s="80">
        <v>8.8000000000000007</v>
      </c>
      <c r="L530" s="80">
        <f>K530*VLOOKUP(H530,dagsoorttabel1,2,FALSE)</f>
        <v>6.9019607843137258</v>
      </c>
      <c r="M530" s="81">
        <f>prodnorm31</f>
        <v>0</v>
      </c>
      <c r="N530" s="82">
        <f>dagwerk31</f>
        <v>0</v>
      </c>
      <c r="O530" s="78" t="s">
        <v>103</v>
      </c>
      <c r="P530" s="15">
        <f>uurtarief31</f>
        <v>0</v>
      </c>
      <c r="Q530" s="80" t="e">
        <f>IF(ISBLANK(M530),0,L530/ROUND(M530,4))</f>
        <v>#DIV/0!</v>
      </c>
      <c r="R530" s="80" t="e">
        <f>IF(ISBLANK(M530),0,Q530*ROUND(N530,2))</f>
        <v>#DIV/0!</v>
      </c>
      <c r="S530" s="15" t="e">
        <f>ROUND(P530,2)*Q530</f>
        <v>#DIV/0!</v>
      </c>
      <c r="T530" s="80" t="e">
        <f>Q530*dagenperjaar1</f>
        <v>#DIV/0!</v>
      </c>
      <c r="U530" s="16" t="e">
        <f>T530*ROUND(P530,2)</f>
        <v>#DIV/0!</v>
      </c>
    </row>
    <row r="531" spans="1:21" x14ac:dyDescent="0.3">
      <c r="A531" s="84" t="s">
        <v>575</v>
      </c>
      <c r="B531" s="85" t="s">
        <v>40</v>
      </c>
      <c r="C531" s="85" t="s">
        <v>556</v>
      </c>
      <c r="D531" s="85" t="s">
        <v>559</v>
      </c>
      <c r="E531" s="86" t="s">
        <v>762</v>
      </c>
      <c r="F531" s="85" t="s">
        <v>692</v>
      </c>
      <c r="G531" s="85" t="s">
        <v>300</v>
      </c>
      <c r="H531" s="85"/>
      <c r="I531" s="85"/>
      <c r="J531" s="85"/>
      <c r="K531" s="87">
        <v>208.3</v>
      </c>
      <c r="L531" s="87"/>
      <c r="M531" s="88"/>
      <c r="N531" s="89"/>
      <c r="O531" s="85"/>
      <c r="P531" s="24"/>
      <c r="Q531" s="87"/>
      <c r="R531" s="87"/>
      <c r="S531" s="24"/>
      <c r="T531" s="92"/>
      <c r="U531" s="25"/>
    </row>
    <row r="532" spans="1:21" x14ac:dyDescent="0.3">
      <c r="A532" s="90" t="s">
        <v>506</v>
      </c>
      <c r="B532" s="60"/>
      <c r="C532" s="60"/>
      <c r="D532" s="60"/>
      <c r="E532" s="60"/>
      <c r="F532" s="60"/>
      <c r="G532" s="60"/>
      <c r="H532" s="60"/>
      <c r="I532" s="60"/>
      <c r="J532" s="60"/>
      <c r="K532" s="60"/>
      <c r="L532" s="60"/>
      <c r="M532" s="60"/>
      <c r="N532" s="60"/>
      <c r="O532" s="60"/>
      <c r="P532" s="62" t="e">
        <f>IF(_xlfn.SINGLE(object3_urenjaar1)&gt;0,_xlfn.SINGLE(object3_prijsjaar1)/_xlfn.SINGLE(object3_urenjaar1),0)</f>
        <v>#DIV/0!</v>
      </c>
      <c r="Q532" s="61" t="e">
        <f>SUM(Q340:Q531)</f>
        <v>#DIV/0!</v>
      </c>
      <c r="R532" s="61" t="e">
        <f>SUM(R340:R531)</f>
        <v>#DIV/0!</v>
      </c>
      <c r="S532" s="62" t="e">
        <f>SUM(S340:S531)</f>
        <v>#DIV/0!</v>
      </c>
      <c r="T532" s="61" t="e">
        <f>SUM(T340:T531)</f>
        <v>#DIV/0!</v>
      </c>
      <c r="U532" s="63" t="e">
        <f>SUM(U340:U531)</f>
        <v>#DIV/0!</v>
      </c>
    </row>
    <row r="533" spans="1:21" x14ac:dyDescent="0.3">
      <c r="A533" s="68" t="s">
        <v>763</v>
      </c>
      <c r="B533" s="32"/>
      <c r="C533" s="32"/>
      <c r="D533" s="32"/>
      <c r="E533" s="32"/>
      <c r="F533" s="32"/>
      <c r="G533" s="32"/>
      <c r="H533" s="32"/>
      <c r="I533" s="32"/>
      <c r="J533" s="32"/>
      <c r="K533" s="32"/>
      <c r="L533" s="32"/>
      <c r="M533" s="32"/>
      <c r="N533" s="32"/>
      <c r="O533" s="32"/>
      <c r="P533" s="32"/>
      <c r="Q533" s="32"/>
      <c r="R533" s="32"/>
      <c r="S533" s="32"/>
      <c r="T533" s="32"/>
      <c r="U533" s="58"/>
    </row>
    <row r="534" spans="1:21" x14ac:dyDescent="0.3">
      <c r="A534" s="69" t="s">
        <v>764</v>
      </c>
      <c r="B534" s="70" t="s">
        <v>40</v>
      </c>
      <c r="C534" s="70" t="s">
        <v>280</v>
      </c>
      <c r="D534" s="70" t="s">
        <v>281</v>
      </c>
      <c r="E534" s="71" t="s">
        <v>765</v>
      </c>
      <c r="F534" s="70" t="s">
        <v>591</v>
      </c>
      <c r="G534" s="70" t="s">
        <v>250</v>
      </c>
      <c r="H534" s="70" t="s">
        <v>11</v>
      </c>
      <c r="I534" s="70" t="s">
        <v>214</v>
      </c>
      <c r="J534" s="71" t="s">
        <v>251</v>
      </c>
      <c r="K534" s="72">
        <v>6</v>
      </c>
      <c r="L534" s="72">
        <f>K534*VLOOKUP(H534,dagsoorttabel1,2,FALSE)</f>
        <v>4.7058823529411766</v>
      </c>
      <c r="M534" s="73">
        <f>prodnorm30</f>
        <v>0</v>
      </c>
      <c r="N534" s="74">
        <f>dagwerk30</f>
        <v>0</v>
      </c>
      <c r="O534" s="70" t="s">
        <v>103</v>
      </c>
      <c r="P534" s="75">
        <f>uurtarief30</f>
        <v>0</v>
      </c>
      <c r="Q534" s="72" t="e">
        <f>IF(ISBLANK(M534),0,L534/ROUND(M534,4))</f>
        <v>#DIV/0!</v>
      </c>
      <c r="R534" s="72" t="e">
        <f>IF(ISBLANK(M534),0,Q534*ROUND(N534,2))</f>
        <v>#DIV/0!</v>
      </c>
      <c r="S534" s="75" t="e">
        <f>ROUND(P534,2)*Q534</f>
        <v>#DIV/0!</v>
      </c>
      <c r="T534" s="72" t="e">
        <f>Q534*dagenperjaar1</f>
        <v>#DIV/0!</v>
      </c>
      <c r="U534" s="76" t="e">
        <f>T534*ROUND(P534,2)</f>
        <v>#DIV/0!</v>
      </c>
    </row>
    <row r="535" spans="1:21" x14ac:dyDescent="0.3">
      <c r="A535" s="77" t="s">
        <v>764</v>
      </c>
      <c r="B535" s="78" t="s">
        <v>40</v>
      </c>
      <c r="C535" s="78" t="s">
        <v>280</v>
      </c>
      <c r="D535" s="78" t="s">
        <v>284</v>
      </c>
      <c r="E535" s="79" t="s">
        <v>766</v>
      </c>
      <c r="F535" s="78" t="s">
        <v>591</v>
      </c>
      <c r="G535" s="78" t="s">
        <v>250</v>
      </c>
      <c r="H535" s="78" t="s">
        <v>11</v>
      </c>
      <c r="I535" s="78" t="s">
        <v>214</v>
      </c>
      <c r="J535" s="79" t="s">
        <v>251</v>
      </c>
      <c r="K535" s="80">
        <v>6</v>
      </c>
      <c r="L535" s="80">
        <f>K535*VLOOKUP(H535,dagsoorttabel1,2,FALSE)</f>
        <v>4.7058823529411766</v>
      </c>
      <c r="M535" s="81">
        <f>prodnorm30</f>
        <v>0</v>
      </c>
      <c r="N535" s="82">
        <f>dagwerk30</f>
        <v>0</v>
      </c>
      <c r="O535" s="78" t="s">
        <v>103</v>
      </c>
      <c r="P535" s="15">
        <f>uurtarief30</f>
        <v>0</v>
      </c>
      <c r="Q535" s="80" t="e">
        <f>IF(ISBLANK(M535),0,L535/ROUND(M535,4))</f>
        <v>#DIV/0!</v>
      </c>
      <c r="R535" s="80" t="e">
        <f>IF(ISBLANK(M535),0,Q535*ROUND(N535,2))</f>
        <v>#DIV/0!</v>
      </c>
      <c r="S535" s="15" t="e">
        <f>ROUND(P535,2)*Q535</f>
        <v>#DIV/0!</v>
      </c>
      <c r="T535" s="80" t="e">
        <f>Q535*dagenperjaar1</f>
        <v>#DIV/0!</v>
      </c>
      <c r="U535" s="16" t="e">
        <f>T535*ROUND(P535,2)</f>
        <v>#DIV/0!</v>
      </c>
    </row>
    <row r="536" spans="1:21" x14ac:dyDescent="0.3">
      <c r="A536" s="77" t="s">
        <v>764</v>
      </c>
      <c r="B536" s="78" t="s">
        <v>40</v>
      </c>
      <c r="C536" s="78" t="s">
        <v>280</v>
      </c>
      <c r="D536" s="78" t="s">
        <v>289</v>
      </c>
      <c r="E536" s="79" t="s">
        <v>767</v>
      </c>
      <c r="F536" s="78" t="s">
        <v>768</v>
      </c>
      <c r="G536" s="78" t="s">
        <v>244</v>
      </c>
      <c r="H536" s="78" t="s">
        <v>11</v>
      </c>
      <c r="I536" s="78" t="s">
        <v>214</v>
      </c>
      <c r="J536" s="79" t="s">
        <v>245</v>
      </c>
      <c r="K536" s="80">
        <v>69</v>
      </c>
      <c r="L536" s="80">
        <f>K536*VLOOKUP(H536,dagsoorttabel1,2,FALSE)</f>
        <v>54.117647058823529</v>
      </c>
      <c r="M536" s="81">
        <f>prodnorm27</f>
        <v>0</v>
      </c>
      <c r="N536" s="82">
        <f>dagwerk27</f>
        <v>0</v>
      </c>
      <c r="O536" s="78" t="s">
        <v>103</v>
      </c>
      <c r="P536" s="15">
        <f>uurtarief27</f>
        <v>0</v>
      </c>
      <c r="Q536" s="80" t="e">
        <f>IF(ISBLANK(M536),0,L536/ROUND(M536,4))</f>
        <v>#DIV/0!</v>
      </c>
      <c r="R536" s="80" t="e">
        <f>IF(ISBLANK(M536),0,Q536*ROUND(N536,2))</f>
        <v>#DIV/0!</v>
      </c>
      <c r="S536" s="15" t="e">
        <f>ROUND(P536,2)*Q536</f>
        <v>#DIV/0!</v>
      </c>
      <c r="T536" s="80" t="e">
        <f>Q536*dagenperjaar1</f>
        <v>#DIV/0!</v>
      </c>
      <c r="U536" s="16" t="e">
        <f>T536*ROUND(P536,2)</f>
        <v>#DIV/0!</v>
      </c>
    </row>
    <row r="537" spans="1:21" x14ac:dyDescent="0.3">
      <c r="A537" s="77" t="s">
        <v>764</v>
      </c>
      <c r="B537" s="78" t="s">
        <v>40</v>
      </c>
      <c r="C537" s="78" t="s">
        <v>280</v>
      </c>
      <c r="D537" s="78" t="s">
        <v>291</v>
      </c>
      <c r="E537" s="79" t="s">
        <v>769</v>
      </c>
      <c r="F537" s="78" t="s">
        <v>509</v>
      </c>
      <c r="G537" s="78" t="s">
        <v>300</v>
      </c>
      <c r="H537" s="78"/>
      <c r="I537" s="78"/>
      <c r="J537" s="78"/>
      <c r="K537" s="80">
        <v>8</v>
      </c>
      <c r="L537" s="80"/>
      <c r="M537" s="81"/>
      <c r="N537" s="82"/>
      <c r="O537" s="78"/>
      <c r="P537" s="15"/>
      <c r="Q537" s="80"/>
      <c r="R537" s="80"/>
      <c r="S537" s="15"/>
      <c r="T537" s="83"/>
      <c r="U537" s="16"/>
    </row>
    <row r="538" spans="1:21" x14ac:dyDescent="0.3">
      <c r="A538" s="77" t="s">
        <v>764</v>
      </c>
      <c r="B538" s="78" t="s">
        <v>40</v>
      </c>
      <c r="C538" s="78" t="s">
        <v>280</v>
      </c>
      <c r="D538" s="78" t="s">
        <v>292</v>
      </c>
      <c r="E538" s="79" t="s">
        <v>769</v>
      </c>
      <c r="F538" s="78" t="s">
        <v>509</v>
      </c>
      <c r="G538" s="78" t="s">
        <v>300</v>
      </c>
      <c r="H538" s="78"/>
      <c r="I538" s="78"/>
      <c r="J538" s="78"/>
      <c r="K538" s="80">
        <v>8</v>
      </c>
      <c r="L538" s="80"/>
      <c r="M538" s="81"/>
      <c r="N538" s="82"/>
      <c r="O538" s="78"/>
      <c r="P538" s="15"/>
      <c r="Q538" s="80"/>
      <c r="R538" s="80"/>
      <c r="S538" s="15"/>
      <c r="T538" s="83"/>
      <c r="U538" s="16"/>
    </row>
    <row r="539" spans="1:21" x14ac:dyDescent="0.3">
      <c r="A539" s="77" t="s">
        <v>764</v>
      </c>
      <c r="B539" s="78" t="s">
        <v>40</v>
      </c>
      <c r="C539" s="78" t="s">
        <v>280</v>
      </c>
      <c r="D539" s="78" t="s">
        <v>294</v>
      </c>
      <c r="E539" s="79" t="s">
        <v>770</v>
      </c>
      <c r="F539" s="78" t="s">
        <v>768</v>
      </c>
      <c r="G539" s="78" t="s">
        <v>244</v>
      </c>
      <c r="H539" s="78" t="s">
        <v>11</v>
      </c>
      <c r="I539" s="78" t="s">
        <v>214</v>
      </c>
      <c r="J539" s="79" t="s">
        <v>245</v>
      </c>
      <c r="K539" s="80">
        <v>95</v>
      </c>
      <c r="L539" s="80">
        <f>K539*VLOOKUP(H539,dagsoorttabel1,2,FALSE)</f>
        <v>74.509803921568633</v>
      </c>
      <c r="M539" s="81">
        <f>prodnorm27</f>
        <v>0</v>
      </c>
      <c r="N539" s="82">
        <f>dagwerk27</f>
        <v>0</v>
      </c>
      <c r="O539" s="78" t="s">
        <v>103</v>
      </c>
      <c r="P539" s="15">
        <f>uurtarief27</f>
        <v>0</v>
      </c>
      <c r="Q539" s="80" t="e">
        <f>IF(ISBLANK(M539),0,L539/ROUND(M539,4))</f>
        <v>#DIV/0!</v>
      </c>
      <c r="R539" s="80" t="e">
        <f>IF(ISBLANK(M539),0,Q539*ROUND(N539,2))</f>
        <v>#DIV/0!</v>
      </c>
      <c r="S539" s="15" t="e">
        <f>ROUND(P539,2)*Q539</f>
        <v>#DIV/0!</v>
      </c>
      <c r="T539" s="80" t="e">
        <f>Q539*dagenperjaar1</f>
        <v>#DIV/0!</v>
      </c>
      <c r="U539" s="16" t="e">
        <f>T539*ROUND(P539,2)</f>
        <v>#DIV/0!</v>
      </c>
    </row>
    <row r="540" spans="1:21" x14ac:dyDescent="0.3">
      <c r="A540" s="77" t="s">
        <v>764</v>
      </c>
      <c r="B540" s="78" t="s">
        <v>40</v>
      </c>
      <c r="C540" s="78" t="s">
        <v>280</v>
      </c>
      <c r="D540" s="78" t="s">
        <v>296</v>
      </c>
      <c r="E540" s="79" t="s">
        <v>592</v>
      </c>
      <c r="F540" s="78" t="s">
        <v>509</v>
      </c>
      <c r="G540" s="78" t="s">
        <v>300</v>
      </c>
      <c r="H540" s="78"/>
      <c r="I540" s="78"/>
      <c r="J540" s="78"/>
      <c r="K540" s="80">
        <v>28</v>
      </c>
      <c r="L540" s="80"/>
      <c r="M540" s="81"/>
      <c r="N540" s="82"/>
      <c r="O540" s="78"/>
      <c r="P540" s="15"/>
      <c r="Q540" s="80"/>
      <c r="R540" s="80"/>
      <c r="S540" s="15"/>
      <c r="T540" s="83"/>
      <c r="U540" s="16"/>
    </row>
    <row r="541" spans="1:21" x14ac:dyDescent="0.3">
      <c r="A541" s="77" t="s">
        <v>764</v>
      </c>
      <c r="B541" s="78" t="s">
        <v>40</v>
      </c>
      <c r="C541" s="78" t="s">
        <v>280</v>
      </c>
      <c r="D541" s="78" t="s">
        <v>301</v>
      </c>
      <c r="E541" s="79" t="s">
        <v>592</v>
      </c>
      <c r="F541" s="78" t="s">
        <v>509</v>
      </c>
      <c r="G541" s="78" t="s">
        <v>300</v>
      </c>
      <c r="H541" s="78"/>
      <c r="I541" s="78"/>
      <c r="J541" s="78"/>
      <c r="K541" s="80">
        <v>28</v>
      </c>
      <c r="L541" s="80"/>
      <c r="M541" s="81"/>
      <c r="N541" s="82"/>
      <c r="O541" s="78"/>
      <c r="P541" s="15"/>
      <c r="Q541" s="80"/>
      <c r="R541" s="80"/>
      <c r="S541" s="15"/>
      <c r="T541" s="83"/>
      <c r="U541" s="16"/>
    </row>
    <row r="542" spans="1:21" x14ac:dyDescent="0.3">
      <c r="A542" s="77" t="s">
        <v>764</v>
      </c>
      <c r="B542" s="78" t="s">
        <v>40</v>
      </c>
      <c r="C542" s="78" t="s">
        <v>280</v>
      </c>
      <c r="D542" s="78" t="s">
        <v>304</v>
      </c>
      <c r="E542" s="79" t="s">
        <v>771</v>
      </c>
      <c r="F542" s="78" t="s">
        <v>768</v>
      </c>
      <c r="G542" s="78" t="s">
        <v>244</v>
      </c>
      <c r="H542" s="78" t="s">
        <v>11</v>
      </c>
      <c r="I542" s="78" t="s">
        <v>214</v>
      </c>
      <c r="J542" s="79" t="s">
        <v>245</v>
      </c>
      <c r="K542" s="80">
        <v>111</v>
      </c>
      <c r="L542" s="80">
        <f t="shared" ref="L542:L547" si="150">K542*VLOOKUP(H542,dagsoorttabel1,2,FALSE)</f>
        <v>87.058823529411768</v>
      </c>
      <c r="M542" s="81">
        <f>prodnorm27</f>
        <v>0</v>
      </c>
      <c r="N542" s="82">
        <f>dagwerk27</f>
        <v>0</v>
      </c>
      <c r="O542" s="78" t="s">
        <v>103</v>
      </c>
      <c r="P542" s="15">
        <f>uurtarief27</f>
        <v>0</v>
      </c>
      <c r="Q542" s="80" t="e">
        <f t="shared" ref="Q542:Q547" si="151">IF(ISBLANK(M542),0,L542/ROUND(M542,4))</f>
        <v>#DIV/0!</v>
      </c>
      <c r="R542" s="80" t="e">
        <f t="shared" ref="R542:R547" si="152">IF(ISBLANK(M542),0,Q542*ROUND(N542,2))</f>
        <v>#DIV/0!</v>
      </c>
      <c r="S542" s="15" t="e">
        <f t="shared" ref="S542:S547" si="153">ROUND(P542,2)*Q542</f>
        <v>#DIV/0!</v>
      </c>
      <c r="T542" s="80" t="e">
        <f t="shared" ref="T542:T547" si="154">Q542*dagenperjaar1</f>
        <v>#DIV/0!</v>
      </c>
      <c r="U542" s="16" t="e">
        <f t="shared" ref="U542:U547" si="155">T542*ROUND(P542,2)</f>
        <v>#DIV/0!</v>
      </c>
    </row>
    <row r="543" spans="1:21" x14ac:dyDescent="0.3">
      <c r="A543" s="77" t="s">
        <v>764</v>
      </c>
      <c r="B543" s="78" t="s">
        <v>40</v>
      </c>
      <c r="C543" s="78" t="s">
        <v>280</v>
      </c>
      <c r="D543" s="78" t="s">
        <v>309</v>
      </c>
      <c r="E543" s="79" t="s">
        <v>772</v>
      </c>
      <c r="F543" s="78" t="s">
        <v>768</v>
      </c>
      <c r="G543" s="78" t="s">
        <v>216</v>
      </c>
      <c r="H543" s="78" t="s">
        <v>11</v>
      </c>
      <c r="I543" s="78" t="s">
        <v>214</v>
      </c>
      <c r="J543" s="79" t="s">
        <v>217</v>
      </c>
      <c r="K543" s="80">
        <v>67</v>
      </c>
      <c r="L543" s="80">
        <f t="shared" si="150"/>
        <v>52.549019607843135</v>
      </c>
      <c r="M543" s="81">
        <f>prodnorm6</f>
        <v>0</v>
      </c>
      <c r="N543" s="82">
        <f>dagwerk6</f>
        <v>0</v>
      </c>
      <c r="O543" s="78" t="s">
        <v>103</v>
      </c>
      <c r="P543" s="15">
        <f>uurtarief6</f>
        <v>0</v>
      </c>
      <c r="Q543" s="80" t="e">
        <f t="shared" si="151"/>
        <v>#DIV/0!</v>
      </c>
      <c r="R543" s="80" t="e">
        <f t="shared" si="152"/>
        <v>#DIV/0!</v>
      </c>
      <c r="S543" s="15" t="e">
        <f t="shared" si="153"/>
        <v>#DIV/0!</v>
      </c>
      <c r="T543" s="80" t="e">
        <f t="shared" si="154"/>
        <v>#DIV/0!</v>
      </c>
      <c r="U543" s="16" t="e">
        <f t="shared" si="155"/>
        <v>#DIV/0!</v>
      </c>
    </row>
    <row r="544" spans="1:21" x14ac:dyDescent="0.3">
      <c r="A544" s="77" t="s">
        <v>764</v>
      </c>
      <c r="B544" s="78" t="s">
        <v>40</v>
      </c>
      <c r="C544" s="78" t="s">
        <v>280</v>
      </c>
      <c r="D544" s="78" t="s">
        <v>311</v>
      </c>
      <c r="E544" s="79" t="s">
        <v>773</v>
      </c>
      <c r="F544" s="78" t="s">
        <v>591</v>
      </c>
      <c r="G544" s="78" t="s">
        <v>250</v>
      </c>
      <c r="H544" s="78" t="s">
        <v>11</v>
      </c>
      <c r="I544" s="78" t="s">
        <v>214</v>
      </c>
      <c r="J544" s="79" t="s">
        <v>251</v>
      </c>
      <c r="K544" s="80">
        <v>6</v>
      </c>
      <c r="L544" s="80">
        <f t="shared" si="150"/>
        <v>4.7058823529411766</v>
      </c>
      <c r="M544" s="81">
        <f>prodnorm30</f>
        <v>0</v>
      </c>
      <c r="N544" s="82">
        <f>dagwerk30</f>
        <v>0</v>
      </c>
      <c r="O544" s="78" t="s">
        <v>103</v>
      </c>
      <c r="P544" s="15">
        <f>uurtarief30</f>
        <v>0</v>
      </c>
      <c r="Q544" s="80" t="e">
        <f t="shared" si="151"/>
        <v>#DIV/0!</v>
      </c>
      <c r="R544" s="80" t="e">
        <f t="shared" si="152"/>
        <v>#DIV/0!</v>
      </c>
      <c r="S544" s="15" t="e">
        <f t="shared" si="153"/>
        <v>#DIV/0!</v>
      </c>
      <c r="T544" s="80" t="e">
        <f t="shared" si="154"/>
        <v>#DIV/0!</v>
      </c>
      <c r="U544" s="16" t="e">
        <f t="shared" si="155"/>
        <v>#DIV/0!</v>
      </c>
    </row>
    <row r="545" spans="1:21" x14ac:dyDescent="0.3">
      <c r="A545" s="77" t="s">
        <v>764</v>
      </c>
      <c r="B545" s="78" t="s">
        <v>40</v>
      </c>
      <c r="C545" s="78" t="s">
        <v>280</v>
      </c>
      <c r="D545" s="78" t="s">
        <v>313</v>
      </c>
      <c r="E545" s="79" t="s">
        <v>774</v>
      </c>
      <c r="F545" s="78" t="s">
        <v>591</v>
      </c>
      <c r="G545" s="78" t="s">
        <v>250</v>
      </c>
      <c r="H545" s="78" t="s">
        <v>11</v>
      </c>
      <c r="I545" s="78" t="s">
        <v>214</v>
      </c>
      <c r="J545" s="79" t="s">
        <v>251</v>
      </c>
      <c r="K545" s="80">
        <v>6</v>
      </c>
      <c r="L545" s="80">
        <f t="shared" si="150"/>
        <v>4.7058823529411766</v>
      </c>
      <c r="M545" s="81">
        <f>prodnorm30</f>
        <v>0</v>
      </c>
      <c r="N545" s="82">
        <f>dagwerk30</f>
        <v>0</v>
      </c>
      <c r="O545" s="78" t="s">
        <v>103</v>
      </c>
      <c r="P545" s="15">
        <f>uurtarief30</f>
        <v>0</v>
      </c>
      <c r="Q545" s="80" t="e">
        <f t="shared" si="151"/>
        <v>#DIV/0!</v>
      </c>
      <c r="R545" s="80" t="e">
        <f t="shared" si="152"/>
        <v>#DIV/0!</v>
      </c>
      <c r="S545" s="15" t="e">
        <f t="shared" si="153"/>
        <v>#DIV/0!</v>
      </c>
      <c r="T545" s="80" t="e">
        <f t="shared" si="154"/>
        <v>#DIV/0!</v>
      </c>
      <c r="U545" s="16" t="e">
        <f t="shared" si="155"/>
        <v>#DIV/0!</v>
      </c>
    </row>
    <row r="546" spans="1:21" x14ac:dyDescent="0.3">
      <c r="A546" s="77" t="s">
        <v>764</v>
      </c>
      <c r="B546" s="78" t="s">
        <v>40</v>
      </c>
      <c r="C546" s="78" t="s">
        <v>280</v>
      </c>
      <c r="D546" s="78" t="s">
        <v>315</v>
      </c>
      <c r="E546" s="79" t="s">
        <v>775</v>
      </c>
      <c r="F546" s="78" t="s">
        <v>768</v>
      </c>
      <c r="G546" s="78" t="s">
        <v>216</v>
      </c>
      <c r="H546" s="78" t="s">
        <v>11</v>
      </c>
      <c r="I546" s="78" t="s">
        <v>214</v>
      </c>
      <c r="J546" s="79" t="s">
        <v>217</v>
      </c>
      <c r="K546" s="80">
        <v>14</v>
      </c>
      <c r="L546" s="80">
        <f t="shared" si="150"/>
        <v>10.980392156862745</v>
      </c>
      <c r="M546" s="81">
        <f>prodnorm6</f>
        <v>0</v>
      </c>
      <c r="N546" s="82">
        <f>dagwerk6</f>
        <v>0</v>
      </c>
      <c r="O546" s="78" t="s">
        <v>103</v>
      </c>
      <c r="P546" s="15">
        <f>uurtarief6</f>
        <v>0</v>
      </c>
      <c r="Q546" s="80" t="e">
        <f t="shared" si="151"/>
        <v>#DIV/0!</v>
      </c>
      <c r="R546" s="80" t="e">
        <f t="shared" si="152"/>
        <v>#DIV/0!</v>
      </c>
      <c r="S546" s="15" t="e">
        <f t="shared" si="153"/>
        <v>#DIV/0!</v>
      </c>
      <c r="T546" s="80" t="e">
        <f t="shared" si="154"/>
        <v>#DIV/0!</v>
      </c>
      <c r="U546" s="16" t="e">
        <f t="shared" si="155"/>
        <v>#DIV/0!</v>
      </c>
    </row>
    <row r="547" spans="1:21" x14ac:dyDescent="0.3">
      <c r="A547" s="77" t="s">
        <v>764</v>
      </c>
      <c r="B547" s="78" t="s">
        <v>40</v>
      </c>
      <c r="C547" s="78" t="s">
        <v>280</v>
      </c>
      <c r="D547" s="78" t="s">
        <v>317</v>
      </c>
      <c r="E547" s="79" t="s">
        <v>776</v>
      </c>
      <c r="F547" s="78" t="s">
        <v>768</v>
      </c>
      <c r="G547" s="78" t="s">
        <v>216</v>
      </c>
      <c r="H547" s="78" t="s">
        <v>11</v>
      </c>
      <c r="I547" s="78" t="s">
        <v>214</v>
      </c>
      <c r="J547" s="79" t="s">
        <v>217</v>
      </c>
      <c r="K547" s="80">
        <v>24</v>
      </c>
      <c r="L547" s="80">
        <f t="shared" si="150"/>
        <v>18.823529411764707</v>
      </c>
      <c r="M547" s="81">
        <f>prodnorm6</f>
        <v>0</v>
      </c>
      <c r="N547" s="82">
        <f>dagwerk6</f>
        <v>0</v>
      </c>
      <c r="O547" s="78" t="s">
        <v>103</v>
      </c>
      <c r="P547" s="15">
        <f>uurtarief6</f>
        <v>0</v>
      </c>
      <c r="Q547" s="80" t="e">
        <f t="shared" si="151"/>
        <v>#DIV/0!</v>
      </c>
      <c r="R547" s="80" t="e">
        <f t="shared" si="152"/>
        <v>#DIV/0!</v>
      </c>
      <c r="S547" s="15" t="e">
        <f t="shared" si="153"/>
        <v>#DIV/0!</v>
      </c>
      <c r="T547" s="80" t="e">
        <f t="shared" si="154"/>
        <v>#DIV/0!</v>
      </c>
      <c r="U547" s="16" t="e">
        <f t="shared" si="155"/>
        <v>#DIV/0!</v>
      </c>
    </row>
    <row r="548" spans="1:21" x14ac:dyDescent="0.3">
      <c r="A548" s="77" t="s">
        <v>764</v>
      </c>
      <c r="B548" s="78" t="s">
        <v>40</v>
      </c>
      <c r="C548" s="78" t="s">
        <v>280</v>
      </c>
      <c r="D548" s="78" t="s">
        <v>319</v>
      </c>
      <c r="E548" s="79" t="s">
        <v>777</v>
      </c>
      <c r="F548" s="78" t="s">
        <v>509</v>
      </c>
      <c r="G548" s="78" t="s">
        <v>300</v>
      </c>
      <c r="H548" s="78"/>
      <c r="I548" s="78"/>
      <c r="J548" s="78"/>
      <c r="K548" s="80">
        <v>5</v>
      </c>
      <c r="L548" s="80"/>
      <c r="M548" s="81"/>
      <c r="N548" s="82"/>
      <c r="O548" s="78"/>
      <c r="P548" s="15"/>
      <c r="Q548" s="80"/>
      <c r="R548" s="80"/>
      <c r="S548" s="15"/>
      <c r="T548" s="83"/>
      <c r="U548" s="16"/>
    </row>
    <row r="549" spans="1:21" x14ac:dyDescent="0.3">
      <c r="A549" s="77" t="s">
        <v>764</v>
      </c>
      <c r="B549" s="78" t="s">
        <v>40</v>
      </c>
      <c r="C549" s="78" t="s">
        <v>280</v>
      </c>
      <c r="D549" s="78" t="s">
        <v>322</v>
      </c>
      <c r="E549" s="79" t="s">
        <v>778</v>
      </c>
      <c r="F549" s="78" t="s">
        <v>768</v>
      </c>
      <c r="G549" s="78" t="s">
        <v>216</v>
      </c>
      <c r="H549" s="78" t="s">
        <v>11</v>
      </c>
      <c r="I549" s="78" t="s">
        <v>214</v>
      </c>
      <c r="J549" s="79" t="s">
        <v>217</v>
      </c>
      <c r="K549" s="80">
        <v>18</v>
      </c>
      <c r="L549" s="80">
        <f>K549*VLOOKUP(H549,dagsoorttabel1,2,FALSE)</f>
        <v>14.117647058823529</v>
      </c>
      <c r="M549" s="81">
        <f>prodnorm6</f>
        <v>0</v>
      </c>
      <c r="N549" s="82">
        <f>dagwerk6</f>
        <v>0</v>
      </c>
      <c r="O549" s="78" t="s">
        <v>103</v>
      </c>
      <c r="P549" s="15">
        <f>uurtarief6</f>
        <v>0</v>
      </c>
      <c r="Q549" s="80" t="e">
        <f>IF(ISBLANK(M549),0,L549/ROUND(M549,4))</f>
        <v>#DIV/0!</v>
      </c>
      <c r="R549" s="80" t="e">
        <f>IF(ISBLANK(M549),0,Q549*ROUND(N549,2))</f>
        <v>#DIV/0!</v>
      </c>
      <c r="S549" s="15" t="e">
        <f>ROUND(P549,2)*Q549</f>
        <v>#DIV/0!</v>
      </c>
      <c r="T549" s="80" t="e">
        <f>Q549*dagenperjaar1</f>
        <v>#DIV/0!</v>
      </c>
      <c r="U549" s="16" t="e">
        <f>T549*ROUND(P549,2)</f>
        <v>#DIV/0!</v>
      </c>
    </row>
    <row r="550" spans="1:21" x14ac:dyDescent="0.3">
      <c r="A550" s="77" t="s">
        <v>764</v>
      </c>
      <c r="B550" s="78" t="s">
        <v>40</v>
      </c>
      <c r="C550" s="78" t="s">
        <v>280</v>
      </c>
      <c r="D550" s="78" t="s">
        <v>325</v>
      </c>
      <c r="E550" s="79" t="s">
        <v>779</v>
      </c>
      <c r="F550" s="78" t="s">
        <v>509</v>
      </c>
      <c r="G550" s="78" t="s">
        <v>213</v>
      </c>
      <c r="H550" s="78" t="s">
        <v>11</v>
      </c>
      <c r="I550" s="78" t="s">
        <v>214</v>
      </c>
      <c r="J550" s="79" t="s">
        <v>215</v>
      </c>
      <c r="K550" s="80">
        <v>265</v>
      </c>
      <c r="L550" s="80">
        <f>K550*VLOOKUP(H550,dagsoorttabel1,2,FALSE)</f>
        <v>207.84313725490196</v>
      </c>
      <c r="M550" s="81">
        <f>prodnorm5</f>
        <v>0</v>
      </c>
      <c r="N550" s="82">
        <f>dagwerk5</f>
        <v>0</v>
      </c>
      <c r="O550" s="78" t="s">
        <v>103</v>
      </c>
      <c r="P550" s="15">
        <f>uurtarief5</f>
        <v>0</v>
      </c>
      <c r="Q550" s="80" t="e">
        <f>IF(ISBLANK(M550),0,L550/ROUND(M550,4))</f>
        <v>#DIV/0!</v>
      </c>
      <c r="R550" s="80" t="e">
        <f>IF(ISBLANK(M550),0,Q550*ROUND(N550,2))</f>
        <v>#DIV/0!</v>
      </c>
      <c r="S550" s="15" t="e">
        <f>ROUND(P550,2)*Q550</f>
        <v>#DIV/0!</v>
      </c>
      <c r="T550" s="80" t="e">
        <f>Q550*dagenperjaar1</f>
        <v>#DIV/0!</v>
      </c>
      <c r="U550" s="16" t="e">
        <f>T550*ROUND(P550,2)</f>
        <v>#DIV/0!</v>
      </c>
    </row>
    <row r="551" spans="1:21" x14ac:dyDescent="0.3">
      <c r="A551" s="77" t="s">
        <v>764</v>
      </c>
      <c r="B551" s="78" t="s">
        <v>40</v>
      </c>
      <c r="C551" s="78" t="s">
        <v>280</v>
      </c>
      <c r="D551" s="78" t="s">
        <v>326</v>
      </c>
      <c r="E551" s="79" t="s">
        <v>780</v>
      </c>
      <c r="F551" s="78" t="s">
        <v>781</v>
      </c>
      <c r="G551" s="78" t="s">
        <v>224</v>
      </c>
      <c r="H551" s="78" t="s">
        <v>11</v>
      </c>
      <c r="I551" s="78" t="s">
        <v>214</v>
      </c>
      <c r="J551" s="79" t="s">
        <v>225</v>
      </c>
      <c r="K551" s="80">
        <v>18</v>
      </c>
      <c r="L551" s="80">
        <f>K551*VLOOKUP(H551,dagsoorttabel1,2,FALSE)</f>
        <v>14.117647058823529</v>
      </c>
      <c r="M551" s="81">
        <f>prodnorm13</f>
        <v>0</v>
      </c>
      <c r="N551" s="82">
        <f>dagwerk13</f>
        <v>0</v>
      </c>
      <c r="O551" s="78" t="s">
        <v>103</v>
      </c>
      <c r="P551" s="15">
        <f>uurtarief13</f>
        <v>0</v>
      </c>
      <c r="Q551" s="80" t="e">
        <f>IF(ISBLANK(M551),0,L551/ROUND(M551,4))</f>
        <v>#DIV/0!</v>
      </c>
      <c r="R551" s="80" t="e">
        <f>IF(ISBLANK(M551),0,Q551*ROUND(N551,2))</f>
        <v>#DIV/0!</v>
      </c>
      <c r="S551" s="15" t="e">
        <f>ROUND(P551,2)*Q551</f>
        <v>#DIV/0!</v>
      </c>
      <c r="T551" s="80" t="e">
        <f>Q551*dagenperjaar1</f>
        <v>#DIV/0!</v>
      </c>
      <c r="U551" s="16" t="e">
        <f>T551*ROUND(P551,2)</f>
        <v>#DIV/0!</v>
      </c>
    </row>
    <row r="552" spans="1:21" x14ac:dyDescent="0.3">
      <c r="A552" s="77" t="s">
        <v>764</v>
      </c>
      <c r="B552" s="78" t="s">
        <v>40</v>
      </c>
      <c r="C552" s="78" t="s">
        <v>280</v>
      </c>
      <c r="D552" s="78" t="s">
        <v>328</v>
      </c>
      <c r="E552" s="79" t="s">
        <v>782</v>
      </c>
      <c r="F552" s="78" t="s">
        <v>509</v>
      </c>
      <c r="G552" s="78" t="s">
        <v>300</v>
      </c>
      <c r="H552" s="78"/>
      <c r="I552" s="78"/>
      <c r="J552" s="78"/>
      <c r="K552" s="80">
        <v>3</v>
      </c>
      <c r="L552" s="80"/>
      <c r="M552" s="81"/>
      <c r="N552" s="82"/>
      <c r="O552" s="78"/>
      <c r="P552" s="15"/>
      <c r="Q552" s="80"/>
      <c r="R552" s="80"/>
      <c r="S552" s="15"/>
      <c r="T552" s="83"/>
      <c r="U552" s="16"/>
    </row>
    <row r="553" spans="1:21" x14ac:dyDescent="0.3">
      <c r="A553" s="77" t="s">
        <v>764</v>
      </c>
      <c r="B553" s="78" t="s">
        <v>40</v>
      </c>
      <c r="C553" s="78" t="s">
        <v>280</v>
      </c>
      <c r="D553" s="78" t="s">
        <v>329</v>
      </c>
      <c r="E553" s="79" t="s">
        <v>783</v>
      </c>
      <c r="F553" s="78" t="s">
        <v>509</v>
      </c>
      <c r="G553" s="78" t="s">
        <v>300</v>
      </c>
      <c r="H553" s="78"/>
      <c r="I553" s="78"/>
      <c r="J553" s="78"/>
      <c r="K553" s="80">
        <v>3</v>
      </c>
      <c r="L553" s="80"/>
      <c r="M553" s="81"/>
      <c r="N553" s="82"/>
      <c r="O553" s="78"/>
      <c r="P553" s="15"/>
      <c r="Q553" s="80"/>
      <c r="R553" s="80"/>
      <c r="S553" s="15"/>
      <c r="T553" s="83"/>
      <c r="U553" s="16"/>
    </row>
    <row r="554" spans="1:21" ht="27" x14ac:dyDescent="0.3">
      <c r="A554" s="77" t="s">
        <v>764</v>
      </c>
      <c r="B554" s="78" t="s">
        <v>40</v>
      </c>
      <c r="C554" s="78" t="s">
        <v>280</v>
      </c>
      <c r="D554" s="78" t="s">
        <v>330</v>
      </c>
      <c r="E554" s="79" t="s">
        <v>784</v>
      </c>
      <c r="F554" s="78" t="s">
        <v>509</v>
      </c>
      <c r="G554" s="78" t="s">
        <v>256</v>
      </c>
      <c r="H554" s="78" t="s">
        <v>11</v>
      </c>
      <c r="I554" s="78" t="s">
        <v>214</v>
      </c>
      <c r="J554" s="79" t="s">
        <v>257</v>
      </c>
      <c r="K554" s="80">
        <v>12</v>
      </c>
      <c r="L554" s="80">
        <f t="shared" ref="L554:L567" si="156">K554*VLOOKUP(H554,dagsoorttabel1,2,FALSE)</f>
        <v>9.4117647058823533</v>
      </c>
      <c r="M554" s="81">
        <f>prodnorm33</f>
        <v>0</v>
      </c>
      <c r="N554" s="82">
        <f>dagwerk33</f>
        <v>0</v>
      </c>
      <c r="O554" s="78" t="s">
        <v>103</v>
      </c>
      <c r="P554" s="15">
        <f>uurtarief33</f>
        <v>0</v>
      </c>
      <c r="Q554" s="80" t="e">
        <f t="shared" ref="Q554:Q567" si="157">IF(ISBLANK(M554),0,L554/ROUND(M554,4))</f>
        <v>#DIV/0!</v>
      </c>
      <c r="R554" s="80" t="e">
        <f t="shared" ref="R554:R567" si="158">IF(ISBLANK(M554),0,Q554*ROUND(N554,2))</f>
        <v>#DIV/0!</v>
      </c>
      <c r="S554" s="15" t="e">
        <f t="shared" ref="S554:S567" si="159">ROUND(P554,2)*Q554</f>
        <v>#DIV/0!</v>
      </c>
      <c r="T554" s="80" t="e">
        <f t="shared" ref="T554:T567" si="160">Q554*dagenperjaar1</f>
        <v>#DIV/0!</v>
      </c>
      <c r="U554" s="16" t="e">
        <f t="shared" ref="U554:U567" si="161">T554*ROUND(P554,2)</f>
        <v>#DIV/0!</v>
      </c>
    </row>
    <row r="555" spans="1:21" x14ac:dyDescent="0.3">
      <c r="A555" s="77" t="s">
        <v>764</v>
      </c>
      <c r="B555" s="78" t="s">
        <v>40</v>
      </c>
      <c r="C555" s="78" t="s">
        <v>280</v>
      </c>
      <c r="D555" s="78" t="s">
        <v>332</v>
      </c>
      <c r="E555" s="79" t="s">
        <v>785</v>
      </c>
      <c r="F555" s="78" t="s">
        <v>509</v>
      </c>
      <c r="G555" s="78" t="s">
        <v>250</v>
      </c>
      <c r="H555" s="78" t="s">
        <v>11</v>
      </c>
      <c r="I555" s="78" t="s">
        <v>214</v>
      </c>
      <c r="J555" s="79" t="s">
        <v>251</v>
      </c>
      <c r="K555" s="80">
        <v>5</v>
      </c>
      <c r="L555" s="80">
        <f t="shared" si="156"/>
        <v>3.9215686274509802</v>
      </c>
      <c r="M555" s="81">
        <f>prodnorm30</f>
        <v>0</v>
      </c>
      <c r="N555" s="82">
        <f>dagwerk30</f>
        <v>0</v>
      </c>
      <c r="O555" s="78" t="s">
        <v>103</v>
      </c>
      <c r="P555" s="15">
        <f>uurtarief30</f>
        <v>0</v>
      </c>
      <c r="Q555" s="80" t="e">
        <f t="shared" si="157"/>
        <v>#DIV/0!</v>
      </c>
      <c r="R555" s="80" t="e">
        <f t="shared" si="158"/>
        <v>#DIV/0!</v>
      </c>
      <c r="S555" s="15" t="e">
        <f t="shared" si="159"/>
        <v>#DIV/0!</v>
      </c>
      <c r="T555" s="80" t="e">
        <f t="shared" si="160"/>
        <v>#DIV/0!</v>
      </c>
      <c r="U555" s="16" t="e">
        <f t="shared" si="161"/>
        <v>#DIV/0!</v>
      </c>
    </row>
    <row r="556" spans="1:21" x14ac:dyDescent="0.3">
      <c r="A556" s="77" t="s">
        <v>764</v>
      </c>
      <c r="B556" s="78" t="s">
        <v>40</v>
      </c>
      <c r="C556" s="78" t="s">
        <v>280</v>
      </c>
      <c r="D556" s="78" t="s">
        <v>334</v>
      </c>
      <c r="E556" s="79" t="s">
        <v>786</v>
      </c>
      <c r="F556" s="78" t="s">
        <v>591</v>
      </c>
      <c r="G556" s="78" t="s">
        <v>250</v>
      </c>
      <c r="H556" s="78" t="s">
        <v>11</v>
      </c>
      <c r="I556" s="78" t="s">
        <v>214</v>
      </c>
      <c r="J556" s="79" t="s">
        <v>251</v>
      </c>
      <c r="K556" s="80">
        <v>6</v>
      </c>
      <c r="L556" s="80">
        <f t="shared" si="156"/>
        <v>4.7058823529411766</v>
      </c>
      <c r="M556" s="81">
        <f>prodnorm30</f>
        <v>0</v>
      </c>
      <c r="N556" s="82">
        <f>dagwerk30</f>
        <v>0</v>
      </c>
      <c r="O556" s="78" t="s">
        <v>103</v>
      </c>
      <c r="P556" s="15">
        <f>uurtarief30</f>
        <v>0</v>
      </c>
      <c r="Q556" s="80" t="e">
        <f t="shared" si="157"/>
        <v>#DIV/0!</v>
      </c>
      <c r="R556" s="80" t="e">
        <f t="shared" si="158"/>
        <v>#DIV/0!</v>
      </c>
      <c r="S556" s="15" t="e">
        <f t="shared" si="159"/>
        <v>#DIV/0!</v>
      </c>
      <c r="T556" s="80" t="e">
        <f t="shared" si="160"/>
        <v>#DIV/0!</v>
      </c>
      <c r="U556" s="16" t="e">
        <f t="shared" si="161"/>
        <v>#DIV/0!</v>
      </c>
    </row>
    <row r="557" spans="1:21" ht="27" x14ac:dyDescent="0.3">
      <c r="A557" s="77" t="s">
        <v>764</v>
      </c>
      <c r="B557" s="78" t="s">
        <v>40</v>
      </c>
      <c r="C557" s="78" t="s">
        <v>280</v>
      </c>
      <c r="D557" s="78" t="s">
        <v>336</v>
      </c>
      <c r="E557" s="79" t="s">
        <v>787</v>
      </c>
      <c r="F557" s="78" t="s">
        <v>509</v>
      </c>
      <c r="G557" s="78" t="s">
        <v>256</v>
      </c>
      <c r="H557" s="78" t="s">
        <v>11</v>
      </c>
      <c r="I557" s="78" t="s">
        <v>214</v>
      </c>
      <c r="J557" s="79" t="s">
        <v>257</v>
      </c>
      <c r="K557" s="80">
        <v>19</v>
      </c>
      <c r="L557" s="80">
        <f t="shared" si="156"/>
        <v>14.901960784313726</v>
      </c>
      <c r="M557" s="81">
        <f>prodnorm33</f>
        <v>0</v>
      </c>
      <c r="N557" s="82">
        <f>dagwerk33</f>
        <v>0</v>
      </c>
      <c r="O557" s="78" t="s">
        <v>103</v>
      </c>
      <c r="P557" s="15">
        <f>uurtarief33</f>
        <v>0</v>
      </c>
      <c r="Q557" s="80" t="e">
        <f t="shared" si="157"/>
        <v>#DIV/0!</v>
      </c>
      <c r="R557" s="80" t="e">
        <f t="shared" si="158"/>
        <v>#DIV/0!</v>
      </c>
      <c r="S557" s="15" t="e">
        <f t="shared" si="159"/>
        <v>#DIV/0!</v>
      </c>
      <c r="T557" s="80" t="e">
        <f t="shared" si="160"/>
        <v>#DIV/0!</v>
      </c>
      <c r="U557" s="16" t="e">
        <f t="shared" si="161"/>
        <v>#DIV/0!</v>
      </c>
    </row>
    <row r="558" spans="1:21" x14ac:dyDescent="0.3">
      <c r="A558" s="77" t="s">
        <v>764</v>
      </c>
      <c r="B558" s="78" t="s">
        <v>40</v>
      </c>
      <c r="C558" s="78" t="s">
        <v>280</v>
      </c>
      <c r="D558" s="78" t="s">
        <v>337</v>
      </c>
      <c r="E558" s="79" t="s">
        <v>788</v>
      </c>
      <c r="F558" s="78" t="s">
        <v>768</v>
      </c>
      <c r="G558" s="78" t="s">
        <v>216</v>
      </c>
      <c r="H558" s="78" t="s">
        <v>11</v>
      </c>
      <c r="I558" s="78" t="s">
        <v>214</v>
      </c>
      <c r="J558" s="79" t="s">
        <v>217</v>
      </c>
      <c r="K558" s="80">
        <v>24</v>
      </c>
      <c r="L558" s="80">
        <f t="shared" si="156"/>
        <v>18.823529411764707</v>
      </c>
      <c r="M558" s="81">
        <f>prodnorm6</f>
        <v>0</v>
      </c>
      <c r="N558" s="82">
        <f>dagwerk6</f>
        <v>0</v>
      </c>
      <c r="O558" s="78" t="s">
        <v>103</v>
      </c>
      <c r="P558" s="15">
        <f>uurtarief6</f>
        <v>0</v>
      </c>
      <c r="Q558" s="80" t="e">
        <f t="shared" si="157"/>
        <v>#DIV/0!</v>
      </c>
      <c r="R558" s="80" t="e">
        <f t="shared" si="158"/>
        <v>#DIV/0!</v>
      </c>
      <c r="S558" s="15" t="e">
        <f t="shared" si="159"/>
        <v>#DIV/0!</v>
      </c>
      <c r="T558" s="80" t="e">
        <f t="shared" si="160"/>
        <v>#DIV/0!</v>
      </c>
      <c r="U558" s="16" t="e">
        <f t="shared" si="161"/>
        <v>#DIV/0!</v>
      </c>
    </row>
    <row r="559" spans="1:21" x14ac:dyDescent="0.3">
      <c r="A559" s="77" t="s">
        <v>764</v>
      </c>
      <c r="B559" s="78" t="s">
        <v>40</v>
      </c>
      <c r="C559" s="78" t="s">
        <v>280</v>
      </c>
      <c r="D559" s="78" t="s">
        <v>417</v>
      </c>
      <c r="E559" s="79" t="s">
        <v>789</v>
      </c>
      <c r="F559" s="78" t="s">
        <v>768</v>
      </c>
      <c r="G559" s="78" t="s">
        <v>216</v>
      </c>
      <c r="H559" s="78" t="s">
        <v>11</v>
      </c>
      <c r="I559" s="78" t="s">
        <v>214</v>
      </c>
      <c r="J559" s="79" t="s">
        <v>217</v>
      </c>
      <c r="K559" s="80">
        <v>14</v>
      </c>
      <c r="L559" s="80">
        <f t="shared" si="156"/>
        <v>10.980392156862745</v>
      </c>
      <c r="M559" s="81">
        <f>prodnorm6</f>
        <v>0</v>
      </c>
      <c r="N559" s="82">
        <f>dagwerk6</f>
        <v>0</v>
      </c>
      <c r="O559" s="78" t="s">
        <v>103</v>
      </c>
      <c r="P559" s="15">
        <f>uurtarief6</f>
        <v>0</v>
      </c>
      <c r="Q559" s="80" t="e">
        <f t="shared" si="157"/>
        <v>#DIV/0!</v>
      </c>
      <c r="R559" s="80" t="e">
        <f t="shared" si="158"/>
        <v>#DIV/0!</v>
      </c>
      <c r="S559" s="15" t="e">
        <f t="shared" si="159"/>
        <v>#DIV/0!</v>
      </c>
      <c r="T559" s="80" t="e">
        <f t="shared" si="160"/>
        <v>#DIV/0!</v>
      </c>
      <c r="U559" s="16" t="e">
        <f t="shared" si="161"/>
        <v>#DIV/0!</v>
      </c>
    </row>
    <row r="560" spans="1:21" x14ac:dyDescent="0.3">
      <c r="A560" s="77" t="s">
        <v>764</v>
      </c>
      <c r="B560" s="78" t="s">
        <v>40</v>
      </c>
      <c r="C560" s="78" t="s">
        <v>280</v>
      </c>
      <c r="D560" s="78" t="s">
        <v>418</v>
      </c>
      <c r="E560" s="79" t="s">
        <v>790</v>
      </c>
      <c r="F560" s="78" t="s">
        <v>768</v>
      </c>
      <c r="G560" s="78" t="s">
        <v>216</v>
      </c>
      <c r="H560" s="78" t="s">
        <v>11</v>
      </c>
      <c r="I560" s="78" t="s">
        <v>214</v>
      </c>
      <c r="J560" s="79" t="s">
        <v>217</v>
      </c>
      <c r="K560" s="80">
        <v>40</v>
      </c>
      <c r="L560" s="80">
        <f t="shared" si="156"/>
        <v>31.372549019607842</v>
      </c>
      <c r="M560" s="81">
        <f>prodnorm6</f>
        <v>0</v>
      </c>
      <c r="N560" s="82">
        <f>dagwerk6</f>
        <v>0</v>
      </c>
      <c r="O560" s="78" t="s">
        <v>103</v>
      </c>
      <c r="P560" s="15">
        <f>uurtarief6</f>
        <v>0</v>
      </c>
      <c r="Q560" s="80" t="e">
        <f t="shared" si="157"/>
        <v>#DIV/0!</v>
      </c>
      <c r="R560" s="80" t="e">
        <f t="shared" si="158"/>
        <v>#DIV/0!</v>
      </c>
      <c r="S560" s="15" t="e">
        <f t="shared" si="159"/>
        <v>#DIV/0!</v>
      </c>
      <c r="T560" s="80" t="e">
        <f t="shared" si="160"/>
        <v>#DIV/0!</v>
      </c>
      <c r="U560" s="16" t="e">
        <f t="shared" si="161"/>
        <v>#DIV/0!</v>
      </c>
    </row>
    <row r="561" spans="1:21" x14ac:dyDescent="0.3">
      <c r="A561" s="77" t="s">
        <v>764</v>
      </c>
      <c r="B561" s="78" t="s">
        <v>40</v>
      </c>
      <c r="C561" s="78" t="s">
        <v>280</v>
      </c>
      <c r="D561" s="78" t="s">
        <v>420</v>
      </c>
      <c r="E561" s="79" t="s">
        <v>594</v>
      </c>
      <c r="F561" s="78" t="s">
        <v>768</v>
      </c>
      <c r="G561" s="78" t="s">
        <v>252</v>
      </c>
      <c r="H561" s="78" t="s">
        <v>11</v>
      </c>
      <c r="I561" s="78" t="s">
        <v>214</v>
      </c>
      <c r="J561" s="79" t="s">
        <v>253</v>
      </c>
      <c r="K561" s="80">
        <v>24</v>
      </c>
      <c r="L561" s="80">
        <f t="shared" si="156"/>
        <v>18.823529411764707</v>
      </c>
      <c r="M561" s="81">
        <f>prodnorm31</f>
        <v>0</v>
      </c>
      <c r="N561" s="82">
        <f>dagwerk31</f>
        <v>0</v>
      </c>
      <c r="O561" s="78" t="s">
        <v>103</v>
      </c>
      <c r="P561" s="15">
        <f>uurtarief31</f>
        <v>0</v>
      </c>
      <c r="Q561" s="80" t="e">
        <f t="shared" si="157"/>
        <v>#DIV/0!</v>
      </c>
      <c r="R561" s="80" t="e">
        <f t="shared" si="158"/>
        <v>#DIV/0!</v>
      </c>
      <c r="S561" s="15" t="e">
        <f t="shared" si="159"/>
        <v>#DIV/0!</v>
      </c>
      <c r="T561" s="80" t="e">
        <f t="shared" si="160"/>
        <v>#DIV/0!</v>
      </c>
      <c r="U561" s="16" t="e">
        <f t="shared" si="161"/>
        <v>#DIV/0!</v>
      </c>
    </row>
    <row r="562" spans="1:21" x14ac:dyDescent="0.3">
      <c r="A562" s="77" t="s">
        <v>764</v>
      </c>
      <c r="B562" s="78" t="s">
        <v>40</v>
      </c>
      <c r="C562" s="78" t="s">
        <v>280</v>
      </c>
      <c r="D562" s="78" t="s">
        <v>531</v>
      </c>
      <c r="E562" s="79" t="s">
        <v>791</v>
      </c>
      <c r="F562" s="78" t="s">
        <v>781</v>
      </c>
      <c r="G562" s="78" t="s">
        <v>224</v>
      </c>
      <c r="H562" s="78" t="s">
        <v>11</v>
      </c>
      <c r="I562" s="78" t="s">
        <v>214</v>
      </c>
      <c r="J562" s="79" t="s">
        <v>225</v>
      </c>
      <c r="K562" s="80">
        <v>16</v>
      </c>
      <c r="L562" s="80">
        <f t="shared" si="156"/>
        <v>12.549019607843137</v>
      </c>
      <c r="M562" s="81">
        <f>prodnorm13</f>
        <v>0</v>
      </c>
      <c r="N562" s="82">
        <f>dagwerk13</f>
        <v>0</v>
      </c>
      <c r="O562" s="78" t="s">
        <v>103</v>
      </c>
      <c r="P562" s="15">
        <f>uurtarief13</f>
        <v>0</v>
      </c>
      <c r="Q562" s="80" t="e">
        <f t="shared" si="157"/>
        <v>#DIV/0!</v>
      </c>
      <c r="R562" s="80" t="e">
        <f t="shared" si="158"/>
        <v>#DIV/0!</v>
      </c>
      <c r="S562" s="15" t="e">
        <f t="shared" si="159"/>
        <v>#DIV/0!</v>
      </c>
      <c r="T562" s="80" t="e">
        <f t="shared" si="160"/>
        <v>#DIV/0!</v>
      </c>
      <c r="U562" s="16" t="e">
        <f t="shared" si="161"/>
        <v>#DIV/0!</v>
      </c>
    </row>
    <row r="563" spans="1:21" x14ac:dyDescent="0.3">
      <c r="A563" s="77" t="s">
        <v>764</v>
      </c>
      <c r="B563" s="78" t="s">
        <v>40</v>
      </c>
      <c r="C563" s="78" t="s">
        <v>280</v>
      </c>
      <c r="D563" s="78" t="s">
        <v>533</v>
      </c>
      <c r="E563" s="79" t="s">
        <v>792</v>
      </c>
      <c r="F563" s="78" t="s">
        <v>509</v>
      </c>
      <c r="G563" s="78" t="s">
        <v>216</v>
      </c>
      <c r="H563" s="78" t="s">
        <v>11</v>
      </c>
      <c r="I563" s="78" t="s">
        <v>214</v>
      </c>
      <c r="J563" s="79" t="s">
        <v>217</v>
      </c>
      <c r="K563" s="80">
        <v>67</v>
      </c>
      <c r="L563" s="80">
        <f t="shared" si="156"/>
        <v>52.549019607843135</v>
      </c>
      <c r="M563" s="81">
        <f>prodnorm6</f>
        <v>0</v>
      </c>
      <c r="N563" s="82">
        <f>dagwerk6</f>
        <v>0</v>
      </c>
      <c r="O563" s="78" t="s">
        <v>103</v>
      </c>
      <c r="P563" s="15">
        <f>uurtarief6</f>
        <v>0</v>
      </c>
      <c r="Q563" s="80" t="e">
        <f t="shared" si="157"/>
        <v>#DIV/0!</v>
      </c>
      <c r="R563" s="80" t="e">
        <f t="shared" si="158"/>
        <v>#DIV/0!</v>
      </c>
      <c r="S563" s="15" t="e">
        <f t="shared" si="159"/>
        <v>#DIV/0!</v>
      </c>
      <c r="T563" s="80" t="e">
        <f t="shared" si="160"/>
        <v>#DIV/0!</v>
      </c>
      <c r="U563" s="16" t="e">
        <f t="shared" si="161"/>
        <v>#DIV/0!</v>
      </c>
    </row>
    <row r="564" spans="1:21" x14ac:dyDescent="0.3">
      <c r="A564" s="77" t="s">
        <v>764</v>
      </c>
      <c r="B564" s="78" t="s">
        <v>40</v>
      </c>
      <c r="C564" s="78" t="s">
        <v>280</v>
      </c>
      <c r="D564" s="78" t="s">
        <v>534</v>
      </c>
      <c r="E564" s="79" t="s">
        <v>793</v>
      </c>
      <c r="F564" s="78" t="s">
        <v>794</v>
      </c>
      <c r="G564" s="78" t="s">
        <v>242</v>
      </c>
      <c r="H564" s="78" t="s">
        <v>11</v>
      </c>
      <c r="I564" s="78" t="s">
        <v>214</v>
      </c>
      <c r="J564" s="79" t="s">
        <v>243</v>
      </c>
      <c r="K564" s="80">
        <v>14</v>
      </c>
      <c r="L564" s="80">
        <f t="shared" si="156"/>
        <v>10.980392156862745</v>
      </c>
      <c r="M564" s="81">
        <f>prodnorm26</f>
        <v>0</v>
      </c>
      <c r="N564" s="82">
        <f>dagwerk26</f>
        <v>0</v>
      </c>
      <c r="O564" s="78" t="s">
        <v>103</v>
      </c>
      <c r="P564" s="15">
        <f>uurtarief26</f>
        <v>0</v>
      </c>
      <c r="Q564" s="80" t="e">
        <f t="shared" si="157"/>
        <v>#DIV/0!</v>
      </c>
      <c r="R564" s="80" t="e">
        <f t="shared" si="158"/>
        <v>#DIV/0!</v>
      </c>
      <c r="S564" s="15" t="e">
        <f t="shared" si="159"/>
        <v>#DIV/0!</v>
      </c>
      <c r="T564" s="80" t="e">
        <f t="shared" si="160"/>
        <v>#DIV/0!</v>
      </c>
      <c r="U564" s="16" t="e">
        <f t="shared" si="161"/>
        <v>#DIV/0!</v>
      </c>
    </row>
    <row r="565" spans="1:21" x14ac:dyDescent="0.3">
      <c r="A565" s="77" t="s">
        <v>764</v>
      </c>
      <c r="B565" s="78" t="s">
        <v>40</v>
      </c>
      <c r="C565" s="78" t="s">
        <v>280</v>
      </c>
      <c r="D565" s="78" t="s">
        <v>535</v>
      </c>
      <c r="E565" s="79" t="s">
        <v>795</v>
      </c>
      <c r="F565" s="78" t="s">
        <v>768</v>
      </c>
      <c r="G565" s="78" t="s">
        <v>216</v>
      </c>
      <c r="H565" s="78" t="s">
        <v>11</v>
      </c>
      <c r="I565" s="78" t="s">
        <v>214</v>
      </c>
      <c r="J565" s="79" t="s">
        <v>217</v>
      </c>
      <c r="K565" s="80">
        <v>78</v>
      </c>
      <c r="L565" s="80">
        <f t="shared" si="156"/>
        <v>61.17647058823529</v>
      </c>
      <c r="M565" s="81">
        <f>prodnorm6</f>
        <v>0</v>
      </c>
      <c r="N565" s="82">
        <f>dagwerk6</f>
        <v>0</v>
      </c>
      <c r="O565" s="78" t="s">
        <v>103</v>
      </c>
      <c r="P565" s="15">
        <f>uurtarief6</f>
        <v>0</v>
      </c>
      <c r="Q565" s="80" t="e">
        <f t="shared" si="157"/>
        <v>#DIV/0!</v>
      </c>
      <c r="R565" s="80" t="e">
        <f t="shared" si="158"/>
        <v>#DIV/0!</v>
      </c>
      <c r="S565" s="15" t="e">
        <f t="shared" si="159"/>
        <v>#DIV/0!</v>
      </c>
      <c r="T565" s="80" t="e">
        <f t="shared" si="160"/>
        <v>#DIV/0!</v>
      </c>
      <c r="U565" s="16" t="e">
        <f t="shared" si="161"/>
        <v>#DIV/0!</v>
      </c>
    </row>
    <row r="566" spans="1:21" x14ac:dyDescent="0.3">
      <c r="A566" s="77" t="s">
        <v>764</v>
      </c>
      <c r="B566" s="78" t="s">
        <v>40</v>
      </c>
      <c r="C566" s="78" t="s">
        <v>280</v>
      </c>
      <c r="D566" s="78" t="s">
        <v>536</v>
      </c>
      <c r="E566" s="79" t="s">
        <v>796</v>
      </c>
      <c r="F566" s="78" t="s">
        <v>509</v>
      </c>
      <c r="G566" s="78" t="s">
        <v>236</v>
      </c>
      <c r="H566" s="78" t="s">
        <v>11</v>
      </c>
      <c r="I566" s="78" t="s">
        <v>214</v>
      </c>
      <c r="J566" s="79" t="s">
        <v>237</v>
      </c>
      <c r="K566" s="80">
        <v>14</v>
      </c>
      <c r="L566" s="80">
        <f t="shared" si="156"/>
        <v>10.980392156862745</v>
      </c>
      <c r="M566" s="81">
        <f>prodnorm22</f>
        <v>0</v>
      </c>
      <c r="N566" s="82">
        <f>dagwerk22</f>
        <v>0</v>
      </c>
      <c r="O566" s="78" t="s">
        <v>103</v>
      </c>
      <c r="P566" s="15">
        <f>uurtarief22</f>
        <v>0</v>
      </c>
      <c r="Q566" s="80" t="e">
        <f t="shared" si="157"/>
        <v>#DIV/0!</v>
      </c>
      <c r="R566" s="80" t="e">
        <f t="shared" si="158"/>
        <v>#DIV/0!</v>
      </c>
      <c r="S566" s="15" t="e">
        <f t="shared" si="159"/>
        <v>#DIV/0!</v>
      </c>
      <c r="T566" s="80" t="e">
        <f t="shared" si="160"/>
        <v>#DIV/0!</v>
      </c>
      <c r="U566" s="16" t="e">
        <f t="shared" si="161"/>
        <v>#DIV/0!</v>
      </c>
    </row>
    <row r="567" spans="1:21" x14ac:dyDescent="0.3">
      <c r="A567" s="77" t="s">
        <v>764</v>
      </c>
      <c r="B567" s="78" t="s">
        <v>40</v>
      </c>
      <c r="C567" s="78" t="s">
        <v>280</v>
      </c>
      <c r="D567" s="78" t="s">
        <v>538</v>
      </c>
      <c r="E567" s="79" t="s">
        <v>797</v>
      </c>
      <c r="F567" s="78" t="s">
        <v>781</v>
      </c>
      <c r="G567" s="78" t="s">
        <v>224</v>
      </c>
      <c r="H567" s="78" t="s">
        <v>11</v>
      </c>
      <c r="I567" s="78" t="s">
        <v>214</v>
      </c>
      <c r="J567" s="79" t="s">
        <v>225</v>
      </c>
      <c r="K567" s="80">
        <v>14</v>
      </c>
      <c r="L567" s="80">
        <f t="shared" si="156"/>
        <v>10.980392156862745</v>
      </c>
      <c r="M567" s="81">
        <f>prodnorm13</f>
        <v>0</v>
      </c>
      <c r="N567" s="82">
        <f>dagwerk13</f>
        <v>0</v>
      </c>
      <c r="O567" s="78" t="s">
        <v>103</v>
      </c>
      <c r="P567" s="15">
        <f>uurtarief13</f>
        <v>0</v>
      </c>
      <c r="Q567" s="80" t="e">
        <f t="shared" si="157"/>
        <v>#DIV/0!</v>
      </c>
      <c r="R567" s="80" t="e">
        <f t="shared" si="158"/>
        <v>#DIV/0!</v>
      </c>
      <c r="S567" s="15" t="e">
        <f t="shared" si="159"/>
        <v>#DIV/0!</v>
      </c>
      <c r="T567" s="80" t="e">
        <f t="shared" si="160"/>
        <v>#DIV/0!</v>
      </c>
      <c r="U567" s="16" t="e">
        <f t="shared" si="161"/>
        <v>#DIV/0!</v>
      </c>
    </row>
    <row r="568" spans="1:21" x14ac:dyDescent="0.3">
      <c r="A568" s="77" t="s">
        <v>764</v>
      </c>
      <c r="B568" s="78" t="s">
        <v>40</v>
      </c>
      <c r="C568" s="78" t="s">
        <v>280</v>
      </c>
      <c r="D568" s="78" t="s">
        <v>540</v>
      </c>
      <c r="E568" s="79" t="s">
        <v>798</v>
      </c>
      <c r="F568" s="78" t="s">
        <v>509</v>
      </c>
      <c r="G568" s="78" t="s">
        <v>300</v>
      </c>
      <c r="H568" s="78"/>
      <c r="I568" s="78"/>
      <c r="J568" s="78"/>
      <c r="K568" s="80">
        <v>3</v>
      </c>
      <c r="L568" s="80"/>
      <c r="M568" s="81"/>
      <c r="N568" s="82"/>
      <c r="O568" s="78"/>
      <c r="P568" s="15"/>
      <c r="Q568" s="80"/>
      <c r="R568" s="80"/>
      <c r="S568" s="15"/>
      <c r="T568" s="83"/>
      <c r="U568" s="16"/>
    </row>
    <row r="569" spans="1:21" x14ac:dyDescent="0.3">
      <c r="A569" s="77" t="s">
        <v>764</v>
      </c>
      <c r="B569" s="78" t="s">
        <v>40</v>
      </c>
      <c r="C569" s="78" t="s">
        <v>280</v>
      </c>
      <c r="D569" s="78" t="s">
        <v>541</v>
      </c>
      <c r="E569" s="79" t="s">
        <v>799</v>
      </c>
      <c r="F569" s="78" t="s">
        <v>509</v>
      </c>
      <c r="G569" s="78" t="s">
        <v>300</v>
      </c>
      <c r="H569" s="78"/>
      <c r="I569" s="78"/>
      <c r="J569" s="78"/>
      <c r="K569" s="80">
        <v>3</v>
      </c>
      <c r="L569" s="80"/>
      <c r="M569" s="81"/>
      <c r="N569" s="82"/>
      <c r="O569" s="78"/>
      <c r="P569" s="15"/>
      <c r="Q569" s="80"/>
      <c r="R569" s="80"/>
      <c r="S569" s="15"/>
      <c r="T569" s="83"/>
      <c r="U569" s="16"/>
    </row>
    <row r="570" spans="1:21" x14ac:dyDescent="0.3">
      <c r="A570" s="77" t="s">
        <v>764</v>
      </c>
      <c r="B570" s="78" t="s">
        <v>40</v>
      </c>
      <c r="C570" s="78" t="s">
        <v>280</v>
      </c>
      <c r="D570" s="78" t="s">
        <v>542</v>
      </c>
      <c r="E570" s="79" t="s">
        <v>800</v>
      </c>
      <c r="F570" s="78" t="s">
        <v>591</v>
      </c>
      <c r="G570" s="78" t="s">
        <v>248</v>
      </c>
      <c r="H570" s="78" t="s">
        <v>11</v>
      </c>
      <c r="I570" s="78" t="s">
        <v>214</v>
      </c>
      <c r="J570" s="79" t="s">
        <v>249</v>
      </c>
      <c r="K570" s="80">
        <v>91</v>
      </c>
      <c r="L570" s="80">
        <f>K570*VLOOKUP(H570,dagsoorttabel1,2,FALSE)</f>
        <v>71.372549019607845</v>
      </c>
      <c r="M570" s="81">
        <f>prodnorm29</f>
        <v>0</v>
      </c>
      <c r="N570" s="82">
        <f>dagwerk29</f>
        <v>0</v>
      </c>
      <c r="O570" s="78" t="s">
        <v>103</v>
      </c>
      <c r="P570" s="15">
        <f>uurtarief29</f>
        <v>0</v>
      </c>
      <c r="Q570" s="80" t="e">
        <f>IF(ISBLANK(M570),0,L570/ROUND(M570,4))</f>
        <v>#DIV/0!</v>
      </c>
      <c r="R570" s="80" t="e">
        <f>IF(ISBLANK(M570),0,Q570*ROUND(N570,2))</f>
        <v>#DIV/0!</v>
      </c>
      <c r="S570" s="15" t="e">
        <f>ROUND(P570,2)*Q570</f>
        <v>#DIV/0!</v>
      </c>
      <c r="T570" s="80" t="e">
        <f>Q570*dagenperjaar1</f>
        <v>#DIV/0!</v>
      </c>
      <c r="U570" s="16" t="e">
        <f>T570*ROUND(P570,2)</f>
        <v>#DIV/0!</v>
      </c>
    </row>
    <row r="571" spans="1:21" x14ac:dyDescent="0.3">
      <c r="A571" s="77" t="s">
        <v>764</v>
      </c>
      <c r="B571" s="78" t="s">
        <v>40</v>
      </c>
      <c r="C571" s="78" t="s">
        <v>280</v>
      </c>
      <c r="D571" s="78" t="s">
        <v>543</v>
      </c>
      <c r="E571" s="79" t="s">
        <v>592</v>
      </c>
      <c r="F571" s="78" t="s">
        <v>509</v>
      </c>
      <c r="G571" s="78" t="s">
        <v>300</v>
      </c>
      <c r="H571" s="78"/>
      <c r="I571" s="78"/>
      <c r="J571" s="78"/>
      <c r="K571" s="80">
        <v>6</v>
      </c>
      <c r="L571" s="80"/>
      <c r="M571" s="81"/>
      <c r="N571" s="82"/>
      <c r="O571" s="78"/>
      <c r="P571" s="15"/>
      <c r="Q571" s="80"/>
      <c r="R571" s="80"/>
      <c r="S571" s="15"/>
      <c r="T571" s="83"/>
      <c r="U571" s="16"/>
    </row>
    <row r="572" spans="1:21" x14ac:dyDescent="0.3">
      <c r="A572" s="77" t="s">
        <v>764</v>
      </c>
      <c r="B572" s="78" t="s">
        <v>40</v>
      </c>
      <c r="C572" s="78" t="s">
        <v>280</v>
      </c>
      <c r="D572" s="78" t="s">
        <v>545</v>
      </c>
      <c r="E572" s="79" t="s">
        <v>592</v>
      </c>
      <c r="F572" s="78" t="s">
        <v>509</v>
      </c>
      <c r="G572" s="78" t="s">
        <v>300</v>
      </c>
      <c r="H572" s="78"/>
      <c r="I572" s="78"/>
      <c r="J572" s="78"/>
      <c r="K572" s="80">
        <v>8</v>
      </c>
      <c r="L572" s="80"/>
      <c r="M572" s="81"/>
      <c r="N572" s="82"/>
      <c r="O572" s="78"/>
      <c r="P572" s="15"/>
      <c r="Q572" s="80"/>
      <c r="R572" s="80"/>
      <c r="S572" s="15"/>
      <c r="T572" s="83"/>
      <c r="U572" s="16"/>
    </row>
    <row r="573" spans="1:21" x14ac:dyDescent="0.3">
      <c r="A573" s="77" t="s">
        <v>764</v>
      </c>
      <c r="B573" s="78" t="s">
        <v>40</v>
      </c>
      <c r="C573" s="78" t="s">
        <v>280</v>
      </c>
      <c r="D573" s="78" t="s">
        <v>546</v>
      </c>
      <c r="E573" s="79" t="s">
        <v>592</v>
      </c>
      <c r="F573" s="78" t="s">
        <v>509</v>
      </c>
      <c r="G573" s="78" t="s">
        <v>300</v>
      </c>
      <c r="H573" s="78"/>
      <c r="I573" s="78"/>
      <c r="J573" s="78"/>
      <c r="K573" s="80">
        <v>9</v>
      </c>
      <c r="L573" s="80"/>
      <c r="M573" s="81"/>
      <c r="N573" s="82"/>
      <c r="O573" s="78"/>
      <c r="P573" s="15"/>
      <c r="Q573" s="80"/>
      <c r="R573" s="80"/>
      <c r="S573" s="15"/>
      <c r="T573" s="83"/>
      <c r="U573" s="16"/>
    </row>
    <row r="574" spans="1:21" x14ac:dyDescent="0.3">
      <c r="A574" s="77" t="s">
        <v>764</v>
      </c>
      <c r="B574" s="78" t="s">
        <v>40</v>
      </c>
      <c r="C574" s="78" t="s">
        <v>280</v>
      </c>
      <c r="D574" s="78" t="s">
        <v>548</v>
      </c>
      <c r="E574" s="79" t="s">
        <v>801</v>
      </c>
      <c r="F574" s="78" t="s">
        <v>509</v>
      </c>
      <c r="G574" s="78" t="s">
        <v>216</v>
      </c>
      <c r="H574" s="78" t="s">
        <v>11</v>
      </c>
      <c r="I574" s="78" t="s">
        <v>214</v>
      </c>
      <c r="J574" s="79" t="s">
        <v>217</v>
      </c>
      <c r="K574" s="80">
        <v>11</v>
      </c>
      <c r="L574" s="80">
        <f>K574*VLOOKUP(H574,dagsoorttabel1,2,FALSE)</f>
        <v>8.6274509803921564</v>
      </c>
      <c r="M574" s="81">
        <f>prodnorm6</f>
        <v>0</v>
      </c>
      <c r="N574" s="82">
        <f>dagwerk6</f>
        <v>0</v>
      </c>
      <c r="O574" s="78" t="s">
        <v>103</v>
      </c>
      <c r="P574" s="15">
        <f>uurtarief6</f>
        <v>0</v>
      </c>
      <c r="Q574" s="80" t="e">
        <f>IF(ISBLANK(M574),0,L574/ROUND(M574,4))</f>
        <v>#DIV/0!</v>
      </c>
      <c r="R574" s="80" t="e">
        <f>IF(ISBLANK(M574),0,Q574*ROUND(N574,2))</f>
        <v>#DIV/0!</v>
      </c>
      <c r="S574" s="15" t="e">
        <f>ROUND(P574,2)*Q574</f>
        <v>#DIV/0!</v>
      </c>
      <c r="T574" s="80" t="e">
        <f>Q574*dagenperjaar1</f>
        <v>#DIV/0!</v>
      </c>
      <c r="U574" s="16" t="e">
        <f>T574*ROUND(P574,2)</f>
        <v>#DIV/0!</v>
      </c>
    </row>
    <row r="575" spans="1:21" x14ac:dyDescent="0.3">
      <c r="A575" s="77" t="s">
        <v>764</v>
      </c>
      <c r="B575" s="78" t="s">
        <v>40</v>
      </c>
      <c r="C575" s="78" t="s">
        <v>280</v>
      </c>
      <c r="D575" s="78" t="s">
        <v>549</v>
      </c>
      <c r="E575" s="79" t="s">
        <v>802</v>
      </c>
      <c r="F575" s="78" t="s">
        <v>768</v>
      </c>
      <c r="G575" s="78" t="s">
        <v>244</v>
      </c>
      <c r="H575" s="78" t="s">
        <v>11</v>
      </c>
      <c r="I575" s="78" t="s">
        <v>214</v>
      </c>
      <c r="J575" s="79" t="s">
        <v>245</v>
      </c>
      <c r="K575" s="80">
        <v>86</v>
      </c>
      <c r="L575" s="80">
        <f>K575*VLOOKUP(H575,dagsoorttabel1,2,FALSE)</f>
        <v>67.450980392156865</v>
      </c>
      <c r="M575" s="81">
        <f>prodnorm27</f>
        <v>0</v>
      </c>
      <c r="N575" s="82">
        <f>dagwerk27</f>
        <v>0</v>
      </c>
      <c r="O575" s="78" t="s">
        <v>103</v>
      </c>
      <c r="P575" s="15">
        <f>uurtarief27</f>
        <v>0</v>
      </c>
      <c r="Q575" s="80" t="e">
        <f>IF(ISBLANK(M575),0,L575/ROUND(M575,4))</f>
        <v>#DIV/0!</v>
      </c>
      <c r="R575" s="80" t="e">
        <f>IF(ISBLANK(M575),0,Q575*ROUND(N575,2))</f>
        <v>#DIV/0!</v>
      </c>
      <c r="S575" s="15" t="e">
        <f>ROUND(P575,2)*Q575</f>
        <v>#DIV/0!</v>
      </c>
      <c r="T575" s="80" t="e">
        <f>Q575*dagenperjaar1</f>
        <v>#DIV/0!</v>
      </c>
      <c r="U575" s="16" t="e">
        <f>T575*ROUND(P575,2)</f>
        <v>#DIV/0!</v>
      </c>
    </row>
    <row r="576" spans="1:21" x14ac:dyDescent="0.3">
      <c r="A576" s="77" t="s">
        <v>764</v>
      </c>
      <c r="B576" s="78" t="s">
        <v>40</v>
      </c>
      <c r="C576" s="78" t="s">
        <v>280</v>
      </c>
      <c r="D576" s="78" t="s">
        <v>550</v>
      </c>
      <c r="E576" s="79" t="s">
        <v>803</v>
      </c>
      <c r="F576" s="78" t="s">
        <v>804</v>
      </c>
      <c r="G576" s="78" t="s">
        <v>248</v>
      </c>
      <c r="H576" s="78" t="s">
        <v>11</v>
      </c>
      <c r="I576" s="78" t="s">
        <v>214</v>
      </c>
      <c r="J576" s="79" t="s">
        <v>249</v>
      </c>
      <c r="K576" s="80">
        <v>66</v>
      </c>
      <c r="L576" s="80">
        <f>K576*VLOOKUP(H576,dagsoorttabel1,2,FALSE)</f>
        <v>51.764705882352942</v>
      </c>
      <c r="M576" s="81">
        <f>prodnorm29</f>
        <v>0</v>
      </c>
      <c r="N576" s="82">
        <f>dagwerk29</f>
        <v>0</v>
      </c>
      <c r="O576" s="78" t="s">
        <v>103</v>
      </c>
      <c r="P576" s="15">
        <f>uurtarief29</f>
        <v>0</v>
      </c>
      <c r="Q576" s="80" t="e">
        <f>IF(ISBLANK(M576),0,L576/ROUND(M576,4))</f>
        <v>#DIV/0!</v>
      </c>
      <c r="R576" s="80" t="e">
        <f>IF(ISBLANK(M576),0,Q576*ROUND(N576,2))</f>
        <v>#DIV/0!</v>
      </c>
      <c r="S576" s="15" t="e">
        <f>ROUND(P576,2)*Q576</f>
        <v>#DIV/0!</v>
      </c>
      <c r="T576" s="80" t="e">
        <f>Q576*dagenperjaar1</f>
        <v>#DIV/0!</v>
      </c>
      <c r="U576" s="16" t="e">
        <f>T576*ROUND(P576,2)</f>
        <v>#DIV/0!</v>
      </c>
    </row>
    <row r="577" spans="1:21" x14ac:dyDescent="0.3">
      <c r="A577" s="77" t="s">
        <v>764</v>
      </c>
      <c r="B577" s="78" t="s">
        <v>40</v>
      </c>
      <c r="C577" s="78" t="s">
        <v>280</v>
      </c>
      <c r="D577" s="78" t="s">
        <v>624</v>
      </c>
      <c r="E577" s="79" t="s">
        <v>805</v>
      </c>
      <c r="F577" s="78" t="s">
        <v>509</v>
      </c>
      <c r="G577" s="78" t="s">
        <v>300</v>
      </c>
      <c r="H577" s="78"/>
      <c r="I577" s="78"/>
      <c r="J577" s="78"/>
      <c r="K577" s="80">
        <v>8</v>
      </c>
      <c r="L577" s="80"/>
      <c r="M577" s="81"/>
      <c r="N577" s="82"/>
      <c r="O577" s="78"/>
      <c r="P577" s="15"/>
      <c r="Q577" s="80"/>
      <c r="R577" s="80"/>
      <c r="S577" s="15"/>
      <c r="T577" s="83"/>
      <c r="U577" s="16"/>
    </row>
    <row r="578" spans="1:21" x14ac:dyDescent="0.3">
      <c r="A578" s="77" t="s">
        <v>764</v>
      </c>
      <c r="B578" s="78" t="s">
        <v>40</v>
      </c>
      <c r="C578" s="78" t="s">
        <v>280</v>
      </c>
      <c r="D578" s="78" t="s">
        <v>625</v>
      </c>
      <c r="E578" s="79" t="s">
        <v>592</v>
      </c>
      <c r="F578" s="78" t="s">
        <v>509</v>
      </c>
      <c r="G578" s="78" t="s">
        <v>300</v>
      </c>
      <c r="H578" s="78"/>
      <c r="I578" s="78"/>
      <c r="J578" s="78"/>
      <c r="K578" s="80">
        <v>8</v>
      </c>
      <c r="L578" s="80"/>
      <c r="M578" s="81"/>
      <c r="N578" s="82"/>
      <c r="O578" s="78"/>
      <c r="P578" s="15"/>
      <c r="Q578" s="80"/>
      <c r="R578" s="80"/>
      <c r="S578" s="15"/>
      <c r="T578" s="83"/>
      <c r="U578" s="16"/>
    </row>
    <row r="579" spans="1:21" x14ac:dyDescent="0.3">
      <c r="A579" s="77" t="s">
        <v>764</v>
      </c>
      <c r="B579" s="78" t="s">
        <v>40</v>
      </c>
      <c r="C579" s="78" t="s">
        <v>280</v>
      </c>
      <c r="D579" s="78" t="s">
        <v>627</v>
      </c>
      <c r="E579" s="79" t="s">
        <v>806</v>
      </c>
      <c r="F579" s="78" t="s">
        <v>509</v>
      </c>
      <c r="G579" s="78" t="s">
        <v>300</v>
      </c>
      <c r="H579" s="78"/>
      <c r="I579" s="78"/>
      <c r="J579" s="78"/>
      <c r="K579" s="80">
        <v>6</v>
      </c>
      <c r="L579" s="80"/>
      <c r="M579" s="81"/>
      <c r="N579" s="82"/>
      <c r="O579" s="78"/>
      <c r="P579" s="15"/>
      <c r="Q579" s="80"/>
      <c r="R579" s="80"/>
      <c r="S579" s="15"/>
      <c r="T579" s="83"/>
      <c r="U579" s="16"/>
    </row>
    <row r="580" spans="1:21" x14ac:dyDescent="0.3">
      <c r="A580" s="77" t="s">
        <v>764</v>
      </c>
      <c r="B580" s="78" t="s">
        <v>40</v>
      </c>
      <c r="C580" s="78" t="s">
        <v>280</v>
      </c>
      <c r="D580" s="78" t="s">
        <v>629</v>
      </c>
      <c r="E580" s="79" t="s">
        <v>592</v>
      </c>
      <c r="F580" s="78" t="s">
        <v>509</v>
      </c>
      <c r="G580" s="78" t="s">
        <v>300</v>
      </c>
      <c r="H580" s="78"/>
      <c r="I580" s="78"/>
      <c r="J580" s="78"/>
      <c r="K580" s="80">
        <v>6</v>
      </c>
      <c r="L580" s="80"/>
      <c r="M580" s="81"/>
      <c r="N580" s="82"/>
      <c r="O580" s="78"/>
      <c r="P580" s="15"/>
      <c r="Q580" s="80"/>
      <c r="R580" s="80"/>
      <c r="S580" s="15"/>
      <c r="T580" s="83"/>
      <c r="U580" s="16"/>
    </row>
    <row r="581" spans="1:21" x14ac:dyDescent="0.3">
      <c r="A581" s="77" t="s">
        <v>764</v>
      </c>
      <c r="B581" s="78" t="s">
        <v>40</v>
      </c>
      <c r="C581" s="78" t="s">
        <v>280</v>
      </c>
      <c r="D581" s="78" t="s">
        <v>631</v>
      </c>
      <c r="E581" s="79" t="s">
        <v>807</v>
      </c>
      <c r="F581" s="78" t="s">
        <v>768</v>
      </c>
      <c r="G581" s="78" t="s">
        <v>246</v>
      </c>
      <c r="H581" s="78" t="s">
        <v>11</v>
      </c>
      <c r="I581" s="78" t="s">
        <v>214</v>
      </c>
      <c r="J581" s="79" t="s">
        <v>247</v>
      </c>
      <c r="K581" s="80">
        <v>78</v>
      </c>
      <c r="L581" s="80">
        <f>K581*VLOOKUP(H581,dagsoorttabel1,2,FALSE)</f>
        <v>61.17647058823529</v>
      </c>
      <c r="M581" s="81">
        <f>prodnorm28</f>
        <v>0</v>
      </c>
      <c r="N581" s="82">
        <f>dagwerk28</f>
        <v>0</v>
      </c>
      <c r="O581" s="78" t="s">
        <v>103</v>
      </c>
      <c r="P581" s="15">
        <f>uurtarief28</f>
        <v>0</v>
      </c>
      <c r="Q581" s="80" t="e">
        <f>IF(ISBLANK(M581),0,L581/ROUND(M581,4))</f>
        <v>#DIV/0!</v>
      </c>
      <c r="R581" s="80" t="e">
        <f>IF(ISBLANK(M581),0,Q581*ROUND(N581,2))</f>
        <v>#DIV/0!</v>
      </c>
      <c r="S581" s="15" t="e">
        <f>ROUND(P581,2)*Q581</f>
        <v>#DIV/0!</v>
      </c>
      <c r="T581" s="80" t="e">
        <f>Q581*dagenperjaar1</f>
        <v>#DIV/0!</v>
      </c>
      <c r="U581" s="16" t="e">
        <f>T581*ROUND(P581,2)</f>
        <v>#DIV/0!</v>
      </c>
    </row>
    <row r="582" spans="1:21" ht="27" x14ac:dyDescent="0.3">
      <c r="A582" s="77" t="s">
        <v>764</v>
      </c>
      <c r="B582" s="78" t="s">
        <v>40</v>
      </c>
      <c r="C582" s="78" t="s">
        <v>280</v>
      </c>
      <c r="D582" s="78" t="s">
        <v>632</v>
      </c>
      <c r="E582" s="79" t="s">
        <v>808</v>
      </c>
      <c r="F582" s="78" t="s">
        <v>509</v>
      </c>
      <c r="G582" s="78" t="s">
        <v>256</v>
      </c>
      <c r="H582" s="78" t="s">
        <v>11</v>
      </c>
      <c r="I582" s="78" t="s">
        <v>214</v>
      </c>
      <c r="J582" s="79" t="s">
        <v>257</v>
      </c>
      <c r="K582" s="80">
        <v>78</v>
      </c>
      <c r="L582" s="80">
        <f>K582*VLOOKUP(H582,dagsoorttabel1,2,FALSE)</f>
        <v>61.17647058823529</v>
      </c>
      <c r="M582" s="81">
        <f>prodnorm33</f>
        <v>0</v>
      </c>
      <c r="N582" s="82">
        <f>dagwerk33</f>
        <v>0</v>
      </c>
      <c r="O582" s="78" t="s">
        <v>103</v>
      </c>
      <c r="P582" s="15">
        <f>uurtarief33</f>
        <v>0</v>
      </c>
      <c r="Q582" s="80" t="e">
        <f>IF(ISBLANK(M582),0,L582/ROUND(M582,4))</f>
        <v>#DIV/0!</v>
      </c>
      <c r="R582" s="80" t="e">
        <f>IF(ISBLANK(M582),0,Q582*ROUND(N582,2))</f>
        <v>#DIV/0!</v>
      </c>
      <c r="S582" s="15" t="e">
        <f>ROUND(P582,2)*Q582</f>
        <v>#DIV/0!</v>
      </c>
      <c r="T582" s="80" t="e">
        <f>Q582*dagenperjaar1</f>
        <v>#DIV/0!</v>
      </c>
      <c r="U582" s="16" t="e">
        <f>T582*ROUND(P582,2)</f>
        <v>#DIV/0!</v>
      </c>
    </row>
    <row r="583" spans="1:21" x14ac:dyDescent="0.3">
      <c r="A583" s="77" t="s">
        <v>764</v>
      </c>
      <c r="B583" s="78" t="s">
        <v>40</v>
      </c>
      <c r="C583" s="78" t="s">
        <v>280</v>
      </c>
      <c r="D583" s="78" t="s">
        <v>634</v>
      </c>
      <c r="E583" s="79" t="s">
        <v>809</v>
      </c>
      <c r="F583" s="78" t="s">
        <v>509</v>
      </c>
      <c r="G583" s="78" t="s">
        <v>300</v>
      </c>
      <c r="H583" s="78"/>
      <c r="I583" s="78"/>
      <c r="J583" s="78"/>
      <c r="K583" s="80">
        <v>4</v>
      </c>
      <c r="L583" s="80"/>
      <c r="M583" s="81"/>
      <c r="N583" s="82"/>
      <c r="O583" s="78"/>
      <c r="P583" s="15"/>
      <c r="Q583" s="80"/>
      <c r="R583" s="80"/>
      <c r="S583" s="15"/>
      <c r="T583" s="83"/>
      <c r="U583" s="16"/>
    </row>
    <row r="584" spans="1:21" x14ac:dyDescent="0.3">
      <c r="A584" s="77" t="s">
        <v>764</v>
      </c>
      <c r="B584" s="78" t="s">
        <v>40</v>
      </c>
      <c r="C584" s="78" t="s">
        <v>280</v>
      </c>
      <c r="D584" s="78" t="s">
        <v>635</v>
      </c>
      <c r="E584" s="79" t="s">
        <v>810</v>
      </c>
      <c r="F584" s="78" t="s">
        <v>768</v>
      </c>
      <c r="G584" s="78" t="s">
        <v>216</v>
      </c>
      <c r="H584" s="78" t="s">
        <v>11</v>
      </c>
      <c r="I584" s="78" t="s">
        <v>214</v>
      </c>
      <c r="J584" s="79" t="s">
        <v>217</v>
      </c>
      <c r="K584" s="80">
        <v>11</v>
      </c>
      <c r="L584" s="80">
        <f>K584*VLOOKUP(H584,dagsoorttabel1,2,FALSE)</f>
        <v>8.6274509803921564</v>
      </c>
      <c r="M584" s="81">
        <f>prodnorm6</f>
        <v>0</v>
      </c>
      <c r="N584" s="82">
        <f>dagwerk6</f>
        <v>0</v>
      </c>
      <c r="O584" s="78" t="s">
        <v>103</v>
      </c>
      <c r="P584" s="15">
        <f>uurtarief6</f>
        <v>0</v>
      </c>
      <c r="Q584" s="80" t="e">
        <f>IF(ISBLANK(M584),0,L584/ROUND(M584,4))</f>
        <v>#DIV/0!</v>
      </c>
      <c r="R584" s="80" t="e">
        <f>IF(ISBLANK(M584),0,Q584*ROUND(N584,2))</f>
        <v>#DIV/0!</v>
      </c>
      <c r="S584" s="15" t="e">
        <f>ROUND(P584,2)*Q584</f>
        <v>#DIV/0!</v>
      </c>
      <c r="T584" s="80" t="e">
        <f>Q584*dagenperjaar1</f>
        <v>#DIV/0!</v>
      </c>
      <c r="U584" s="16" t="e">
        <f>T584*ROUND(P584,2)</f>
        <v>#DIV/0!</v>
      </c>
    </row>
    <row r="585" spans="1:21" x14ac:dyDescent="0.3">
      <c r="A585" s="77" t="s">
        <v>764</v>
      </c>
      <c r="B585" s="78" t="s">
        <v>40</v>
      </c>
      <c r="C585" s="78" t="s">
        <v>280</v>
      </c>
      <c r="D585" s="78" t="s">
        <v>636</v>
      </c>
      <c r="E585" s="79" t="s">
        <v>778</v>
      </c>
      <c r="F585" s="78" t="s">
        <v>509</v>
      </c>
      <c r="G585" s="78" t="s">
        <v>216</v>
      </c>
      <c r="H585" s="78" t="s">
        <v>11</v>
      </c>
      <c r="I585" s="78" t="s">
        <v>214</v>
      </c>
      <c r="J585" s="79" t="s">
        <v>217</v>
      </c>
      <c r="K585" s="80">
        <v>8</v>
      </c>
      <c r="L585" s="80">
        <f>K585*VLOOKUP(H585,dagsoorttabel1,2,FALSE)</f>
        <v>6.2745098039215685</v>
      </c>
      <c r="M585" s="81">
        <f>prodnorm6</f>
        <v>0</v>
      </c>
      <c r="N585" s="82">
        <f>dagwerk6</f>
        <v>0</v>
      </c>
      <c r="O585" s="78" t="s">
        <v>103</v>
      </c>
      <c r="P585" s="15">
        <f>uurtarief6</f>
        <v>0</v>
      </c>
      <c r="Q585" s="80" t="e">
        <f>IF(ISBLANK(M585),0,L585/ROUND(M585,4))</f>
        <v>#DIV/0!</v>
      </c>
      <c r="R585" s="80" t="e">
        <f>IF(ISBLANK(M585),0,Q585*ROUND(N585,2))</f>
        <v>#DIV/0!</v>
      </c>
      <c r="S585" s="15" t="e">
        <f>ROUND(P585,2)*Q585</f>
        <v>#DIV/0!</v>
      </c>
      <c r="T585" s="80" t="e">
        <f>Q585*dagenperjaar1</f>
        <v>#DIV/0!</v>
      </c>
      <c r="U585" s="16" t="e">
        <f>T585*ROUND(P585,2)</f>
        <v>#DIV/0!</v>
      </c>
    </row>
    <row r="586" spans="1:21" x14ac:dyDescent="0.3">
      <c r="A586" s="77" t="s">
        <v>764</v>
      </c>
      <c r="B586" s="78" t="s">
        <v>40</v>
      </c>
      <c r="C586" s="78" t="s">
        <v>280</v>
      </c>
      <c r="D586" s="78" t="s">
        <v>637</v>
      </c>
      <c r="E586" s="79" t="s">
        <v>811</v>
      </c>
      <c r="F586" s="78" t="s">
        <v>509</v>
      </c>
      <c r="G586" s="78" t="s">
        <v>216</v>
      </c>
      <c r="H586" s="78" t="s">
        <v>11</v>
      </c>
      <c r="I586" s="78" t="s">
        <v>214</v>
      </c>
      <c r="J586" s="79" t="s">
        <v>217</v>
      </c>
      <c r="K586" s="80">
        <v>50</v>
      </c>
      <c r="L586" s="80">
        <f>K586*VLOOKUP(H586,dagsoorttabel1,2,FALSE)</f>
        <v>39.215686274509807</v>
      </c>
      <c r="M586" s="81">
        <f>prodnorm6</f>
        <v>0</v>
      </c>
      <c r="N586" s="82">
        <f>dagwerk6</f>
        <v>0</v>
      </c>
      <c r="O586" s="78" t="s">
        <v>103</v>
      </c>
      <c r="P586" s="15">
        <f>uurtarief6</f>
        <v>0</v>
      </c>
      <c r="Q586" s="80" t="e">
        <f>IF(ISBLANK(M586),0,L586/ROUND(M586,4))</f>
        <v>#DIV/0!</v>
      </c>
      <c r="R586" s="80" t="e">
        <f>IF(ISBLANK(M586),0,Q586*ROUND(N586,2))</f>
        <v>#DIV/0!</v>
      </c>
      <c r="S586" s="15" t="e">
        <f>ROUND(P586,2)*Q586</f>
        <v>#DIV/0!</v>
      </c>
      <c r="T586" s="80" t="e">
        <f>Q586*dagenperjaar1</f>
        <v>#DIV/0!</v>
      </c>
      <c r="U586" s="16" t="e">
        <f>T586*ROUND(P586,2)</f>
        <v>#DIV/0!</v>
      </c>
    </row>
    <row r="587" spans="1:21" x14ac:dyDescent="0.3">
      <c r="A587" s="77" t="s">
        <v>764</v>
      </c>
      <c r="B587" s="78" t="s">
        <v>40</v>
      </c>
      <c r="C587" s="78" t="s">
        <v>280</v>
      </c>
      <c r="D587" s="78" t="s">
        <v>638</v>
      </c>
      <c r="E587" s="79" t="s">
        <v>812</v>
      </c>
      <c r="F587" s="78" t="s">
        <v>509</v>
      </c>
      <c r="G587" s="78" t="s">
        <v>234</v>
      </c>
      <c r="H587" s="78" t="s">
        <v>11</v>
      </c>
      <c r="I587" s="78" t="s">
        <v>214</v>
      </c>
      <c r="J587" s="79" t="s">
        <v>235</v>
      </c>
      <c r="K587" s="80">
        <v>71</v>
      </c>
      <c r="L587" s="80">
        <f>K587*VLOOKUP(H587,dagsoorttabel1,2,FALSE)</f>
        <v>55.686274509803923</v>
      </c>
      <c r="M587" s="81">
        <f>prodnorm21</f>
        <v>0</v>
      </c>
      <c r="N587" s="82">
        <f>dagwerk21</f>
        <v>0</v>
      </c>
      <c r="O587" s="78" t="s">
        <v>103</v>
      </c>
      <c r="P587" s="15">
        <f>uurtarief21</f>
        <v>0</v>
      </c>
      <c r="Q587" s="80" t="e">
        <f>IF(ISBLANK(M587),0,L587/ROUND(M587,4))</f>
        <v>#DIV/0!</v>
      </c>
      <c r="R587" s="80" t="e">
        <f>IF(ISBLANK(M587),0,Q587*ROUND(N587,2))</f>
        <v>#DIV/0!</v>
      </c>
      <c r="S587" s="15" t="e">
        <f>ROUND(P587,2)*Q587</f>
        <v>#DIV/0!</v>
      </c>
      <c r="T587" s="80" t="e">
        <f>Q587*dagenperjaar1</f>
        <v>#DIV/0!</v>
      </c>
      <c r="U587" s="16" t="e">
        <f>T587*ROUND(P587,2)</f>
        <v>#DIV/0!</v>
      </c>
    </row>
    <row r="588" spans="1:21" x14ac:dyDescent="0.3">
      <c r="A588" s="77" t="s">
        <v>764</v>
      </c>
      <c r="B588" s="78" t="s">
        <v>40</v>
      </c>
      <c r="C588" s="78" t="s">
        <v>280</v>
      </c>
      <c r="D588" s="78" t="s">
        <v>639</v>
      </c>
      <c r="E588" s="79" t="s">
        <v>592</v>
      </c>
      <c r="F588" s="78" t="s">
        <v>509</v>
      </c>
      <c r="G588" s="78" t="s">
        <v>300</v>
      </c>
      <c r="H588" s="78"/>
      <c r="I588" s="78"/>
      <c r="J588" s="78"/>
      <c r="K588" s="80">
        <v>8</v>
      </c>
      <c r="L588" s="80"/>
      <c r="M588" s="81"/>
      <c r="N588" s="82"/>
      <c r="O588" s="78"/>
      <c r="P588" s="15"/>
      <c r="Q588" s="80"/>
      <c r="R588" s="80"/>
      <c r="S588" s="15"/>
      <c r="T588" s="83"/>
      <c r="U588" s="16"/>
    </row>
    <row r="589" spans="1:21" x14ac:dyDescent="0.3">
      <c r="A589" s="77" t="s">
        <v>764</v>
      </c>
      <c r="B589" s="78" t="s">
        <v>40</v>
      </c>
      <c r="C589" s="78" t="s">
        <v>280</v>
      </c>
      <c r="D589" s="78" t="s">
        <v>640</v>
      </c>
      <c r="E589" s="79" t="s">
        <v>813</v>
      </c>
      <c r="F589" s="78" t="s">
        <v>509</v>
      </c>
      <c r="G589" s="78" t="s">
        <v>234</v>
      </c>
      <c r="H589" s="78" t="s">
        <v>11</v>
      </c>
      <c r="I589" s="78" t="s">
        <v>214</v>
      </c>
      <c r="J589" s="79" t="s">
        <v>235</v>
      </c>
      <c r="K589" s="80">
        <v>50</v>
      </c>
      <c r="L589" s="80">
        <f>K589*VLOOKUP(H589,dagsoorttabel1,2,FALSE)</f>
        <v>39.215686274509807</v>
      </c>
      <c r="M589" s="81">
        <f>prodnorm21</f>
        <v>0</v>
      </c>
      <c r="N589" s="82">
        <f>dagwerk21</f>
        <v>0</v>
      </c>
      <c r="O589" s="78" t="s">
        <v>103</v>
      </c>
      <c r="P589" s="15">
        <f>uurtarief21</f>
        <v>0</v>
      </c>
      <c r="Q589" s="80" t="e">
        <f>IF(ISBLANK(M589),0,L589/ROUND(M589,4))</f>
        <v>#DIV/0!</v>
      </c>
      <c r="R589" s="80" t="e">
        <f>IF(ISBLANK(M589),0,Q589*ROUND(N589,2))</f>
        <v>#DIV/0!</v>
      </c>
      <c r="S589" s="15" t="e">
        <f>ROUND(P589,2)*Q589</f>
        <v>#DIV/0!</v>
      </c>
      <c r="T589" s="80" t="e">
        <f>Q589*dagenperjaar1</f>
        <v>#DIV/0!</v>
      </c>
      <c r="U589" s="16" t="e">
        <f>T589*ROUND(P589,2)</f>
        <v>#DIV/0!</v>
      </c>
    </row>
    <row r="590" spans="1:21" x14ac:dyDescent="0.3">
      <c r="A590" s="77" t="s">
        <v>764</v>
      </c>
      <c r="B590" s="78" t="s">
        <v>40</v>
      </c>
      <c r="C590" s="78" t="s">
        <v>280</v>
      </c>
      <c r="D590" s="78" t="s">
        <v>641</v>
      </c>
      <c r="E590" s="79" t="s">
        <v>814</v>
      </c>
      <c r="F590" s="78" t="s">
        <v>509</v>
      </c>
      <c r="G590" s="78" t="s">
        <v>234</v>
      </c>
      <c r="H590" s="78" t="s">
        <v>11</v>
      </c>
      <c r="I590" s="78" t="s">
        <v>214</v>
      </c>
      <c r="J590" s="79" t="s">
        <v>235</v>
      </c>
      <c r="K590" s="80">
        <v>66</v>
      </c>
      <c r="L590" s="80">
        <f>K590*VLOOKUP(H590,dagsoorttabel1,2,FALSE)</f>
        <v>51.764705882352942</v>
      </c>
      <c r="M590" s="81">
        <f>prodnorm21</f>
        <v>0</v>
      </c>
      <c r="N590" s="82">
        <f>dagwerk21</f>
        <v>0</v>
      </c>
      <c r="O590" s="78" t="s">
        <v>103</v>
      </c>
      <c r="P590" s="15">
        <f>uurtarief21</f>
        <v>0</v>
      </c>
      <c r="Q590" s="80" t="e">
        <f>IF(ISBLANK(M590),0,L590/ROUND(M590,4))</f>
        <v>#DIV/0!</v>
      </c>
      <c r="R590" s="80" t="e">
        <f>IF(ISBLANK(M590),0,Q590*ROUND(N590,2))</f>
        <v>#DIV/0!</v>
      </c>
      <c r="S590" s="15" t="e">
        <f>ROUND(P590,2)*Q590</f>
        <v>#DIV/0!</v>
      </c>
      <c r="T590" s="80" t="e">
        <f>Q590*dagenperjaar1</f>
        <v>#DIV/0!</v>
      </c>
      <c r="U590" s="16" t="e">
        <f>T590*ROUND(P590,2)</f>
        <v>#DIV/0!</v>
      </c>
    </row>
    <row r="591" spans="1:21" x14ac:dyDescent="0.3">
      <c r="A591" s="77" t="s">
        <v>764</v>
      </c>
      <c r="B591" s="78" t="s">
        <v>40</v>
      </c>
      <c r="C591" s="78" t="s">
        <v>280</v>
      </c>
      <c r="D591" s="78" t="s">
        <v>642</v>
      </c>
      <c r="E591" s="79" t="s">
        <v>592</v>
      </c>
      <c r="F591" s="78" t="s">
        <v>509</v>
      </c>
      <c r="G591" s="78" t="s">
        <v>300</v>
      </c>
      <c r="H591" s="78"/>
      <c r="I591" s="78"/>
      <c r="J591" s="78"/>
      <c r="K591" s="80">
        <v>4</v>
      </c>
      <c r="L591" s="80"/>
      <c r="M591" s="81"/>
      <c r="N591" s="82"/>
      <c r="O591" s="78"/>
      <c r="P591" s="15"/>
      <c r="Q591" s="80"/>
      <c r="R591" s="80"/>
      <c r="S591" s="15"/>
      <c r="T591" s="83"/>
      <c r="U591" s="16"/>
    </row>
    <row r="592" spans="1:21" x14ac:dyDescent="0.3">
      <c r="A592" s="77" t="s">
        <v>764</v>
      </c>
      <c r="B592" s="78" t="s">
        <v>40</v>
      </c>
      <c r="C592" s="78" t="s">
        <v>280</v>
      </c>
      <c r="D592" s="78" t="s">
        <v>644</v>
      </c>
      <c r="E592" s="79" t="s">
        <v>592</v>
      </c>
      <c r="F592" s="78" t="s">
        <v>509</v>
      </c>
      <c r="G592" s="78" t="s">
        <v>300</v>
      </c>
      <c r="H592" s="78"/>
      <c r="I592" s="78"/>
      <c r="J592" s="78"/>
      <c r="K592" s="80">
        <v>8</v>
      </c>
      <c r="L592" s="80"/>
      <c r="M592" s="81"/>
      <c r="N592" s="82"/>
      <c r="O592" s="78"/>
      <c r="P592" s="15"/>
      <c r="Q592" s="80"/>
      <c r="R592" s="80"/>
      <c r="S592" s="15"/>
      <c r="T592" s="83"/>
      <c r="U592" s="16"/>
    </row>
    <row r="593" spans="1:21" x14ac:dyDescent="0.3">
      <c r="A593" s="77" t="s">
        <v>764</v>
      </c>
      <c r="B593" s="78" t="s">
        <v>40</v>
      </c>
      <c r="C593" s="78" t="s">
        <v>280</v>
      </c>
      <c r="D593" s="78" t="s">
        <v>645</v>
      </c>
      <c r="E593" s="79" t="s">
        <v>594</v>
      </c>
      <c r="F593" s="78" t="s">
        <v>815</v>
      </c>
      <c r="G593" s="78" t="s">
        <v>252</v>
      </c>
      <c r="H593" s="78" t="s">
        <v>11</v>
      </c>
      <c r="I593" s="78" t="s">
        <v>214</v>
      </c>
      <c r="J593" s="79" t="s">
        <v>253</v>
      </c>
      <c r="K593" s="80">
        <v>20</v>
      </c>
      <c r="L593" s="80">
        <f>K593*VLOOKUP(H593,dagsoorttabel1,2,FALSE)</f>
        <v>15.686274509803921</v>
      </c>
      <c r="M593" s="81">
        <f>prodnorm31</f>
        <v>0</v>
      </c>
      <c r="N593" s="82">
        <f>dagwerk31</f>
        <v>0</v>
      </c>
      <c r="O593" s="78" t="s">
        <v>103</v>
      </c>
      <c r="P593" s="15">
        <f>uurtarief31</f>
        <v>0</v>
      </c>
      <c r="Q593" s="80" t="e">
        <f>IF(ISBLANK(M593),0,L593/ROUND(M593,4))</f>
        <v>#DIV/0!</v>
      </c>
      <c r="R593" s="80" t="e">
        <f>IF(ISBLANK(M593),0,Q593*ROUND(N593,2))</f>
        <v>#DIV/0!</v>
      </c>
      <c r="S593" s="15" t="e">
        <f>ROUND(P593,2)*Q593</f>
        <v>#DIV/0!</v>
      </c>
      <c r="T593" s="80" t="e">
        <f>Q593*dagenperjaar1</f>
        <v>#DIV/0!</v>
      </c>
      <c r="U593" s="16" t="e">
        <f>T593*ROUND(P593,2)</f>
        <v>#DIV/0!</v>
      </c>
    </row>
    <row r="594" spans="1:21" x14ac:dyDescent="0.3">
      <c r="A594" s="77" t="s">
        <v>764</v>
      </c>
      <c r="B594" s="78" t="s">
        <v>40</v>
      </c>
      <c r="C594" s="78" t="s">
        <v>280</v>
      </c>
      <c r="D594" s="78" t="s">
        <v>646</v>
      </c>
      <c r="E594" s="79" t="s">
        <v>592</v>
      </c>
      <c r="F594" s="78" t="s">
        <v>509</v>
      </c>
      <c r="G594" s="78" t="s">
        <v>300</v>
      </c>
      <c r="H594" s="78"/>
      <c r="I594" s="78"/>
      <c r="J594" s="78"/>
      <c r="K594" s="80">
        <v>7</v>
      </c>
      <c r="L594" s="80"/>
      <c r="M594" s="81"/>
      <c r="N594" s="82"/>
      <c r="O594" s="78"/>
      <c r="P594" s="15"/>
      <c r="Q594" s="80"/>
      <c r="R594" s="80"/>
      <c r="S594" s="15"/>
      <c r="T594" s="83"/>
      <c r="U594" s="16"/>
    </row>
    <row r="595" spans="1:21" x14ac:dyDescent="0.3">
      <c r="A595" s="77" t="s">
        <v>764</v>
      </c>
      <c r="B595" s="78" t="s">
        <v>40</v>
      </c>
      <c r="C595" s="78" t="s">
        <v>280</v>
      </c>
      <c r="D595" s="78" t="s">
        <v>647</v>
      </c>
      <c r="E595" s="79" t="s">
        <v>816</v>
      </c>
      <c r="F595" s="78" t="s">
        <v>509</v>
      </c>
      <c r="G595" s="78" t="s">
        <v>234</v>
      </c>
      <c r="H595" s="78" t="s">
        <v>11</v>
      </c>
      <c r="I595" s="78" t="s">
        <v>214</v>
      </c>
      <c r="J595" s="79" t="s">
        <v>235</v>
      </c>
      <c r="K595" s="80">
        <v>66</v>
      </c>
      <c r="L595" s="80">
        <f t="shared" ref="L595:L600" si="162">K595*VLOOKUP(H595,dagsoorttabel1,2,FALSE)</f>
        <v>51.764705882352942</v>
      </c>
      <c r="M595" s="81">
        <f>prodnorm21</f>
        <v>0</v>
      </c>
      <c r="N595" s="82">
        <f>dagwerk21</f>
        <v>0</v>
      </c>
      <c r="O595" s="78" t="s">
        <v>103</v>
      </c>
      <c r="P595" s="15">
        <f>uurtarief21</f>
        <v>0</v>
      </c>
      <c r="Q595" s="80" t="e">
        <f t="shared" ref="Q595:Q600" si="163">IF(ISBLANK(M595),0,L595/ROUND(M595,4))</f>
        <v>#DIV/0!</v>
      </c>
      <c r="R595" s="80" t="e">
        <f t="shared" ref="R595:R600" si="164">IF(ISBLANK(M595),0,Q595*ROUND(N595,2))</f>
        <v>#DIV/0!</v>
      </c>
      <c r="S595" s="15" t="e">
        <f t="shared" ref="S595:S600" si="165">ROUND(P595,2)*Q595</f>
        <v>#DIV/0!</v>
      </c>
      <c r="T595" s="80" t="e">
        <f t="shared" ref="T595:T600" si="166">Q595*dagenperjaar1</f>
        <v>#DIV/0!</v>
      </c>
      <c r="U595" s="16" t="e">
        <f t="shared" ref="U595:U600" si="167">T595*ROUND(P595,2)</f>
        <v>#DIV/0!</v>
      </c>
    </row>
    <row r="596" spans="1:21" x14ac:dyDescent="0.3">
      <c r="A596" s="77" t="s">
        <v>764</v>
      </c>
      <c r="B596" s="78" t="s">
        <v>40</v>
      </c>
      <c r="C596" s="78" t="s">
        <v>280</v>
      </c>
      <c r="D596" s="78" t="s">
        <v>648</v>
      </c>
      <c r="E596" s="79" t="s">
        <v>817</v>
      </c>
      <c r="F596" s="78" t="s">
        <v>509</v>
      </c>
      <c r="G596" s="78" t="s">
        <v>234</v>
      </c>
      <c r="H596" s="78" t="s">
        <v>11</v>
      </c>
      <c r="I596" s="78" t="s">
        <v>214</v>
      </c>
      <c r="J596" s="79" t="s">
        <v>235</v>
      </c>
      <c r="K596" s="80">
        <v>50</v>
      </c>
      <c r="L596" s="80">
        <f t="shared" si="162"/>
        <v>39.215686274509807</v>
      </c>
      <c r="M596" s="81">
        <f>prodnorm21</f>
        <v>0</v>
      </c>
      <c r="N596" s="82">
        <f>dagwerk21</f>
        <v>0</v>
      </c>
      <c r="O596" s="78" t="s">
        <v>103</v>
      </c>
      <c r="P596" s="15">
        <f>uurtarief21</f>
        <v>0</v>
      </c>
      <c r="Q596" s="80" t="e">
        <f t="shared" si="163"/>
        <v>#DIV/0!</v>
      </c>
      <c r="R596" s="80" t="e">
        <f t="shared" si="164"/>
        <v>#DIV/0!</v>
      </c>
      <c r="S596" s="15" t="e">
        <f t="shared" si="165"/>
        <v>#DIV/0!</v>
      </c>
      <c r="T596" s="80" t="e">
        <f t="shared" si="166"/>
        <v>#DIV/0!</v>
      </c>
      <c r="U596" s="16" t="e">
        <f t="shared" si="167"/>
        <v>#DIV/0!</v>
      </c>
    </row>
    <row r="597" spans="1:21" x14ac:dyDescent="0.3">
      <c r="A597" s="77" t="s">
        <v>764</v>
      </c>
      <c r="B597" s="78" t="s">
        <v>40</v>
      </c>
      <c r="C597" s="78" t="s">
        <v>280</v>
      </c>
      <c r="D597" s="78" t="s">
        <v>651</v>
      </c>
      <c r="E597" s="79" t="s">
        <v>818</v>
      </c>
      <c r="F597" s="78" t="s">
        <v>591</v>
      </c>
      <c r="G597" s="78" t="s">
        <v>250</v>
      </c>
      <c r="H597" s="78" t="s">
        <v>11</v>
      </c>
      <c r="I597" s="78" t="s">
        <v>214</v>
      </c>
      <c r="J597" s="79" t="s">
        <v>251</v>
      </c>
      <c r="K597" s="80">
        <v>8</v>
      </c>
      <c r="L597" s="80">
        <f t="shared" si="162"/>
        <v>6.2745098039215685</v>
      </c>
      <c r="M597" s="81">
        <f>prodnorm30</f>
        <v>0</v>
      </c>
      <c r="N597" s="82">
        <f>dagwerk30</f>
        <v>0</v>
      </c>
      <c r="O597" s="78" t="s">
        <v>103</v>
      </c>
      <c r="P597" s="15">
        <f>uurtarief30</f>
        <v>0</v>
      </c>
      <c r="Q597" s="80" t="e">
        <f t="shared" si="163"/>
        <v>#DIV/0!</v>
      </c>
      <c r="R597" s="80" t="e">
        <f t="shared" si="164"/>
        <v>#DIV/0!</v>
      </c>
      <c r="S597" s="15" t="e">
        <f t="shared" si="165"/>
        <v>#DIV/0!</v>
      </c>
      <c r="T597" s="80" t="e">
        <f t="shared" si="166"/>
        <v>#DIV/0!</v>
      </c>
      <c r="U597" s="16" t="e">
        <f t="shared" si="167"/>
        <v>#DIV/0!</v>
      </c>
    </row>
    <row r="598" spans="1:21" x14ac:dyDescent="0.3">
      <c r="A598" s="77" t="s">
        <v>764</v>
      </c>
      <c r="B598" s="78" t="s">
        <v>40</v>
      </c>
      <c r="C598" s="78" t="s">
        <v>280</v>
      </c>
      <c r="D598" s="78" t="s">
        <v>652</v>
      </c>
      <c r="E598" s="79" t="s">
        <v>819</v>
      </c>
      <c r="F598" s="78" t="s">
        <v>591</v>
      </c>
      <c r="G598" s="78" t="s">
        <v>242</v>
      </c>
      <c r="H598" s="78" t="s">
        <v>11</v>
      </c>
      <c r="I598" s="78" t="s">
        <v>214</v>
      </c>
      <c r="J598" s="79" t="s">
        <v>243</v>
      </c>
      <c r="K598" s="80">
        <v>16</v>
      </c>
      <c r="L598" s="80">
        <f t="shared" si="162"/>
        <v>12.549019607843137</v>
      </c>
      <c r="M598" s="81">
        <f>prodnorm26</f>
        <v>0</v>
      </c>
      <c r="N598" s="82">
        <f>dagwerk26</f>
        <v>0</v>
      </c>
      <c r="O598" s="78" t="s">
        <v>103</v>
      </c>
      <c r="P598" s="15">
        <f>uurtarief26</f>
        <v>0</v>
      </c>
      <c r="Q598" s="80" t="e">
        <f t="shared" si="163"/>
        <v>#DIV/0!</v>
      </c>
      <c r="R598" s="80" t="e">
        <f t="shared" si="164"/>
        <v>#DIV/0!</v>
      </c>
      <c r="S598" s="15" t="e">
        <f t="shared" si="165"/>
        <v>#DIV/0!</v>
      </c>
      <c r="T598" s="80" t="e">
        <f t="shared" si="166"/>
        <v>#DIV/0!</v>
      </c>
      <c r="U598" s="16" t="e">
        <f t="shared" si="167"/>
        <v>#DIV/0!</v>
      </c>
    </row>
    <row r="599" spans="1:21" ht="27" x14ac:dyDescent="0.3">
      <c r="A599" s="77" t="s">
        <v>764</v>
      </c>
      <c r="B599" s="78" t="s">
        <v>40</v>
      </c>
      <c r="C599" s="78" t="s">
        <v>280</v>
      </c>
      <c r="D599" s="78" t="s">
        <v>653</v>
      </c>
      <c r="E599" s="79" t="s">
        <v>808</v>
      </c>
      <c r="F599" s="78" t="s">
        <v>509</v>
      </c>
      <c r="G599" s="78" t="s">
        <v>256</v>
      </c>
      <c r="H599" s="78" t="s">
        <v>11</v>
      </c>
      <c r="I599" s="78" t="s">
        <v>214</v>
      </c>
      <c r="J599" s="79" t="s">
        <v>257</v>
      </c>
      <c r="K599" s="80">
        <v>155</v>
      </c>
      <c r="L599" s="80">
        <f t="shared" si="162"/>
        <v>121.56862745098039</v>
      </c>
      <c r="M599" s="81">
        <f>prodnorm33</f>
        <v>0</v>
      </c>
      <c r="N599" s="82">
        <f>dagwerk33</f>
        <v>0</v>
      </c>
      <c r="O599" s="78" t="s">
        <v>103</v>
      </c>
      <c r="P599" s="15">
        <f>uurtarief33</f>
        <v>0</v>
      </c>
      <c r="Q599" s="80" t="e">
        <f t="shared" si="163"/>
        <v>#DIV/0!</v>
      </c>
      <c r="R599" s="80" t="e">
        <f t="shared" si="164"/>
        <v>#DIV/0!</v>
      </c>
      <c r="S599" s="15" t="e">
        <f t="shared" si="165"/>
        <v>#DIV/0!</v>
      </c>
      <c r="T599" s="80" t="e">
        <f t="shared" si="166"/>
        <v>#DIV/0!</v>
      </c>
      <c r="U599" s="16" t="e">
        <f t="shared" si="167"/>
        <v>#DIV/0!</v>
      </c>
    </row>
    <row r="600" spans="1:21" x14ac:dyDescent="0.3">
      <c r="A600" s="77" t="s">
        <v>764</v>
      </c>
      <c r="B600" s="78" t="s">
        <v>40</v>
      </c>
      <c r="C600" s="78" t="s">
        <v>280</v>
      </c>
      <c r="D600" s="78" t="s">
        <v>654</v>
      </c>
      <c r="E600" s="79" t="s">
        <v>820</v>
      </c>
      <c r="F600" s="78" t="s">
        <v>509</v>
      </c>
      <c r="G600" s="78" t="s">
        <v>213</v>
      </c>
      <c r="H600" s="78" t="s">
        <v>11</v>
      </c>
      <c r="I600" s="78" t="s">
        <v>214</v>
      </c>
      <c r="J600" s="79" t="s">
        <v>215</v>
      </c>
      <c r="K600" s="80">
        <v>94</v>
      </c>
      <c r="L600" s="80">
        <f t="shared" si="162"/>
        <v>73.725490196078425</v>
      </c>
      <c r="M600" s="81">
        <f>prodnorm5</f>
        <v>0</v>
      </c>
      <c r="N600" s="82">
        <f>dagwerk5</f>
        <v>0</v>
      </c>
      <c r="O600" s="78" t="s">
        <v>103</v>
      </c>
      <c r="P600" s="15">
        <f>uurtarief5</f>
        <v>0</v>
      </c>
      <c r="Q600" s="80" t="e">
        <f t="shared" si="163"/>
        <v>#DIV/0!</v>
      </c>
      <c r="R600" s="80" t="e">
        <f t="shared" si="164"/>
        <v>#DIV/0!</v>
      </c>
      <c r="S600" s="15" t="e">
        <f t="shared" si="165"/>
        <v>#DIV/0!</v>
      </c>
      <c r="T600" s="80" t="e">
        <f t="shared" si="166"/>
        <v>#DIV/0!</v>
      </c>
      <c r="U600" s="16" t="e">
        <f t="shared" si="167"/>
        <v>#DIV/0!</v>
      </c>
    </row>
    <row r="601" spans="1:21" x14ac:dyDescent="0.3">
      <c r="A601" s="77" t="s">
        <v>764</v>
      </c>
      <c r="B601" s="78" t="s">
        <v>40</v>
      </c>
      <c r="C601" s="78" t="s">
        <v>280</v>
      </c>
      <c r="D601" s="78" t="s">
        <v>655</v>
      </c>
      <c r="E601" s="79" t="s">
        <v>592</v>
      </c>
      <c r="F601" s="78" t="s">
        <v>509</v>
      </c>
      <c r="G601" s="78" t="s">
        <v>300</v>
      </c>
      <c r="H601" s="78"/>
      <c r="I601" s="78"/>
      <c r="J601" s="78"/>
      <c r="K601" s="80">
        <v>14</v>
      </c>
      <c r="L601" s="80"/>
      <c r="M601" s="81"/>
      <c r="N601" s="82"/>
      <c r="O601" s="78"/>
      <c r="P601" s="15"/>
      <c r="Q601" s="80"/>
      <c r="R601" s="80"/>
      <c r="S601" s="15"/>
      <c r="T601" s="83"/>
      <c r="U601" s="16"/>
    </row>
    <row r="602" spans="1:21" x14ac:dyDescent="0.3">
      <c r="A602" s="77" t="s">
        <v>764</v>
      </c>
      <c r="B602" s="78" t="s">
        <v>40</v>
      </c>
      <c r="C602" s="78" t="s">
        <v>280</v>
      </c>
      <c r="D602" s="78" t="s">
        <v>656</v>
      </c>
      <c r="E602" s="79" t="s">
        <v>821</v>
      </c>
      <c r="F602" s="78" t="s">
        <v>509</v>
      </c>
      <c r="G602" s="78" t="s">
        <v>300</v>
      </c>
      <c r="H602" s="78"/>
      <c r="I602" s="78"/>
      <c r="J602" s="78"/>
      <c r="K602" s="80">
        <v>14</v>
      </c>
      <c r="L602" s="80"/>
      <c r="M602" s="81"/>
      <c r="N602" s="82"/>
      <c r="O602" s="78"/>
      <c r="P602" s="15"/>
      <c r="Q602" s="80"/>
      <c r="R602" s="80"/>
      <c r="S602" s="15"/>
      <c r="T602" s="83"/>
      <c r="U602" s="16"/>
    </row>
    <row r="603" spans="1:21" x14ac:dyDescent="0.3">
      <c r="A603" s="77" t="s">
        <v>764</v>
      </c>
      <c r="B603" s="78" t="s">
        <v>40</v>
      </c>
      <c r="C603" s="78" t="s">
        <v>280</v>
      </c>
      <c r="D603" s="78" t="s">
        <v>657</v>
      </c>
      <c r="E603" s="79" t="s">
        <v>822</v>
      </c>
      <c r="F603" s="78" t="s">
        <v>591</v>
      </c>
      <c r="G603" s="78" t="s">
        <v>250</v>
      </c>
      <c r="H603" s="78" t="s">
        <v>11</v>
      </c>
      <c r="I603" s="78" t="s">
        <v>214</v>
      </c>
      <c r="J603" s="79" t="s">
        <v>251</v>
      </c>
      <c r="K603" s="80">
        <v>10</v>
      </c>
      <c r="L603" s="80">
        <f>K603*VLOOKUP(H603,dagsoorttabel1,2,FALSE)</f>
        <v>7.8431372549019605</v>
      </c>
      <c r="M603" s="81">
        <f>prodnorm30</f>
        <v>0</v>
      </c>
      <c r="N603" s="82">
        <f>dagwerk30</f>
        <v>0</v>
      </c>
      <c r="O603" s="78" t="s">
        <v>103</v>
      </c>
      <c r="P603" s="15">
        <f>uurtarief30</f>
        <v>0</v>
      </c>
      <c r="Q603" s="80" t="e">
        <f>IF(ISBLANK(M603),0,L603/ROUND(M603,4))</f>
        <v>#DIV/0!</v>
      </c>
      <c r="R603" s="80" t="e">
        <f>IF(ISBLANK(M603),0,Q603*ROUND(N603,2))</f>
        <v>#DIV/0!</v>
      </c>
      <c r="S603" s="15" t="e">
        <f>ROUND(P603,2)*Q603</f>
        <v>#DIV/0!</v>
      </c>
      <c r="T603" s="80" t="e">
        <f>Q603*dagenperjaar1</f>
        <v>#DIV/0!</v>
      </c>
      <c r="U603" s="16" t="e">
        <f>T603*ROUND(P603,2)</f>
        <v>#DIV/0!</v>
      </c>
    </row>
    <row r="604" spans="1:21" x14ac:dyDescent="0.3">
      <c r="A604" s="77" t="s">
        <v>764</v>
      </c>
      <c r="B604" s="78" t="s">
        <v>40</v>
      </c>
      <c r="C604" s="78" t="s">
        <v>280</v>
      </c>
      <c r="D604" s="78" t="s">
        <v>658</v>
      </c>
      <c r="E604" s="79" t="s">
        <v>823</v>
      </c>
      <c r="F604" s="78" t="s">
        <v>591</v>
      </c>
      <c r="G604" s="78" t="s">
        <v>250</v>
      </c>
      <c r="H604" s="78" t="s">
        <v>11</v>
      </c>
      <c r="I604" s="78" t="s">
        <v>214</v>
      </c>
      <c r="J604" s="79" t="s">
        <v>251</v>
      </c>
      <c r="K604" s="80">
        <v>4</v>
      </c>
      <c r="L604" s="80">
        <f>K604*VLOOKUP(H604,dagsoorttabel1,2,FALSE)</f>
        <v>3.1372549019607843</v>
      </c>
      <c r="M604" s="81">
        <f>prodnorm30</f>
        <v>0</v>
      </c>
      <c r="N604" s="82">
        <f>dagwerk30</f>
        <v>0</v>
      </c>
      <c r="O604" s="78" t="s">
        <v>103</v>
      </c>
      <c r="P604" s="15">
        <f>uurtarief30</f>
        <v>0</v>
      </c>
      <c r="Q604" s="80" t="e">
        <f>IF(ISBLANK(M604),0,L604/ROUND(M604,4))</f>
        <v>#DIV/0!</v>
      </c>
      <c r="R604" s="80" t="e">
        <f>IF(ISBLANK(M604),0,Q604*ROUND(N604,2))</f>
        <v>#DIV/0!</v>
      </c>
      <c r="S604" s="15" t="e">
        <f>ROUND(P604,2)*Q604</f>
        <v>#DIV/0!</v>
      </c>
      <c r="T604" s="80" t="e">
        <f>Q604*dagenperjaar1</f>
        <v>#DIV/0!</v>
      </c>
      <c r="U604" s="16" t="e">
        <f>T604*ROUND(P604,2)</f>
        <v>#DIV/0!</v>
      </c>
    </row>
    <row r="605" spans="1:21" x14ac:dyDescent="0.3">
      <c r="A605" s="77" t="s">
        <v>764</v>
      </c>
      <c r="B605" s="78" t="s">
        <v>40</v>
      </c>
      <c r="C605" s="78" t="s">
        <v>280</v>
      </c>
      <c r="D605" s="78" t="s">
        <v>659</v>
      </c>
      <c r="E605" s="79" t="s">
        <v>684</v>
      </c>
      <c r="F605" s="78" t="s">
        <v>509</v>
      </c>
      <c r="G605" s="78" t="s">
        <v>230</v>
      </c>
      <c r="H605" s="78" t="s">
        <v>11</v>
      </c>
      <c r="I605" s="78" t="s">
        <v>214</v>
      </c>
      <c r="J605" s="79" t="s">
        <v>231</v>
      </c>
      <c r="K605" s="80">
        <v>4</v>
      </c>
      <c r="L605" s="80">
        <f>K605*VLOOKUP(H605,dagsoorttabel1,2,FALSE)</f>
        <v>3.1372549019607843</v>
      </c>
      <c r="M605" s="81">
        <f>prodnorm17</f>
        <v>0</v>
      </c>
      <c r="N605" s="82">
        <f>dagwerk17</f>
        <v>0</v>
      </c>
      <c r="O605" s="78" t="s">
        <v>103</v>
      </c>
      <c r="P605" s="15">
        <f>uurtarief17</f>
        <v>0</v>
      </c>
      <c r="Q605" s="80" t="e">
        <f>IF(ISBLANK(M605),0,L605/ROUND(M605,4))</f>
        <v>#DIV/0!</v>
      </c>
      <c r="R605" s="80" t="e">
        <f>IF(ISBLANK(M605),0,Q605*ROUND(N605,2))</f>
        <v>#DIV/0!</v>
      </c>
      <c r="S605" s="15" t="e">
        <f>ROUND(P605,2)*Q605</f>
        <v>#DIV/0!</v>
      </c>
      <c r="T605" s="80" t="e">
        <f>Q605*dagenperjaar1</f>
        <v>#DIV/0!</v>
      </c>
      <c r="U605" s="16" t="e">
        <f>T605*ROUND(P605,2)</f>
        <v>#DIV/0!</v>
      </c>
    </row>
    <row r="606" spans="1:21" x14ac:dyDescent="0.3">
      <c r="A606" s="77" t="s">
        <v>764</v>
      </c>
      <c r="B606" s="78" t="s">
        <v>40</v>
      </c>
      <c r="C606" s="78" t="s">
        <v>338</v>
      </c>
      <c r="D606" s="78" t="s">
        <v>339</v>
      </c>
      <c r="E606" s="79" t="s">
        <v>824</v>
      </c>
      <c r="F606" s="78" t="s">
        <v>509</v>
      </c>
      <c r="G606" s="78" t="s">
        <v>300</v>
      </c>
      <c r="H606" s="78"/>
      <c r="I606" s="78"/>
      <c r="J606" s="78"/>
      <c r="K606" s="80">
        <v>21</v>
      </c>
      <c r="L606" s="80"/>
      <c r="M606" s="81"/>
      <c r="N606" s="82"/>
      <c r="O606" s="78"/>
      <c r="P606" s="15"/>
      <c r="Q606" s="80"/>
      <c r="R606" s="80"/>
      <c r="S606" s="15"/>
      <c r="T606" s="83"/>
      <c r="U606" s="16"/>
    </row>
    <row r="607" spans="1:21" x14ac:dyDescent="0.3">
      <c r="A607" s="77" t="s">
        <v>764</v>
      </c>
      <c r="B607" s="78" t="s">
        <v>40</v>
      </c>
      <c r="C607" s="78" t="s">
        <v>338</v>
      </c>
      <c r="D607" s="78" t="s">
        <v>340</v>
      </c>
      <c r="E607" s="79" t="s">
        <v>825</v>
      </c>
      <c r="F607" s="78" t="s">
        <v>509</v>
      </c>
      <c r="G607" s="78" t="s">
        <v>242</v>
      </c>
      <c r="H607" s="78" t="s">
        <v>11</v>
      </c>
      <c r="I607" s="78" t="s">
        <v>214</v>
      </c>
      <c r="J607" s="79" t="s">
        <v>243</v>
      </c>
      <c r="K607" s="80">
        <v>9</v>
      </c>
      <c r="L607" s="80">
        <f>K607*VLOOKUP(H607,dagsoorttabel1,2,FALSE)</f>
        <v>7.0588235294117645</v>
      </c>
      <c r="M607" s="81">
        <f>prodnorm26</f>
        <v>0</v>
      </c>
      <c r="N607" s="82">
        <f>dagwerk26</f>
        <v>0</v>
      </c>
      <c r="O607" s="78" t="s">
        <v>103</v>
      </c>
      <c r="P607" s="15">
        <f>uurtarief26</f>
        <v>0</v>
      </c>
      <c r="Q607" s="80" t="e">
        <f>IF(ISBLANK(M607),0,L607/ROUND(M607,4))</f>
        <v>#DIV/0!</v>
      </c>
      <c r="R607" s="80" t="e">
        <f>IF(ISBLANK(M607),0,Q607*ROUND(N607,2))</f>
        <v>#DIV/0!</v>
      </c>
      <c r="S607" s="15" t="e">
        <f>ROUND(P607,2)*Q607</f>
        <v>#DIV/0!</v>
      </c>
      <c r="T607" s="80" t="e">
        <f>Q607*dagenperjaar1</f>
        <v>#DIV/0!</v>
      </c>
      <c r="U607" s="16" t="e">
        <f>T607*ROUND(P607,2)</f>
        <v>#DIV/0!</v>
      </c>
    </row>
    <row r="608" spans="1:21" x14ac:dyDescent="0.3">
      <c r="A608" s="77" t="s">
        <v>764</v>
      </c>
      <c r="B608" s="78" t="s">
        <v>40</v>
      </c>
      <c r="C608" s="78" t="s">
        <v>338</v>
      </c>
      <c r="D608" s="78" t="s">
        <v>341</v>
      </c>
      <c r="E608" s="79" t="s">
        <v>826</v>
      </c>
      <c r="F608" s="78" t="s">
        <v>509</v>
      </c>
      <c r="G608" s="78" t="s">
        <v>300</v>
      </c>
      <c r="H608" s="78"/>
      <c r="I608" s="78"/>
      <c r="J608" s="78"/>
      <c r="K608" s="80">
        <v>6</v>
      </c>
      <c r="L608" s="80"/>
      <c r="M608" s="81"/>
      <c r="N608" s="82"/>
      <c r="O608" s="78"/>
      <c r="P608" s="15"/>
      <c r="Q608" s="80"/>
      <c r="R608" s="80"/>
      <c r="S608" s="15"/>
      <c r="T608" s="83"/>
      <c r="U608" s="16"/>
    </row>
    <row r="609" spans="1:21" ht="27" x14ac:dyDescent="0.3">
      <c r="A609" s="77" t="s">
        <v>764</v>
      </c>
      <c r="B609" s="78" t="s">
        <v>40</v>
      </c>
      <c r="C609" s="78" t="s">
        <v>338</v>
      </c>
      <c r="D609" s="78" t="s">
        <v>342</v>
      </c>
      <c r="E609" s="79" t="s">
        <v>827</v>
      </c>
      <c r="F609" s="78" t="s">
        <v>509</v>
      </c>
      <c r="G609" s="78" t="s">
        <v>256</v>
      </c>
      <c r="H609" s="78" t="s">
        <v>11</v>
      </c>
      <c r="I609" s="78" t="s">
        <v>214</v>
      </c>
      <c r="J609" s="79" t="s">
        <v>257</v>
      </c>
      <c r="K609" s="80">
        <v>11</v>
      </c>
      <c r="L609" s="80">
        <f>K609*VLOOKUP(H609,dagsoorttabel1,2,FALSE)</f>
        <v>8.6274509803921564</v>
      </c>
      <c r="M609" s="81">
        <f>prodnorm33</f>
        <v>0</v>
      </c>
      <c r="N609" s="82">
        <f>dagwerk33</f>
        <v>0</v>
      </c>
      <c r="O609" s="78" t="s">
        <v>103</v>
      </c>
      <c r="P609" s="15">
        <f>uurtarief33</f>
        <v>0</v>
      </c>
      <c r="Q609" s="80" t="e">
        <f>IF(ISBLANK(M609),0,L609/ROUND(M609,4))</f>
        <v>#DIV/0!</v>
      </c>
      <c r="R609" s="80" t="e">
        <f>IF(ISBLANK(M609),0,Q609*ROUND(N609,2))</f>
        <v>#DIV/0!</v>
      </c>
      <c r="S609" s="15" t="e">
        <f>ROUND(P609,2)*Q609</f>
        <v>#DIV/0!</v>
      </c>
      <c r="T609" s="80" t="e">
        <f>Q609*dagenperjaar1</f>
        <v>#DIV/0!</v>
      </c>
      <c r="U609" s="16" t="e">
        <f>T609*ROUND(P609,2)</f>
        <v>#DIV/0!</v>
      </c>
    </row>
    <row r="610" spans="1:21" x14ac:dyDescent="0.3">
      <c r="A610" s="77" t="s">
        <v>764</v>
      </c>
      <c r="B610" s="78" t="s">
        <v>40</v>
      </c>
      <c r="C610" s="78" t="s">
        <v>338</v>
      </c>
      <c r="D610" s="78" t="s">
        <v>344</v>
      </c>
      <c r="E610" s="79" t="s">
        <v>630</v>
      </c>
      <c r="F610" s="78" t="s">
        <v>509</v>
      </c>
      <c r="G610" s="78" t="s">
        <v>300</v>
      </c>
      <c r="H610" s="78"/>
      <c r="I610" s="78"/>
      <c r="J610" s="78"/>
      <c r="K610" s="80">
        <v>6</v>
      </c>
      <c r="L610" s="80"/>
      <c r="M610" s="81"/>
      <c r="N610" s="82"/>
      <c r="O610" s="78"/>
      <c r="P610" s="15"/>
      <c r="Q610" s="80"/>
      <c r="R610" s="80"/>
      <c r="S610" s="15"/>
      <c r="T610" s="83"/>
      <c r="U610" s="16"/>
    </row>
    <row r="611" spans="1:21" x14ac:dyDescent="0.3">
      <c r="A611" s="77" t="s">
        <v>764</v>
      </c>
      <c r="B611" s="78" t="s">
        <v>40</v>
      </c>
      <c r="C611" s="78" t="s">
        <v>338</v>
      </c>
      <c r="D611" s="78" t="s">
        <v>345</v>
      </c>
      <c r="E611" s="79" t="s">
        <v>592</v>
      </c>
      <c r="F611" s="78" t="s">
        <v>509</v>
      </c>
      <c r="G611" s="78" t="s">
        <v>300</v>
      </c>
      <c r="H611" s="78"/>
      <c r="I611" s="78"/>
      <c r="J611" s="78"/>
      <c r="K611" s="80">
        <v>6</v>
      </c>
      <c r="L611" s="80"/>
      <c r="M611" s="81"/>
      <c r="N611" s="82"/>
      <c r="O611" s="78"/>
      <c r="P611" s="15"/>
      <c r="Q611" s="80"/>
      <c r="R611" s="80"/>
      <c r="S611" s="15"/>
      <c r="T611" s="83"/>
      <c r="U611" s="16"/>
    </row>
    <row r="612" spans="1:21" ht="27" x14ac:dyDescent="0.3">
      <c r="A612" s="77" t="s">
        <v>764</v>
      </c>
      <c r="B612" s="78" t="s">
        <v>40</v>
      </c>
      <c r="C612" s="78" t="s">
        <v>338</v>
      </c>
      <c r="D612" s="78" t="s">
        <v>346</v>
      </c>
      <c r="E612" s="79" t="s">
        <v>808</v>
      </c>
      <c r="F612" s="78" t="s">
        <v>509</v>
      </c>
      <c r="G612" s="78" t="s">
        <v>256</v>
      </c>
      <c r="H612" s="78" t="s">
        <v>11</v>
      </c>
      <c r="I612" s="78" t="s">
        <v>214</v>
      </c>
      <c r="J612" s="79" t="s">
        <v>257</v>
      </c>
      <c r="K612" s="80">
        <v>219</v>
      </c>
      <c r="L612" s="80">
        <f>K612*VLOOKUP(H612,dagsoorttabel1,2,FALSE)</f>
        <v>171.76470588235293</v>
      </c>
      <c r="M612" s="81">
        <f>prodnorm33</f>
        <v>0</v>
      </c>
      <c r="N612" s="82">
        <f>dagwerk33</f>
        <v>0</v>
      </c>
      <c r="O612" s="78" t="s">
        <v>103</v>
      </c>
      <c r="P612" s="15">
        <f>uurtarief33</f>
        <v>0</v>
      </c>
      <c r="Q612" s="80" t="e">
        <f>IF(ISBLANK(M612),0,L612/ROUND(M612,4))</f>
        <v>#DIV/0!</v>
      </c>
      <c r="R612" s="80" t="e">
        <f>IF(ISBLANK(M612),0,Q612*ROUND(N612,2))</f>
        <v>#DIV/0!</v>
      </c>
      <c r="S612" s="15" t="e">
        <f>ROUND(P612,2)*Q612</f>
        <v>#DIV/0!</v>
      </c>
      <c r="T612" s="80" t="e">
        <f>Q612*dagenperjaar1</f>
        <v>#DIV/0!</v>
      </c>
      <c r="U612" s="16" t="e">
        <f>T612*ROUND(P612,2)</f>
        <v>#DIV/0!</v>
      </c>
    </row>
    <row r="613" spans="1:21" x14ac:dyDescent="0.3">
      <c r="A613" s="77" t="s">
        <v>764</v>
      </c>
      <c r="B613" s="78" t="s">
        <v>40</v>
      </c>
      <c r="C613" s="78" t="s">
        <v>338</v>
      </c>
      <c r="D613" s="78" t="s">
        <v>347</v>
      </c>
      <c r="E613" s="79" t="s">
        <v>820</v>
      </c>
      <c r="F613" s="78" t="s">
        <v>509</v>
      </c>
      <c r="G613" s="78" t="s">
        <v>213</v>
      </c>
      <c r="H613" s="78" t="s">
        <v>11</v>
      </c>
      <c r="I613" s="78" t="s">
        <v>214</v>
      </c>
      <c r="J613" s="79" t="s">
        <v>215</v>
      </c>
      <c r="K613" s="80">
        <v>97</v>
      </c>
      <c r="L613" s="80">
        <f>K613*VLOOKUP(H613,dagsoorttabel1,2,FALSE)</f>
        <v>76.078431372549019</v>
      </c>
      <c r="M613" s="81">
        <f>prodnorm5</f>
        <v>0</v>
      </c>
      <c r="N613" s="82">
        <f>dagwerk5</f>
        <v>0</v>
      </c>
      <c r="O613" s="78" t="s">
        <v>103</v>
      </c>
      <c r="P613" s="15">
        <f>uurtarief5</f>
        <v>0</v>
      </c>
      <c r="Q613" s="80" t="e">
        <f>IF(ISBLANK(M613),0,L613/ROUND(M613,4))</f>
        <v>#DIV/0!</v>
      </c>
      <c r="R613" s="80" t="e">
        <f>IF(ISBLANK(M613),0,Q613*ROUND(N613,2))</f>
        <v>#DIV/0!</v>
      </c>
      <c r="S613" s="15" t="e">
        <f>ROUND(P613,2)*Q613</f>
        <v>#DIV/0!</v>
      </c>
      <c r="T613" s="80" t="e">
        <f>Q613*dagenperjaar1</f>
        <v>#DIV/0!</v>
      </c>
      <c r="U613" s="16" t="e">
        <f>T613*ROUND(P613,2)</f>
        <v>#DIV/0!</v>
      </c>
    </row>
    <row r="614" spans="1:21" x14ac:dyDescent="0.3">
      <c r="A614" s="77" t="s">
        <v>764</v>
      </c>
      <c r="B614" s="78" t="s">
        <v>40</v>
      </c>
      <c r="C614" s="78" t="s">
        <v>338</v>
      </c>
      <c r="D614" s="78" t="s">
        <v>348</v>
      </c>
      <c r="E614" s="79" t="s">
        <v>828</v>
      </c>
      <c r="F614" s="78" t="s">
        <v>509</v>
      </c>
      <c r="G614" s="78" t="s">
        <v>234</v>
      </c>
      <c r="H614" s="78" t="s">
        <v>11</v>
      </c>
      <c r="I614" s="78" t="s">
        <v>214</v>
      </c>
      <c r="J614" s="79" t="s">
        <v>235</v>
      </c>
      <c r="K614" s="80">
        <v>50</v>
      </c>
      <c r="L614" s="80">
        <f>K614*VLOOKUP(H614,dagsoorttabel1,2,FALSE)</f>
        <v>39.215686274509807</v>
      </c>
      <c r="M614" s="81">
        <f>prodnorm21</f>
        <v>0</v>
      </c>
      <c r="N614" s="82">
        <f>dagwerk21</f>
        <v>0</v>
      </c>
      <c r="O614" s="78" t="s">
        <v>103</v>
      </c>
      <c r="P614" s="15">
        <f>uurtarief21</f>
        <v>0</v>
      </c>
      <c r="Q614" s="80" t="e">
        <f>IF(ISBLANK(M614),0,L614/ROUND(M614,4))</f>
        <v>#DIV/0!</v>
      </c>
      <c r="R614" s="80" t="e">
        <f>IF(ISBLANK(M614),0,Q614*ROUND(N614,2))</f>
        <v>#DIV/0!</v>
      </c>
      <c r="S614" s="15" t="e">
        <f>ROUND(P614,2)*Q614</f>
        <v>#DIV/0!</v>
      </c>
      <c r="T614" s="80" t="e">
        <f>Q614*dagenperjaar1</f>
        <v>#DIV/0!</v>
      </c>
      <c r="U614" s="16" t="e">
        <f>T614*ROUND(P614,2)</f>
        <v>#DIV/0!</v>
      </c>
    </row>
    <row r="615" spans="1:21" x14ac:dyDescent="0.3">
      <c r="A615" s="77" t="s">
        <v>764</v>
      </c>
      <c r="B615" s="78" t="s">
        <v>40</v>
      </c>
      <c r="C615" s="78" t="s">
        <v>338</v>
      </c>
      <c r="D615" s="78" t="s">
        <v>349</v>
      </c>
      <c r="E615" s="79" t="s">
        <v>829</v>
      </c>
      <c r="F615" s="78" t="s">
        <v>509</v>
      </c>
      <c r="G615" s="78" t="s">
        <v>234</v>
      </c>
      <c r="H615" s="78" t="s">
        <v>11</v>
      </c>
      <c r="I615" s="78" t="s">
        <v>214</v>
      </c>
      <c r="J615" s="79" t="s">
        <v>235</v>
      </c>
      <c r="K615" s="80">
        <v>50</v>
      </c>
      <c r="L615" s="80">
        <f>K615*VLOOKUP(H615,dagsoorttabel1,2,FALSE)</f>
        <v>39.215686274509807</v>
      </c>
      <c r="M615" s="81">
        <f>prodnorm21</f>
        <v>0</v>
      </c>
      <c r="N615" s="82">
        <f>dagwerk21</f>
        <v>0</v>
      </c>
      <c r="O615" s="78" t="s">
        <v>103</v>
      </c>
      <c r="P615" s="15">
        <f>uurtarief21</f>
        <v>0</v>
      </c>
      <c r="Q615" s="80" t="e">
        <f>IF(ISBLANK(M615),0,L615/ROUND(M615,4))</f>
        <v>#DIV/0!</v>
      </c>
      <c r="R615" s="80" t="e">
        <f>IF(ISBLANK(M615),0,Q615*ROUND(N615,2))</f>
        <v>#DIV/0!</v>
      </c>
      <c r="S615" s="15" t="e">
        <f>ROUND(P615,2)*Q615</f>
        <v>#DIV/0!</v>
      </c>
      <c r="T615" s="80" t="e">
        <f>Q615*dagenperjaar1</f>
        <v>#DIV/0!</v>
      </c>
      <c r="U615" s="16" t="e">
        <f>T615*ROUND(P615,2)</f>
        <v>#DIV/0!</v>
      </c>
    </row>
    <row r="616" spans="1:21" x14ac:dyDescent="0.3">
      <c r="A616" s="77" t="s">
        <v>764</v>
      </c>
      <c r="B616" s="78" t="s">
        <v>40</v>
      </c>
      <c r="C616" s="78" t="s">
        <v>338</v>
      </c>
      <c r="D616" s="78" t="s">
        <v>351</v>
      </c>
      <c r="E616" s="79" t="s">
        <v>592</v>
      </c>
      <c r="F616" s="78" t="s">
        <v>509</v>
      </c>
      <c r="G616" s="78" t="s">
        <v>300</v>
      </c>
      <c r="H616" s="78"/>
      <c r="I616" s="78"/>
      <c r="J616" s="78"/>
      <c r="K616" s="80">
        <v>11</v>
      </c>
      <c r="L616" s="80"/>
      <c r="M616" s="81"/>
      <c r="N616" s="82"/>
      <c r="O616" s="78"/>
      <c r="P616" s="15"/>
      <c r="Q616" s="80"/>
      <c r="R616" s="80"/>
      <c r="S616" s="15"/>
      <c r="T616" s="83"/>
      <c r="U616" s="16"/>
    </row>
    <row r="617" spans="1:21" x14ac:dyDescent="0.3">
      <c r="A617" s="77" t="s">
        <v>764</v>
      </c>
      <c r="B617" s="78" t="s">
        <v>40</v>
      </c>
      <c r="C617" s="78" t="s">
        <v>338</v>
      </c>
      <c r="D617" s="78" t="s">
        <v>352</v>
      </c>
      <c r="E617" s="79" t="s">
        <v>830</v>
      </c>
      <c r="F617" s="78" t="s">
        <v>509</v>
      </c>
      <c r="G617" s="78" t="s">
        <v>234</v>
      </c>
      <c r="H617" s="78" t="s">
        <v>11</v>
      </c>
      <c r="I617" s="78" t="s">
        <v>214</v>
      </c>
      <c r="J617" s="79" t="s">
        <v>235</v>
      </c>
      <c r="K617" s="80">
        <v>67</v>
      </c>
      <c r="L617" s="80">
        <f t="shared" ref="L617:L625" si="168">K617*VLOOKUP(H617,dagsoorttabel1,2,FALSE)</f>
        <v>52.549019607843135</v>
      </c>
      <c r="M617" s="81">
        <f>prodnorm21</f>
        <v>0</v>
      </c>
      <c r="N617" s="82">
        <f>dagwerk21</f>
        <v>0</v>
      </c>
      <c r="O617" s="78" t="s">
        <v>103</v>
      </c>
      <c r="P617" s="15">
        <f>uurtarief21</f>
        <v>0</v>
      </c>
      <c r="Q617" s="80" t="e">
        <f t="shared" ref="Q617:Q625" si="169">IF(ISBLANK(M617),0,L617/ROUND(M617,4))</f>
        <v>#DIV/0!</v>
      </c>
      <c r="R617" s="80" t="e">
        <f t="shared" ref="R617:R625" si="170">IF(ISBLANK(M617),0,Q617*ROUND(N617,2))</f>
        <v>#DIV/0!</v>
      </c>
      <c r="S617" s="15" t="e">
        <f t="shared" ref="S617:S625" si="171">ROUND(P617,2)*Q617</f>
        <v>#DIV/0!</v>
      </c>
      <c r="T617" s="80" t="e">
        <f t="shared" ref="T617:T625" si="172">Q617*dagenperjaar1</f>
        <v>#DIV/0!</v>
      </c>
      <c r="U617" s="16" t="e">
        <f t="shared" ref="U617:U625" si="173">T617*ROUND(P617,2)</f>
        <v>#DIV/0!</v>
      </c>
    </row>
    <row r="618" spans="1:21" x14ac:dyDescent="0.3">
      <c r="A618" s="77" t="s">
        <v>764</v>
      </c>
      <c r="B618" s="78" t="s">
        <v>40</v>
      </c>
      <c r="C618" s="78" t="s">
        <v>338</v>
      </c>
      <c r="D618" s="78" t="s">
        <v>354</v>
      </c>
      <c r="E618" s="79" t="s">
        <v>831</v>
      </c>
      <c r="F618" s="78" t="s">
        <v>509</v>
      </c>
      <c r="G618" s="78" t="s">
        <v>234</v>
      </c>
      <c r="H618" s="78" t="s">
        <v>11</v>
      </c>
      <c r="I618" s="78" t="s">
        <v>214</v>
      </c>
      <c r="J618" s="79" t="s">
        <v>235</v>
      </c>
      <c r="K618" s="80">
        <v>67</v>
      </c>
      <c r="L618" s="80">
        <f t="shared" si="168"/>
        <v>52.549019607843135</v>
      </c>
      <c r="M618" s="81">
        <f>prodnorm21</f>
        <v>0</v>
      </c>
      <c r="N618" s="82">
        <f>dagwerk21</f>
        <v>0</v>
      </c>
      <c r="O618" s="78" t="s">
        <v>103</v>
      </c>
      <c r="P618" s="15">
        <f>uurtarief21</f>
        <v>0</v>
      </c>
      <c r="Q618" s="80" t="e">
        <f t="shared" si="169"/>
        <v>#DIV/0!</v>
      </c>
      <c r="R618" s="80" t="e">
        <f t="shared" si="170"/>
        <v>#DIV/0!</v>
      </c>
      <c r="S618" s="15" t="e">
        <f t="shared" si="171"/>
        <v>#DIV/0!</v>
      </c>
      <c r="T618" s="80" t="e">
        <f t="shared" si="172"/>
        <v>#DIV/0!</v>
      </c>
      <c r="U618" s="16" t="e">
        <f t="shared" si="173"/>
        <v>#DIV/0!</v>
      </c>
    </row>
    <row r="619" spans="1:21" x14ac:dyDescent="0.3">
      <c r="A619" s="77" t="s">
        <v>764</v>
      </c>
      <c r="B619" s="78" t="s">
        <v>40</v>
      </c>
      <c r="C619" s="78" t="s">
        <v>338</v>
      </c>
      <c r="D619" s="78" t="s">
        <v>355</v>
      </c>
      <c r="E619" s="79" t="s">
        <v>832</v>
      </c>
      <c r="F619" s="78" t="s">
        <v>509</v>
      </c>
      <c r="G619" s="78" t="s">
        <v>252</v>
      </c>
      <c r="H619" s="78" t="s">
        <v>11</v>
      </c>
      <c r="I619" s="78" t="s">
        <v>214</v>
      </c>
      <c r="J619" s="79" t="s">
        <v>253</v>
      </c>
      <c r="K619" s="80">
        <v>28</v>
      </c>
      <c r="L619" s="80">
        <f t="shared" si="168"/>
        <v>21.96078431372549</v>
      </c>
      <c r="M619" s="81">
        <f>prodnorm31</f>
        <v>0</v>
      </c>
      <c r="N619" s="82">
        <f>dagwerk31</f>
        <v>0</v>
      </c>
      <c r="O619" s="78" t="s">
        <v>103</v>
      </c>
      <c r="P619" s="15">
        <f>uurtarief31</f>
        <v>0</v>
      </c>
      <c r="Q619" s="80" t="e">
        <f t="shared" si="169"/>
        <v>#DIV/0!</v>
      </c>
      <c r="R619" s="80" t="e">
        <f t="shared" si="170"/>
        <v>#DIV/0!</v>
      </c>
      <c r="S619" s="15" t="e">
        <f t="shared" si="171"/>
        <v>#DIV/0!</v>
      </c>
      <c r="T619" s="80" t="e">
        <f t="shared" si="172"/>
        <v>#DIV/0!</v>
      </c>
      <c r="U619" s="16" t="e">
        <f t="shared" si="173"/>
        <v>#DIV/0!</v>
      </c>
    </row>
    <row r="620" spans="1:21" x14ac:dyDescent="0.3">
      <c r="A620" s="77" t="s">
        <v>764</v>
      </c>
      <c r="B620" s="78" t="s">
        <v>40</v>
      </c>
      <c r="C620" s="78" t="s">
        <v>338</v>
      </c>
      <c r="D620" s="78" t="s">
        <v>356</v>
      </c>
      <c r="E620" s="79" t="s">
        <v>833</v>
      </c>
      <c r="F620" s="78" t="s">
        <v>509</v>
      </c>
      <c r="G620" s="78" t="s">
        <v>234</v>
      </c>
      <c r="H620" s="78" t="s">
        <v>11</v>
      </c>
      <c r="I620" s="78" t="s">
        <v>214</v>
      </c>
      <c r="J620" s="79" t="s">
        <v>235</v>
      </c>
      <c r="K620" s="80">
        <v>57</v>
      </c>
      <c r="L620" s="80">
        <f t="shared" si="168"/>
        <v>44.705882352941174</v>
      </c>
      <c r="M620" s="81">
        <f>prodnorm21</f>
        <v>0</v>
      </c>
      <c r="N620" s="82">
        <f>dagwerk21</f>
        <v>0</v>
      </c>
      <c r="O620" s="78" t="s">
        <v>103</v>
      </c>
      <c r="P620" s="15">
        <f>uurtarief21</f>
        <v>0</v>
      </c>
      <c r="Q620" s="80" t="e">
        <f t="shared" si="169"/>
        <v>#DIV/0!</v>
      </c>
      <c r="R620" s="80" t="e">
        <f t="shared" si="170"/>
        <v>#DIV/0!</v>
      </c>
      <c r="S620" s="15" t="e">
        <f t="shared" si="171"/>
        <v>#DIV/0!</v>
      </c>
      <c r="T620" s="80" t="e">
        <f t="shared" si="172"/>
        <v>#DIV/0!</v>
      </c>
      <c r="U620" s="16" t="e">
        <f t="shared" si="173"/>
        <v>#DIV/0!</v>
      </c>
    </row>
    <row r="621" spans="1:21" x14ac:dyDescent="0.3">
      <c r="A621" s="77" t="s">
        <v>764</v>
      </c>
      <c r="B621" s="78" t="s">
        <v>40</v>
      </c>
      <c r="C621" s="78" t="s">
        <v>338</v>
      </c>
      <c r="D621" s="78" t="s">
        <v>357</v>
      </c>
      <c r="E621" s="79" t="s">
        <v>832</v>
      </c>
      <c r="F621" s="78" t="s">
        <v>509</v>
      </c>
      <c r="G621" s="78" t="s">
        <v>252</v>
      </c>
      <c r="H621" s="78" t="s">
        <v>11</v>
      </c>
      <c r="I621" s="78" t="s">
        <v>214</v>
      </c>
      <c r="J621" s="79" t="s">
        <v>253</v>
      </c>
      <c r="K621" s="80">
        <v>22</v>
      </c>
      <c r="L621" s="80">
        <f t="shared" si="168"/>
        <v>17.254901960784313</v>
      </c>
      <c r="M621" s="81">
        <f>prodnorm31</f>
        <v>0</v>
      </c>
      <c r="N621" s="82">
        <f>dagwerk31</f>
        <v>0</v>
      </c>
      <c r="O621" s="78" t="s">
        <v>103</v>
      </c>
      <c r="P621" s="15">
        <f>uurtarief31</f>
        <v>0</v>
      </c>
      <c r="Q621" s="80" t="e">
        <f t="shared" si="169"/>
        <v>#DIV/0!</v>
      </c>
      <c r="R621" s="80" t="e">
        <f t="shared" si="170"/>
        <v>#DIV/0!</v>
      </c>
      <c r="S621" s="15" t="e">
        <f t="shared" si="171"/>
        <v>#DIV/0!</v>
      </c>
      <c r="T621" s="80" t="e">
        <f t="shared" si="172"/>
        <v>#DIV/0!</v>
      </c>
      <c r="U621" s="16" t="e">
        <f t="shared" si="173"/>
        <v>#DIV/0!</v>
      </c>
    </row>
    <row r="622" spans="1:21" x14ac:dyDescent="0.3">
      <c r="A622" s="77" t="s">
        <v>764</v>
      </c>
      <c r="B622" s="78" t="s">
        <v>40</v>
      </c>
      <c r="C622" s="78" t="s">
        <v>338</v>
      </c>
      <c r="D622" s="78" t="s">
        <v>358</v>
      </c>
      <c r="E622" s="79" t="s">
        <v>822</v>
      </c>
      <c r="F622" s="78" t="s">
        <v>591</v>
      </c>
      <c r="G622" s="78" t="s">
        <v>250</v>
      </c>
      <c r="H622" s="78" t="s">
        <v>11</v>
      </c>
      <c r="I622" s="78" t="s">
        <v>214</v>
      </c>
      <c r="J622" s="79" t="s">
        <v>251</v>
      </c>
      <c r="K622" s="80">
        <v>8</v>
      </c>
      <c r="L622" s="80">
        <f t="shared" si="168"/>
        <v>6.2745098039215685</v>
      </c>
      <c r="M622" s="81">
        <f>prodnorm30</f>
        <v>0</v>
      </c>
      <c r="N622" s="82">
        <f>dagwerk30</f>
        <v>0</v>
      </c>
      <c r="O622" s="78" t="s">
        <v>103</v>
      </c>
      <c r="P622" s="15">
        <f>uurtarief30</f>
        <v>0</v>
      </c>
      <c r="Q622" s="80" t="e">
        <f t="shared" si="169"/>
        <v>#DIV/0!</v>
      </c>
      <c r="R622" s="80" t="e">
        <f t="shared" si="170"/>
        <v>#DIV/0!</v>
      </c>
      <c r="S622" s="15" t="e">
        <f t="shared" si="171"/>
        <v>#DIV/0!</v>
      </c>
      <c r="T622" s="80" t="e">
        <f t="shared" si="172"/>
        <v>#DIV/0!</v>
      </c>
      <c r="U622" s="16" t="e">
        <f t="shared" si="173"/>
        <v>#DIV/0!</v>
      </c>
    </row>
    <row r="623" spans="1:21" x14ac:dyDescent="0.3">
      <c r="A623" s="77" t="s">
        <v>764</v>
      </c>
      <c r="B623" s="78" t="s">
        <v>40</v>
      </c>
      <c r="C623" s="78" t="s">
        <v>338</v>
      </c>
      <c r="D623" s="78" t="s">
        <v>360</v>
      </c>
      <c r="E623" s="79" t="s">
        <v>822</v>
      </c>
      <c r="F623" s="78" t="s">
        <v>591</v>
      </c>
      <c r="G623" s="78" t="s">
        <v>250</v>
      </c>
      <c r="H623" s="78" t="s">
        <v>11</v>
      </c>
      <c r="I623" s="78" t="s">
        <v>214</v>
      </c>
      <c r="J623" s="79" t="s">
        <v>251</v>
      </c>
      <c r="K623" s="80">
        <v>4</v>
      </c>
      <c r="L623" s="80">
        <f t="shared" si="168"/>
        <v>3.1372549019607843</v>
      </c>
      <c r="M623" s="81">
        <f>prodnorm30</f>
        <v>0</v>
      </c>
      <c r="N623" s="82">
        <f>dagwerk30</f>
        <v>0</v>
      </c>
      <c r="O623" s="78" t="s">
        <v>103</v>
      </c>
      <c r="P623" s="15">
        <f>uurtarief30</f>
        <v>0</v>
      </c>
      <c r="Q623" s="80" t="e">
        <f t="shared" si="169"/>
        <v>#DIV/0!</v>
      </c>
      <c r="R623" s="80" t="e">
        <f t="shared" si="170"/>
        <v>#DIV/0!</v>
      </c>
      <c r="S623" s="15" t="e">
        <f t="shared" si="171"/>
        <v>#DIV/0!</v>
      </c>
      <c r="T623" s="80" t="e">
        <f t="shared" si="172"/>
        <v>#DIV/0!</v>
      </c>
      <c r="U623" s="16" t="e">
        <f t="shared" si="173"/>
        <v>#DIV/0!</v>
      </c>
    </row>
    <row r="624" spans="1:21" x14ac:dyDescent="0.3">
      <c r="A624" s="77" t="s">
        <v>764</v>
      </c>
      <c r="B624" s="78" t="s">
        <v>40</v>
      </c>
      <c r="C624" s="78" t="s">
        <v>338</v>
      </c>
      <c r="D624" s="78" t="s">
        <v>361</v>
      </c>
      <c r="E624" s="79" t="s">
        <v>834</v>
      </c>
      <c r="F624" s="78" t="s">
        <v>768</v>
      </c>
      <c r="G624" s="78" t="s">
        <v>250</v>
      </c>
      <c r="H624" s="78" t="s">
        <v>11</v>
      </c>
      <c r="I624" s="78" t="s">
        <v>214</v>
      </c>
      <c r="J624" s="79" t="s">
        <v>251</v>
      </c>
      <c r="K624" s="80">
        <v>2</v>
      </c>
      <c r="L624" s="80">
        <f t="shared" si="168"/>
        <v>1.5686274509803921</v>
      </c>
      <c r="M624" s="81">
        <f>prodnorm30</f>
        <v>0</v>
      </c>
      <c r="N624" s="82">
        <f>dagwerk30</f>
        <v>0</v>
      </c>
      <c r="O624" s="78" t="s">
        <v>103</v>
      </c>
      <c r="P624" s="15">
        <f>uurtarief30</f>
        <v>0</v>
      </c>
      <c r="Q624" s="80" t="e">
        <f t="shared" si="169"/>
        <v>#DIV/0!</v>
      </c>
      <c r="R624" s="80" t="e">
        <f t="shared" si="170"/>
        <v>#DIV/0!</v>
      </c>
      <c r="S624" s="15" t="e">
        <f t="shared" si="171"/>
        <v>#DIV/0!</v>
      </c>
      <c r="T624" s="80" t="e">
        <f t="shared" si="172"/>
        <v>#DIV/0!</v>
      </c>
      <c r="U624" s="16" t="e">
        <f t="shared" si="173"/>
        <v>#DIV/0!</v>
      </c>
    </row>
    <row r="625" spans="1:21" x14ac:dyDescent="0.3">
      <c r="A625" s="77" t="s">
        <v>764</v>
      </c>
      <c r="B625" s="78" t="s">
        <v>40</v>
      </c>
      <c r="C625" s="78" t="s">
        <v>338</v>
      </c>
      <c r="D625" s="78" t="s">
        <v>363</v>
      </c>
      <c r="E625" s="79" t="s">
        <v>835</v>
      </c>
      <c r="F625" s="78" t="s">
        <v>509</v>
      </c>
      <c r="G625" s="78" t="s">
        <v>250</v>
      </c>
      <c r="H625" s="78" t="s">
        <v>11</v>
      </c>
      <c r="I625" s="78" t="s">
        <v>214</v>
      </c>
      <c r="J625" s="79" t="s">
        <v>251</v>
      </c>
      <c r="K625" s="80">
        <v>2</v>
      </c>
      <c r="L625" s="80">
        <f t="shared" si="168"/>
        <v>1.5686274509803921</v>
      </c>
      <c r="M625" s="81">
        <f>prodnorm30</f>
        <v>0</v>
      </c>
      <c r="N625" s="82">
        <f>dagwerk30</f>
        <v>0</v>
      </c>
      <c r="O625" s="78" t="s">
        <v>103</v>
      </c>
      <c r="P625" s="15">
        <f>uurtarief30</f>
        <v>0</v>
      </c>
      <c r="Q625" s="80" t="e">
        <f t="shared" si="169"/>
        <v>#DIV/0!</v>
      </c>
      <c r="R625" s="80" t="e">
        <f t="shared" si="170"/>
        <v>#DIV/0!</v>
      </c>
      <c r="S625" s="15" t="e">
        <f t="shared" si="171"/>
        <v>#DIV/0!</v>
      </c>
      <c r="T625" s="80" t="e">
        <f t="shared" si="172"/>
        <v>#DIV/0!</v>
      </c>
      <c r="U625" s="16" t="e">
        <f t="shared" si="173"/>
        <v>#DIV/0!</v>
      </c>
    </row>
    <row r="626" spans="1:21" x14ac:dyDescent="0.3">
      <c r="A626" s="77" t="s">
        <v>764</v>
      </c>
      <c r="B626" s="78" t="s">
        <v>40</v>
      </c>
      <c r="C626" s="78" t="s">
        <v>338</v>
      </c>
      <c r="D626" s="78" t="s">
        <v>365</v>
      </c>
      <c r="E626" s="79" t="s">
        <v>836</v>
      </c>
      <c r="F626" s="78" t="s">
        <v>509</v>
      </c>
      <c r="G626" s="78" t="s">
        <v>300</v>
      </c>
      <c r="H626" s="78"/>
      <c r="I626" s="78"/>
      <c r="J626" s="78"/>
      <c r="K626" s="80">
        <v>6</v>
      </c>
      <c r="L626" s="80"/>
      <c r="M626" s="81"/>
      <c r="N626" s="82"/>
      <c r="O626" s="78"/>
      <c r="P626" s="15"/>
      <c r="Q626" s="80"/>
      <c r="R626" s="80"/>
      <c r="S626" s="15"/>
      <c r="T626" s="83"/>
      <c r="U626" s="16"/>
    </row>
    <row r="627" spans="1:21" x14ac:dyDescent="0.3">
      <c r="A627" s="77" t="s">
        <v>764</v>
      </c>
      <c r="B627" s="78" t="s">
        <v>40</v>
      </c>
      <c r="C627" s="78" t="s">
        <v>338</v>
      </c>
      <c r="D627" s="78" t="s">
        <v>366</v>
      </c>
      <c r="E627" s="79" t="s">
        <v>837</v>
      </c>
      <c r="F627" s="78" t="s">
        <v>509</v>
      </c>
      <c r="G627" s="78" t="s">
        <v>234</v>
      </c>
      <c r="H627" s="78" t="s">
        <v>11</v>
      </c>
      <c r="I627" s="78" t="s">
        <v>214</v>
      </c>
      <c r="J627" s="79" t="s">
        <v>235</v>
      </c>
      <c r="K627" s="80">
        <v>47</v>
      </c>
      <c r="L627" s="80">
        <f t="shared" ref="L627:L633" si="174">K627*VLOOKUP(H627,dagsoorttabel1,2,FALSE)</f>
        <v>36.862745098039213</v>
      </c>
      <c r="M627" s="81">
        <f>prodnorm21</f>
        <v>0</v>
      </c>
      <c r="N627" s="82">
        <f>dagwerk21</f>
        <v>0</v>
      </c>
      <c r="O627" s="78" t="s">
        <v>103</v>
      </c>
      <c r="P627" s="15">
        <f>uurtarief21</f>
        <v>0</v>
      </c>
      <c r="Q627" s="80" t="e">
        <f t="shared" ref="Q627:Q633" si="175">IF(ISBLANK(M627),0,L627/ROUND(M627,4))</f>
        <v>#DIV/0!</v>
      </c>
      <c r="R627" s="80" t="e">
        <f t="shared" ref="R627:R633" si="176">IF(ISBLANK(M627),0,Q627*ROUND(N627,2))</f>
        <v>#DIV/0!</v>
      </c>
      <c r="S627" s="15" t="e">
        <f t="shared" ref="S627:S633" si="177">ROUND(P627,2)*Q627</f>
        <v>#DIV/0!</v>
      </c>
      <c r="T627" s="80" t="e">
        <f t="shared" ref="T627:T633" si="178">Q627*dagenperjaar1</f>
        <v>#DIV/0!</v>
      </c>
      <c r="U627" s="16" t="e">
        <f t="shared" ref="U627:U633" si="179">T627*ROUND(P627,2)</f>
        <v>#DIV/0!</v>
      </c>
    </row>
    <row r="628" spans="1:21" x14ac:dyDescent="0.3">
      <c r="A628" s="77" t="s">
        <v>764</v>
      </c>
      <c r="B628" s="78" t="s">
        <v>40</v>
      </c>
      <c r="C628" s="78" t="s">
        <v>338</v>
      </c>
      <c r="D628" s="78" t="s">
        <v>367</v>
      </c>
      <c r="E628" s="79" t="s">
        <v>838</v>
      </c>
      <c r="F628" s="78" t="s">
        <v>768</v>
      </c>
      <c r="G628" s="78" t="s">
        <v>216</v>
      </c>
      <c r="H628" s="78" t="s">
        <v>11</v>
      </c>
      <c r="I628" s="78" t="s">
        <v>214</v>
      </c>
      <c r="J628" s="79" t="s">
        <v>217</v>
      </c>
      <c r="K628" s="80">
        <v>11</v>
      </c>
      <c r="L628" s="80">
        <f t="shared" si="174"/>
        <v>8.6274509803921564</v>
      </c>
      <c r="M628" s="81">
        <f>prodnorm6</f>
        <v>0</v>
      </c>
      <c r="N628" s="82">
        <f>dagwerk6</f>
        <v>0</v>
      </c>
      <c r="O628" s="78" t="s">
        <v>103</v>
      </c>
      <c r="P628" s="15">
        <f>uurtarief6</f>
        <v>0</v>
      </c>
      <c r="Q628" s="80" t="e">
        <f t="shared" si="175"/>
        <v>#DIV/0!</v>
      </c>
      <c r="R628" s="80" t="e">
        <f t="shared" si="176"/>
        <v>#DIV/0!</v>
      </c>
      <c r="S628" s="15" t="e">
        <f t="shared" si="177"/>
        <v>#DIV/0!</v>
      </c>
      <c r="T628" s="80" t="e">
        <f t="shared" si="178"/>
        <v>#DIV/0!</v>
      </c>
      <c r="U628" s="16" t="e">
        <f t="shared" si="179"/>
        <v>#DIV/0!</v>
      </c>
    </row>
    <row r="629" spans="1:21" x14ac:dyDescent="0.3">
      <c r="A629" s="77" t="s">
        <v>764</v>
      </c>
      <c r="B629" s="78" t="s">
        <v>40</v>
      </c>
      <c r="C629" s="78" t="s">
        <v>338</v>
      </c>
      <c r="D629" s="78" t="s">
        <v>368</v>
      </c>
      <c r="E629" s="79" t="s">
        <v>839</v>
      </c>
      <c r="F629" s="78" t="s">
        <v>768</v>
      </c>
      <c r="G629" s="78" t="s">
        <v>216</v>
      </c>
      <c r="H629" s="78" t="s">
        <v>11</v>
      </c>
      <c r="I629" s="78" t="s">
        <v>214</v>
      </c>
      <c r="J629" s="79" t="s">
        <v>217</v>
      </c>
      <c r="K629" s="80">
        <v>11</v>
      </c>
      <c r="L629" s="80">
        <f t="shared" si="174"/>
        <v>8.6274509803921564</v>
      </c>
      <c r="M629" s="81">
        <f>prodnorm6</f>
        <v>0</v>
      </c>
      <c r="N629" s="82">
        <f>dagwerk6</f>
        <v>0</v>
      </c>
      <c r="O629" s="78" t="s">
        <v>103</v>
      </c>
      <c r="P629" s="15">
        <f>uurtarief6</f>
        <v>0</v>
      </c>
      <c r="Q629" s="80" t="e">
        <f t="shared" si="175"/>
        <v>#DIV/0!</v>
      </c>
      <c r="R629" s="80" t="e">
        <f t="shared" si="176"/>
        <v>#DIV/0!</v>
      </c>
      <c r="S629" s="15" t="e">
        <f t="shared" si="177"/>
        <v>#DIV/0!</v>
      </c>
      <c r="T629" s="80" t="e">
        <f t="shared" si="178"/>
        <v>#DIV/0!</v>
      </c>
      <c r="U629" s="16" t="e">
        <f t="shared" si="179"/>
        <v>#DIV/0!</v>
      </c>
    </row>
    <row r="630" spans="1:21" x14ac:dyDescent="0.3">
      <c r="A630" s="77" t="s">
        <v>764</v>
      </c>
      <c r="B630" s="78" t="s">
        <v>40</v>
      </c>
      <c r="C630" s="78" t="s">
        <v>338</v>
      </c>
      <c r="D630" s="78" t="s">
        <v>369</v>
      </c>
      <c r="E630" s="79" t="s">
        <v>840</v>
      </c>
      <c r="F630" s="78" t="s">
        <v>509</v>
      </c>
      <c r="G630" s="78" t="s">
        <v>248</v>
      </c>
      <c r="H630" s="78" t="s">
        <v>11</v>
      </c>
      <c r="I630" s="78" t="s">
        <v>214</v>
      </c>
      <c r="J630" s="79" t="s">
        <v>249</v>
      </c>
      <c r="K630" s="80">
        <v>33</v>
      </c>
      <c r="L630" s="80">
        <f t="shared" si="174"/>
        <v>25.882352941176471</v>
      </c>
      <c r="M630" s="81">
        <f>prodnorm29</f>
        <v>0</v>
      </c>
      <c r="N630" s="82">
        <f>dagwerk29</f>
        <v>0</v>
      </c>
      <c r="O630" s="78" t="s">
        <v>103</v>
      </c>
      <c r="P630" s="15">
        <f>uurtarief29</f>
        <v>0</v>
      </c>
      <c r="Q630" s="80" t="e">
        <f t="shared" si="175"/>
        <v>#DIV/0!</v>
      </c>
      <c r="R630" s="80" t="e">
        <f t="shared" si="176"/>
        <v>#DIV/0!</v>
      </c>
      <c r="S630" s="15" t="e">
        <f t="shared" si="177"/>
        <v>#DIV/0!</v>
      </c>
      <c r="T630" s="80" t="e">
        <f t="shared" si="178"/>
        <v>#DIV/0!</v>
      </c>
      <c r="U630" s="16" t="e">
        <f t="shared" si="179"/>
        <v>#DIV/0!</v>
      </c>
    </row>
    <row r="631" spans="1:21" x14ac:dyDescent="0.3">
      <c r="A631" s="77" t="s">
        <v>764</v>
      </c>
      <c r="B631" s="78" t="s">
        <v>40</v>
      </c>
      <c r="C631" s="78" t="s">
        <v>338</v>
      </c>
      <c r="D631" s="78" t="s">
        <v>370</v>
      </c>
      <c r="E631" s="79" t="s">
        <v>818</v>
      </c>
      <c r="F631" s="78" t="s">
        <v>591</v>
      </c>
      <c r="G631" s="78" t="s">
        <v>250</v>
      </c>
      <c r="H631" s="78" t="s">
        <v>11</v>
      </c>
      <c r="I631" s="78" t="s">
        <v>214</v>
      </c>
      <c r="J631" s="79" t="s">
        <v>251</v>
      </c>
      <c r="K631" s="80">
        <v>8</v>
      </c>
      <c r="L631" s="80">
        <f t="shared" si="174"/>
        <v>6.2745098039215685</v>
      </c>
      <c r="M631" s="81">
        <f>prodnorm30</f>
        <v>0</v>
      </c>
      <c r="N631" s="82">
        <f>dagwerk30</f>
        <v>0</v>
      </c>
      <c r="O631" s="78" t="s">
        <v>103</v>
      </c>
      <c r="P631" s="15">
        <f>uurtarief30</f>
        <v>0</v>
      </c>
      <c r="Q631" s="80" t="e">
        <f t="shared" si="175"/>
        <v>#DIV/0!</v>
      </c>
      <c r="R631" s="80" t="e">
        <f t="shared" si="176"/>
        <v>#DIV/0!</v>
      </c>
      <c r="S631" s="15" t="e">
        <f t="shared" si="177"/>
        <v>#DIV/0!</v>
      </c>
      <c r="T631" s="80" t="e">
        <f t="shared" si="178"/>
        <v>#DIV/0!</v>
      </c>
      <c r="U631" s="16" t="e">
        <f t="shared" si="179"/>
        <v>#DIV/0!</v>
      </c>
    </row>
    <row r="632" spans="1:21" x14ac:dyDescent="0.3">
      <c r="A632" s="77" t="s">
        <v>764</v>
      </c>
      <c r="B632" s="78" t="s">
        <v>40</v>
      </c>
      <c r="C632" s="78" t="s">
        <v>338</v>
      </c>
      <c r="D632" s="78" t="s">
        <v>371</v>
      </c>
      <c r="E632" s="79" t="s">
        <v>841</v>
      </c>
      <c r="F632" s="78" t="s">
        <v>768</v>
      </c>
      <c r="G632" s="78" t="s">
        <v>234</v>
      </c>
      <c r="H632" s="78" t="s">
        <v>11</v>
      </c>
      <c r="I632" s="78" t="s">
        <v>214</v>
      </c>
      <c r="J632" s="79" t="s">
        <v>235</v>
      </c>
      <c r="K632" s="80">
        <v>58</v>
      </c>
      <c r="L632" s="80">
        <f t="shared" si="174"/>
        <v>45.490196078431374</v>
      </c>
      <c r="M632" s="81">
        <f>prodnorm21</f>
        <v>0</v>
      </c>
      <c r="N632" s="82">
        <f>dagwerk21</f>
        <v>0</v>
      </c>
      <c r="O632" s="78" t="s">
        <v>103</v>
      </c>
      <c r="P632" s="15">
        <f>uurtarief21</f>
        <v>0</v>
      </c>
      <c r="Q632" s="80" t="e">
        <f t="shared" si="175"/>
        <v>#DIV/0!</v>
      </c>
      <c r="R632" s="80" t="e">
        <f t="shared" si="176"/>
        <v>#DIV/0!</v>
      </c>
      <c r="S632" s="15" t="e">
        <f t="shared" si="177"/>
        <v>#DIV/0!</v>
      </c>
      <c r="T632" s="80" t="e">
        <f t="shared" si="178"/>
        <v>#DIV/0!</v>
      </c>
      <c r="U632" s="16" t="e">
        <f t="shared" si="179"/>
        <v>#DIV/0!</v>
      </c>
    </row>
    <row r="633" spans="1:21" x14ac:dyDescent="0.3">
      <c r="A633" s="84" t="s">
        <v>764</v>
      </c>
      <c r="B633" s="85" t="s">
        <v>40</v>
      </c>
      <c r="C633" s="85" t="s">
        <v>338</v>
      </c>
      <c r="D633" s="85" t="s">
        <v>431</v>
      </c>
      <c r="E633" s="86" t="s">
        <v>842</v>
      </c>
      <c r="F633" s="85" t="s">
        <v>509</v>
      </c>
      <c r="G633" s="85" t="s">
        <v>234</v>
      </c>
      <c r="H633" s="85" t="s">
        <v>11</v>
      </c>
      <c r="I633" s="85" t="s">
        <v>214</v>
      </c>
      <c r="J633" s="86" t="s">
        <v>235</v>
      </c>
      <c r="K633" s="87">
        <v>58</v>
      </c>
      <c r="L633" s="87">
        <f t="shared" si="174"/>
        <v>45.490196078431374</v>
      </c>
      <c r="M633" s="88">
        <f>prodnorm21</f>
        <v>0</v>
      </c>
      <c r="N633" s="89">
        <f>dagwerk21</f>
        <v>0</v>
      </c>
      <c r="O633" s="85" t="s">
        <v>103</v>
      </c>
      <c r="P633" s="24">
        <f>uurtarief21</f>
        <v>0</v>
      </c>
      <c r="Q633" s="87" t="e">
        <f t="shared" si="175"/>
        <v>#DIV/0!</v>
      </c>
      <c r="R633" s="87" t="e">
        <f t="shared" si="176"/>
        <v>#DIV/0!</v>
      </c>
      <c r="S633" s="24" t="e">
        <f t="shared" si="177"/>
        <v>#DIV/0!</v>
      </c>
      <c r="T633" s="87" t="e">
        <f t="shared" si="178"/>
        <v>#DIV/0!</v>
      </c>
      <c r="U633" s="25" t="e">
        <f t="shared" si="179"/>
        <v>#DIV/0!</v>
      </c>
    </row>
    <row r="634" spans="1:21" x14ac:dyDescent="0.3">
      <c r="A634" s="90" t="s">
        <v>506</v>
      </c>
      <c r="B634" s="60"/>
      <c r="C634" s="60"/>
      <c r="D634" s="60"/>
      <c r="E634" s="60"/>
      <c r="F634" s="60"/>
      <c r="G634" s="60"/>
      <c r="H634" s="60"/>
      <c r="I634" s="60"/>
      <c r="J634" s="60"/>
      <c r="K634" s="60"/>
      <c r="L634" s="60"/>
      <c r="M634" s="60"/>
      <c r="N634" s="60"/>
      <c r="O634" s="60"/>
      <c r="P634" s="62" t="e">
        <f>IF(_xlfn.SINGLE(object4_urenjaar1)&gt;0,_xlfn.SINGLE(object4_prijsjaar1)/_xlfn.SINGLE(object4_urenjaar1),0)</f>
        <v>#DIV/0!</v>
      </c>
      <c r="Q634" s="61" t="e">
        <f>SUM(Q534:Q633)</f>
        <v>#DIV/0!</v>
      </c>
      <c r="R634" s="61" t="e">
        <f>SUM(R534:R633)</f>
        <v>#DIV/0!</v>
      </c>
      <c r="S634" s="62" t="e">
        <f>SUM(S534:S633)</f>
        <v>#DIV/0!</v>
      </c>
      <c r="T634" s="61" t="e">
        <f>SUM(T534:T633)</f>
        <v>#DIV/0!</v>
      </c>
      <c r="U634" s="63" t="e">
        <f>SUM(U534:U633)</f>
        <v>#DIV/0!</v>
      </c>
    </row>
    <row r="635" spans="1:21" x14ac:dyDescent="0.3">
      <c r="A635" s="68" t="s">
        <v>843</v>
      </c>
      <c r="B635" s="32"/>
      <c r="C635" s="32"/>
      <c r="D635" s="32"/>
      <c r="E635" s="32"/>
      <c r="F635" s="32"/>
      <c r="G635" s="32"/>
      <c r="H635" s="32"/>
      <c r="I635" s="32"/>
      <c r="J635" s="32"/>
      <c r="K635" s="32"/>
      <c r="L635" s="32"/>
      <c r="M635" s="32"/>
      <c r="N635" s="32"/>
      <c r="O635" s="32"/>
      <c r="P635" s="32"/>
      <c r="Q635" s="32"/>
      <c r="R635" s="32"/>
      <c r="S635" s="32"/>
      <c r="T635" s="32"/>
      <c r="U635" s="58"/>
    </row>
    <row r="636" spans="1:21" x14ac:dyDescent="0.3">
      <c r="A636" s="69" t="s">
        <v>844</v>
      </c>
      <c r="B636" s="70" t="s">
        <v>40</v>
      </c>
      <c r="C636" s="70" t="s">
        <v>373</v>
      </c>
      <c r="D636" s="70" t="s">
        <v>845</v>
      </c>
      <c r="E636" s="71" t="s">
        <v>846</v>
      </c>
      <c r="F636" s="70" t="s">
        <v>288</v>
      </c>
      <c r="G636" s="70" t="s">
        <v>252</v>
      </c>
      <c r="H636" s="70" t="s">
        <v>11</v>
      </c>
      <c r="I636" s="70" t="s">
        <v>214</v>
      </c>
      <c r="J636" s="71" t="s">
        <v>253</v>
      </c>
      <c r="K636" s="72">
        <v>81.760000000000005</v>
      </c>
      <c r="L636" s="72">
        <f t="shared" ref="L636:L651" si="180">K636*VLOOKUP(H636,dagsoorttabel1,2,FALSE)</f>
        <v>64.125490196078431</v>
      </c>
      <c r="M636" s="73">
        <f>prodnorm31</f>
        <v>0</v>
      </c>
      <c r="N636" s="74">
        <f>dagwerk31</f>
        <v>0</v>
      </c>
      <c r="O636" s="70" t="s">
        <v>103</v>
      </c>
      <c r="P636" s="75">
        <f>uurtarief31</f>
        <v>0</v>
      </c>
      <c r="Q636" s="72" t="e">
        <f t="shared" ref="Q636:Q651" si="181">IF(ISBLANK(M636),0,L636/ROUND(M636,4))</f>
        <v>#DIV/0!</v>
      </c>
      <c r="R636" s="72" t="e">
        <f t="shared" ref="R636:R651" si="182">IF(ISBLANK(M636),0,Q636*ROUND(N636,2))</f>
        <v>#DIV/0!</v>
      </c>
      <c r="S636" s="75" t="e">
        <f t="shared" ref="S636:S651" si="183">ROUND(P636,2)*Q636</f>
        <v>#DIV/0!</v>
      </c>
      <c r="T636" s="72" t="e">
        <f t="shared" ref="T636:T651" si="184">Q636*dagenperjaar1</f>
        <v>#DIV/0!</v>
      </c>
      <c r="U636" s="76" t="e">
        <f t="shared" ref="U636:U651" si="185">T636*ROUND(P636,2)</f>
        <v>#DIV/0!</v>
      </c>
    </row>
    <row r="637" spans="1:21" ht="27" x14ac:dyDescent="0.3">
      <c r="A637" s="77" t="s">
        <v>844</v>
      </c>
      <c r="B637" s="78" t="s">
        <v>40</v>
      </c>
      <c r="C637" s="78" t="s">
        <v>373</v>
      </c>
      <c r="D637" s="78" t="s">
        <v>847</v>
      </c>
      <c r="E637" s="79" t="s">
        <v>380</v>
      </c>
      <c r="F637" s="78" t="s">
        <v>848</v>
      </c>
      <c r="G637" s="78" t="s">
        <v>256</v>
      </c>
      <c r="H637" s="78" t="s">
        <v>11</v>
      </c>
      <c r="I637" s="78" t="s">
        <v>214</v>
      </c>
      <c r="J637" s="79" t="s">
        <v>257</v>
      </c>
      <c r="K637" s="80">
        <v>22.54</v>
      </c>
      <c r="L637" s="80">
        <f t="shared" si="180"/>
        <v>17.678431372549017</v>
      </c>
      <c r="M637" s="81">
        <f>prodnorm33</f>
        <v>0</v>
      </c>
      <c r="N637" s="82">
        <f>dagwerk33</f>
        <v>0</v>
      </c>
      <c r="O637" s="78" t="s">
        <v>103</v>
      </c>
      <c r="P637" s="15">
        <f>uurtarief33</f>
        <v>0</v>
      </c>
      <c r="Q637" s="80" t="e">
        <f t="shared" si="181"/>
        <v>#DIV/0!</v>
      </c>
      <c r="R637" s="80" t="e">
        <f t="shared" si="182"/>
        <v>#DIV/0!</v>
      </c>
      <c r="S637" s="15" t="e">
        <f t="shared" si="183"/>
        <v>#DIV/0!</v>
      </c>
      <c r="T637" s="80" t="e">
        <f t="shared" si="184"/>
        <v>#DIV/0!</v>
      </c>
      <c r="U637" s="16" t="e">
        <f t="shared" si="185"/>
        <v>#DIV/0!</v>
      </c>
    </row>
    <row r="638" spans="1:21" x14ac:dyDescent="0.3">
      <c r="A638" s="77" t="s">
        <v>844</v>
      </c>
      <c r="B638" s="78" t="s">
        <v>40</v>
      </c>
      <c r="C638" s="78" t="s">
        <v>373</v>
      </c>
      <c r="D638" s="78" t="s">
        <v>849</v>
      </c>
      <c r="E638" s="79" t="s">
        <v>496</v>
      </c>
      <c r="F638" s="78" t="s">
        <v>850</v>
      </c>
      <c r="G638" s="78" t="s">
        <v>228</v>
      </c>
      <c r="H638" s="78" t="s">
        <v>11</v>
      </c>
      <c r="I638" s="78" t="s">
        <v>214</v>
      </c>
      <c r="J638" s="79" t="s">
        <v>229</v>
      </c>
      <c r="K638" s="80">
        <v>258.64000000000004</v>
      </c>
      <c r="L638" s="80">
        <f t="shared" si="180"/>
        <v>202.85490196078433</v>
      </c>
      <c r="M638" s="81">
        <f>prodnorm15</f>
        <v>0</v>
      </c>
      <c r="N638" s="82">
        <f>dagwerk15</f>
        <v>0</v>
      </c>
      <c r="O638" s="78" t="s">
        <v>103</v>
      </c>
      <c r="P638" s="15">
        <f>uurtarief15</f>
        <v>0</v>
      </c>
      <c r="Q638" s="80" t="e">
        <f t="shared" si="181"/>
        <v>#DIV/0!</v>
      </c>
      <c r="R638" s="80" t="e">
        <f t="shared" si="182"/>
        <v>#DIV/0!</v>
      </c>
      <c r="S638" s="15" t="e">
        <f t="shared" si="183"/>
        <v>#DIV/0!</v>
      </c>
      <c r="T638" s="80" t="e">
        <f t="shared" si="184"/>
        <v>#DIV/0!</v>
      </c>
      <c r="U638" s="16" t="e">
        <f t="shared" si="185"/>
        <v>#DIV/0!</v>
      </c>
    </row>
    <row r="639" spans="1:21" x14ac:dyDescent="0.3">
      <c r="A639" s="77" t="s">
        <v>844</v>
      </c>
      <c r="B639" s="78" t="s">
        <v>40</v>
      </c>
      <c r="C639" s="78" t="s">
        <v>373</v>
      </c>
      <c r="D639" s="78" t="s">
        <v>851</v>
      </c>
      <c r="E639" s="79" t="s">
        <v>493</v>
      </c>
      <c r="F639" s="78" t="s">
        <v>850</v>
      </c>
      <c r="G639" s="78" t="s">
        <v>228</v>
      </c>
      <c r="H639" s="78" t="s">
        <v>18</v>
      </c>
      <c r="I639" s="78" t="s">
        <v>214</v>
      </c>
      <c r="J639" s="79" t="s">
        <v>229</v>
      </c>
      <c r="K639" s="80">
        <v>34.730000000000004</v>
      </c>
      <c r="L639" s="80">
        <f t="shared" si="180"/>
        <v>5.4478431372549023</v>
      </c>
      <c r="M639" s="81">
        <f>prodnorm16</f>
        <v>0</v>
      </c>
      <c r="N639" s="82">
        <f>dagwerk16</f>
        <v>0</v>
      </c>
      <c r="O639" s="78" t="s">
        <v>103</v>
      </c>
      <c r="P639" s="15">
        <f>uurtarief16</f>
        <v>0</v>
      </c>
      <c r="Q639" s="80" t="e">
        <f t="shared" si="181"/>
        <v>#DIV/0!</v>
      </c>
      <c r="R639" s="80" t="e">
        <f t="shared" si="182"/>
        <v>#DIV/0!</v>
      </c>
      <c r="S639" s="15" t="e">
        <f t="shared" si="183"/>
        <v>#DIV/0!</v>
      </c>
      <c r="T639" s="80" t="e">
        <f t="shared" si="184"/>
        <v>#DIV/0!</v>
      </c>
      <c r="U639" s="16" t="e">
        <f t="shared" si="185"/>
        <v>#DIV/0!</v>
      </c>
    </row>
    <row r="640" spans="1:21" x14ac:dyDescent="0.3">
      <c r="A640" s="77" t="s">
        <v>844</v>
      </c>
      <c r="B640" s="78" t="s">
        <v>40</v>
      </c>
      <c r="C640" s="78" t="s">
        <v>373</v>
      </c>
      <c r="D640" s="78" t="s">
        <v>852</v>
      </c>
      <c r="E640" s="79" t="s">
        <v>380</v>
      </c>
      <c r="F640" s="78" t="s">
        <v>848</v>
      </c>
      <c r="G640" s="78" t="s">
        <v>230</v>
      </c>
      <c r="H640" s="78" t="s">
        <v>11</v>
      </c>
      <c r="I640" s="78" t="s">
        <v>214</v>
      </c>
      <c r="J640" s="79" t="s">
        <v>231</v>
      </c>
      <c r="K640" s="80">
        <v>10.25</v>
      </c>
      <c r="L640" s="80">
        <f t="shared" si="180"/>
        <v>8.0392156862745097</v>
      </c>
      <c r="M640" s="81">
        <f>prodnorm17</f>
        <v>0</v>
      </c>
      <c r="N640" s="82">
        <f>dagwerk17</f>
        <v>0</v>
      </c>
      <c r="O640" s="78" t="s">
        <v>103</v>
      </c>
      <c r="P640" s="15">
        <f>uurtarief17</f>
        <v>0</v>
      </c>
      <c r="Q640" s="80" t="e">
        <f t="shared" si="181"/>
        <v>#DIV/0!</v>
      </c>
      <c r="R640" s="80" t="e">
        <f t="shared" si="182"/>
        <v>#DIV/0!</v>
      </c>
      <c r="S640" s="15" t="e">
        <f t="shared" si="183"/>
        <v>#DIV/0!</v>
      </c>
      <c r="T640" s="80" t="e">
        <f t="shared" si="184"/>
        <v>#DIV/0!</v>
      </c>
      <c r="U640" s="16" t="e">
        <f t="shared" si="185"/>
        <v>#DIV/0!</v>
      </c>
    </row>
    <row r="641" spans="1:21" x14ac:dyDescent="0.3">
      <c r="A641" s="77" t="s">
        <v>844</v>
      </c>
      <c r="B641" s="78" t="s">
        <v>40</v>
      </c>
      <c r="C641" s="78" t="s">
        <v>373</v>
      </c>
      <c r="D641" s="78" t="s">
        <v>853</v>
      </c>
      <c r="E641" s="79" t="s">
        <v>854</v>
      </c>
      <c r="F641" s="78" t="s">
        <v>848</v>
      </c>
      <c r="G641" s="78" t="s">
        <v>230</v>
      </c>
      <c r="H641" s="78" t="s">
        <v>11</v>
      </c>
      <c r="I641" s="78" t="s">
        <v>214</v>
      </c>
      <c r="J641" s="79" t="s">
        <v>231</v>
      </c>
      <c r="K641" s="80">
        <v>1.58</v>
      </c>
      <c r="L641" s="80">
        <f t="shared" si="180"/>
        <v>1.2392156862745098</v>
      </c>
      <c r="M641" s="81">
        <f>prodnorm17</f>
        <v>0</v>
      </c>
      <c r="N641" s="82">
        <f>dagwerk17</f>
        <v>0</v>
      </c>
      <c r="O641" s="78" t="s">
        <v>103</v>
      </c>
      <c r="P641" s="15">
        <f>uurtarief17</f>
        <v>0</v>
      </c>
      <c r="Q641" s="80" t="e">
        <f t="shared" si="181"/>
        <v>#DIV/0!</v>
      </c>
      <c r="R641" s="80" t="e">
        <f t="shared" si="182"/>
        <v>#DIV/0!</v>
      </c>
      <c r="S641" s="15" t="e">
        <f t="shared" si="183"/>
        <v>#DIV/0!</v>
      </c>
      <c r="T641" s="80" t="e">
        <f t="shared" si="184"/>
        <v>#DIV/0!</v>
      </c>
      <c r="U641" s="16" t="e">
        <f t="shared" si="185"/>
        <v>#DIV/0!</v>
      </c>
    </row>
    <row r="642" spans="1:21" x14ac:dyDescent="0.3">
      <c r="A642" s="77" t="s">
        <v>844</v>
      </c>
      <c r="B642" s="78" t="s">
        <v>40</v>
      </c>
      <c r="C642" s="78" t="s">
        <v>373</v>
      </c>
      <c r="D642" s="78" t="s">
        <v>855</v>
      </c>
      <c r="E642" s="79" t="s">
        <v>511</v>
      </c>
      <c r="F642" s="78" t="s">
        <v>848</v>
      </c>
      <c r="G642" s="78" t="s">
        <v>216</v>
      </c>
      <c r="H642" s="78" t="s">
        <v>11</v>
      </c>
      <c r="I642" s="78" t="s">
        <v>214</v>
      </c>
      <c r="J642" s="79" t="s">
        <v>217</v>
      </c>
      <c r="K642" s="80">
        <v>19</v>
      </c>
      <c r="L642" s="80">
        <f t="shared" si="180"/>
        <v>14.901960784313726</v>
      </c>
      <c r="M642" s="81">
        <f>prodnorm6</f>
        <v>0</v>
      </c>
      <c r="N642" s="82">
        <f>dagwerk6</f>
        <v>0</v>
      </c>
      <c r="O642" s="78" t="s">
        <v>103</v>
      </c>
      <c r="P642" s="15">
        <f>uurtarief6</f>
        <v>0</v>
      </c>
      <c r="Q642" s="80" t="e">
        <f t="shared" si="181"/>
        <v>#DIV/0!</v>
      </c>
      <c r="R642" s="80" t="e">
        <f t="shared" si="182"/>
        <v>#DIV/0!</v>
      </c>
      <c r="S642" s="15" t="e">
        <f t="shared" si="183"/>
        <v>#DIV/0!</v>
      </c>
      <c r="T642" s="80" t="e">
        <f t="shared" si="184"/>
        <v>#DIV/0!</v>
      </c>
      <c r="U642" s="16" t="e">
        <f t="shared" si="185"/>
        <v>#DIV/0!</v>
      </c>
    </row>
    <row r="643" spans="1:21" x14ac:dyDescent="0.3">
      <c r="A643" s="77" t="s">
        <v>844</v>
      </c>
      <c r="B643" s="78" t="s">
        <v>40</v>
      </c>
      <c r="C643" s="78" t="s">
        <v>373</v>
      </c>
      <c r="D643" s="78" t="s">
        <v>856</v>
      </c>
      <c r="E643" s="79" t="s">
        <v>500</v>
      </c>
      <c r="F643" s="78" t="s">
        <v>848</v>
      </c>
      <c r="G643" s="78" t="s">
        <v>232</v>
      </c>
      <c r="H643" s="78" t="s">
        <v>11</v>
      </c>
      <c r="I643" s="78" t="s">
        <v>214</v>
      </c>
      <c r="J643" s="79" t="s">
        <v>233</v>
      </c>
      <c r="K643" s="80">
        <v>23.68</v>
      </c>
      <c r="L643" s="80">
        <f t="shared" si="180"/>
        <v>18.572549019607841</v>
      </c>
      <c r="M643" s="81">
        <f>prodnorm19</f>
        <v>0</v>
      </c>
      <c r="N643" s="82">
        <f>dagwerk19</f>
        <v>0</v>
      </c>
      <c r="O643" s="78" t="s">
        <v>103</v>
      </c>
      <c r="P643" s="15">
        <f>uurtarief19</f>
        <v>0</v>
      </c>
      <c r="Q643" s="80" t="e">
        <f t="shared" si="181"/>
        <v>#DIV/0!</v>
      </c>
      <c r="R643" s="80" t="e">
        <f t="shared" si="182"/>
        <v>#DIV/0!</v>
      </c>
      <c r="S643" s="15" t="e">
        <f t="shared" si="183"/>
        <v>#DIV/0!</v>
      </c>
      <c r="T643" s="80" t="e">
        <f t="shared" si="184"/>
        <v>#DIV/0!</v>
      </c>
      <c r="U643" s="16" t="e">
        <f t="shared" si="185"/>
        <v>#DIV/0!</v>
      </c>
    </row>
    <row r="644" spans="1:21" x14ac:dyDescent="0.3">
      <c r="A644" s="77" t="s">
        <v>844</v>
      </c>
      <c r="B644" s="78" t="s">
        <v>40</v>
      </c>
      <c r="C644" s="78" t="s">
        <v>373</v>
      </c>
      <c r="D644" s="78" t="s">
        <v>856</v>
      </c>
      <c r="E644" s="79" t="s">
        <v>500</v>
      </c>
      <c r="F644" s="78" t="s">
        <v>591</v>
      </c>
      <c r="G644" s="78" t="s">
        <v>232</v>
      </c>
      <c r="H644" s="78" t="s">
        <v>11</v>
      </c>
      <c r="I644" s="78" t="s">
        <v>214</v>
      </c>
      <c r="J644" s="79" t="s">
        <v>233</v>
      </c>
      <c r="K644" s="80">
        <v>10.43</v>
      </c>
      <c r="L644" s="80">
        <f t="shared" si="180"/>
        <v>8.1803921568627445</v>
      </c>
      <c r="M644" s="81">
        <f>prodnorm19</f>
        <v>0</v>
      </c>
      <c r="N644" s="82">
        <f>dagwerk19</f>
        <v>0</v>
      </c>
      <c r="O644" s="78" t="s">
        <v>103</v>
      </c>
      <c r="P644" s="15">
        <f>uurtarief19</f>
        <v>0</v>
      </c>
      <c r="Q644" s="80" t="e">
        <f t="shared" si="181"/>
        <v>#DIV/0!</v>
      </c>
      <c r="R644" s="80" t="e">
        <f t="shared" si="182"/>
        <v>#DIV/0!</v>
      </c>
      <c r="S644" s="15" t="e">
        <f t="shared" si="183"/>
        <v>#DIV/0!</v>
      </c>
      <c r="T644" s="80" t="e">
        <f t="shared" si="184"/>
        <v>#DIV/0!</v>
      </c>
      <c r="U644" s="16" t="e">
        <f t="shared" si="185"/>
        <v>#DIV/0!</v>
      </c>
    </row>
    <row r="645" spans="1:21" x14ac:dyDescent="0.3">
      <c r="A645" s="77" t="s">
        <v>844</v>
      </c>
      <c r="B645" s="78" t="s">
        <v>40</v>
      </c>
      <c r="C645" s="78" t="s">
        <v>373</v>
      </c>
      <c r="D645" s="78" t="s">
        <v>857</v>
      </c>
      <c r="E645" s="79" t="s">
        <v>502</v>
      </c>
      <c r="F645" s="78" t="s">
        <v>591</v>
      </c>
      <c r="G645" s="78" t="s">
        <v>220</v>
      </c>
      <c r="H645" s="78" t="s">
        <v>11</v>
      </c>
      <c r="I645" s="78" t="s">
        <v>214</v>
      </c>
      <c r="J645" s="79" t="s">
        <v>221</v>
      </c>
      <c r="K645" s="80">
        <v>1.36</v>
      </c>
      <c r="L645" s="80">
        <f t="shared" si="180"/>
        <v>1.0666666666666667</v>
      </c>
      <c r="M645" s="81">
        <f>prodnorm11</f>
        <v>0</v>
      </c>
      <c r="N645" s="82">
        <f>dagwerk11</f>
        <v>0</v>
      </c>
      <c r="O645" s="78" t="s">
        <v>103</v>
      </c>
      <c r="P645" s="15">
        <f>uurtarief11</f>
        <v>0</v>
      </c>
      <c r="Q645" s="80" t="e">
        <f t="shared" si="181"/>
        <v>#DIV/0!</v>
      </c>
      <c r="R645" s="80" t="e">
        <f t="shared" si="182"/>
        <v>#DIV/0!</v>
      </c>
      <c r="S645" s="15" t="e">
        <f t="shared" si="183"/>
        <v>#DIV/0!</v>
      </c>
      <c r="T645" s="80" t="e">
        <f t="shared" si="184"/>
        <v>#DIV/0!</v>
      </c>
      <c r="U645" s="16" t="e">
        <f t="shared" si="185"/>
        <v>#DIV/0!</v>
      </c>
    </row>
    <row r="646" spans="1:21" x14ac:dyDescent="0.3">
      <c r="A646" s="77" t="s">
        <v>844</v>
      </c>
      <c r="B646" s="78" t="s">
        <v>40</v>
      </c>
      <c r="C646" s="78" t="s">
        <v>373</v>
      </c>
      <c r="D646" s="78" t="s">
        <v>858</v>
      </c>
      <c r="E646" s="79" t="s">
        <v>859</v>
      </c>
      <c r="F646" s="78" t="s">
        <v>591</v>
      </c>
      <c r="G646" s="78" t="s">
        <v>250</v>
      </c>
      <c r="H646" s="78" t="s">
        <v>11</v>
      </c>
      <c r="I646" s="78" t="s">
        <v>214</v>
      </c>
      <c r="J646" s="79" t="s">
        <v>251</v>
      </c>
      <c r="K646" s="80">
        <v>1.36</v>
      </c>
      <c r="L646" s="80">
        <f t="shared" si="180"/>
        <v>1.0666666666666667</v>
      </c>
      <c r="M646" s="81">
        <f>prodnorm30</f>
        <v>0</v>
      </c>
      <c r="N646" s="82">
        <f>dagwerk30</f>
        <v>0</v>
      </c>
      <c r="O646" s="78" t="s">
        <v>103</v>
      </c>
      <c r="P646" s="15">
        <f>uurtarief30</f>
        <v>0</v>
      </c>
      <c r="Q646" s="80" t="e">
        <f t="shared" si="181"/>
        <v>#DIV/0!</v>
      </c>
      <c r="R646" s="80" t="e">
        <f t="shared" si="182"/>
        <v>#DIV/0!</v>
      </c>
      <c r="S646" s="15" t="e">
        <f t="shared" si="183"/>
        <v>#DIV/0!</v>
      </c>
      <c r="T646" s="80" t="e">
        <f t="shared" si="184"/>
        <v>#DIV/0!</v>
      </c>
      <c r="U646" s="16" t="e">
        <f t="shared" si="185"/>
        <v>#DIV/0!</v>
      </c>
    </row>
    <row r="647" spans="1:21" x14ac:dyDescent="0.3">
      <c r="A647" s="77" t="s">
        <v>844</v>
      </c>
      <c r="B647" s="78" t="s">
        <v>40</v>
      </c>
      <c r="C647" s="78" t="s">
        <v>373</v>
      </c>
      <c r="D647" s="78" t="s">
        <v>860</v>
      </c>
      <c r="E647" s="79" t="s">
        <v>500</v>
      </c>
      <c r="F647" s="78" t="s">
        <v>848</v>
      </c>
      <c r="G647" s="78" t="s">
        <v>232</v>
      </c>
      <c r="H647" s="78" t="s">
        <v>11</v>
      </c>
      <c r="I647" s="78" t="s">
        <v>214</v>
      </c>
      <c r="J647" s="79" t="s">
        <v>233</v>
      </c>
      <c r="K647" s="80">
        <v>26.66</v>
      </c>
      <c r="L647" s="80">
        <f t="shared" si="180"/>
        <v>20.909803921568628</v>
      </c>
      <c r="M647" s="81">
        <f>prodnorm19</f>
        <v>0</v>
      </c>
      <c r="N647" s="82">
        <f>dagwerk19</f>
        <v>0</v>
      </c>
      <c r="O647" s="78" t="s">
        <v>103</v>
      </c>
      <c r="P647" s="15">
        <f>uurtarief19</f>
        <v>0</v>
      </c>
      <c r="Q647" s="80" t="e">
        <f t="shared" si="181"/>
        <v>#DIV/0!</v>
      </c>
      <c r="R647" s="80" t="e">
        <f t="shared" si="182"/>
        <v>#DIV/0!</v>
      </c>
      <c r="S647" s="15" t="e">
        <f t="shared" si="183"/>
        <v>#DIV/0!</v>
      </c>
      <c r="T647" s="80" t="e">
        <f t="shared" si="184"/>
        <v>#DIV/0!</v>
      </c>
      <c r="U647" s="16" t="e">
        <f t="shared" si="185"/>
        <v>#DIV/0!</v>
      </c>
    </row>
    <row r="648" spans="1:21" x14ac:dyDescent="0.3">
      <c r="A648" s="77" t="s">
        <v>844</v>
      </c>
      <c r="B648" s="78" t="s">
        <v>40</v>
      </c>
      <c r="C648" s="78" t="s">
        <v>373</v>
      </c>
      <c r="D648" s="78" t="s">
        <v>861</v>
      </c>
      <c r="E648" s="79" t="s">
        <v>862</v>
      </c>
      <c r="F648" s="78" t="s">
        <v>591</v>
      </c>
      <c r="G648" s="78" t="s">
        <v>220</v>
      </c>
      <c r="H648" s="78" t="s">
        <v>11</v>
      </c>
      <c r="I648" s="78" t="s">
        <v>214</v>
      </c>
      <c r="J648" s="79" t="s">
        <v>221</v>
      </c>
      <c r="K648" s="80">
        <v>10.43</v>
      </c>
      <c r="L648" s="80">
        <f t="shared" si="180"/>
        <v>8.1803921568627445</v>
      </c>
      <c r="M648" s="81">
        <f>prodnorm11</f>
        <v>0</v>
      </c>
      <c r="N648" s="82">
        <f>dagwerk11</f>
        <v>0</v>
      </c>
      <c r="O648" s="78" t="s">
        <v>103</v>
      </c>
      <c r="P648" s="15">
        <f>uurtarief11</f>
        <v>0</v>
      </c>
      <c r="Q648" s="80" t="e">
        <f t="shared" si="181"/>
        <v>#DIV/0!</v>
      </c>
      <c r="R648" s="80" t="e">
        <f t="shared" si="182"/>
        <v>#DIV/0!</v>
      </c>
      <c r="S648" s="15" t="e">
        <f t="shared" si="183"/>
        <v>#DIV/0!</v>
      </c>
      <c r="T648" s="80" t="e">
        <f t="shared" si="184"/>
        <v>#DIV/0!</v>
      </c>
      <c r="U648" s="16" t="e">
        <f t="shared" si="185"/>
        <v>#DIV/0!</v>
      </c>
    </row>
    <row r="649" spans="1:21" x14ac:dyDescent="0.3">
      <c r="A649" s="77" t="s">
        <v>844</v>
      </c>
      <c r="B649" s="78" t="s">
        <v>40</v>
      </c>
      <c r="C649" s="78" t="s">
        <v>373</v>
      </c>
      <c r="D649" s="78" t="s">
        <v>863</v>
      </c>
      <c r="E649" s="79" t="s">
        <v>502</v>
      </c>
      <c r="F649" s="78" t="s">
        <v>591</v>
      </c>
      <c r="G649" s="78" t="s">
        <v>220</v>
      </c>
      <c r="H649" s="78" t="s">
        <v>11</v>
      </c>
      <c r="I649" s="78" t="s">
        <v>214</v>
      </c>
      <c r="J649" s="79" t="s">
        <v>221</v>
      </c>
      <c r="K649" s="80">
        <v>1.36</v>
      </c>
      <c r="L649" s="80">
        <f t="shared" si="180"/>
        <v>1.0666666666666667</v>
      </c>
      <c r="M649" s="81">
        <f>prodnorm11</f>
        <v>0</v>
      </c>
      <c r="N649" s="82">
        <f>dagwerk11</f>
        <v>0</v>
      </c>
      <c r="O649" s="78" t="s">
        <v>103</v>
      </c>
      <c r="P649" s="15">
        <f>uurtarief11</f>
        <v>0</v>
      </c>
      <c r="Q649" s="80" t="e">
        <f t="shared" si="181"/>
        <v>#DIV/0!</v>
      </c>
      <c r="R649" s="80" t="e">
        <f t="shared" si="182"/>
        <v>#DIV/0!</v>
      </c>
      <c r="S649" s="15" t="e">
        <f t="shared" si="183"/>
        <v>#DIV/0!</v>
      </c>
      <c r="T649" s="80" t="e">
        <f t="shared" si="184"/>
        <v>#DIV/0!</v>
      </c>
      <c r="U649" s="16" t="e">
        <f t="shared" si="185"/>
        <v>#DIV/0!</v>
      </c>
    </row>
    <row r="650" spans="1:21" x14ac:dyDescent="0.3">
      <c r="A650" s="77" t="s">
        <v>844</v>
      </c>
      <c r="B650" s="78" t="s">
        <v>40</v>
      </c>
      <c r="C650" s="78" t="s">
        <v>373</v>
      </c>
      <c r="D650" s="78" t="s">
        <v>864</v>
      </c>
      <c r="E650" s="79" t="s">
        <v>859</v>
      </c>
      <c r="F650" s="78" t="s">
        <v>591</v>
      </c>
      <c r="G650" s="78" t="s">
        <v>250</v>
      </c>
      <c r="H650" s="78" t="s">
        <v>11</v>
      </c>
      <c r="I650" s="78" t="s">
        <v>214</v>
      </c>
      <c r="J650" s="79" t="s">
        <v>251</v>
      </c>
      <c r="K650" s="80">
        <v>1.36</v>
      </c>
      <c r="L650" s="80">
        <f t="shared" si="180"/>
        <v>1.0666666666666667</v>
      </c>
      <c r="M650" s="81">
        <f>prodnorm30</f>
        <v>0</v>
      </c>
      <c r="N650" s="82">
        <f>dagwerk30</f>
        <v>0</v>
      </c>
      <c r="O650" s="78" t="s">
        <v>103</v>
      </c>
      <c r="P650" s="15">
        <f>uurtarief30</f>
        <v>0</v>
      </c>
      <c r="Q650" s="80" t="e">
        <f t="shared" si="181"/>
        <v>#DIV/0!</v>
      </c>
      <c r="R650" s="80" t="e">
        <f t="shared" si="182"/>
        <v>#DIV/0!</v>
      </c>
      <c r="S650" s="15" t="e">
        <f t="shared" si="183"/>
        <v>#DIV/0!</v>
      </c>
      <c r="T650" s="80" t="e">
        <f t="shared" si="184"/>
        <v>#DIV/0!</v>
      </c>
      <c r="U650" s="16" t="e">
        <f t="shared" si="185"/>
        <v>#DIV/0!</v>
      </c>
    </row>
    <row r="651" spans="1:21" x14ac:dyDescent="0.3">
      <c r="A651" s="77" t="s">
        <v>844</v>
      </c>
      <c r="B651" s="78" t="s">
        <v>40</v>
      </c>
      <c r="C651" s="78" t="s">
        <v>373</v>
      </c>
      <c r="D651" s="78" t="s">
        <v>865</v>
      </c>
      <c r="E651" s="79" t="s">
        <v>500</v>
      </c>
      <c r="F651" s="78" t="s">
        <v>848</v>
      </c>
      <c r="G651" s="78" t="s">
        <v>232</v>
      </c>
      <c r="H651" s="78" t="s">
        <v>11</v>
      </c>
      <c r="I651" s="78" t="s">
        <v>214</v>
      </c>
      <c r="J651" s="79" t="s">
        <v>233</v>
      </c>
      <c r="K651" s="80">
        <v>26.66</v>
      </c>
      <c r="L651" s="80">
        <f t="shared" si="180"/>
        <v>20.909803921568628</v>
      </c>
      <c r="M651" s="81">
        <f>prodnorm19</f>
        <v>0</v>
      </c>
      <c r="N651" s="82">
        <f>dagwerk19</f>
        <v>0</v>
      </c>
      <c r="O651" s="78" t="s">
        <v>103</v>
      </c>
      <c r="P651" s="15">
        <f>uurtarief19</f>
        <v>0</v>
      </c>
      <c r="Q651" s="80" t="e">
        <f t="shared" si="181"/>
        <v>#DIV/0!</v>
      </c>
      <c r="R651" s="80" t="e">
        <f t="shared" si="182"/>
        <v>#DIV/0!</v>
      </c>
      <c r="S651" s="15" t="e">
        <f t="shared" si="183"/>
        <v>#DIV/0!</v>
      </c>
      <c r="T651" s="80" t="e">
        <f t="shared" si="184"/>
        <v>#DIV/0!</v>
      </c>
      <c r="U651" s="16" t="e">
        <f t="shared" si="185"/>
        <v>#DIV/0!</v>
      </c>
    </row>
    <row r="652" spans="1:21" x14ac:dyDescent="0.3">
      <c r="A652" s="77" t="s">
        <v>844</v>
      </c>
      <c r="B652" s="78" t="s">
        <v>40</v>
      </c>
      <c r="C652" s="78" t="s">
        <v>373</v>
      </c>
      <c r="D652" s="78" t="s">
        <v>866</v>
      </c>
      <c r="E652" s="79" t="s">
        <v>867</v>
      </c>
      <c r="F652" s="78" t="s">
        <v>591</v>
      </c>
      <c r="G652" s="78" t="s">
        <v>300</v>
      </c>
      <c r="H652" s="78"/>
      <c r="I652" s="78"/>
      <c r="J652" s="78"/>
      <c r="K652" s="80">
        <v>10.43</v>
      </c>
      <c r="L652" s="80"/>
      <c r="M652" s="81"/>
      <c r="N652" s="82"/>
      <c r="O652" s="78"/>
      <c r="P652" s="15"/>
      <c r="Q652" s="80"/>
      <c r="R652" s="80"/>
      <c r="S652" s="15"/>
      <c r="T652" s="83"/>
      <c r="U652" s="16"/>
    </row>
    <row r="653" spans="1:21" x14ac:dyDescent="0.3">
      <c r="A653" s="77" t="s">
        <v>844</v>
      </c>
      <c r="B653" s="78" t="s">
        <v>40</v>
      </c>
      <c r="C653" s="78" t="s">
        <v>373</v>
      </c>
      <c r="D653" s="78" t="s">
        <v>868</v>
      </c>
      <c r="E653" s="79" t="s">
        <v>502</v>
      </c>
      <c r="F653" s="78" t="s">
        <v>591</v>
      </c>
      <c r="G653" s="78" t="s">
        <v>220</v>
      </c>
      <c r="H653" s="78" t="s">
        <v>11</v>
      </c>
      <c r="I653" s="78" t="s">
        <v>214</v>
      </c>
      <c r="J653" s="79" t="s">
        <v>221</v>
      </c>
      <c r="K653" s="80">
        <v>1.36</v>
      </c>
      <c r="L653" s="80">
        <f t="shared" ref="L653:L694" si="186">K653*VLOOKUP(H653,dagsoorttabel1,2,FALSE)</f>
        <v>1.0666666666666667</v>
      </c>
      <c r="M653" s="81">
        <f>prodnorm11</f>
        <v>0</v>
      </c>
      <c r="N653" s="82">
        <f>dagwerk11</f>
        <v>0</v>
      </c>
      <c r="O653" s="78" t="s">
        <v>103</v>
      </c>
      <c r="P653" s="15">
        <f>uurtarief11</f>
        <v>0</v>
      </c>
      <c r="Q653" s="80" t="e">
        <f t="shared" ref="Q653:Q694" si="187">IF(ISBLANK(M653),0,L653/ROUND(M653,4))</f>
        <v>#DIV/0!</v>
      </c>
      <c r="R653" s="80" t="e">
        <f t="shared" ref="R653:R694" si="188">IF(ISBLANK(M653),0,Q653*ROUND(N653,2))</f>
        <v>#DIV/0!</v>
      </c>
      <c r="S653" s="15" t="e">
        <f t="shared" ref="S653:S694" si="189">ROUND(P653,2)*Q653</f>
        <v>#DIV/0!</v>
      </c>
      <c r="T653" s="80" t="e">
        <f t="shared" ref="T653:T694" si="190">Q653*dagenperjaar1</f>
        <v>#DIV/0!</v>
      </c>
      <c r="U653" s="16" t="e">
        <f t="shared" ref="U653:U694" si="191">T653*ROUND(P653,2)</f>
        <v>#DIV/0!</v>
      </c>
    </row>
    <row r="654" spans="1:21" x14ac:dyDescent="0.3">
      <c r="A654" s="77" t="s">
        <v>844</v>
      </c>
      <c r="B654" s="78" t="s">
        <v>40</v>
      </c>
      <c r="C654" s="78" t="s">
        <v>373</v>
      </c>
      <c r="D654" s="78" t="s">
        <v>869</v>
      </c>
      <c r="E654" s="79" t="s">
        <v>859</v>
      </c>
      <c r="F654" s="78" t="s">
        <v>591</v>
      </c>
      <c r="G654" s="78" t="s">
        <v>250</v>
      </c>
      <c r="H654" s="78" t="s">
        <v>11</v>
      </c>
      <c r="I654" s="78" t="s">
        <v>214</v>
      </c>
      <c r="J654" s="79" t="s">
        <v>251</v>
      </c>
      <c r="K654" s="80">
        <v>1.36</v>
      </c>
      <c r="L654" s="80">
        <f t="shared" si="186"/>
        <v>1.0666666666666667</v>
      </c>
      <c r="M654" s="81">
        <f>prodnorm30</f>
        <v>0</v>
      </c>
      <c r="N654" s="82">
        <f>dagwerk30</f>
        <v>0</v>
      </c>
      <c r="O654" s="78" t="s">
        <v>103</v>
      </c>
      <c r="P654" s="15">
        <f>uurtarief30</f>
        <v>0</v>
      </c>
      <c r="Q654" s="80" t="e">
        <f t="shared" si="187"/>
        <v>#DIV/0!</v>
      </c>
      <c r="R654" s="80" t="e">
        <f t="shared" si="188"/>
        <v>#DIV/0!</v>
      </c>
      <c r="S654" s="15" t="e">
        <f t="shared" si="189"/>
        <v>#DIV/0!</v>
      </c>
      <c r="T654" s="80" t="e">
        <f t="shared" si="190"/>
        <v>#DIV/0!</v>
      </c>
      <c r="U654" s="16" t="e">
        <f t="shared" si="191"/>
        <v>#DIV/0!</v>
      </c>
    </row>
    <row r="655" spans="1:21" x14ac:dyDescent="0.3">
      <c r="A655" s="77" t="s">
        <v>844</v>
      </c>
      <c r="B655" s="78" t="s">
        <v>40</v>
      </c>
      <c r="C655" s="78" t="s">
        <v>373</v>
      </c>
      <c r="D655" s="78" t="s">
        <v>870</v>
      </c>
      <c r="E655" s="79" t="s">
        <v>500</v>
      </c>
      <c r="F655" s="78" t="s">
        <v>848</v>
      </c>
      <c r="G655" s="78" t="s">
        <v>232</v>
      </c>
      <c r="H655" s="78" t="s">
        <v>11</v>
      </c>
      <c r="I655" s="78" t="s">
        <v>214</v>
      </c>
      <c r="J655" s="79" t="s">
        <v>233</v>
      </c>
      <c r="K655" s="80">
        <v>26.84</v>
      </c>
      <c r="L655" s="80">
        <f t="shared" si="186"/>
        <v>21.050980392156863</v>
      </c>
      <c r="M655" s="81">
        <f>prodnorm19</f>
        <v>0</v>
      </c>
      <c r="N655" s="82">
        <f>dagwerk19</f>
        <v>0</v>
      </c>
      <c r="O655" s="78" t="s">
        <v>103</v>
      </c>
      <c r="P655" s="15">
        <f>uurtarief19</f>
        <v>0</v>
      </c>
      <c r="Q655" s="80" t="e">
        <f t="shared" si="187"/>
        <v>#DIV/0!</v>
      </c>
      <c r="R655" s="80" t="e">
        <f t="shared" si="188"/>
        <v>#DIV/0!</v>
      </c>
      <c r="S655" s="15" t="e">
        <f t="shared" si="189"/>
        <v>#DIV/0!</v>
      </c>
      <c r="T655" s="80" t="e">
        <f t="shared" si="190"/>
        <v>#DIV/0!</v>
      </c>
      <c r="U655" s="16" t="e">
        <f t="shared" si="191"/>
        <v>#DIV/0!</v>
      </c>
    </row>
    <row r="656" spans="1:21" x14ac:dyDescent="0.3">
      <c r="A656" s="77" t="s">
        <v>844</v>
      </c>
      <c r="B656" s="78" t="s">
        <v>40</v>
      </c>
      <c r="C656" s="78" t="s">
        <v>373</v>
      </c>
      <c r="D656" s="78" t="s">
        <v>870</v>
      </c>
      <c r="E656" s="79" t="s">
        <v>500</v>
      </c>
      <c r="F656" s="78" t="s">
        <v>591</v>
      </c>
      <c r="G656" s="78" t="s">
        <v>232</v>
      </c>
      <c r="H656" s="78" t="s">
        <v>11</v>
      </c>
      <c r="I656" s="78" t="s">
        <v>214</v>
      </c>
      <c r="J656" s="79" t="s">
        <v>233</v>
      </c>
      <c r="K656" s="80">
        <v>10.43</v>
      </c>
      <c r="L656" s="80">
        <f t="shared" si="186"/>
        <v>8.1803921568627445</v>
      </c>
      <c r="M656" s="81">
        <f>prodnorm19</f>
        <v>0</v>
      </c>
      <c r="N656" s="82">
        <f>dagwerk19</f>
        <v>0</v>
      </c>
      <c r="O656" s="78" t="s">
        <v>103</v>
      </c>
      <c r="P656" s="15">
        <f>uurtarief19</f>
        <v>0</v>
      </c>
      <c r="Q656" s="80" t="e">
        <f t="shared" si="187"/>
        <v>#DIV/0!</v>
      </c>
      <c r="R656" s="80" t="e">
        <f t="shared" si="188"/>
        <v>#DIV/0!</v>
      </c>
      <c r="S656" s="15" t="e">
        <f t="shared" si="189"/>
        <v>#DIV/0!</v>
      </c>
      <c r="T656" s="80" t="e">
        <f t="shared" si="190"/>
        <v>#DIV/0!</v>
      </c>
      <c r="U656" s="16" t="e">
        <f t="shared" si="191"/>
        <v>#DIV/0!</v>
      </c>
    </row>
    <row r="657" spans="1:21" x14ac:dyDescent="0.3">
      <c r="A657" s="77" t="s">
        <v>844</v>
      </c>
      <c r="B657" s="78" t="s">
        <v>40</v>
      </c>
      <c r="C657" s="78" t="s">
        <v>373</v>
      </c>
      <c r="D657" s="78" t="s">
        <v>871</v>
      </c>
      <c r="E657" s="79" t="s">
        <v>502</v>
      </c>
      <c r="F657" s="78" t="s">
        <v>591</v>
      </c>
      <c r="G657" s="78" t="s">
        <v>220</v>
      </c>
      <c r="H657" s="78" t="s">
        <v>11</v>
      </c>
      <c r="I657" s="78" t="s">
        <v>214</v>
      </c>
      <c r="J657" s="79" t="s">
        <v>221</v>
      </c>
      <c r="K657" s="80">
        <v>1.36</v>
      </c>
      <c r="L657" s="80">
        <f t="shared" si="186"/>
        <v>1.0666666666666667</v>
      </c>
      <c r="M657" s="81">
        <f>prodnorm11</f>
        <v>0</v>
      </c>
      <c r="N657" s="82">
        <f>dagwerk11</f>
        <v>0</v>
      </c>
      <c r="O657" s="78" t="s">
        <v>103</v>
      </c>
      <c r="P657" s="15">
        <f>uurtarief11</f>
        <v>0</v>
      </c>
      <c r="Q657" s="80" t="e">
        <f t="shared" si="187"/>
        <v>#DIV/0!</v>
      </c>
      <c r="R657" s="80" t="e">
        <f t="shared" si="188"/>
        <v>#DIV/0!</v>
      </c>
      <c r="S657" s="15" t="e">
        <f t="shared" si="189"/>
        <v>#DIV/0!</v>
      </c>
      <c r="T657" s="80" t="e">
        <f t="shared" si="190"/>
        <v>#DIV/0!</v>
      </c>
      <c r="U657" s="16" t="e">
        <f t="shared" si="191"/>
        <v>#DIV/0!</v>
      </c>
    </row>
    <row r="658" spans="1:21" x14ac:dyDescent="0.3">
      <c r="A658" s="77" t="s">
        <v>844</v>
      </c>
      <c r="B658" s="78" t="s">
        <v>40</v>
      </c>
      <c r="C658" s="78" t="s">
        <v>373</v>
      </c>
      <c r="D658" s="78" t="s">
        <v>872</v>
      </c>
      <c r="E658" s="79" t="s">
        <v>859</v>
      </c>
      <c r="F658" s="78" t="s">
        <v>591</v>
      </c>
      <c r="G658" s="78" t="s">
        <v>250</v>
      </c>
      <c r="H658" s="78" t="s">
        <v>11</v>
      </c>
      <c r="I658" s="78" t="s">
        <v>214</v>
      </c>
      <c r="J658" s="79" t="s">
        <v>251</v>
      </c>
      <c r="K658" s="80">
        <v>1.36</v>
      </c>
      <c r="L658" s="80">
        <f t="shared" si="186"/>
        <v>1.0666666666666667</v>
      </c>
      <c r="M658" s="81">
        <f>prodnorm30</f>
        <v>0</v>
      </c>
      <c r="N658" s="82">
        <f>dagwerk30</f>
        <v>0</v>
      </c>
      <c r="O658" s="78" t="s">
        <v>103</v>
      </c>
      <c r="P658" s="15">
        <f>uurtarief30</f>
        <v>0</v>
      </c>
      <c r="Q658" s="80" t="e">
        <f t="shared" si="187"/>
        <v>#DIV/0!</v>
      </c>
      <c r="R658" s="80" t="e">
        <f t="shared" si="188"/>
        <v>#DIV/0!</v>
      </c>
      <c r="S658" s="15" t="e">
        <f t="shared" si="189"/>
        <v>#DIV/0!</v>
      </c>
      <c r="T658" s="80" t="e">
        <f t="shared" si="190"/>
        <v>#DIV/0!</v>
      </c>
      <c r="U658" s="16" t="e">
        <f t="shared" si="191"/>
        <v>#DIV/0!</v>
      </c>
    </row>
    <row r="659" spans="1:21" ht="27" x14ac:dyDescent="0.3">
      <c r="A659" s="77" t="s">
        <v>844</v>
      </c>
      <c r="B659" s="78" t="s">
        <v>40</v>
      </c>
      <c r="C659" s="78" t="s">
        <v>373</v>
      </c>
      <c r="D659" s="78" t="s">
        <v>873</v>
      </c>
      <c r="E659" s="79" t="s">
        <v>380</v>
      </c>
      <c r="F659" s="78" t="s">
        <v>848</v>
      </c>
      <c r="G659" s="78" t="s">
        <v>256</v>
      </c>
      <c r="H659" s="78" t="s">
        <v>11</v>
      </c>
      <c r="I659" s="78" t="s">
        <v>214</v>
      </c>
      <c r="J659" s="79" t="s">
        <v>257</v>
      </c>
      <c r="K659" s="80">
        <v>38.220000000000006</v>
      </c>
      <c r="L659" s="80">
        <f t="shared" si="186"/>
        <v>29.976470588235298</v>
      </c>
      <c r="M659" s="81">
        <f>prodnorm33</f>
        <v>0</v>
      </c>
      <c r="N659" s="82">
        <f>dagwerk33</f>
        <v>0</v>
      </c>
      <c r="O659" s="78" t="s">
        <v>103</v>
      </c>
      <c r="P659" s="15">
        <f>uurtarief33</f>
        <v>0</v>
      </c>
      <c r="Q659" s="80" t="e">
        <f t="shared" si="187"/>
        <v>#DIV/0!</v>
      </c>
      <c r="R659" s="80" t="e">
        <f t="shared" si="188"/>
        <v>#DIV/0!</v>
      </c>
      <c r="S659" s="15" t="e">
        <f t="shared" si="189"/>
        <v>#DIV/0!</v>
      </c>
      <c r="T659" s="80" t="e">
        <f t="shared" si="190"/>
        <v>#DIV/0!</v>
      </c>
      <c r="U659" s="16" t="e">
        <f t="shared" si="191"/>
        <v>#DIV/0!</v>
      </c>
    </row>
    <row r="660" spans="1:21" ht="27" x14ac:dyDescent="0.3">
      <c r="A660" s="77" t="s">
        <v>844</v>
      </c>
      <c r="B660" s="78" t="s">
        <v>40</v>
      </c>
      <c r="C660" s="78" t="s">
        <v>373</v>
      </c>
      <c r="D660" s="78" t="s">
        <v>874</v>
      </c>
      <c r="E660" s="79" t="s">
        <v>380</v>
      </c>
      <c r="F660" s="78" t="s">
        <v>848</v>
      </c>
      <c r="G660" s="78" t="s">
        <v>256</v>
      </c>
      <c r="H660" s="78" t="s">
        <v>11</v>
      </c>
      <c r="I660" s="78" t="s">
        <v>214</v>
      </c>
      <c r="J660" s="79" t="s">
        <v>257</v>
      </c>
      <c r="K660" s="80">
        <v>38.220000000000006</v>
      </c>
      <c r="L660" s="80">
        <f t="shared" si="186"/>
        <v>29.976470588235298</v>
      </c>
      <c r="M660" s="81">
        <f>prodnorm33</f>
        <v>0</v>
      </c>
      <c r="N660" s="82">
        <f>dagwerk33</f>
        <v>0</v>
      </c>
      <c r="O660" s="78" t="s">
        <v>103</v>
      </c>
      <c r="P660" s="15">
        <f>uurtarief33</f>
        <v>0</v>
      </c>
      <c r="Q660" s="80" t="e">
        <f t="shared" si="187"/>
        <v>#DIV/0!</v>
      </c>
      <c r="R660" s="80" t="e">
        <f t="shared" si="188"/>
        <v>#DIV/0!</v>
      </c>
      <c r="S660" s="15" t="e">
        <f t="shared" si="189"/>
        <v>#DIV/0!</v>
      </c>
      <c r="T660" s="80" t="e">
        <f t="shared" si="190"/>
        <v>#DIV/0!</v>
      </c>
      <c r="U660" s="16" t="e">
        <f t="shared" si="191"/>
        <v>#DIV/0!</v>
      </c>
    </row>
    <row r="661" spans="1:21" x14ac:dyDescent="0.3">
      <c r="A661" s="77" t="s">
        <v>844</v>
      </c>
      <c r="B661" s="78" t="s">
        <v>40</v>
      </c>
      <c r="C661" s="78" t="s">
        <v>280</v>
      </c>
      <c r="D661" s="78" t="s">
        <v>875</v>
      </c>
      <c r="E661" s="79" t="s">
        <v>876</v>
      </c>
      <c r="F661" s="78" t="s">
        <v>848</v>
      </c>
      <c r="G661" s="78" t="s">
        <v>222</v>
      </c>
      <c r="H661" s="78" t="s">
        <v>11</v>
      </c>
      <c r="I661" s="78" t="s">
        <v>214</v>
      </c>
      <c r="J661" s="79" t="s">
        <v>223</v>
      </c>
      <c r="K661" s="80">
        <v>29.62</v>
      </c>
      <c r="L661" s="80">
        <f t="shared" si="186"/>
        <v>23.231372549019607</v>
      </c>
      <c r="M661" s="81">
        <f>prodnorm12</f>
        <v>0</v>
      </c>
      <c r="N661" s="82">
        <f>dagwerk12</f>
        <v>0</v>
      </c>
      <c r="O661" s="78" t="s">
        <v>103</v>
      </c>
      <c r="P661" s="15">
        <f>uurtarief12</f>
        <v>0</v>
      </c>
      <c r="Q661" s="80" t="e">
        <f t="shared" si="187"/>
        <v>#DIV/0!</v>
      </c>
      <c r="R661" s="80" t="e">
        <f t="shared" si="188"/>
        <v>#DIV/0!</v>
      </c>
      <c r="S661" s="15" t="e">
        <f t="shared" si="189"/>
        <v>#DIV/0!</v>
      </c>
      <c r="T661" s="80" t="e">
        <f t="shared" si="190"/>
        <v>#DIV/0!</v>
      </c>
      <c r="U661" s="16" t="e">
        <f t="shared" si="191"/>
        <v>#DIV/0!</v>
      </c>
    </row>
    <row r="662" spans="1:21" x14ac:dyDescent="0.3">
      <c r="A662" s="77" t="s">
        <v>844</v>
      </c>
      <c r="B662" s="78" t="s">
        <v>40</v>
      </c>
      <c r="C662" s="78" t="s">
        <v>280</v>
      </c>
      <c r="D662" s="78" t="s">
        <v>877</v>
      </c>
      <c r="E662" s="79" t="s">
        <v>320</v>
      </c>
      <c r="F662" s="78" t="s">
        <v>878</v>
      </c>
      <c r="G662" s="78" t="s">
        <v>213</v>
      </c>
      <c r="H662" s="78" t="s">
        <v>11</v>
      </c>
      <c r="I662" s="78" t="s">
        <v>214</v>
      </c>
      <c r="J662" s="79" t="s">
        <v>215</v>
      </c>
      <c r="K662" s="80">
        <v>369.36</v>
      </c>
      <c r="L662" s="80">
        <f t="shared" si="186"/>
        <v>289.69411764705882</v>
      </c>
      <c r="M662" s="81">
        <f>prodnorm5</f>
        <v>0</v>
      </c>
      <c r="N662" s="82">
        <f>dagwerk5</f>
        <v>0</v>
      </c>
      <c r="O662" s="78" t="s">
        <v>103</v>
      </c>
      <c r="P662" s="15">
        <f>uurtarief5</f>
        <v>0</v>
      </c>
      <c r="Q662" s="80" t="e">
        <f t="shared" si="187"/>
        <v>#DIV/0!</v>
      </c>
      <c r="R662" s="80" t="e">
        <f t="shared" si="188"/>
        <v>#DIV/0!</v>
      </c>
      <c r="S662" s="15" t="e">
        <f t="shared" si="189"/>
        <v>#DIV/0!</v>
      </c>
      <c r="T662" s="80" t="e">
        <f t="shared" si="190"/>
        <v>#DIV/0!</v>
      </c>
      <c r="U662" s="16" t="e">
        <f t="shared" si="191"/>
        <v>#DIV/0!</v>
      </c>
    </row>
    <row r="663" spans="1:21" x14ac:dyDescent="0.3">
      <c r="A663" s="77" t="s">
        <v>844</v>
      </c>
      <c r="B663" s="78" t="s">
        <v>40</v>
      </c>
      <c r="C663" s="78" t="s">
        <v>280</v>
      </c>
      <c r="D663" s="78" t="s">
        <v>879</v>
      </c>
      <c r="E663" s="79" t="s">
        <v>290</v>
      </c>
      <c r="F663" s="78" t="s">
        <v>848</v>
      </c>
      <c r="G663" s="78" t="s">
        <v>234</v>
      </c>
      <c r="H663" s="78" t="s">
        <v>11</v>
      </c>
      <c r="I663" s="78" t="s">
        <v>214</v>
      </c>
      <c r="J663" s="79" t="s">
        <v>235</v>
      </c>
      <c r="K663" s="80">
        <v>56.78</v>
      </c>
      <c r="L663" s="80">
        <f t="shared" si="186"/>
        <v>44.533333333333331</v>
      </c>
      <c r="M663" s="81">
        <f>prodnorm21</f>
        <v>0</v>
      </c>
      <c r="N663" s="82">
        <f>dagwerk21</f>
        <v>0</v>
      </c>
      <c r="O663" s="78" t="s">
        <v>103</v>
      </c>
      <c r="P663" s="15">
        <f>uurtarief21</f>
        <v>0</v>
      </c>
      <c r="Q663" s="80" t="e">
        <f t="shared" si="187"/>
        <v>#DIV/0!</v>
      </c>
      <c r="R663" s="80" t="e">
        <f t="shared" si="188"/>
        <v>#DIV/0!</v>
      </c>
      <c r="S663" s="15" t="e">
        <f t="shared" si="189"/>
        <v>#DIV/0!</v>
      </c>
      <c r="T663" s="80" t="e">
        <f t="shared" si="190"/>
        <v>#DIV/0!</v>
      </c>
      <c r="U663" s="16" t="e">
        <f t="shared" si="191"/>
        <v>#DIV/0!</v>
      </c>
    </row>
    <row r="664" spans="1:21" x14ac:dyDescent="0.3">
      <c r="A664" s="77" t="s">
        <v>844</v>
      </c>
      <c r="B664" s="78" t="s">
        <v>40</v>
      </c>
      <c r="C664" s="78" t="s">
        <v>280</v>
      </c>
      <c r="D664" s="78" t="s">
        <v>880</v>
      </c>
      <c r="E664" s="79" t="s">
        <v>290</v>
      </c>
      <c r="F664" s="78" t="s">
        <v>848</v>
      </c>
      <c r="G664" s="78" t="s">
        <v>234</v>
      </c>
      <c r="H664" s="78" t="s">
        <v>11</v>
      </c>
      <c r="I664" s="78" t="s">
        <v>214</v>
      </c>
      <c r="J664" s="79" t="s">
        <v>235</v>
      </c>
      <c r="K664" s="80">
        <v>57.53</v>
      </c>
      <c r="L664" s="80">
        <f t="shared" si="186"/>
        <v>45.121568627450984</v>
      </c>
      <c r="M664" s="81">
        <f>prodnorm21</f>
        <v>0</v>
      </c>
      <c r="N664" s="82">
        <f>dagwerk21</f>
        <v>0</v>
      </c>
      <c r="O664" s="78" t="s">
        <v>103</v>
      </c>
      <c r="P664" s="15">
        <f>uurtarief21</f>
        <v>0</v>
      </c>
      <c r="Q664" s="80" t="e">
        <f t="shared" si="187"/>
        <v>#DIV/0!</v>
      </c>
      <c r="R664" s="80" t="e">
        <f t="shared" si="188"/>
        <v>#DIV/0!</v>
      </c>
      <c r="S664" s="15" t="e">
        <f t="shared" si="189"/>
        <v>#DIV/0!</v>
      </c>
      <c r="T664" s="80" t="e">
        <f t="shared" si="190"/>
        <v>#DIV/0!</v>
      </c>
      <c r="U664" s="16" t="e">
        <f t="shared" si="191"/>
        <v>#DIV/0!</v>
      </c>
    </row>
    <row r="665" spans="1:21" x14ac:dyDescent="0.3">
      <c r="A665" s="77" t="s">
        <v>844</v>
      </c>
      <c r="B665" s="78" t="s">
        <v>40</v>
      </c>
      <c r="C665" s="78" t="s">
        <v>280</v>
      </c>
      <c r="D665" s="78" t="s">
        <v>881</v>
      </c>
      <c r="E665" s="79" t="s">
        <v>511</v>
      </c>
      <c r="F665" s="78" t="s">
        <v>848</v>
      </c>
      <c r="G665" s="78" t="s">
        <v>216</v>
      </c>
      <c r="H665" s="78" t="s">
        <v>11</v>
      </c>
      <c r="I665" s="78" t="s">
        <v>214</v>
      </c>
      <c r="J665" s="79" t="s">
        <v>217</v>
      </c>
      <c r="K665" s="80">
        <v>24.25</v>
      </c>
      <c r="L665" s="80">
        <f t="shared" si="186"/>
        <v>19.019607843137255</v>
      </c>
      <c r="M665" s="81">
        <f>prodnorm6</f>
        <v>0</v>
      </c>
      <c r="N665" s="82">
        <f>dagwerk6</f>
        <v>0</v>
      </c>
      <c r="O665" s="78" t="s">
        <v>103</v>
      </c>
      <c r="P665" s="15">
        <f>uurtarief6</f>
        <v>0</v>
      </c>
      <c r="Q665" s="80" t="e">
        <f t="shared" si="187"/>
        <v>#DIV/0!</v>
      </c>
      <c r="R665" s="80" t="e">
        <f t="shared" si="188"/>
        <v>#DIV/0!</v>
      </c>
      <c r="S665" s="15" t="e">
        <f t="shared" si="189"/>
        <v>#DIV/0!</v>
      </c>
      <c r="T665" s="80" t="e">
        <f t="shared" si="190"/>
        <v>#DIV/0!</v>
      </c>
      <c r="U665" s="16" t="e">
        <f t="shared" si="191"/>
        <v>#DIV/0!</v>
      </c>
    </row>
    <row r="666" spans="1:21" x14ac:dyDescent="0.3">
      <c r="A666" s="77" t="s">
        <v>844</v>
      </c>
      <c r="B666" s="78" t="s">
        <v>40</v>
      </c>
      <c r="C666" s="78" t="s">
        <v>280</v>
      </c>
      <c r="D666" s="78" t="s">
        <v>882</v>
      </c>
      <c r="E666" s="79" t="s">
        <v>453</v>
      </c>
      <c r="F666" s="78" t="s">
        <v>848</v>
      </c>
      <c r="G666" s="78" t="s">
        <v>216</v>
      </c>
      <c r="H666" s="78" t="s">
        <v>11</v>
      </c>
      <c r="I666" s="78" t="s">
        <v>214</v>
      </c>
      <c r="J666" s="79" t="s">
        <v>217</v>
      </c>
      <c r="K666" s="80">
        <v>24.25</v>
      </c>
      <c r="L666" s="80">
        <f t="shared" si="186"/>
        <v>19.019607843137255</v>
      </c>
      <c r="M666" s="81">
        <f>prodnorm6</f>
        <v>0</v>
      </c>
      <c r="N666" s="82">
        <f>dagwerk6</f>
        <v>0</v>
      </c>
      <c r="O666" s="78" t="s">
        <v>103</v>
      </c>
      <c r="P666" s="15">
        <f>uurtarief6</f>
        <v>0</v>
      </c>
      <c r="Q666" s="80" t="e">
        <f t="shared" si="187"/>
        <v>#DIV/0!</v>
      </c>
      <c r="R666" s="80" t="e">
        <f t="shared" si="188"/>
        <v>#DIV/0!</v>
      </c>
      <c r="S666" s="15" t="e">
        <f t="shared" si="189"/>
        <v>#DIV/0!</v>
      </c>
      <c r="T666" s="80" t="e">
        <f t="shared" si="190"/>
        <v>#DIV/0!</v>
      </c>
      <c r="U666" s="16" t="e">
        <f t="shared" si="191"/>
        <v>#DIV/0!</v>
      </c>
    </row>
    <row r="667" spans="1:21" x14ac:dyDescent="0.3">
      <c r="A667" s="77" t="s">
        <v>844</v>
      </c>
      <c r="B667" s="78" t="s">
        <v>40</v>
      </c>
      <c r="C667" s="78" t="s">
        <v>280</v>
      </c>
      <c r="D667" s="78" t="s">
        <v>883</v>
      </c>
      <c r="E667" s="79" t="s">
        <v>290</v>
      </c>
      <c r="F667" s="78" t="s">
        <v>848</v>
      </c>
      <c r="G667" s="78" t="s">
        <v>234</v>
      </c>
      <c r="H667" s="78" t="s">
        <v>11</v>
      </c>
      <c r="I667" s="78" t="s">
        <v>214</v>
      </c>
      <c r="J667" s="79" t="s">
        <v>235</v>
      </c>
      <c r="K667" s="80">
        <v>58.49</v>
      </c>
      <c r="L667" s="80">
        <f t="shared" si="186"/>
        <v>45.874509803921569</v>
      </c>
      <c r="M667" s="81">
        <f>prodnorm21</f>
        <v>0</v>
      </c>
      <c r="N667" s="82">
        <f>dagwerk21</f>
        <v>0</v>
      </c>
      <c r="O667" s="78" t="s">
        <v>103</v>
      </c>
      <c r="P667" s="15">
        <f>uurtarief21</f>
        <v>0</v>
      </c>
      <c r="Q667" s="80" t="e">
        <f t="shared" si="187"/>
        <v>#DIV/0!</v>
      </c>
      <c r="R667" s="80" t="e">
        <f t="shared" si="188"/>
        <v>#DIV/0!</v>
      </c>
      <c r="S667" s="15" t="e">
        <f t="shared" si="189"/>
        <v>#DIV/0!</v>
      </c>
      <c r="T667" s="80" t="e">
        <f t="shared" si="190"/>
        <v>#DIV/0!</v>
      </c>
      <c r="U667" s="16" t="e">
        <f t="shared" si="191"/>
        <v>#DIV/0!</v>
      </c>
    </row>
    <row r="668" spans="1:21" x14ac:dyDescent="0.3">
      <c r="A668" s="77" t="s">
        <v>844</v>
      </c>
      <c r="B668" s="78" t="s">
        <v>40</v>
      </c>
      <c r="C668" s="78" t="s">
        <v>280</v>
      </c>
      <c r="D668" s="78" t="s">
        <v>884</v>
      </c>
      <c r="E668" s="79" t="s">
        <v>290</v>
      </c>
      <c r="F668" s="78" t="s">
        <v>848</v>
      </c>
      <c r="G668" s="78" t="s">
        <v>234</v>
      </c>
      <c r="H668" s="78" t="s">
        <v>11</v>
      </c>
      <c r="I668" s="78" t="s">
        <v>214</v>
      </c>
      <c r="J668" s="79" t="s">
        <v>235</v>
      </c>
      <c r="K668" s="80">
        <v>57.54</v>
      </c>
      <c r="L668" s="80">
        <f t="shared" si="186"/>
        <v>45.129411764705878</v>
      </c>
      <c r="M668" s="81">
        <f>prodnorm21</f>
        <v>0</v>
      </c>
      <c r="N668" s="82">
        <f>dagwerk21</f>
        <v>0</v>
      </c>
      <c r="O668" s="78" t="s">
        <v>103</v>
      </c>
      <c r="P668" s="15">
        <f>uurtarief21</f>
        <v>0</v>
      </c>
      <c r="Q668" s="80" t="e">
        <f t="shared" si="187"/>
        <v>#DIV/0!</v>
      </c>
      <c r="R668" s="80" t="e">
        <f t="shared" si="188"/>
        <v>#DIV/0!</v>
      </c>
      <c r="S668" s="15" t="e">
        <f t="shared" si="189"/>
        <v>#DIV/0!</v>
      </c>
      <c r="T668" s="80" t="e">
        <f t="shared" si="190"/>
        <v>#DIV/0!</v>
      </c>
      <c r="U668" s="16" t="e">
        <f t="shared" si="191"/>
        <v>#DIV/0!</v>
      </c>
    </row>
    <row r="669" spans="1:21" x14ac:dyDescent="0.3">
      <c r="A669" s="77" t="s">
        <v>844</v>
      </c>
      <c r="B669" s="78" t="s">
        <v>40</v>
      </c>
      <c r="C669" s="78" t="s">
        <v>280</v>
      </c>
      <c r="D669" s="78" t="s">
        <v>885</v>
      </c>
      <c r="E669" s="79" t="s">
        <v>290</v>
      </c>
      <c r="F669" s="78" t="s">
        <v>848</v>
      </c>
      <c r="G669" s="78" t="s">
        <v>234</v>
      </c>
      <c r="H669" s="78" t="s">
        <v>11</v>
      </c>
      <c r="I669" s="78" t="s">
        <v>214</v>
      </c>
      <c r="J669" s="79" t="s">
        <v>235</v>
      </c>
      <c r="K669" s="80">
        <v>53.55</v>
      </c>
      <c r="L669" s="80">
        <f t="shared" si="186"/>
        <v>42</v>
      </c>
      <c r="M669" s="81">
        <f>prodnorm21</f>
        <v>0</v>
      </c>
      <c r="N669" s="82">
        <f>dagwerk21</f>
        <v>0</v>
      </c>
      <c r="O669" s="78" t="s">
        <v>103</v>
      </c>
      <c r="P669" s="15">
        <f>uurtarief21</f>
        <v>0</v>
      </c>
      <c r="Q669" s="80" t="e">
        <f t="shared" si="187"/>
        <v>#DIV/0!</v>
      </c>
      <c r="R669" s="80" t="e">
        <f t="shared" si="188"/>
        <v>#DIV/0!</v>
      </c>
      <c r="S669" s="15" t="e">
        <f t="shared" si="189"/>
        <v>#DIV/0!</v>
      </c>
      <c r="T669" s="80" t="e">
        <f t="shared" si="190"/>
        <v>#DIV/0!</v>
      </c>
      <c r="U669" s="16" t="e">
        <f t="shared" si="191"/>
        <v>#DIV/0!</v>
      </c>
    </row>
    <row r="670" spans="1:21" x14ac:dyDescent="0.3">
      <c r="A670" s="77" t="s">
        <v>844</v>
      </c>
      <c r="B670" s="78" t="s">
        <v>40</v>
      </c>
      <c r="C670" s="78" t="s">
        <v>280</v>
      </c>
      <c r="D670" s="78" t="s">
        <v>886</v>
      </c>
      <c r="E670" s="79" t="s">
        <v>290</v>
      </c>
      <c r="F670" s="78" t="s">
        <v>848</v>
      </c>
      <c r="G670" s="78" t="s">
        <v>234</v>
      </c>
      <c r="H670" s="78" t="s">
        <v>11</v>
      </c>
      <c r="I670" s="78" t="s">
        <v>214</v>
      </c>
      <c r="J670" s="79" t="s">
        <v>235</v>
      </c>
      <c r="K670" s="80">
        <v>44.36</v>
      </c>
      <c r="L670" s="80">
        <f t="shared" si="186"/>
        <v>34.792156862745095</v>
      </c>
      <c r="M670" s="81">
        <f>prodnorm21</f>
        <v>0</v>
      </c>
      <c r="N670" s="82">
        <f>dagwerk21</f>
        <v>0</v>
      </c>
      <c r="O670" s="78" t="s">
        <v>103</v>
      </c>
      <c r="P670" s="15">
        <f>uurtarief21</f>
        <v>0</v>
      </c>
      <c r="Q670" s="80" t="e">
        <f t="shared" si="187"/>
        <v>#DIV/0!</v>
      </c>
      <c r="R670" s="80" t="e">
        <f t="shared" si="188"/>
        <v>#DIV/0!</v>
      </c>
      <c r="S670" s="15" t="e">
        <f t="shared" si="189"/>
        <v>#DIV/0!</v>
      </c>
      <c r="T670" s="80" t="e">
        <f t="shared" si="190"/>
        <v>#DIV/0!</v>
      </c>
      <c r="U670" s="16" t="e">
        <f t="shared" si="191"/>
        <v>#DIV/0!</v>
      </c>
    </row>
    <row r="671" spans="1:21" x14ac:dyDescent="0.3">
      <c r="A671" s="77" t="s">
        <v>844</v>
      </c>
      <c r="B671" s="78" t="s">
        <v>40</v>
      </c>
      <c r="C671" s="78" t="s">
        <v>280</v>
      </c>
      <c r="D671" s="78" t="s">
        <v>887</v>
      </c>
      <c r="E671" s="79" t="s">
        <v>511</v>
      </c>
      <c r="F671" s="78" t="s">
        <v>848</v>
      </c>
      <c r="G671" s="78" t="s">
        <v>216</v>
      </c>
      <c r="H671" s="78" t="s">
        <v>11</v>
      </c>
      <c r="I671" s="78" t="s">
        <v>214</v>
      </c>
      <c r="J671" s="79" t="s">
        <v>217</v>
      </c>
      <c r="K671" s="80">
        <v>27.36</v>
      </c>
      <c r="L671" s="80">
        <f t="shared" si="186"/>
        <v>21.458823529411763</v>
      </c>
      <c r="M671" s="81">
        <f>prodnorm6</f>
        <v>0</v>
      </c>
      <c r="N671" s="82">
        <f>dagwerk6</f>
        <v>0</v>
      </c>
      <c r="O671" s="78" t="s">
        <v>103</v>
      </c>
      <c r="P671" s="15">
        <f>uurtarief6</f>
        <v>0</v>
      </c>
      <c r="Q671" s="80" t="e">
        <f t="shared" si="187"/>
        <v>#DIV/0!</v>
      </c>
      <c r="R671" s="80" t="e">
        <f t="shared" si="188"/>
        <v>#DIV/0!</v>
      </c>
      <c r="S671" s="15" t="e">
        <f t="shared" si="189"/>
        <v>#DIV/0!</v>
      </c>
      <c r="T671" s="80" t="e">
        <f t="shared" si="190"/>
        <v>#DIV/0!</v>
      </c>
      <c r="U671" s="16" t="e">
        <f t="shared" si="191"/>
        <v>#DIV/0!</v>
      </c>
    </row>
    <row r="672" spans="1:21" x14ac:dyDescent="0.3">
      <c r="A672" s="77" t="s">
        <v>844</v>
      </c>
      <c r="B672" s="78" t="s">
        <v>40</v>
      </c>
      <c r="C672" s="78" t="s">
        <v>280</v>
      </c>
      <c r="D672" s="78" t="s">
        <v>888</v>
      </c>
      <c r="E672" s="79" t="s">
        <v>889</v>
      </c>
      <c r="F672" s="78" t="s">
        <v>591</v>
      </c>
      <c r="G672" s="78" t="s">
        <v>250</v>
      </c>
      <c r="H672" s="78" t="s">
        <v>11</v>
      </c>
      <c r="I672" s="78" t="s">
        <v>214</v>
      </c>
      <c r="J672" s="79" t="s">
        <v>251</v>
      </c>
      <c r="K672" s="80">
        <v>15.97</v>
      </c>
      <c r="L672" s="80">
        <f t="shared" si="186"/>
        <v>12.525490196078431</v>
      </c>
      <c r="M672" s="81">
        <f>prodnorm30</f>
        <v>0</v>
      </c>
      <c r="N672" s="82">
        <f>dagwerk30</f>
        <v>0</v>
      </c>
      <c r="O672" s="78" t="s">
        <v>103</v>
      </c>
      <c r="P672" s="15">
        <f>uurtarief30</f>
        <v>0</v>
      </c>
      <c r="Q672" s="80" t="e">
        <f t="shared" si="187"/>
        <v>#DIV/0!</v>
      </c>
      <c r="R672" s="80" t="e">
        <f t="shared" si="188"/>
        <v>#DIV/0!</v>
      </c>
      <c r="S672" s="15" t="e">
        <f t="shared" si="189"/>
        <v>#DIV/0!</v>
      </c>
      <c r="T672" s="80" t="e">
        <f t="shared" si="190"/>
        <v>#DIV/0!</v>
      </c>
      <c r="U672" s="16" t="e">
        <f t="shared" si="191"/>
        <v>#DIV/0!</v>
      </c>
    </row>
    <row r="673" spans="1:21" x14ac:dyDescent="0.3">
      <c r="A673" s="77" t="s">
        <v>844</v>
      </c>
      <c r="B673" s="78" t="s">
        <v>40</v>
      </c>
      <c r="C673" s="78" t="s">
        <v>280</v>
      </c>
      <c r="D673" s="78" t="s">
        <v>890</v>
      </c>
      <c r="E673" s="79" t="s">
        <v>511</v>
      </c>
      <c r="F673" s="78" t="s">
        <v>848</v>
      </c>
      <c r="G673" s="78" t="s">
        <v>216</v>
      </c>
      <c r="H673" s="78" t="s">
        <v>11</v>
      </c>
      <c r="I673" s="78" t="s">
        <v>214</v>
      </c>
      <c r="J673" s="79" t="s">
        <v>217</v>
      </c>
      <c r="K673" s="80">
        <v>27.36</v>
      </c>
      <c r="L673" s="80">
        <f t="shared" si="186"/>
        <v>21.458823529411763</v>
      </c>
      <c r="M673" s="81">
        <f>prodnorm6</f>
        <v>0</v>
      </c>
      <c r="N673" s="82">
        <f>dagwerk6</f>
        <v>0</v>
      </c>
      <c r="O673" s="78" t="s">
        <v>103</v>
      </c>
      <c r="P673" s="15">
        <f>uurtarief6</f>
        <v>0</v>
      </c>
      <c r="Q673" s="80" t="e">
        <f t="shared" si="187"/>
        <v>#DIV/0!</v>
      </c>
      <c r="R673" s="80" t="e">
        <f t="shared" si="188"/>
        <v>#DIV/0!</v>
      </c>
      <c r="S673" s="15" t="e">
        <f t="shared" si="189"/>
        <v>#DIV/0!</v>
      </c>
      <c r="T673" s="80" t="e">
        <f t="shared" si="190"/>
        <v>#DIV/0!</v>
      </c>
      <c r="U673" s="16" t="e">
        <f t="shared" si="191"/>
        <v>#DIV/0!</v>
      </c>
    </row>
    <row r="674" spans="1:21" ht="27" x14ac:dyDescent="0.3">
      <c r="A674" s="77" t="s">
        <v>844</v>
      </c>
      <c r="B674" s="78" t="s">
        <v>40</v>
      </c>
      <c r="C674" s="78" t="s">
        <v>280</v>
      </c>
      <c r="D674" s="78" t="s">
        <v>891</v>
      </c>
      <c r="E674" s="79" t="s">
        <v>892</v>
      </c>
      <c r="F674" s="78" t="s">
        <v>848</v>
      </c>
      <c r="G674" s="78" t="s">
        <v>256</v>
      </c>
      <c r="H674" s="78" t="s">
        <v>11</v>
      </c>
      <c r="I674" s="78" t="s">
        <v>214</v>
      </c>
      <c r="J674" s="79" t="s">
        <v>257</v>
      </c>
      <c r="K674" s="80">
        <v>14.51</v>
      </c>
      <c r="L674" s="80">
        <f t="shared" si="186"/>
        <v>11.380392156862746</v>
      </c>
      <c r="M674" s="81">
        <f>prodnorm33</f>
        <v>0</v>
      </c>
      <c r="N674" s="82">
        <f>dagwerk33</f>
        <v>0</v>
      </c>
      <c r="O674" s="78" t="s">
        <v>103</v>
      </c>
      <c r="P674" s="15">
        <f>uurtarief33</f>
        <v>0</v>
      </c>
      <c r="Q674" s="80" t="e">
        <f t="shared" si="187"/>
        <v>#DIV/0!</v>
      </c>
      <c r="R674" s="80" t="e">
        <f t="shared" si="188"/>
        <v>#DIV/0!</v>
      </c>
      <c r="S674" s="15" t="e">
        <f t="shared" si="189"/>
        <v>#DIV/0!</v>
      </c>
      <c r="T674" s="80" t="e">
        <f t="shared" si="190"/>
        <v>#DIV/0!</v>
      </c>
      <c r="U674" s="16" t="e">
        <f t="shared" si="191"/>
        <v>#DIV/0!</v>
      </c>
    </row>
    <row r="675" spans="1:21" x14ac:dyDescent="0.3">
      <c r="A675" s="77" t="s">
        <v>844</v>
      </c>
      <c r="B675" s="78" t="s">
        <v>40</v>
      </c>
      <c r="C675" s="78" t="s">
        <v>280</v>
      </c>
      <c r="D675" s="78" t="s">
        <v>893</v>
      </c>
      <c r="E675" s="79" t="s">
        <v>511</v>
      </c>
      <c r="F675" s="78" t="s">
        <v>848</v>
      </c>
      <c r="G675" s="78" t="s">
        <v>216</v>
      </c>
      <c r="H675" s="78" t="s">
        <v>11</v>
      </c>
      <c r="I675" s="78" t="s">
        <v>214</v>
      </c>
      <c r="J675" s="79" t="s">
        <v>217</v>
      </c>
      <c r="K675" s="80">
        <v>45.4</v>
      </c>
      <c r="L675" s="80">
        <f t="shared" si="186"/>
        <v>35.607843137254903</v>
      </c>
      <c r="M675" s="81">
        <f>prodnorm6</f>
        <v>0</v>
      </c>
      <c r="N675" s="82">
        <f>dagwerk6</f>
        <v>0</v>
      </c>
      <c r="O675" s="78" t="s">
        <v>103</v>
      </c>
      <c r="P675" s="15">
        <f>uurtarief6</f>
        <v>0</v>
      </c>
      <c r="Q675" s="80" t="e">
        <f t="shared" si="187"/>
        <v>#DIV/0!</v>
      </c>
      <c r="R675" s="80" t="e">
        <f t="shared" si="188"/>
        <v>#DIV/0!</v>
      </c>
      <c r="S675" s="15" t="e">
        <f t="shared" si="189"/>
        <v>#DIV/0!</v>
      </c>
      <c r="T675" s="80" t="e">
        <f t="shared" si="190"/>
        <v>#DIV/0!</v>
      </c>
      <c r="U675" s="16" t="e">
        <f t="shared" si="191"/>
        <v>#DIV/0!</v>
      </c>
    </row>
    <row r="676" spans="1:21" x14ac:dyDescent="0.3">
      <c r="A676" s="77" t="s">
        <v>844</v>
      </c>
      <c r="B676" s="78" t="s">
        <v>40</v>
      </c>
      <c r="C676" s="78" t="s">
        <v>280</v>
      </c>
      <c r="D676" s="78" t="s">
        <v>894</v>
      </c>
      <c r="E676" s="79" t="s">
        <v>895</v>
      </c>
      <c r="F676" s="78" t="s">
        <v>848</v>
      </c>
      <c r="G676" s="78" t="s">
        <v>216</v>
      </c>
      <c r="H676" s="78" t="s">
        <v>11</v>
      </c>
      <c r="I676" s="78" t="s">
        <v>214</v>
      </c>
      <c r="J676" s="79" t="s">
        <v>217</v>
      </c>
      <c r="K676" s="80">
        <v>13.97</v>
      </c>
      <c r="L676" s="80">
        <f t="shared" si="186"/>
        <v>10.956862745098039</v>
      </c>
      <c r="M676" s="81">
        <f>prodnorm6</f>
        <v>0</v>
      </c>
      <c r="N676" s="82">
        <f>dagwerk6</f>
        <v>0</v>
      </c>
      <c r="O676" s="78" t="s">
        <v>103</v>
      </c>
      <c r="P676" s="15">
        <f>uurtarief6</f>
        <v>0</v>
      </c>
      <c r="Q676" s="80" t="e">
        <f t="shared" si="187"/>
        <v>#DIV/0!</v>
      </c>
      <c r="R676" s="80" t="e">
        <f t="shared" si="188"/>
        <v>#DIV/0!</v>
      </c>
      <c r="S676" s="15" t="e">
        <f t="shared" si="189"/>
        <v>#DIV/0!</v>
      </c>
      <c r="T676" s="80" t="e">
        <f t="shared" si="190"/>
        <v>#DIV/0!</v>
      </c>
      <c r="U676" s="16" t="e">
        <f t="shared" si="191"/>
        <v>#DIV/0!</v>
      </c>
    </row>
    <row r="677" spans="1:21" x14ac:dyDescent="0.3">
      <c r="A677" s="77" t="s">
        <v>844</v>
      </c>
      <c r="B677" s="78" t="s">
        <v>40</v>
      </c>
      <c r="C677" s="78" t="s">
        <v>280</v>
      </c>
      <c r="D677" s="78" t="s">
        <v>894</v>
      </c>
      <c r="E677" s="79" t="s">
        <v>895</v>
      </c>
      <c r="F677" s="78" t="s">
        <v>848</v>
      </c>
      <c r="G677" s="78" t="s">
        <v>216</v>
      </c>
      <c r="H677" s="78" t="s">
        <v>11</v>
      </c>
      <c r="I677" s="78" t="s">
        <v>214</v>
      </c>
      <c r="J677" s="79" t="s">
        <v>217</v>
      </c>
      <c r="K677" s="80">
        <v>64.760000000000005</v>
      </c>
      <c r="L677" s="80">
        <f t="shared" si="186"/>
        <v>50.792156862745102</v>
      </c>
      <c r="M677" s="81">
        <f>prodnorm6</f>
        <v>0</v>
      </c>
      <c r="N677" s="82">
        <f>dagwerk6</f>
        <v>0</v>
      </c>
      <c r="O677" s="78" t="s">
        <v>103</v>
      </c>
      <c r="P677" s="15">
        <f>uurtarief6</f>
        <v>0</v>
      </c>
      <c r="Q677" s="80" t="e">
        <f t="shared" si="187"/>
        <v>#DIV/0!</v>
      </c>
      <c r="R677" s="80" t="e">
        <f t="shared" si="188"/>
        <v>#DIV/0!</v>
      </c>
      <c r="S677" s="15" t="e">
        <f t="shared" si="189"/>
        <v>#DIV/0!</v>
      </c>
      <c r="T677" s="80" t="e">
        <f t="shared" si="190"/>
        <v>#DIV/0!</v>
      </c>
      <c r="U677" s="16" t="e">
        <f t="shared" si="191"/>
        <v>#DIV/0!</v>
      </c>
    </row>
    <row r="678" spans="1:21" x14ac:dyDescent="0.3">
      <c r="A678" s="77" t="s">
        <v>844</v>
      </c>
      <c r="B678" s="78" t="s">
        <v>40</v>
      </c>
      <c r="C678" s="78" t="s">
        <v>280</v>
      </c>
      <c r="D678" s="78" t="s">
        <v>896</v>
      </c>
      <c r="E678" s="79" t="s">
        <v>511</v>
      </c>
      <c r="F678" s="78" t="s">
        <v>848</v>
      </c>
      <c r="G678" s="78" t="s">
        <v>216</v>
      </c>
      <c r="H678" s="78" t="s">
        <v>11</v>
      </c>
      <c r="I678" s="78" t="s">
        <v>214</v>
      </c>
      <c r="J678" s="79" t="s">
        <v>217</v>
      </c>
      <c r="K678" s="80">
        <v>27.39</v>
      </c>
      <c r="L678" s="80">
        <f t="shared" si="186"/>
        <v>21.482352941176472</v>
      </c>
      <c r="M678" s="81">
        <f>prodnorm6</f>
        <v>0</v>
      </c>
      <c r="N678" s="82">
        <f>dagwerk6</f>
        <v>0</v>
      </c>
      <c r="O678" s="78" t="s">
        <v>103</v>
      </c>
      <c r="P678" s="15">
        <f>uurtarief6</f>
        <v>0</v>
      </c>
      <c r="Q678" s="80" t="e">
        <f t="shared" si="187"/>
        <v>#DIV/0!</v>
      </c>
      <c r="R678" s="80" t="e">
        <f t="shared" si="188"/>
        <v>#DIV/0!</v>
      </c>
      <c r="S678" s="15" t="e">
        <f t="shared" si="189"/>
        <v>#DIV/0!</v>
      </c>
      <c r="T678" s="80" t="e">
        <f t="shared" si="190"/>
        <v>#DIV/0!</v>
      </c>
      <c r="U678" s="16" t="e">
        <f t="shared" si="191"/>
        <v>#DIV/0!</v>
      </c>
    </row>
    <row r="679" spans="1:21" x14ac:dyDescent="0.3">
      <c r="A679" s="77" t="s">
        <v>844</v>
      </c>
      <c r="B679" s="78" t="s">
        <v>40</v>
      </c>
      <c r="C679" s="78" t="s">
        <v>280</v>
      </c>
      <c r="D679" s="78" t="s">
        <v>897</v>
      </c>
      <c r="E679" s="79" t="s">
        <v>511</v>
      </c>
      <c r="F679" s="78" t="s">
        <v>848</v>
      </c>
      <c r="G679" s="78" t="s">
        <v>216</v>
      </c>
      <c r="H679" s="78" t="s">
        <v>11</v>
      </c>
      <c r="I679" s="78" t="s">
        <v>214</v>
      </c>
      <c r="J679" s="79" t="s">
        <v>217</v>
      </c>
      <c r="K679" s="80">
        <v>27.72</v>
      </c>
      <c r="L679" s="80">
        <f t="shared" si="186"/>
        <v>21.741176470588233</v>
      </c>
      <c r="M679" s="81">
        <f>prodnorm6</f>
        <v>0</v>
      </c>
      <c r="N679" s="82">
        <f>dagwerk6</f>
        <v>0</v>
      </c>
      <c r="O679" s="78" t="s">
        <v>103</v>
      </c>
      <c r="P679" s="15">
        <f>uurtarief6</f>
        <v>0</v>
      </c>
      <c r="Q679" s="80" t="e">
        <f t="shared" si="187"/>
        <v>#DIV/0!</v>
      </c>
      <c r="R679" s="80" t="e">
        <f t="shared" si="188"/>
        <v>#DIV/0!</v>
      </c>
      <c r="S679" s="15" t="e">
        <f t="shared" si="189"/>
        <v>#DIV/0!</v>
      </c>
      <c r="T679" s="80" t="e">
        <f t="shared" si="190"/>
        <v>#DIV/0!</v>
      </c>
      <c r="U679" s="16" t="e">
        <f t="shared" si="191"/>
        <v>#DIV/0!</v>
      </c>
    </row>
    <row r="680" spans="1:21" x14ac:dyDescent="0.3">
      <c r="A680" s="77" t="s">
        <v>844</v>
      </c>
      <c r="B680" s="78" t="s">
        <v>40</v>
      </c>
      <c r="C680" s="78" t="s">
        <v>280</v>
      </c>
      <c r="D680" s="78" t="s">
        <v>898</v>
      </c>
      <c r="E680" s="79" t="s">
        <v>290</v>
      </c>
      <c r="F680" s="78" t="s">
        <v>848</v>
      </c>
      <c r="G680" s="78" t="s">
        <v>234</v>
      </c>
      <c r="H680" s="78" t="s">
        <v>11</v>
      </c>
      <c r="I680" s="78" t="s">
        <v>214</v>
      </c>
      <c r="J680" s="79" t="s">
        <v>235</v>
      </c>
      <c r="K680" s="80">
        <v>50.7</v>
      </c>
      <c r="L680" s="80">
        <f t="shared" si="186"/>
        <v>39.764705882352942</v>
      </c>
      <c r="M680" s="81">
        <f>prodnorm21</f>
        <v>0</v>
      </c>
      <c r="N680" s="82">
        <f>dagwerk21</f>
        <v>0</v>
      </c>
      <c r="O680" s="78" t="s">
        <v>103</v>
      </c>
      <c r="P680" s="15">
        <f>uurtarief21</f>
        <v>0</v>
      </c>
      <c r="Q680" s="80" t="e">
        <f t="shared" si="187"/>
        <v>#DIV/0!</v>
      </c>
      <c r="R680" s="80" t="e">
        <f t="shared" si="188"/>
        <v>#DIV/0!</v>
      </c>
      <c r="S680" s="15" t="e">
        <f t="shared" si="189"/>
        <v>#DIV/0!</v>
      </c>
      <c r="T680" s="80" t="e">
        <f t="shared" si="190"/>
        <v>#DIV/0!</v>
      </c>
      <c r="U680" s="16" t="e">
        <f t="shared" si="191"/>
        <v>#DIV/0!</v>
      </c>
    </row>
    <row r="681" spans="1:21" x14ac:dyDescent="0.3">
      <c r="A681" s="77" t="s">
        <v>844</v>
      </c>
      <c r="B681" s="78" t="s">
        <v>40</v>
      </c>
      <c r="C681" s="78" t="s">
        <v>280</v>
      </c>
      <c r="D681" s="78" t="s">
        <v>899</v>
      </c>
      <c r="E681" s="79" t="s">
        <v>900</v>
      </c>
      <c r="F681" s="78" t="s">
        <v>848</v>
      </c>
      <c r="G681" s="78" t="s">
        <v>248</v>
      </c>
      <c r="H681" s="78" t="s">
        <v>11</v>
      </c>
      <c r="I681" s="78" t="s">
        <v>214</v>
      </c>
      <c r="J681" s="79" t="s">
        <v>249</v>
      </c>
      <c r="K681" s="80">
        <v>57.61</v>
      </c>
      <c r="L681" s="80">
        <f t="shared" si="186"/>
        <v>45.184313725490192</v>
      </c>
      <c r="M681" s="81">
        <f>prodnorm29</f>
        <v>0</v>
      </c>
      <c r="N681" s="82">
        <f>dagwerk29</f>
        <v>0</v>
      </c>
      <c r="O681" s="78" t="s">
        <v>103</v>
      </c>
      <c r="P681" s="15">
        <f>uurtarief29</f>
        <v>0</v>
      </c>
      <c r="Q681" s="80" t="e">
        <f t="shared" si="187"/>
        <v>#DIV/0!</v>
      </c>
      <c r="R681" s="80" t="e">
        <f t="shared" si="188"/>
        <v>#DIV/0!</v>
      </c>
      <c r="S681" s="15" t="e">
        <f t="shared" si="189"/>
        <v>#DIV/0!</v>
      </c>
      <c r="T681" s="80" t="e">
        <f t="shared" si="190"/>
        <v>#DIV/0!</v>
      </c>
      <c r="U681" s="16" t="e">
        <f t="shared" si="191"/>
        <v>#DIV/0!</v>
      </c>
    </row>
    <row r="682" spans="1:21" x14ac:dyDescent="0.3">
      <c r="A682" s="77" t="s">
        <v>844</v>
      </c>
      <c r="B682" s="78" t="s">
        <v>40</v>
      </c>
      <c r="C682" s="78" t="s">
        <v>280</v>
      </c>
      <c r="D682" s="78" t="s">
        <v>901</v>
      </c>
      <c r="E682" s="79" t="s">
        <v>900</v>
      </c>
      <c r="F682" s="78" t="s">
        <v>848</v>
      </c>
      <c r="G682" s="78" t="s">
        <v>248</v>
      </c>
      <c r="H682" s="78" t="s">
        <v>11</v>
      </c>
      <c r="I682" s="78" t="s">
        <v>214</v>
      </c>
      <c r="J682" s="79" t="s">
        <v>249</v>
      </c>
      <c r="K682" s="80">
        <v>92.02</v>
      </c>
      <c r="L682" s="80">
        <f t="shared" si="186"/>
        <v>72.172549019607843</v>
      </c>
      <c r="M682" s="81">
        <f>prodnorm29</f>
        <v>0</v>
      </c>
      <c r="N682" s="82">
        <f>dagwerk29</f>
        <v>0</v>
      </c>
      <c r="O682" s="78" t="s">
        <v>103</v>
      </c>
      <c r="P682" s="15">
        <f>uurtarief29</f>
        <v>0</v>
      </c>
      <c r="Q682" s="80" t="e">
        <f t="shared" si="187"/>
        <v>#DIV/0!</v>
      </c>
      <c r="R682" s="80" t="e">
        <f t="shared" si="188"/>
        <v>#DIV/0!</v>
      </c>
      <c r="S682" s="15" t="e">
        <f t="shared" si="189"/>
        <v>#DIV/0!</v>
      </c>
      <c r="T682" s="80" t="e">
        <f t="shared" si="190"/>
        <v>#DIV/0!</v>
      </c>
      <c r="U682" s="16" t="e">
        <f t="shared" si="191"/>
        <v>#DIV/0!</v>
      </c>
    </row>
    <row r="683" spans="1:21" x14ac:dyDescent="0.3">
      <c r="A683" s="77" t="s">
        <v>844</v>
      </c>
      <c r="B683" s="78" t="s">
        <v>40</v>
      </c>
      <c r="C683" s="78" t="s">
        <v>280</v>
      </c>
      <c r="D683" s="78" t="s">
        <v>902</v>
      </c>
      <c r="E683" s="79" t="s">
        <v>290</v>
      </c>
      <c r="F683" s="78" t="s">
        <v>848</v>
      </c>
      <c r="G683" s="78" t="s">
        <v>234</v>
      </c>
      <c r="H683" s="78" t="s">
        <v>11</v>
      </c>
      <c r="I683" s="78" t="s">
        <v>214</v>
      </c>
      <c r="J683" s="79" t="s">
        <v>235</v>
      </c>
      <c r="K683" s="80">
        <v>44.27</v>
      </c>
      <c r="L683" s="80">
        <f t="shared" si="186"/>
        <v>34.721568627450985</v>
      </c>
      <c r="M683" s="81">
        <f>prodnorm21</f>
        <v>0</v>
      </c>
      <c r="N683" s="82">
        <f>dagwerk21</f>
        <v>0</v>
      </c>
      <c r="O683" s="78" t="s">
        <v>103</v>
      </c>
      <c r="P683" s="15">
        <f>uurtarief21</f>
        <v>0</v>
      </c>
      <c r="Q683" s="80" t="e">
        <f t="shared" si="187"/>
        <v>#DIV/0!</v>
      </c>
      <c r="R683" s="80" t="e">
        <f t="shared" si="188"/>
        <v>#DIV/0!</v>
      </c>
      <c r="S683" s="15" t="e">
        <f t="shared" si="189"/>
        <v>#DIV/0!</v>
      </c>
      <c r="T683" s="80" t="e">
        <f t="shared" si="190"/>
        <v>#DIV/0!</v>
      </c>
      <c r="U683" s="16" t="e">
        <f t="shared" si="191"/>
        <v>#DIV/0!</v>
      </c>
    </row>
    <row r="684" spans="1:21" x14ac:dyDescent="0.3">
      <c r="A684" s="77" t="s">
        <v>844</v>
      </c>
      <c r="B684" s="78" t="s">
        <v>40</v>
      </c>
      <c r="C684" s="78" t="s">
        <v>280</v>
      </c>
      <c r="D684" s="78" t="s">
        <v>903</v>
      </c>
      <c r="E684" s="79" t="s">
        <v>290</v>
      </c>
      <c r="F684" s="78" t="s">
        <v>848</v>
      </c>
      <c r="G684" s="78" t="s">
        <v>234</v>
      </c>
      <c r="H684" s="78" t="s">
        <v>11</v>
      </c>
      <c r="I684" s="78" t="s">
        <v>214</v>
      </c>
      <c r="J684" s="79" t="s">
        <v>235</v>
      </c>
      <c r="K684" s="80">
        <v>44.620000000000005</v>
      </c>
      <c r="L684" s="80">
        <f t="shared" si="186"/>
        <v>34.996078431372553</v>
      </c>
      <c r="M684" s="81">
        <f>prodnorm21</f>
        <v>0</v>
      </c>
      <c r="N684" s="82">
        <f>dagwerk21</f>
        <v>0</v>
      </c>
      <c r="O684" s="78" t="s">
        <v>103</v>
      </c>
      <c r="P684" s="15">
        <f>uurtarief21</f>
        <v>0</v>
      </c>
      <c r="Q684" s="80" t="e">
        <f t="shared" si="187"/>
        <v>#DIV/0!</v>
      </c>
      <c r="R684" s="80" t="e">
        <f t="shared" si="188"/>
        <v>#DIV/0!</v>
      </c>
      <c r="S684" s="15" t="e">
        <f t="shared" si="189"/>
        <v>#DIV/0!</v>
      </c>
      <c r="T684" s="80" t="e">
        <f t="shared" si="190"/>
        <v>#DIV/0!</v>
      </c>
      <c r="U684" s="16" t="e">
        <f t="shared" si="191"/>
        <v>#DIV/0!</v>
      </c>
    </row>
    <row r="685" spans="1:21" x14ac:dyDescent="0.3">
      <c r="A685" s="77" t="s">
        <v>844</v>
      </c>
      <c r="B685" s="78" t="s">
        <v>40</v>
      </c>
      <c r="C685" s="78" t="s">
        <v>280</v>
      </c>
      <c r="D685" s="78" t="s">
        <v>904</v>
      </c>
      <c r="E685" s="79" t="s">
        <v>290</v>
      </c>
      <c r="F685" s="78" t="s">
        <v>848</v>
      </c>
      <c r="G685" s="78" t="s">
        <v>234</v>
      </c>
      <c r="H685" s="78" t="s">
        <v>11</v>
      </c>
      <c r="I685" s="78" t="s">
        <v>214</v>
      </c>
      <c r="J685" s="79" t="s">
        <v>235</v>
      </c>
      <c r="K685" s="80">
        <v>45.879999999999995</v>
      </c>
      <c r="L685" s="80">
        <f t="shared" si="186"/>
        <v>35.984313725490189</v>
      </c>
      <c r="M685" s="81">
        <f>prodnorm21</f>
        <v>0</v>
      </c>
      <c r="N685" s="82">
        <f>dagwerk21</f>
        <v>0</v>
      </c>
      <c r="O685" s="78" t="s">
        <v>103</v>
      </c>
      <c r="P685" s="15">
        <f>uurtarief21</f>
        <v>0</v>
      </c>
      <c r="Q685" s="80" t="e">
        <f t="shared" si="187"/>
        <v>#DIV/0!</v>
      </c>
      <c r="R685" s="80" t="e">
        <f t="shared" si="188"/>
        <v>#DIV/0!</v>
      </c>
      <c r="S685" s="15" t="e">
        <f t="shared" si="189"/>
        <v>#DIV/0!</v>
      </c>
      <c r="T685" s="80" t="e">
        <f t="shared" si="190"/>
        <v>#DIV/0!</v>
      </c>
      <c r="U685" s="16" t="e">
        <f t="shared" si="191"/>
        <v>#DIV/0!</v>
      </c>
    </row>
    <row r="686" spans="1:21" x14ac:dyDescent="0.3">
      <c r="A686" s="77" t="s">
        <v>844</v>
      </c>
      <c r="B686" s="78" t="s">
        <v>40</v>
      </c>
      <c r="C686" s="78" t="s">
        <v>280</v>
      </c>
      <c r="D686" s="78" t="s">
        <v>905</v>
      </c>
      <c r="E686" s="79" t="s">
        <v>906</v>
      </c>
      <c r="F686" s="78" t="s">
        <v>591</v>
      </c>
      <c r="G686" s="78" t="s">
        <v>250</v>
      </c>
      <c r="H686" s="78" t="s">
        <v>11</v>
      </c>
      <c r="I686" s="78" t="s">
        <v>214</v>
      </c>
      <c r="J686" s="79" t="s">
        <v>251</v>
      </c>
      <c r="K686" s="80">
        <v>15.97</v>
      </c>
      <c r="L686" s="80">
        <f t="shared" si="186"/>
        <v>12.525490196078431</v>
      </c>
      <c r="M686" s="81">
        <f>prodnorm30</f>
        <v>0</v>
      </c>
      <c r="N686" s="82">
        <f>dagwerk30</f>
        <v>0</v>
      </c>
      <c r="O686" s="78" t="s">
        <v>103</v>
      </c>
      <c r="P686" s="15">
        <f>uurtarief30</f>
        <v>0</v>
      </c>
      <c r="Q686" s="80" t="e">
        <f t="shared" si="187"/>
        <v>#DIV/0!</v>
      </c>
      <c r="R686" s="80" t="e">
        <f t="shared" si="188"/>
        <v>#DIV/0!</v>
      </c>
      <c r="S686" s="15" t="e">
        <f t="shared" si="189"/>
        <v>#DIV/0!</v>
      </c>
      <c r="T686" s="80" t="e">
        <f t="shared" si="190"/>
        <v>#DIV/0!</v>
      </c>
      <c r="U686" s="16" t="e">
        <f t="shared" si="191"/>
        <v>#DIV/0!</v>
      </c>
    </row>
    <row r="687" spans="1:21" x14ac:dyDescent="0.3">
      <c r="A687" s="77" t="s">
        <v>844</v>
      </c>
      <c r="B687" s="78" t="s">
        <v>40</v>
      </c>
      <c r="C687" s="78" t="s">
        <v>280</v>
      </c>
      <c r="D687" s="78" t="s">
        <v>907</v>
      </c>
      <c r="E687" s="79" t="s">
        <v>511</v>
      </c>
      <c r="F687" s="78" t="s">
        <v>848</v>
      </c>
      <c r="G687" s="78" t="s">
        <v>216</v>
      </c>
      <c r="H687" s="78" t="s">
        <v>11</v>
      </c>
      <c r="I687" s="78" t="s">
        <v>214</v>
      </c>
      <c r="J687" s="79" t="s">
        <v>217</v>
      </c>
      <c r="K687" s="80">
        <v>27.36</v>
      </c>
      <c r="L687" s="80">
        <f t="shared" si="186"/>
        <v>21.458823529411763</v>
      </c>
      <c r="M687" s="81">
        <f>prodnorm6</f>
        <v>0</v>
      </c>
      <c r="N687" s="82">
        <f>dagwerk6</f>
        <v>0</v>
      </c>
      <c r="O687" s="78" t="s">
        <v>103</v>
      </c>
      <c r="P687" s="15">
        <f>uurtarief6</f>
        <v>0</v>
      </c>
      <c r="Q687" s="80" t="e">
        <f t="shared" si="187"/>
        <v>#DIV/0!</v>
      </c>
      <c r="R687" s="80" t="e">
        <f t="shared" si="188"/>
        <v>#DIV/0!</v>
      </c>
      <c r="S687" s="15" t="e">
        <f t="shared" si="189"/>
        <v>#DIV/0!</v>
      </c>
      <c r="T687" s="80" t="e">
        <f t="shared" si="190"/>
        <v>#DIV/0!</v>
      </c>
      <c r="U687" s="16" t="e">
        <f t="shared" si="191"/>
        <v>#DIV/0!</v>
      </c>
    </row>
    <row r="688" spans="1:21" x14ac:dyDescent="0.3">
      <c r="A688" s="77" t="s">
        <v>844</v>
      </c>
      <c r="B688" s="78" t="s">
        <v>40</v>
      </c>
      <c r="C688" s="78" t="s">
        <v>280</v>
      </c>
      <c r="D688" s="78" t="s">
        <v>908</v>
      </c>
      <c r="E688" s="79" t="s">
        <v>290</v>
      </c>
      <c r="F688" s="78" t="s">
        <v>848</v>
      </c>
      <c r="G688" s="78" t="s">
        <v>234</v>
      </c>
      <c r="H688" s="78" t="s">
        <v>11</v>
      </c>
      <c r="I688" s="78" t="s">
        <v>214</v>
      </c>
      <c r="J688" s="79" t="s">
        <v>235</v>
      </c>
      <c r="K688" s="80">
        <v>44.36</v>
      </c>
      <c r="L688" s="80">
        <f t="shared" si="186"/>
        <v>34.792156862745095</v>
      </c>
      <c r="M688" s="81">
        <f>prodnorm21</f>
        <v>0</v>
      </c>
      <c r="N688" s="82">
        <f>dagwerk21</f>
        <v>0</v>
      </c>
      <c r="O688" s="78" t="s">
        <v>103</v>
      </c>
      <c r="P688" s="15">
        <f>uurtarief21</f>
        <v>0</v>
      </c>
      <c r="Q688" s="80" t="e">
        <f t="shared" si="187"/>
        <v>#DIV/0!</v>
      </c>
      <c r="R688" s="80" t="e">
        <f t="shared" si="188"/>
        <v>#DIV/0!</v>
      </c>
      <c r="S688" s="15" t="e">
        <f t="shared" si="189"/>
        <v>#DIV/0!</v>
      </c>
      <c r="T688" s="80" t="e">
        <f t="shared" si="190"/>
        <v>#DIV/0!</v>
      </c>
      <c r="U688" s="16" t="e">
        <f t="shared" si="191"/>
        <v>#DIV/0!</v>
      </c>
    </row>
    <row r="689" spans="1:21" x14ac:dyDescent="0.3">
      <c r="A689" s="77" t="s">
        <v>844</v>
      </c>
      <c r="B689" s="78" t="s">
        <v>40</v>
      </c>
      <c r="C689" s="78" t="s">
        <v>280</v>
      </c>
      <c r="D689" s="78" t="s">
        <v>909</v>
      </c>
      <c r="E689" s="79" t="s">
        <v>290</v>
      </c>
      <c r="F689" s="78" t="s">
        <v>848</v>
      </c>
      <c r="G689" s="78" t="s">
        <v>234</v>
      </c>
      <c r="H689" s="78" t="s">
        <v>11</v>
      </c>
      <c r="I689" s="78" t="s">
        <v>214</v>
      </c>
      <c r="J689" s="79" t="s">
        <v>235</v>
      </c>
      <c r="K689" s="80">
        <v>54</v>
      </c>
      <c r="L689" s="80">
        <f t="shared" si="186"/>
        <v>42.352941176470587</v>
      </c>
      <c r="M689" s="81">
        <f>prodnorm21</f>
        <v>0</v>
      </c>
      <c r="N689" s="82">
        <f>dagwerk21</f>
        <v>0</v>
      </c>
      <c r="O689" s="78" t="s">
        <v>103</v>
      </c>
      <c r="P689" s="15">
        <f>uurtarief21</f>
        <v>0</v>
      </c>
      <c r="Q689" s="80" t="e">
        <f t="shared" si="187"/>
        <v>#DIV/0!</v>
      </c>
      <c r="R689" s="80" t="e">
        <f t="shared" si="188"/>
        <v>#DIV/0!</v>
      </c>
      <c r="S689" s="15" t="e">
        <f t="shared" si="189"/>
        <v>#DIV/0!</v>
      </c>
      <c r="T689" s="80" t="e">
        <f t="shared" si="190"/>
        <v>#DIV/0!</v>
      </c>
      <c r="U689" s="16" t="e">
        <f t="shared" si="191"/>
        <v>#DIV/0!</v>
      </c>
    </row>
    <row r="690" spans="1:21" x14ac:dyDescent="0.3">
      <c r="A690" s="77" t="s">
        <v>844</v>
      </c>
      <c r="B690" s="78" t="s">
        <v>40</v>
      </c>
      <c r="C690" s="78" t="s">
        <v>280</v>
      </c>
      <c r="D690" s="78" t="s">
        <v>910</v>
      </c>
      <c r="E690" s="79" t="s">
        <v>911</v>
      </c>
      <c r="F690" s="78" t="s">
        <v>591</v>
      </c>
      <c r="G690" s="78" t="s">
        <v>250</v>
      </c>
      <c r="H690" s="78" t="s">
        <v>11</v>
      </c>
      <c r="I690" s="78" t="s">
        <v>214</v>
      </c>
      <c r="J690" s="79" t="s">
        <v>251</v>
      </c>
      <c r="K690" s="80">
        <v>3.4499999999999997</v>
      </c>
      <c r="L690" s="80">
        <f t="shared" si="186"/>
        <v>2.7058823529411762</v>
      </c>
      <c r="M690" s="81">
        <f>prodnorm30</f>
        <v>0</v>
      </c>
      <c r="N690" s="82">
        <f>dagwerk30</f>
        <v>0</v>
      </c>
      <c r="O690" s="78" t="s">
        <v>103</v>
      </c>
      <c r="P690" s="15">
        <f>uurtarief30</f>
        <v>0</v>
      </c>
      <c r="Q690" s="80" t="e">
        <f t="shared" si="187"/>
        <v>#DIV/0!</v>
      </c>
      <c r="R690" s="80" t="e">
        <f t="shared" si="188"/>
        <v>#DIV/0!</v>
      </c>
      <c r="S690" s="15" t="e">
        <f t="shared" si="189"/>
        <v>#DIV/0!</v>
      </c>
      <c r="T690" s="80" t="e">
        <f t="shared" si="190"/>
        <v>#DIV/0!</v>
      </c>
      <c r="U690" s="16" t="e">
        <f t="shared" si="191"/>
        <v>#DIV/0!</v>
      </c>
    </row>
    <row r="691" spans="1:21" x14ac:dyDescent="0.3">
      <c r="A691" s="77" t="s">
        <v>844</v>
      </c>
      <c r="B691" s="78" t="s">
        <v>40</v>
      </c>
      <c r="C691" s="78" t="s">
        <v>280</v>
      </c>
      <c r="D691" s="78" t="s">
        <v>912</v>
      </c>
      <c r="E691" s="79" t="s">
        <v>913</v>
      </c>
      <c r="F691" s="78" t="s">
        <v>591</v>
      </c>
      <c r="G691" s="78" t="s">
        <v>250</v>
      </c>
      <c r="H691" s="78" t="s">
        <v>11</v>
      </c>
      <c r="I691" s="78" t="s">
        <v>214</v>
      </c>
      <c r="J691" s="79" t="s">
        <v>251</v>
      </c>
      <c r="K691" s="80">
        <v>13.5</v>
      </c>
      <c r="L691" s="80">
        <f t="shared" si="186"/>
        <v>10.588235294117647</v>
      </c>
      <c r="M691" s="81">
        <f>prodnorm30</f>
        <v>0</v>
      </c>
      <c r="N691" s="82">
        <f>dagwerk30</f>
        <v>0</v>
      </c>
      <c r="O691" s="78" t="s">
        <v>103</v>
      </c>
      <c r="P691" s="15">
        <f>uurtarief30</f>
        <v>0</v>
      </c>
      <c r="Q691" s="80" t="e">
        <f t="shared" si="187"/>
        <v>#DIV/0!</v>
      </c>
      <c r="R691" s="80" t="e">
        <f t="shared" si="188"/>
        <v>#DIV/0!</v>
      </c>
      <c r="S691" s="15" t="e">
        <f t="shared" si="189"/>
        <v>#DIV/0!</v>
      </c>
      <c r="T691" s="80" t="e">
        <f t="shared" si="190"/>
        <v>#DIV/0!</v>
      </c>
      <c r="U691" s="16" t="e">
        <f t="shared" si="191"/>
        <v>#DIV/0!</v>
      </c>
    </row>
    <row r="692" spans="1:21" x14ac:dyDescent="0.3">
      <c r="A692" s="77" t="s">
        <v>844</v>
      </c>
      <c r="B692" s="78" t="s">
        <v>40</v>
      </c>
      <c r="C692" s="78" t="s">
        <v>280</v>
      </c>
      <c r="D692" s="78" t="s">
        <v>914</v>
      </c>
      <c r="E692" s="79" t="s">
        <v>419</v>
      </c>
      <c r="F692" s="78" t="s">
        <v>591</v>
      </c>
      <c r="G692" s="78" t="s">
        <v>250</v>
      </c>
      <c r="H692" s="78" t="s">
        <v>11</v>
      </c>
      <c r="I692" s="78" t="s">
        <v>214</v>
      </c>
      <c r="J692" s="79" t="s">
        <v>251</v>
      </c>
      <c r="K692" s="80">
        <v>1.41</v>
      </c>
      <c r="L692" s="80">
        <f t="shared" si="186"/>
        <v>1.1058823529411763</v>
      </c>
      <c r="M692" s="81">
        <f>prodnorm30</f>
        <v>0</v>
      </c>
      <c r="N692" s="82">
        <f>dagwerk30</f>
        <v>0</v>
      </c>
      <c r="O692" s="78" t="s">
        <v>103</v>
      </c>
      <c r="P692" s="15">
        <f>uurtarief30</f>
        <v>0</v>
      </c>
      <c r="Q692" s="80" t="e">
        <f t="shared" si="187"/>
        <v>#DIV/0!</v>
      </c>
      <c r="R692" s="80" t="e">
        <f t="shared" si="188"/>
        <v>#DIV/0!</v>
      </c>
      <c r="S692" s="15" t="e">
        <f t="shared" si="189"/>
        <v>#DIV/0!</v>
      </c>
      <c r="T692" s="80" t="e">
        <f t="shared" si="190"/>
        <v>#DIV/0!</v>
      </c>
      <c r="U692" s="16" t="e">
        <f t="shared" si="191"/>
        <v>#DIV/0!</v>
      </c>
    </row>
    <row r="693" spans="1:21" x14ac:dyDescent="0.3">
      <c r="A693" s="77" t="s">
        <v>844</v>
      </c>
      <c r="B693" s="78" t="s">
        <v>40</v>
      </c>
      <c r="C693" s="78" t="s">
        <v>280</v>
      </c>
      <c r="D693" s="78" t="s">
        <v>915</v>
      </c>
      <c r="E693" s="79" t="s">
        <v>419</v>
      </c>
      <c r="F693" s="78" t="s">
        <v>591</v>
      </c>
      <c r="G693" s="78" t="s">
        <v>250</v>
      </c>
      <c r="H693" s="78" t="s">
        <v>11</v>
      </c>
      <c r="I693" s="78" t="s">
        <v>214</v>
      </c>
      <c r="J693" s="79" t="s">
        <v>251</v>
      </c>
      <c r="K693" s="80">
        <v>1.41</v>
      </c>
      <c r="L693" s="80">
        <f t="shared" si="186"/>
        <v>1.1058823529411763</v>
      </c>
      <c r="M693" s="81">
        <f>prodnorm30</f>
        <v>0</v>
      </c>
      <c r="N693" s="82">
        <f>dagwerk30</f>
        <v>0</v>
      </c>
      <c r="O693" s="78" t="s">
        <v>103</v>
      </c>
      <c r="P693" s="15">
        <f>uurtarief30</f>
        <v>0</v>
      </c>
      <c r="Q693" s="80" t="e">
        <f t="shared" si="187"/>
        <v>#DIV/0!</v>
      </c>
      <c r="R693" s="80" t="e">
        <f t="shared" si="188"/>
        <v>#DIV/0!</v>
      </c>
      <c r="S693" s="15" t="e">
        <f t="shared" si="189"/>
        <v>#DIV/0!</v>
      </c>
      <c r="T693" s="80" t="e">
        <f t="shared" si="190"/>
        <v>#DIV/0!</v>
      </c>
      <c r="U693" s="16" t="e">
        <f t="shared" si="191"/>
        <v>#DIV/0!</v>
      </c>
    </row>
    <row r="694" spans="1:21" x14ac:dyDescent="0.3">
      <c r="A694" s="77" t="s">
        <v>844</v>
      </c>
      <c r="B694" s="78" t="s">
        <v>40</v>
      </c>
      <c r="C694" s="78" t="s">
        <v>280</v>
      </c>
      <c r="D694" s="78" t="s">
        <v>916</v>
      </c>
      <c r="E694" s="79" t="s">
        <v>917</v>
      </c>
      <c r="F694" s="78" t="s">
        <v>591</v>
      </c>
      <c r="G694" s="78" t="s">
        <v>250</v>
      </c>
      <c r="H694" s="78" t="s">
        <v>11</v>
      </c>
      <c r="I694" s="78" t="s">
        <v>214</v>
      </c>
      <c r="J694" s="79" t="s">
        <v>251</v>
      </c>
      <c r="K694" s="80">
        <v>13.5</v>
      </c>
      <c r="L694" s="80">
        <f t="shared" si="186"/>
        <v>10.588235294117647</v>
      </c>
      <c r="M694" s="81">
        <f>prodnorm30</f>
        <v>0</v>
      </c>
      <c r="N694" s="82">
        <f>dagwerk30</f>
        <v>0</v>
      </c>
      <c r="O694" s="78" t="s">
        <v>103</v>
      </c>
      <c r="P694" s="15">
        <f>uurtarief30</f>
        <v>0</v>
      </c>
      <c r="Q694" s="80" t="e">
        <f t="shared" si="187"/>
        <v>#DIV/0!</v>
      </c>
      <c r="R694" s="80" t="e">
        <f t="shared" si="188"/>
        <v>#DIV/0!</v>
      </c>
      <c r="S694" s="15" t="e">
        <f t="shared" si="189"/>
        <v>#DIV/0!</v>
      </c>
      <c r="T694" s="80" t="e">
        <f t="shared" si="190"/>
        <v>#DIV/0!</v>
      </c>
      <c r="U694" s="16" t="e">
        <f t="shared" si="191"/>
        <v>#DIV/0!</v>
      </c>
    </row>
    <row r="695" spans="1:21" x14ac:dyDescent="0.3">
      <c r="A695" s="77" t="s">
        <v>844</v>
      </c>
      <c r="B695" s="78" t="s">
        <v>40</v>
      </c>
      <c r="C695" s="78" t="s">
        <v>280</v>
      </c>
      <c r="D695" s="78" t="s">
        <v>918</v>
      </c>
      <c r="E695" s="79" t="s">
        <v>919</v>
      </c>
      <c r="F695" s="78" t="s">
        <v>40</v>
      </c>
      <c r="G695" s="78" t="s">
        <v>300</v>
      </c>
      <c r="H695" s="78"/>
      <c r="I695" s="78"/>
      <c r="J695" s="78"/>
      <c r="K695" s="80">
        <v>2</v>
      </c>
      <c r="L695" s="80"/>
      <c r="M695" s="81"/>
      <c r="N695" s="82"/>
      <c r="O695" s="78"/>
      <c r="P695" s="15"/>
      <c r="Q695" s="80"/>
      <c r="R695" s="80"/>
      <c r="S695" s="15"/>
      <c r="T695" s="83"/>
      <c r="U695" s="16"/>
    </row>
    <row r="696" spans="1:21" x14ac:dyDescent="0.3">
      <c r="A696" s="77" t="s">
        <v>844</v>
      </c>
      <c r="B696" s="78" t="s">
        <v>40</v>
      </c>
      <c r="C696" s="78" t="s">
        <v>280</v>
      </c>
      <c r="D696" s="78" t="s">
        <v>920</v>
      </c>
      <c r="E696" s="79" t="s">
        <v>921</v>
      </c>
      <c r="F696" s="78" t="s">
        <v>40</v>
      </c>
      <c r="G696" s="78" t="s">
        <v>300</v>
      </c>
      <c r="H696" s="78"/>
      <c r="I696" s="78"/>
      <c r="J696" s="78"/>
      <c r="K696" s="80">
        <v>4</v>
      </c>
      <c r="L696" s="80"/>
      <c r="M696" s="81"/>
      <c r="N696" s="82"/>
      <c r="O696" s="78"/>
      <c r="P696" s="15"/>
      <c r="Q696" s="80"/>
      <c r="R696" s="80"/>
      <c r="S696" s="15"/>
      <c r="T696" s="83"/>
      <c r="U696" s="16"/>
    </row>
    <row r="697" spans="1:21" x14ac:dyDescent="0.3">
      <c r="A697" s="77" t="s">
        <v>844</v>
      </c>
      <c r="B697" s="78" t="s">
        <v>40</v>
      </c>
      <c r="C697" s="78" t="s">
        <v>280</v>
      </c>
      <c r="D697" s="78" t="s">
        <v>922</v>
      </c>
      <c r="E697" s="79" t="s">
        <v>923</v>
      </c>
      <c r="F697" s="78" t="s">
        <v>848</v>
      </c>
      <c r="G697" s="78" t="s">
        <v>234</v>
      </c>
      <c r="H697" s="78" t="s">
        <v>11</v>
      </c>
      <c r="I697" s="78" t="s">
        <v>214</v>
      </c>
      <c r="J697" s="79" t="s">
        <v>235</v>
      </c>
      <c r="K697" s="80">
        <v>34.65</v>
      </c>
      <c r="L697" s="80">
        <f t="shared" ref="L697:L728" si="192">K697*VLOOKUP(H697,dagsoorttabel1,2,FALSE)</f>
        <v>27.176470588235293</v>
      </c>
      <c r="M697" s="81">
        <f>prodnorm21</f>
        <v>0</v>
      </c>
      <c r="N697" s="82">
        <f>dagwerk21</f>
        <v>0</v>
      </c>
      <c r="O697" s="78" t="s">
        <v>103</v>
      </c>
      <c r="P697" s="15">
        <f>uurtarief21</f>
        <v>0</v>
      </c>
      <c r="Q697" s="80" t="e">
        <f t="shared" ref="Q697:Q728" si="193">IF(ISBLANK(M697),0,L697/ROUND(M697,4))</f>
        <v>#DIV/0!</v>
      </c>
      <c r="R697" s="80" t="e">
        <f t="shared" ref="R697:R728" si="194">IF(ISBLANK(M697),0,Q697*ROUND(N697,2))</f>
        <v>#DIV/0!</v>
      </c>
      <c r="S697" s="15" t="e">
        <f t="shared" ref="S697:S728" si="195">ROUND(P697,2)*Q697</f>
        <v>#DIV/0!</v>
      </c>
      <c r="T697" s="80" t="e">
        <f t="shared" ref="T697:T728" si="196">Q697*dagenperjaar1</f>
        <v>#DIV/0!</v>
      </c>
      <c r="U697" s="16" t="e">
        <f t="shared" ref="U697:U728" si="197">T697*ROUND(P697,2)</f>
        <v>#DIV/0!</v>
      </c>
    </row>
    <row r="698" spans="1:21" x14ac:dyDescent="0.3">
      <c r="A698" s="77" t="s">
        <v>844</v>
      </c>
      <c r="B698" s="78" t="s">
        <v>40</v>
      </c>
      <c r="C698" s="78" t="s">
        <v>280</v>
      </c>
      <c r="D698" s="78" t="s">
        <v>924</v>
      </c>
      <c r="E698" s="79" t="s">
        <v>305</v>
      </c>
      <c r="F698" s="78" t="s">
        <v>848</v>
      </c>
      <c r="G698" s="78" t="s">
        <v>222</v>
      </c>
      <c r="H698" s="78" t="s">
        <v>11</v>
      </c>
      <c r="I698" s="78" t="s">
        <v>214</v>
      </c>
      <c r="J698" s="79" t="s">
        <v>223</v>
      </c>
      <c r="K698" s="80">
        <v>25.86</v>
      </c>
      <c r="L698" s="80">
        <f t="shared" si="192"/>
        <v>20.28235294117647</v>
      </c>
      <c r="M698" s="81">
        <f>prodnorm12</f>
        <v>0</v>
      </c>
      <c r="N698" s="82">
        <f>dagwerk12</f>
        <v>0</v>
      </c>
      <c r="O698" s="78" t="s">
        <v>103</v>
      </c>
      <c r="P698" s="15">
        <f>uurtarief12</f>
        <v>0</v>
      </c>
      <c r="Q698" s="80" t="e">
        <f t="shared" si="193"/>
        <v>#DIV/0!</v>
      </c>
      <c r="R698" s="80" t="e">
        <f t="shared" si="194"/>
        <v>#DIV/0!</v>
      </c>
      <c r="S698" s="15" t="e">
        <f t="shared" si="195"/>
        <v>#DIV/0!</v>
      </c>
      <c r="T698" s="80" t="e">
        <f t="shared" si="196"/>
        <v>#DIV/0!</v>
      </c>
      <c r="U698" s="16" t="e">
        <f t="shared" si="197"/>
        <v>#DIV/0!</v>
      </c>
    </row>
    <row r="699" spans="1:21" ht="27" x14ac:dyDescent="0.3">
      <c r="A699" s="77" t="s">
        <v>844</v>
      </c>
      <c r="B699" s="78" t="s">
        <v>40</v>
      </c>
      <c r="C699" s="78" t="s">
        <v>280</v>
      </c>
      <c r="D699" s="78" t="s">
        <v>925</v>
      </c>
      <c r="E699" s="79" t="s">
        <v>380</v>
      </c>
      <c r="F699" s="78" t="s">
        <v>848</v>
      </c>
      <c r="G699" s="78" t="s">
        <v>256</v>
      </c>
      <c r="H699" s="78" t="s">
        <v>11</v>
      </c>
      <c r="I699" s="78" t="s">
        <v>214</v>
      </c>
      <c r="J699" s="79" t="s">
        <v>257</v>
      </c>
      <c r="K699" s="80">
        <v>11.46</v>
      </c>
      <c r="L699" s="80">
        <f t="shared" si="192"/>
        <v>8.9882352941176471</v>
      </c>
      <c r="M699" s="81">
        <f>prodnorm33</f>
        <v>0</v>
      </c>
      <c r="N699" s="82">
        <f>dagwerk33</f>
        <v>0</v>
      </c>
      <c r="O699" s="78" t="s">
        <v>103</v>
      </c>
      <c r="P699" s="15">
        <f>uurtarief33</f>
        <v>0</v>
      </c>
      <c r="Q699" s="80" t="e">
        <f t="shared" si="193"/>
        <v>#DIV/0!</v>
      </c>
      <c r="R699" s="80" t="e">
        <f t="shared" si="194"/>
        <v>#DIV/0!</v>
      </c>
      <c r="S699" s="15" t="e">
        <f t="shared" si="195"/>
        <v>#DIV/0!</v>
      </c>
      <c r="T699" s="80" t="e">
        <f t="shared" si="196"/>
        <v>#DIV/0!</v>
      </c>
      <c r="U699" s="16" t="e">
        <f t="shared" si="197"/>
        <v>#DIV/0!</v>
      </c>
    </row>
    <row r="700" spans="1:21" ht="27" x14ac:dyDescent="0.3">
      <c r="A700" s="77" t="s">
        <v>844</v>
      </c>
      <c r="B700" s="78" t="s">
        <v>40</v>
      </c>
      <c r="C700" s="78" t="s">
        <v>280</v>
      </c>
      <c r="D700" s="78" t="s">
        <v>926</v>
      </c>
      <c r="E700" s="79" t="s">
        <v>380</v>
      </c>
      <c r="F700" s="78" t="s">
        <v>848</v>
      </c>
      <c r="G700" s="78" t="s">
        <v>256</v>
      </c>
      <c r="H700" s="78" t="s">
        <v>11</v>
      </c>
      <c r="I700" s="78" t="s">
        <v>214</v>
      </c>
      <c r="J700" s="79" t="s">
        <v>257</v>
      </c>
      <c r="K700" s="80">
        <v>1.44</v>
      </c>
      <c r="L700" s="80">
        <f t="shared" si="192"/>
        <v>1.1294117647058823</v>
      </c>
      <c r="M700" s="81">
        <f>prodnorm33</f>
        <v>0</v>
      </c>
      <c r="N700" s="82">
        <f>dagwerk33</f>
        <v>0</v>
      </c>
      <c r="O700" s="78" t="s">
        <v>103</v>
      </c>
      <c r="P700" s="15">
        <f>uurtarief33</f>
        <v>0</v>
      </c>
      <c r="Q700" s="80" t="e">
        <f t="shared" si="193"/>
        <v>#DIV/0!</v>
      </c>
      <c r="R700" s="80" t="e">
        <f t="shared" si="194"/>
        <v>#DIV/0!</v>
      </c>
      <c r="S700" s="15" t="e">
        <f t="shared" si="195"/>
        <v>#DIV/0!</v>
      </c>
      <c r="T700" s="80" t="e">
        <f t="shared" si="196"/>
        <v>#DIV/0!</v>
      </c>
      <c r="U700" s="16" t="e">
        <f t="shared" si="197"/>
        <v>#DIV/0!</v>
      </c>
    </row>
    <row r="701" spans="1:21" x14ac:dyDescent="0.3">
      <c r="A701" s="77" t="s">
        <v>844</v>
      </c>
      <c r="B701" s="78" t="s">
        <v>40</v>
      </c>
      <c r="C701" s="78" t="s">
        <v>280</v>
      </c>
      <c r="D701" s="78" t="s">
        <v>927</v>
      </c>
      <c r="E701" s="79" t="s">
        <v>923</v>
      </c>
      <c r="F701" s="78" t="s">
        <v>848</v>
      </c>
      <c r="G701" s="78" t="s">
        <v>234</v>
      </c>
      <c r="H701" s="78" t="s">
        <v>11</v>
      </c>
      <c r="I701" s="78" t="s">
        <v>214</v>
      </c>
      <c r="J701" s="79" t="s">
        <v>235</v>
      </c>
      <c r="K701" s="80">
        <v>35.1</v>
      </c>
      <c r="L701" s="80">
        <f t="shared" si="192"/>
        <v>27.529411764705884</v>
      </c>
      <c r="M701" s="81">
        <f>prodnorm21</f>
        <v>0</v>
      </c>
      <c r="N701" s="82">
        <f>dagwerk21</f>
        <v>0</v>
      </c>
      <c r="O701" s="78" t="s">
        <v>103</v>
      </c>
      <c r="P701" s="15">
        <f>uurtarief21</f>
        <v>0</v>
      </c>
      <c r="Q701" s="80" t="e">
        <f t="shared" si="193"/>
        <v>#DIV/0!</v>
      </c>
      <c r="R701" s="80" t="e">
        <f t="shared" si="194"/>
        <v>#DIV/0!</v>
      </c>
      <c r="S701" s="15" t="e">
        <f t="shared" si="195"/>
        <v>#DIV/0!</v>
      </c>
      <c r="T701" s="80" t="e">
        <f t="shared" si="196"/>
        <v>#DIV/0!</v>
      </c>
      <c r="U701" s="16" t="e">
        <f t="shared" si="197"/>
        <v>#DIV/0!</v>
      </c>
    </row>
    <row r="702" spans="1:21" ht="27" x14ac:dyDescent="0.3">
      <c r="A702" s="77" t="s">
        <v>844</v>
      </c>
      <c r="B702" s="78" t="s">
        <v>40</v>
      </c>
      <c r="C702" s="78" t="s">
        <v>280</v>
      </c>
      <c r="D702" s="78" t="s">
        <v>928</v>
      </c>
      <c r="E702" s="79" t="s">
        <v>380</v>
      </c>
      <c r="F702" s="78" t="s">
        <v>848</v>
      </c>
      <c r="G702" s="78" t="s">
        <v>256</v>
      </c>
      <c r="H702" s="78" t="s">
        <v>11</v>
      </c>
      <c r="I702" s="78" t="s">
        <v>214</v>
      </c>
      <c r="J702" s="79" t="s">
        <v>257</v>
      </c>
      <c r="K702" s="80">
        <v>17.759999999999998</v>
      </c>
      <c r="L702" s="80">
        <f t="shared" si="192"/>
        <v>13.929411764705881</v>
      </c>
      <c r="M702" s="81">
        <f>prodnorm33</f>
        <v>0</v>
      </c>
      <c r="N702" s="82">
        <f>dagwerk33</f>
        <v>0</v>
      </c>
      <c r="O702" s="78" t="s">
        <v>103</v>
      </c>
      <c r="P702" s="15">
        <f>uurtarief33</f>
        <v>0</v>
      </c>
      <c r="Q702" s="80" t="e">
        <f t="shared" si="193"/>
        <v>#DIV/0!</v>
      </c>
      <c r="R702" s="80" t="e">
        <f t="shared" si="194"/>
        <v>#DIV/0!</v>
      </c>
      <c r="S702" s="15" t="e">
        <f t="shared" si="195"/>
        <v>#DIV/0!</v>
      </c>
      <c r="T702" s="80" t="e">
        <f t="shared" si="196"/>
        <v>#DIV/0!</v>
      </c>
      <c r="U702" s="16" t="e">
        <f t="shared" si="197"/>
        <v>#DIV/0!</v>
      </c>
    </row>
    <row r="703" spans="1:21" x14ac:dyDescent="0.3">
      <c r="A703" s="77" t="s">
        <v>844</v>
      </c>
      <c r="B703" s="78" t="s">
        <v>40</v>
      </c>
      <c r="C703" s="78" t="s">
        <v>280</v>
      </c>
      <c r="D703" s="78" t="s">
        <v>929</v>
      </c>
      <c r="E703" s="79" t="s">
        <v>854</v>
      </c>
      <c r="F703" s="78" t="s">
        <v>848</v>
      </c>
      <c r="G703" s="78" t="s">
        <v>230</v>
      </c>
      <c r="H703" s="78" t="s">
        <v>11</v>
      </c>
      <c r="I703" s="78" t="s">
        <v>214</v>
      </c>
      <c r="J703" s="79" t="s">
        <v>231</v>
      </c>
      <c r="K703" s="80">
        <v>1.58</v>
      </c>
      <c r="L703" s="80">
        <f t="shared" si="192"/>
        <v>1.2392156862745098</v>
      </c>
      <c r="M703" s="81">
        <f>prodnorm17</f>
        <v>0</v>
      </c>
      <c r="N703" s="82">
        <f>dagwerk17</f>
        <v>0</v>
      </c>
      <c r="O703" s="78" t="s">
        <v>103</v>
      </c>
      <c r="P703" s="15">
        <f>uurtarief17</f>
        <v>0</v>
      </c>
      <c r="Q703" s="80" t="e">
        <f t="shared" si="193"/>
        <v>#DIV/0!</v>
      </c>
      <c r="R703" s="80" t="e">
        <f t="shared" si="194"/>
        <v>#DIV/0!</v>
      </c>
      <c r="S703" s="15" t="e">
        <f t="shared" si="195"/>
        <v>#DIV/0!</v>
      </c>
      <c r="T703" s="80" t="e">
        <f t="shared" si="196"/>
        <v>#DIV/0!</v>
      </c>
      <c r="U703" s="16" t="e">
        <f t="shared" si="197"/>
        <v>#DIV/0!</v>
      </c>
    </row>
    <row r="704" spans="1:21" ht="27" x14ac:dyDescent="0.3">
      <c r="A704" s="77" t="s">
        <v>844</v>
      </c>
      <c r="B704" s="78" t="s">
        <v>40</v>
      </c>
      <c r="C704" s="78" t="s">
        <v>280</v>
      </c>
      <c r="D704" s="78" t="s">
        <v>930</v>
      </c>
      <c r="E704" s="79" t="s">
        <v>380</v>
      </c>
      <c r="F704" s="78" t="s">
        <v>848</v>
      </c>
      <c r="G704" s="78" t="s">
        <v>256</v>
      </c>
      <c r="H704" s="78" t="s">
        <v>11</v>
      </c>
      <c r="I704" s="78" t="s">
        <v>214</v>
      </c>
      <c r="J704" s="79" t="s">
        <v>257</v>
      </c>
      <c r="K704" s="80">
        <v>21.130000000000003</v>
      </c>
      <c r="L704" s="80">
        <f t="shared" si="192"/>
        <v>16.572549019607845</v>
      </c>
      <c r="M704" s="81">
        <f t="shared" ref="M704:M709" si="198">prodnorm33</f>
        <v>0</v>
      </c>
      <c r="N704" s="82">
        <f t="shared" ref="N704:N709" si="199">dagwerk33</f>
        <v>0</v>
      </c>
      <c r="O704" s="78" t="s">
        <v>103</v>
      </c>
      <c r="P704" s="15">
        <f t="shared" ref="P704:P709" si="200">uurtarief33</f>
        <v>0</v>
      </c>
      <c r="Q704" s="80" t="e">
        <f t="shared" si="193"/>
        <v>#DIV/0!</v>
      </c>
      <c r="R704" s="80" t="e">
        <f t="shared" si="194"/>
        <v>#DIV/0!</v>
      </c>
      <c r="S704" s="15" t="e">
        <f t="shared" si="195"/>
        <v>#DIV/0!</v>
      </c>
      <c r="T704" s="80" t="e">
        <f t="shared" si="196"/>
        <v>#DIV/0!</v>
      </c>
      <c r="U704" s="16" t="e">
        <f t="shared" si="197"/>
        <v>#DIV/0!</v>
      </c>
    </row>
    <row r="705" spans="1:21" ht="27" x14ac:dyDescent="0.3">
      <c r="A705" s="77" t="s">
        <v>844</v>
      </c>
      <c r="B705" s="78" t="s">
        <v>40</v>
      </c>
      <c r="C705" s="78" t="s">
        <v>280</v>
      </c>
      <c r="D705" s="78" t="s">
        <v>931</v>
      </c>
      <c r="E705" s="79" t="s">
        <v>380</v>
      </c>
      <c r="F705" s="78" t="s">
        <v>848</v>
      </c>
      <c r="G705" s="78" t="s">
        <v>256</v>
      </c>
      <c r="H705" s="78" t="s">
        <v>11</v>
      </c>
      <c r="I705" s="78" t="s">
        <v>214</v>
      </c>
      <c r="J705" s="79" t="s">
        <v>257</v>
      </c>
      <c r="K705" s="80">
        <v>86.84</v>
      </c>
      <c r="L705" s="80">
        <f t="shared" si="192"/>
        <v>68.109803921568627</v>
      </c>
      <c r="M705" s="81">
        <f t="shared" si="198"/>
        <v>0</v>
      </c>
      <c r="N705" s="82">
        <f t="shared" si="199"/>
        <v>0</v>
      </c>
      <c r="O705" s="78" t="s">
        <v>103</v>
      </c>
      <c r="P705" s="15">
        <f t="shared" si="200"/>
        <v>0</v>
      </c>
      <c r="Q705" s="80" t="e">
        <f t="shared" si="193"/>
        <v>#DIV/0!</v>
      </c>
      <c r="R705" s="80" t="e">
        <f t="shared" si="194"/>
        <v>#DIV/0!</v>
      </c>
      <c r="S705" s="15" t="e">
        <f t="shared" si="195"/>
        <v>#DIV/0!</v>
      </c>
      <c r="T705" s="80" t="e">
        <f t="shared" si="196"/>
        <v>#DIV/0!</v>
      </c>
      <c r="U705" s="16" t="e">
        <f t="shared" si="197"/>
        <v>#DIV/0!</v>
      </c>
    </row>
    <row r="706" spans="1:21" ht="27" x14ac:dyDescent="0.3">
      <c r="A706" s="77" t="s">
        <v>844</v>
      </c>
      <c r="B706" s="78" t="s">
        <v>40</v>
      </c>
      <c r="C706" s="78" t="s">
        <v>280</v>
      </c>
      <c r="D706" s="78" t="s">
        <v>932</v>
      </c>
      <c r="E706" s="79" t="s">
        <v>380</v>
      </c>
      <c r="F706" s="78" t="s">
        <v>848</v>
      </c>
      <c r="G706" s="78" t="s">
        <v>256</v>
      </c>
      <c r="H706" s="78" t="s">
        <v>11</v>
      </c>
      <c r="I706" s="78" t="s">
        <v>214</v>
      </c>
      <c r="J706" s="79" t="s">
        <v>257</v>
      </c>
      <c r="K706" s="80">
        <v>43.37</v>
      </c>
      <c r="L706" s="80">
        <f t="shared" si="192"/>
        <v>34.015686274509804</v>
      </c>
      <c r="M706" s="81">
        <f t="shared" si="198"/>
        <v>0</v>
      </c>
      <c r="N706" s="82">
        <f t="shared" si="199"/>
        <v>0</v>
      </c>
      <c r="O706" s="78" t="s">
        <v>103</v>
      </c>
      <c r="P706" s="15">
        <f t="shared" si="200"/>
        <v>0</v>
      </c>
      <c r="Q706" s="80" t="e">
        <f t="shared" si="193"/>
        <v>#DIV/0!</v>
      </c>
      <c r="R706" s="80" t="e">
        <f t="shared" si="194"/>
        <v>#DIV/0!</v>
      </c>
      <c r="S706" s="15" t="e">
        <f t="shared" si="195"/>
        <v>#DIV/0!</v>
      </c>
      <c r="T706" s="80" t="e">
        <f t="shared" si="196"/>
        <v>#DIV/0!</v>
      </c>
      <c r="U706" s="16" t="e">
        <f t="shared" si="197"/>
        <v>#DIV/0!</v>
      </c>
    </row>
    <row r="707" spans="1:21" ht="27" x14ac:dyDescent="0.3">
      <c r="A707" s="77" t="s">
        <v>844</v>
      </c>
      <c r="B707" s="78" t="s">
        <v>40</v>
      </c>
      <c r="C707" s="78" t="s">
        <v>280</v>
      </c>
      <c r="D707" s="78" t="s">
        <v>933</v>
      </c>
      <c r="E707" s="79" t="s">
        <v>380</v>
      </c>
      <c r="F707" s="78" t="s">
        <v>848</v>
      </c>
      <c r="G707" s="78" t="s">
        <v>256</v>
      </c>
      <c r="H707" s="78" t="s">
        <v>11</v>
      </c>
      <c r="I707" s="78" t="s">
        <v>214</v>
      </c>
      <c r="J707" s="79" t="s">
        <v>257</v>
      </c>
      <c r="K707" s="80">
        <v>108.13</v>
      </c>
      <c r="L707" s="80">
        <f t="shared" si="192"/>
        <v>84.807843137254892</v>
      </c>
      <c r="M707" s="81">
        <f t="shared" si="198"/>
        <v>0</v>
      </c>
      <c r="N707" s="82">
        <f t="shared" si="199"/>
        <v>0</v>
      </c>
      <c r="O707" s="78" t="s">
        <v>103</v>
      </c>
      <c r="P707" s="15">
        <f t="shared" si="200"/>
        <v>0</v>
      </c>
      <c r="Q707" s="80" t="e">
        <f t="shared" si="193"/>
        <v>#DIV/0!</v>
      </c>
      <c r="R707" s="80" t="e">
        <f t="shared" si="194"/>
        <v>#DIV/0!</v>
      </c>
      <c r="S707" s="15" t="e">
        <f t="shared" si="195"/>
        <v>#DIV/0!</v>
      </c>
      <c r="T707" s="80" t="e">
        <f t="shared" si="196"/>
        <v>#DIV/0!</v>
      </c>
      <c r="U707" s="16" t="e">
        <f t="shared" si="197"/>
        <v>#DIV/0!</v>
      </c>
    </row>
    <row r="708" spans="1:21" ht="27" x14ac:dyDescent="0.3">
      <c r="A708" s="77" t="s">
        <v>844</v>
      </c>
      <c r="B708" s="78" t="s">
        <v>40</v>
      </c>
      <c r="C708" s="78" t="s">
        <v>280</v>
      </c>
      <c r="D708" s="78" t="s">
        <v>934</v>
      </c>
      <c r="E708" s="79" t="s">
        <v>380</v>
      </c>
      <c r="F708" s="78" t="s">
        <v>848</v>
      </c>
      <c r="G708" s="78" t="s">
        <v>256</v>
      </c>
      <c r="H708" s="78" t="s">
        <v>11</v>
      </c>
      <c r="I708" s="78" t="s">
        <v>214</v>
      </c>
      <c r="J708" s="79" t="s">
        <v>257</v>
      </c>
      <c r="K708" s="80">
        <v>43.37</v>
      </c>
      <c r="L708" s="80">
        <f t="shared" si="192"/>
        <v>34.015686274509804</v>
      </c>
      <c r="M708" s="81">
        <f t="shared" si="198"/>
        <v>0</v>
      </c>
      <c r="N708" s="82">
        <f t="shared" si="199"/>
        <v>0</v>
      </c>
      <c r="O708" s="78" t="s">
        <v>103</v>
      </c>
      <c r="P708" s="15">
        <f t="shared" si="200"/>
        <v>0</v>
      </c>
      <c r="Q708" s="80" t="e">
        <f t="shared" si="193"/>
        <v>#DIV/0!</v>
      </c>
      <c r="R708" s="80" t="e">
        <f t="shared" si="194"/>
        <v>#DIV/0!</v>
      </c>
      <c r="S708" s="15" t="e">
        <f t="shared" si="195"/>
        <v>#DIV/0!</v>
      </c>
      <c r="T708" s="80" t="e">
        <f t="shared" si="196"/>
        <v>#DIV/0!</v>
      </c>
      <c r="U708" s="16" t="e">
        <f t="shared" si="197"/>
        <v>#DIV/0!</v>
      </c>
    </row>
    <row r="709" spans="1:21" ht="27" x14ac:dyDescent="0.3">
      <c r="A709" s="77" t="s">
        <v>844</v>
      </c>
      <c r="B709" s="78" t="s">
        <v>40</v>
      </c>
      <c r="C709" s="78" t="s">
        <v>280</v>
      </c>
      <c r="D709" s="78" t="s">
        <v>935</v>
      </c>
      <c r="E709" s="79" t="s">
        <v>380</v>
      </c>
      <c r="F709" s="78" t="s">
        <v>848</v>
      </c>
      <c r="G709" s="78" t="s">
        <v>256</v>
      </c>
      <c r="H709" s="78" t="s">
        <v>11</v>
      </c>
      <c r="I709" s="78" t="s">
        <v>214</v>
      </c>
      <c r="J709" s="79" t="s">
        <v>257</v>
      </c>
      <c r="K709" s="80">
        <v>53.78</v>
      </c>
      <c r="L709" s="80">
        <f t="shared" si="192"/>
        <v>42.180392156862744</v>
      </c>
      <c r="M709" s="81">
        <f t="shared" si="198"/>
        <v>0</v>
      </c>
      <c r="N709" s="82">
        <f t="shared" si="199"/>
        <v>0</v>
      </c>
      <c r="O709" s="78" t="s">
        <v>103</v>
      </c>
      <c r="P709" s="15">
        <f t="shared" si="200"/>
        <v>0</v>
      </c>
      <c r="Q709" s="80" t="e">
        <f t="shared" si="193"/>
        <v>#DIV/0!</v>
      </c>
      <c r="R709" s="80" t="e">
        <f t="shared" si="194"/>
        <v>#DIV/0!</v>
      </c>
      <c r="S709" s="15" t="e">
        <f t="shared" si="195"/>
        <v>#DIV/0!</v>
      </c>
      <c r="T709" s="80" t="e">
        <f t="shared" si="196"/>
        <v>#DIV/0!</v>
      </c>
      <c r="U709" s="16" t="e">
        <f t="shared" si="197"/>
        <v>#DIV/0!</v>
      </c>
    </row>
    <row r="710" spans="1:21" x14ac:dyDescent="0.3">
      <c r="A710" s="77" t="s">
        <v>844</v>
      </c>
      <c r="B710" s="78" t="s">
        <v>40</v>
      </c>
      <c r="C710" s="78" t="s">
        <v>280</v>
      </c>
      <c r="D710" s="78" t="s">
        <v>936</v>
      </c>
      <c r="E710" s="79" t="s">
        <v>320</v>
      </c>
      <c r="F710" s="78" t="s">
        <v>848</v>
      </c>
      <c r="G710" s="78" t="s">
        <v>213</v>
      </c>
      <c r="H710" s="78" t="s">
        <v>11</v>
      </c>
      <c r="I710" s="78" t="s">
        <v>214</v>
      </c>
      <c r="J710" s="79" t="s">
        <v>215</v>
      </c>
      <c r="K710" s="80">
        <v>195.3</v>
      </c>
      <c r="L710" s="80">
        <f t="shared" si="192"/>
        <v>153.1764705882353</v>
      </c>
      <c r="M710" s="81">
        <f>prodnorm5</f>
        <v>0</v>
      </c>
      <c r="N710" s="82">
        <f>dagwerk5</f>
        <v>0</v>
      </c>
      <c r="O710" s="78" t="s">
        <v>103</v>
      </c>
      <c r="P710" s="15">
        <f>uurtarief5</f>
        <v>0</v>
      </c>
      <c r="Q710" s="80" t="e">
        <f t="shared" si="193"/>
        <v>#DIV/0!</v>
      </c>
      <c r="R710" s="80" t="e">
        <f t="shared" si="194"/>
        <v>#DIV/0!</v>
      </c>
      <c r="S710" s="15" t="e">
        <f t="shared" si="195"/>
        <v>#DIV/0!</v>
      </c>
      <c r="T710" s="80" t="e">
        <f t="shared" si="196"/>
        <v>#DIV/0!</v>
      </c>
      <c r="U710" s="16" t="e">
        <f t="shared" si="197"/>
        <v>#DIV/0!</v>
      </c>
    </row>
    <row r="711" spans="1:21" x14ac:dyDescent="0.3">
      <c r="A711" s="77" t="s">
        <v>844</v>
      </c>
      <c r="B711" s="78" t="s">
        <v>40</v>
      </c>
      <c r="C711" s="78" t="s">
        <v>280</v>
      </c>
      <c r="D711" s="78" t="s">
        <v>937</v>
      </c>
      <c r="E711" s="79" t="s">
        <v>938</v>
      </c>
      <c r="F711" s="78" t="s">
        <v>288</v>
      </c>
      <c r="G711" s="78" t="s">
        <v>252</v>
      </c>
      <c r="H711" s="78" t="s">
        <v>11</v>
      </c>
      <c r="I711" s="78" t="s">
        <v>214</v>
      </c>
      <c r="J711" s="79" t="s">
        <v>253</v>
      </c>
      <c r="K711" s="80">
        <v>13.49</v>
      </c>
      <c r="L711" s="80">
        <f t="shared" si="192"/>
        <v>10.580392156862745</v>
      </c>
      <c r="M711" s="81">
        <f>prodnorm31</f>
        <v>0</v>
      </c>
      <c r="N711" s="82">
        <f>dagwerk31</f>
        <v>0</v>
      </c>
      <c r="O711" s="78" t="s">
        <v>103</v>
      </c>
      <c r="P711" s="15">
        <f>uurtarief31</f>
        <v>0</v>
      </c>
      <c r="Q711" s="80" t="e">
        <f t="shared" si="193"/>
        <v>#DIV/0!</v>
      </c>
      <c r="R711" s="80" t="e">
        <f t="shared" si="194"/>
        <v>#DIV/0!</v>
      </c>
      <c r="S711" s="15" t="e">
        <f t="shared" si="195"/>
        <v>#DIV/0!</v>
      </c>
      <c r="T711" s="80" t="e">
        <f t="shared" si="196"/>
        <v>#DIV/0!</v>
      </c>
      <c r="U711" s="16" t="e">
        <f t="shared" si="197"/>
        <v>#DIV/0!</v>
      </c>
    </row>
    <row r="712" spans="1:21" ht="27" x14ac:dyDescent="0.3">
      <c r="A712" s="77" t="s">
        <v>844</v>
      </c>
      <c r="B712" s="78" t="s">
        <v>40</v>
      </c>
      <c r="C712" s="78" t="s">
        <v>280</v>
      </c>
      <c r="D712" s="78" t="s">
        <v>939</v>
      </c>
      <c r="E712" s="79" t="s">
        <v>940</v>
      </c>
      <c r="F712" s="78" t="s">
        <v>848</v>
      </c>
      <c r="G712" s="78" t="s">
        <v>256</v>
      </c>
      <c r="H712" s="78" t="s">
        <v>11</v>
      </c>
      <c r="I712" s="78" t="s">
        <v>214</v>
      </c>
      <c r="J712" s="79" t="s">
        <v>257</v>
      </c>
      <c r="K712" s="80">
        <v>4.68</v>
      </c>
      <c r="L712" s="80">
        <f t="shared" si="192"/>
        <v>3.6705882352941175</v>
      </c>
      <c r="M712" s="81">
        <f>prodnorm33</f>
        <v>0</v>
      </c>
      <c r="N712" s="82">
        <f>dagwerk33</f>
        <v>0</v>
      </c>
      <c r="O712" s="78" t="s">
        <v>103</v>
      </c>
      <c r="P712" s="15">
        <f>uurtarief33</f>
        <v>0</v>
      </c>
      <c r="Q712" s="80" t="e">
        <f t="shared" si="193"/>
        <v>#DIV/0!</v>
      </c>
      <c r="R712" s="80" t="e">
        <f t="shared" si="194"/>
        <v>#DIV/0!</v>
      </c>
      <c r="S712" s="15" t="e">
        <f t="shared" si="195"/>
        <v>#DIV/0!</v>
      </c>
      <c r="T712" s="80" t="e">
        <f t="shared" si="196"/>
        <v>#DIV/0!</v>
      </c>
      <c r="U712" s="16" t="e">
        <f t="shared" si="197"/>
        <v>#DIV/0!</v>
      </c>
    </row>
    <row r="713" spans="1:21" x14ac:dyDescent="0.3">
      <c r="A713" s="77" t="s">
        <v>844</v>
      </c>
      <c r="B713" s="78" t="s">
        <v>40</v>
      </c>
      <c r="C713" s="78" t="s">
        <v>280</v>
      </c>
      <c r="D713" s="78" t="s">
        <v>941</v>
      </c>
      <c r="E713" s="79" t="s">
        <v>942</v>
      </c>
      <c r="F713" s="78" t="s">
        <v>288</v>
      </c>
      <c r="G713" s="78" t="s">
        <v>252</v>
      </c>
      <c r="H713" s="78" t="s">
        <v>11</v>
      </c>
      <c r="I713" s="78" t="s">
        <v>214</v>
      </c>
      <c r="J713" s="79" t="s">
        <v>253</v>
      </c>
      <c r="K713" s="80">
        <v>12.53</v>
      </c>
      <c r="L713" s="80">
        <f t="shared" si="192"/>
        <v>9.8274509803921557</v>
      </c>
      <c r="M713" s="81">
        <f>prodnorm31</f>
        <v>0</v>
      </c>
      <c r="N713" s="82">
        <f>dagwerk31</f>
        <v>0</v>
      </c>
      <c r="O713" s="78" t="s">
        <v>103</v>
      </c>
      <c r="P713" s="15">
        <f>uurtarief31</f>
        <v>0</v>
      </c>
      <c r="Q713" s="80" t="e">
        <f t="shared" si="193"/>
        <v>#DIV/0!</v>
      </c>
      <c r="R713" s="80" t="e">
        <f t="shared" si="194"/>
        <v>#DIV/0!</v>
      </c>
      <c r="S713" s="15" t="e">
        <f t="shared" si="195"/>
        <v>#DIV/0!</v>
      </c>
      <c r="T713" s="80" t="e">
        <f t="shared" si="196"/>
        <v>#DIV/0!</v>
      </c>
      <c r="U713" s="16" t="e">
        <f t="shared" si="197"/>
        <v>#DIV/0!</v>
      </c>
    </row>
    <row r="714" spans="1:21" ht="27" x14ac:dyDescent="0.3">
      <c r="A714" s="77" t="s">
        <v>844</v>
      </c>
      <c r="B714" s="78" t="s">
        <v>40</v>
      </c>
      <c r="C714" s="78" t="s">
        <v>280</v>
      </c>
      <c r="D714" s="78" t="s">
        <v>943</v>
      </c>
      <c r="E714" s="79" t="s">
        <v>944</v>
      </c>
      <c r="F714" s="78" t="s">
        <v>848</v>
      </c>
      <c r="G714" s="78" t="s">
        <v>256</v>
      </c>
      <c r="H714" s="78" t="s">
        <v>11</v>
      </c>
      <c r="I714" s="78" t="s">
        <v>214</v>
      </c>
      <c r="J714" s="79" t="s">
        <v>257</v>
      </c>
      <c r="K714" s="80">
        <v>4.0199999999999996</v>
      </c>
      <c r="L714" s="80">
        <f t="shared" si="192"/>
        <v>3.1529411764705877</v>
      </c>
      <c r="M714" s="81">
        <f>prodnorm33</f>
        <v>0</v>
      </c>
      <c r="N714" s="82">
        <f>dagwerk33</f>
        <v>0</v>
      </c>
      <c r="O714" s="78" t="s">
        <v>103</v>
      </c>
      <c r="P714" s="15">
        <f>uurtarief33</f>
        <v>0</v>
      </c>
      <c r="Q714" s="80" t="e">
        <f t="shared" si="193"/>
        <v>#DIV/0!</v>
      </c>
      <c r="R714" s="80" t="e">
        <f t="shared" si="194"/>
        <v>#DIV/0!</v>
      </c>
      <c r="S714" s="15" t="e">
        <f t="shared" si="195"/>
        <v>#DIV/0!</v>
      </c>
      <c r="T714" s="80" t="e">
        <f t="shared" si="196"/>
        <v>#DIV/0!</v>
      </c>
      <c r="U714" s="16" t="e">
        <f t="shared" si="197"/>
        <v>#DIV/0!</v>
      </c>
    </row>
    <row r="715" spans="1:21" x14ac:dyDescent="0.3">
      <c r="A715" s="77" t="s">
        <v>844</v>
      </c>
      <c r="B715" s="78" t="s">
        <v>40</v>
      </c>
      <c r="C715" s="78" t="s">
        <v>945</v>
      </c>
      <c r="D715" s="78" t="s">
        <v>946</v>
      </c>
      <c r="E715" s="79" t="s">
        <v>488</v>
      </c>
      <c r="F715" s="78" t="s">
        <v>848</v>
      </c>
      <c r="G715" s="78" t="s">
        <v>216</v>
      </c>
      <c r="H715" s="78" t="s">
        <v>11</v>
      </c>
      <c r="I715" s="78" t="s">
        <v>214</v>
      </c>
      <c r="J715" s="79" t="s">
        <v>217</v>
      </c>
      <c r="K715" s="80">
        <v>15.97</v>
      </c>
      <c r="L715" s="80">
        <f t="shared" si="192"/>
        <v>12.525490196078431</v>
      </c>
      <c r="M715" s="81">
        <f>prodnorm6</f>
        <v>0</v>
      </c>
      <c r="N715" s="82">
        <f>dagwerk6</f>
        <v>0</v>
      </c>
      <c r="O715" s="78" t="s">
        <v>103</v>
      </c>
      <c r="P715" s="15">
        <f>uurtarief6</f>
        <v>0</v>
      </c>
      <c r="Q715" s="80" t="e">
        <f t="shared" si="193"/>
        <v>#DIV/0!</v>
      </c>
      <c r="R715" s="80" t="e">
        <f t="shared" si="194"/>
        <v>#DIV/0!</v>
      </c>
      <c r="S715" s="15" t="e">
        <f t="shared" si="195"/>
        <v>#DIV/0!</v>
      </c>
      <c r="T715" s="80" t="e">
        <f t="shared" si="196"/>
        <v>#DIV/0!</v>
      </c>
      <c r="U715" s="16" t="e">
        <f t="shared" si="197"/>
        <v>#DIV/0!</v>
      </c>
    </row>
    <row r="716" spans="1:21" ht="27" x14ac:dyDescent="0.3">
      <c r="A716" s="77" t="s">
        <v>844</v>
      </c>
      <c r="B716" s="78" t="s">
        <v>40</v>
      </c>
      <c r="C716" s="78" t="s">
        <v>945</v>
      </c>
      <c r="D716" s="78" t="s">
        <v>947</v>
      </c>
      <c r="E716" s="79" t="s">
        <v>948</v>
      </c>
      <c r="F716" s="78" t="s">
        <v>288</v>
      </c>
      <c r="G716" s="78" t="s">
        <v>256</v>
      </c>
      <c r="H716" s="78" t="s">
        <v>11</v>
      </c>
      <c r="I716" s="78" t="s">
        <v>214</v>
      </c>
      <c r="J716" s="79" t="s">
        <v>257</v>
      </c>
      <c r="K716" s="80">
        <v>29.130000000000003</v>
      </c>
      <c r="L716" s="80">
        <f t="shared" si="192"/>
        <v>22.847058823529412</v>
      </c>
      <c r="M716" s="81">
        <f>prodnorm33</f>
        <v>0</v>
      </c>
      <c r="N716" s="82">
        <f>dagwerk33</f>
        <v>0</v>
      </c>
      <c r="O716" s="78" t="s">
        <v>103</v>
      </c>
      <c r="P716" s="15">
        <f>uurtarief33</f>
        <v>0</v>
      </c>
      <c r="Q716" s="80" t="e">
        <f t="shared" si="193"/>
        <v>#DIV/0!</v>
      </c>
      <c r="R716" s="80" t="e">
        <f t="shared" si="194"/>
        <v>#DIV/0!</v>
      </c>
      <c r="S716" s="15" t="e">
        <f t="shared" si="195"/>
        <v>#DIV/0!</v>
      </c>
      <c r="T716" s="80" t="e">
        <f t="shared" si="196"/>
        <v>#DIV/0!</v>
      </c>
      <c r="U716" s="16" t="e">
        <f t="shared" si="197"/>
        <v>#DIV/0!</v>
      </c>
    </row>
    <row r="717" spans="1:21" x14ac:dyDescent="0.3">
      <c r="A717" s="77" t="s">
        <v>844</v>
      </c>
      <c r="B717" s="78" t="s">
        <v>40</v>
      </c>
      <c r="C717" s="78" t="s">
        <v>945</v>
      </c>
      <c r="D717" s="78" t="s">
        <v>949</v>
      </c>
      <c r="E717" s="79" t="s">
        <v>488</v>
      </c>
      <c r="F717" s="78" t="s">
        <v>848</v>
      </c>
      <c r="G717" s="78" t="s">
        <v>216</v>
      </c>
      <c r="H717" s="78" t="s">
        <v>11</v>
      </c>
      <c r="I717" s="78" t="s">
        <v>214</v>
      </c>
      <c r="J717" s="79" t="s">
        <v>217</v>
      </c>
      <c r="K717" s="80">
        <v>27.08</v>
      </c>
      <c r="L717" s="80">
        <f t="shared" si="192"/>
        <v>21.239215686274509</v>
      </c>
      <c r="M717" s="81">
        <f>prodnorm6</f>
        <v>0</v>
      </c>
      <c r="N717" s="82">
        <f>dagwerk6</f>
        <v>0</v>
      </c>
      <c r="O717" s="78" t="s">
        <v>103</v>
      </c>
      <c r="P717" s="15">
        <f>uurtarief6</f>
        <v>0</v>
      </c>
      <c r="Q717" s="80" t="e">
        <f t="shared" si="193"/>
        <v>#DIV/0!</v>
      </c>
      <c r="R717" s="80" t="e">
        <f t="shared" si="194"/>
        <v>#DIV/0!</v>
      </c>
      <c r="S717" s="15" t="e">
        <f t="shared" si="195"/>
        <v>#DIV/0!</v>
      </c>
      <c r="T717" s="80" t="e">
        <f t="shared" si="196"/>
        <v>#DIV/0!</v>
      </c>
      <c r="U717" s="16" t="e">
        <f t="shared" si="197"/>
        <v>#DIV/0!</v>
      </c>
    </row>
    <row r="718" spans="1:21" x14ac:dyDescent="0.3">
      <c r="A718" s="77" t="s">
        <v>844</v>
      </c>
      <c r="B718" s="78" t="s">
        <v>40</v>
      </c>
      <c r="C718" s="78" t="s">
        <v>945</v>
      </c>
      <c r="D718" s="78" t="s">
        <v>950</v>
      </c>
      <c r="E718" s="79" t="s">
        <v>488</v>
      </c>
      <c r="F718" s="78" t="s">
        <v>848</v>
      </c>
      <c r="G718" s="78" t="s">
        <v>216</v>
      </c>
      <c r="H718" s="78" t="s">
        <v>11</v>
      </c>
      <c r="I718" s="78" t="s">
        <v>214</v>
      </c>
      <c r="J718" s="79" t="s">
        <v>217</v>
      </c>
      <c r="K718" s="80">
        <v>15.97</v>
      </c>
      <c r="L718" s="80">
        <f t="shared" si="192"/>
        <v>12.525490196078431</v>
      </c>
      <c r="M718" s="81">
        <f>prodnorm6</f>
        <v>0</v>
      </c>
      <c r="N718" s="82">
        <f>dagwerk6</f>
        <v>0</v>
      </c>
      <c r="O718" s="78" t="s">
        <v>103</v>
      </c>
      <c r="P718" s="15">
        <f>uurtarief6</f>
        <v>0</v>
      </c>
      <c r="Q718" s="80" t="e">
        <f t="shared" si="193"/>
        <v>#DIV/0!</v>
      </c>
      <c r="R718" s="80" t="e">
        <f t="shared" si="194"/>
        <v>#DIV/0!</v>
      </c>
      <c r="S718" s="15" t="e">
        <f t="shared" si="195"/>
        <v>#DIV/0!</v>
      </c>
      <c r="T718" s="80" t="e">
        <f t="shared" si="196"/>
        <v>#DIV/0!</v>
      </c>
      <c r="U718" s="16" t="e">
        <f t="shared" si="197"/>
        <v>#DIV/0!</v>
      </c>
    </row>
    <row r="719" spans="1:21" ht="27" x14ac:dyDescent="0.3">
      <c r="A719" s="77" t="s">
        <v>844</v>
      </c>
      <c r="B719" s="78" t="s">
        <v>40</v>
      </c>
      <c r="C719" s="78" t="s">
        <v>945</v>
      </c>
      <c r="D719" s="78" t="s">
        <v>951</v>
      </c>
      <c r="E719" s="79" t="s">
        <v>952</v>
      </c>
      <c r="F719" s="78" t="s">
        <v>848</v>
      </c>
      <c r="G719" s="78" t="s">
        <v>256</v>
      </c>
      <c r="H719" s="78" t="s">
        <v>11</v>
      </c>
      <c r="I719" s="78" t="s">
        <v>214</v>
      </c>
      <c r="J719" s="79" t="s">
        <v>257</v>
      </c>
      <c r="K719" s="80">
        <v>2.59</v>
      </c>
      <c r="L719" s="80">
        <f t="shared" si="192"/>
        <v>2.0313725490196077</v>
      </c>
      <c r="M719" s="81">
        <f>prodnorm33</f>
        <v>0</v>
      </c>
      <c r="N719" s="82">
        <f>dagwerk33</f>
        <v>0</v>
      </c>
      <c r="O719" s="78" t="s">
        <v>103</v>
      </c>
      <c r="P719" s="15">
        <f>uurtarief33</f>
        <v>0</v>
      </c>
      <c r="Q719" s="80" t="e">
        <f t="shared" si="193"/>
        <v>#DIV/0!</v>
      </c>
      <c r="R719" s="80" t="e">
        <f t="shared" si="194"/>
        <v>#DIV/0!</v>
      </c>
      <c r="S719" s="15" t="e">
        <f t="shared" si="195"/>
        <v>#DIV/0!</v>
      </c>
      <c r="T719" s="80" t="e">
        <f t="shared" si="196"/>
        <v>#DIV/0!</v>
      </c>
      <c r="U719" s="16" t="e">
        <f t="shared" si="197"/>
        <v>#DIV/0!</v>
      </c>
    </row>
    <row r="720" spans="1:21" ht="27" x14ac:dyDescent="0.3">
      <c r="A720" s="77" t="s">
        <v>844</v>
      </c>
      <c r="B720" s="78" t="s">
        <v>40</v>
      </c>
      <c r="C720" s="78" t="s">
        <v>945</v>
      </c>
      <c r="D720" s="78" t="s">
        <v>953</v>
      </c>
      <c r="E720" s="79" t="s">
        <v>952</v>
      </c>
      <c r="F720" s="78" t="s">
        <v>848</v>
      </c>
      <c r="G720" s="78" t="s">
        <v>256</v>
      </c>
      <c r="H720" s="78" t="s">
        <v>11</v>
      </c>
      <c r="I720" s="78" t="s">
        <v>214</v>
      </c>
      <c r="J720" s="79" t="s">
        <v>257</v>
      </c>
      <c r="K720" s="80">
        <v>2.59</v>
      </c>
      <c r="L720" s="80">
        <f t="shared" si="192"/>
        <v>2.0313725490196077</v>
      </c>
      <c r="M720" s="81">
        <f>prodnorm33</f>
        <v>0</v>
      </c>
      <c r="N720" s="82">
        <f>dagwerk33</f>
        <v>0</v>
      </c>
      <c r="O720" s="78" t="s">
        <v>103</v>
      </c>
      <c r="P720" s="15">
        <f>uurtarief33</f>
        <v>0</v>
      </c>
      <c r="Q720" s="80" t="e">
        <f t="shared" si="193"/>
        <v>#DIV/0!</v>
      </c>
      <c r="R720" s="80" t="e">
        <f t="shared" si="194"/>
        <v>#DIV/0!</v>
      </c>
      <c r="S720" s="15" t="e">
        <f t="shared" si="195"/>
        <v>#DIV/0!</v>
      </c>
      <c r="T720" s="80" t="e">
        <f t="shared" si="196"/>
        <v>#DIV/0!</v>
      </c>
      <c r="U720" s="16" t="e">
        <f t="shared" si="197"/>
        <v>#DIV/0!</v>
      </c>
    </row>
    <row r="721" spans="1:21" x14ac:dyDescent="0.3">
      <c r="A721" s="77" t="s">
        <v>844</v>
      </c>
      <c r="B721" s="78" t="s">
        <v>40</v>
      </c>
      <c r="C721" s="78" t="s">
        <v>338</v>
      </c>
      <c r="D721" s="78" t="s">
        <v>954</v>
      </c>
      <c r="E721" s="79" t="s">
        <v>955</v>
      </c>
      <c r="F721" s="78" t="s">
        <v>848</v>
      </c>
      <c r="G721" s="78" t="s">
        <v>240</v>
      </c>
      <c r="H721" s="78" t="s">
        <v>11</v>
      </c>
      <c r="I721" s="78" t="s">
        <v>214</v>
      </c>
      <c r="J721" s="79" t="s">
        <v>241</v>
      </c>
      <c r="K721" s="80">
        <v>425.78999999999996</v>
      </c>
      <c r="L721" s="80">
        <f t="shared" si="192"/>
        <v>333.95294117647057</v>
      </c>
      <c r="M721" s="81">
        <f>prodnorm25</f>
        <v>0</v>
      </c>
      <c r="N721" s="82">
        <f>dagwerk25</f>
        <v>0</v>
      </c>
      <c r="O721" s="78" t="s">
        <v>103</v>
      </c>
      <c r="P721" s="15">
        <f>uurtarief25</f>
        <v>0</v>
      </c>
      <c r="Q721" s="80" t="e">
        <f t="shared" si="193"/>
        <v>#DIV/0!</v>
      </c>
      <c r="R721" s="80" t="e">
        <f t="shared" si="194"/>
        <v>#DIV/0!</v>
      </c>
      <c r="S721" s="15" t="e">
        <f t="shared" si="195"/>
        <v>#DIV/0!</v>
      </c>
      <c r="T721" s="80" t="e">
        <f t="shared" si="196"/>
        <v>#DIV/0!</v>
      </c>
      <c r="U721" s="16" t="e">
        <f t="shared" si="197"/>
        <v>#DIV/0!</v>
      </c>
    </row>
    <row r="722" spans="1:21" x14ac:dyDescent="0.3">
      <c r="A722" s="77" t="s">
        <v>844</v>
      </c>
      <c r="B722" s="78" t="s">
        <v>40</v>
      </c>
      <c r="C722" s="78" t="s">
        <v>338</v>
      </c>
      <c r="D722" s="78" t="s">
        <v>956</v>
      </c>
      <c r="E722" s="79" t="s">
        <v>290</v>
      </c>
      <c r="F722" s="78" t="s">
        <v>848</v>
      </c>
      <c r="G722" s="78" t="s">
        <v>234</v>
      </c>
      <c r="H722" s="78" t="s">
        <v>11</v>
      </c>
      <c r="I722" s="78" t="s">
        <v>214</v>
      </c>
      <c r="J722" s="79" t="s">
        <v>235</v>
      </c>
      <c r="K722" s="80">
        <v>56.89</v>
      </c>
      <c r="L722" s="80">
        <f t="shared" si="192"/>
        <v>44.619607843137253</v>
      </c>
      <c r="M722" s="81">
        <f t="shared" ref="M722:M729" si="201">prodnorm21</f>
        <v>0</v>
      </c>
      <c r="N722" s="82">
        <f t="shared" ref="N722:N729" si="202">dagwerk21</f>
        <v>0</v>
      </c>
      <c r="O722" s="78" t="s">
        <v>103</v>
      </c>
      <c r="P722" s="15">
        <f t="shared" ref="P722:P729" si="203">uurtarief21</f>
        <v>0</v>
      </c>
      <c r="Q722" s="80" t="e">
        <f t="shared" si="193"/>
        <v>#DIV/0!</v>
      </c>
      <c r="R722" s="80" t="e">
        <f t="shared" si="194"/>
        <v>#DIV/0!</v>
      </c>
      <c r="S722" s="15" t="e">
        <f t="shared" si="195"/>
        <v>#DIV/0!</v>
      </c>
      <c r="T722" s="80" t="e">
        <f t="shared" si="196"/>
        <v>#DIV/0!</v>
      </c>
      <c r="U722" s="16" t="e">
        <f t="shared" si="197"/>
        <v>#DIV/0!</v>
      </c>
    </row>
    <row r="723" spans="1:21" x14ac:dyDescent="0.3">
      <c r="A723" s="77" t="s">
        <v>844</v>
      </c>
      <c r="B723" s="78" t="s">
        <v>40</v>
      </c>
      <c r="C723" s="78" t="s">
        <v>338</v>
      </c>
      <c r="D723" s="78" t="s">
        <v>957</v>
      </c>
      <c r="E723" s="79" t="s">
        <v>290</v>
      </c>
      <c r="F723" s="78" t="s">
        <v>848</v>
      </c>
      <c r="G723" s="78" t="s">
        <v>234</v>
      </c>
      <c r="H723" s="78" t="s">
        <v>11</v>
      </c>
      <c r="I723" s="78" t="s">
        <v>214</v>
      </c>
      <c r="J723" s="79" t="s">
        <v>235</v>
      </c>
      <c r="K723" s="80">
        <v>57.949999999999996</v>
      </c>
      <c r="L723" s="80">
        <f t="shared" si="192"/>
        <v>45.450980392156858</v>
      </c>
      <c r="M723" s="81">
        <f t="shared" si="201"/>
        <v>0</v>
      </c>
      <c r="N723" s="82">
        <f t="shared" si="202"/>
        <v>0</v>
      </c>
      <c r="O723" s="78" t="s">
        <v>103</v>
      </c>
      <c r="P723" s="15">
        <f t="shared" si="203"/>
        <v>0</v>
      </c>
      <c r="Q723" s="80" t="e">
        <f t="shared" si="193"/>
        <v>#DIV/0!</v>
      </c>
      <c r="R723" s="80" t="e">
        <f t="shared" si="194"/>
        <v>#DIV/0!</v>
      </c>
      <c r="S723" s="15" t="e">
        <f t="shared" si="195"/>
        <v>#DIV/0!</v>
      </c>
      <c r="T723" s="80" t="e">
        <f t="shared" si="196"/>
        <v>#DIV/0!</v>
      </c>
      <c r="U723" s="16" t="e">
        <f t="shared" si="197"/>
        <v>#DIV/0!</v>
      </c>
    </row>
    <row r="724" spans="1:21" x14ac:dyDescent="0.3">
      <c r="A724" s="77" t="s">
        <v>844</v>
      </c>
      <c r="B724" s="78" t="s">
        <v>40</v>
      </c>
      <c r="C724" s="78" t="s">
        <v>338</v>
      </c>
      <c r="D724" s="78" t="s">
        <v>958</v>
      </c>
      <c r="E724" s="79" t="s">
        <v>290</v>
      </c>
      <c r="F724" s="78" t="s">
        <v>848</v>
      </c>
      <c r="G724" s="78" t="s">
        <v>234</v>
      </c>
      <c r="H724" s="78" t="s">
        <v>11</v>
      </c>
      <c r="I724" s="78" t="s">
        <v>214</v>
      </c>
      <c r="J724" s="79" t="s">
        <v>235</v>
      </c>
      <c r="K724" s="80">
        <v>57.949999999999996</v>
      </c>
      <c r="L724" s="80">
        <f t="shared" si="192"/>
        <v>45.450980392156858</v>
      </c>
      <c r="M724" s="81">
        <f t="shared" si="201"/>
        <v>0</v>
      </c>
      <c r="N724" s="82">
        <f t="shared" si="202"/>
        <v>0</v>
      </c>
      <c r="O724" s="78" t="s">
        <v>103</v>
      </c>
      <c r="P724" s="15">
        <f t="shared" si="203"/>
        <v>0</v>
      </c>
      <c r="Q724" s="80" t="e">
        <f t="shared" si="193"/>
        <v>#DIV/0!</v>
      </c>
      <c r="R724" s="80" t="e">
        <f t="shared" si="194"/>
        <v>#DIV/0!</v>
      </c>
      <c r="S724" s="15" t="e">
        <f t="shared" si="195"/>
        <v>#DIV/0!</v>
      </c>
      <c r="T724" s="80" t="e">
        <f t="shared" si="196"/>
        <v>#DIV/0!</v>
      </c>
      <c r="U724" s="16" t="e">
        <f t="shared" si="197"/>
        <v>#DIV/0!</v>
      </c>
    </row>
    <row r="725" spans="1:21" x14ac:dyDescent="0.3">
      <c r="A725" s="77" t="s">
        <v>844</v>
      </c>
      <c r="B725" s="78" t="s">
        <v>40</v>
      </c>
      <c r="C725" s="78" t="s">
        <v>338</v>
      </c>
      <c r="D725" s="78" t="s">
        <v>959</v>
      </c>
      <c r="E725" s="79" t="s">
        <v>290</v>
      </c>
      <c r="F725" s="78" t="s">
        <v>848</v>
      </c>
      <c r="G725" s="78" t="s">
        <v>234</v>
      </c>
      <c r="H725" s="78" t="s">
        <v>11</v>
      </c>
      <c r="I725" s="78" t="s">
        <v>214</v>
      </c>
      <c r="J725" s="79" t="s">
        <v>235</v>
      </c>
      <c r="K725" s="80">
        <v>58.6</v>
      </c>
      <c r="L725" s="80">
        <f t="shared" si="192"/>
        <v>45.96078431372549</v>
      </c>
      <c r="M725" s="81">
        <f t="shared" si="201"/>
        <v>0</v>
      </c>
      <c r="N725" s="82">
        <f t="shared" si="202"/>
        <v>0</v>
      </c>
      <c r="O725" s="78" t="s">
        <v>103</v>
      </c>
      <c r="P725" s="15">
        <f t="shared" si="203"/>
        <v>0</v>
      </c>
      <c r="Q725" s="80" t="e">
        <f t="shared" si="193"/>
        <v>#DIV/0!</v>
      </c>
      <c r="R725" s="80" t="e">
        <f t="shared" si="194"/>
        <v>#DIV/0!</v>
      </c>
      <c r="S725" s="15" t="e">
        <f t="shared" si="195"/>
        <v>#DIV/0!</v>
      </c>
      <c r="T725" s="80" t="e">
        <f t="shared" si="196"/>
        <v>#DIV/0!</v>
      </c>
      <c r="U725" s="16" t="e">
        <f t="shared" si="197"/>
        <v>#DIV/0!</v>
      </c>
    </row>
    <row r="726" spans="1:21" x14ac:dyDescent="0.3">
      <c r="A726" s="77" t="s">
        <v>844</v>
      </c>
      <c r="B726" s="78" t="s">
        <v>40</v>
      </c>
      <c r="C726" s="78" t="s">
        <v>338</v>
      </c>
      <c r="D726" s="78" t="s">
        <v>960</v>
      </c>
      <c r="E726" s="79" t="s">
        <v>290</v>
      </c>
      <c r="F726" s="78" t="s">
        <v>848</v>
      </c>
      <c r="G726" s="78" t="s">
        <v>234</v>
      </c>
      <c r="H726" s="78" t="s">
        <v>11</v>
      </c>
      <c r="I726" s="78" t="s">
        <v>214</v>
      </c>
      <c r="J726" s="79" t="s">
        <v>235</v>
      </c>
      <c r="K726" s="80">
        <v>58.49</v>
      </c>
      <c r="L726" s="80">
        <f t="shared" si="192"/>
        <v>45.874509803921569</v>
      </c>
      <c r="M726" s="81">
        <f t="shared" si="201"/>
        <v>0</v>
      </c>
      <c r="N726" s="82">
        <f t="shared" si="202"/>
        <v>0</v>
      </c>
      <c r="O726" s="78" t="s">
        <v>103</v>
      </c>
      <c r="P726" s="15">
        <f t="shared" si="203"/>
        <v>0</v>
      </c>
      <c r="Q726" s="80" t="e">
        <f t="shared" si="193"/>
        <v>#DIV/0!</v>
      </c>
      <c r="R726" s="80" t="e">
        <f t="shared" si="194"/>
        <v>#DIV/0!</v>
      </c>
      <c r="S726" s="15" t="e">
        <f t="shared" si="195"/>
        <v>#DIV/0!</v>
      </c>
      <c r="T726" s="80" t="e">
        <f t="shared" si="196"/>
        <v>#DIV/0!</v>
      </c>
      <c r="U726" s="16" t="e">
        <f t="shared" si="197"/>
        <v>#DIV/0!</v>
      </c>
    </row>
    <row r="727" spans="1:21" x14ac:dyDescent="0.3">
      <c r="A727" s="77" t="s">
        <v>844</v>
      </c>
      <c r="B727" s="78" t="s">
        <v>40</v>
      </c>
      <c r="C727" s="78" t="s">
        <v>338</v>
      </c>
      <c r="D727" s="78" t="s">
        <v>961</v>
      </c>
      <c r="E727" s="79" t="s">
        <v>290</v>
      </c>
      <c r="F727" s="78" t="s">
        <v>848</v>
      </c>
      <c r="G727" s="78" t="s">
        <v>234</v>
      </c>
      <c r="H727" s="78" t="s">
        <v>11</v>
      </c>
      <c r="I727" s="78" t="s">
        <v>214</v>
      </c>
      <c r="J727" s="79" t="s">
        <v>235</v>
      </c>
      <c r="K727" s="80">
        <v>56.89</v>
      </c>
      <c r="L727" s="80">
        <f t="shared" si="192"/>
        <v>44.619607843137253</v>
      </c>
      <c r="M727" s="81">
        <f t="shared" si="201"/>
        <v>0</v>
      </c>
      <c r="N727" s="82">
        <f t="shared" si="202"/>
        <v>0</v>
      </c>
      <c r="O727" s="78" t="s">
        <v>103</v>
      </c>
      <c r="P727" s="15">
        <f t="shared" si="203"/>
        <v>0</v>
      </c>
      <c r="Q727" s="80" t="e">
        <f t="shared" si="193"/>
        <v>#DIV/0!</v>
      </c>
      <c r="R727" s="80" t="e">
        <f t="shared" si="194"/>
        <v>#DIV/0!</v>
      </c>
      <c r="S727" s="15" t="e">
        <f t="shared" si="195"/>
        <v>#DIV/0!</v>
      </c>
      <c r="T727" s="80" t="e">
        <f t="shared" si="196"/>
        <v>#DIV/0!</v>
      </c>
      <c r="U727" s="16" t="e">
        <f t="shared" si="197"/>
        <v>#DIV/0!</v>
      </c>
    </row>
    <row r="728" spans="1:21" x14ac:dyDescent="0.3">
      <c r="A728" s="77" t="s">
        <v>844</v>
      </c>
      <c r="B728" s="78" t="s">
        <v>40</v>
      </c>
      <c r="C728" s="78" t="s">
        <v>338</v>
      </c>
      <c r="D728" s="78" t="s">
        <v>962</v>
      </c>
      <c r="E728" s="79" t="s">
        <v>290</v>
      </c>
      <c r="F728" s="78" t="s">
        <v>848</v>
      </c>
      <c r="G728" s="78" t="s">
        <v>234</v>
      </c>
      <c r="H728" s="78" t="s">
        <v>11</v>
      </c>
      <c r="I728" s="78" t="s">
        <v>214</v>
      </c>
      <c r="J728" s="79" t="s">
        <v>235</v>
      </c>
      <c r="K728" s="80">
        <v>64.760000000000005</v>
      </c>
      <c r="L728" s="80">
        <f t="shared" si="192"/>
        <v>50.792156862745102</v>
      </c>
      <c r="M728" s="81">
        <f t="shared" si="201"/>
        <v>0</v>
      </c>
      <c r="N728" s="82">
        <f t="shared" si="202"/>
        <v>0</v>
      </c>
      <c r="O728" s="78" t="s">
        <v>103</v>
      </c>
      <c r="P728" s="15">
        <f t="shared" si="203"/>
        <v>0</v>
      </c>
      <c r="Q728" s="80" t="e">
        <f t="shared" si="193"/>
        <v>#DIV/0!</v>
      </c>
      <c r="R728" s="80" t="e">
        <f t="shared" si="194"/>
        <v>#DIV/0!</v>
      </c>
      <c r="S728" s="15" t="e">
        <f t="shared" si="195"/>
        <v>#DIV/0!</v>
      </c>
      <c r="T728" s="80" t="e">
        <f t="shared" si="196"/>
        <v>#DIV/0!</v>
      </c>
      <c r="U728" s="16" t="e">
        <f t="shared" si="197"/>
        <v>#DIV/0!</v>
      </c>
    </row>
    <row r="729" spans="1:21" x14ac:dyDescent="0.3">
      <c r="A729" s="77" t="s">
        <v>844</v>
      </c>
      <c r="B729" s="78" t="s">
        <v>40</v>
      </c>
      <c r="C729" s="78" t="s">
        <v>338</v>
      </c>
      <c r="D729" s="78" t="s">
        <v>963</v>
      </c>
      <c r="E729" s="79" t="s">
        <v>290</v>
      </c>
      <c r="F729" s="78" t="s">
        <v>848</v>
      </c>
      <c r="G729" s="78" t="s">
        <v>234</v>
      </c>
      <c r="H729" s="78" t="s">
        <v>11</v>
      </c>
      <c r="I729" s="78" t="s">
        <v>214</v>
      </c>
      <c r="J729" s="79" t="s">
        <v>235</v>
      </c>
      <c r="K729" s="80">
        <v>44.36</v>
      </c>
      <c r="L729" s="80">
        <f t="shared" ref="L729:L749" si="204">K729*VLOOKUP(H729,dagsoorttabel1,2,FALSE)</f>
        <v>34.792156862745095</v>
      </c>
      <c r="M729" s="81">
        <f t="shared" si="201"/>
        <v>0</v>
      </c>
      <c r="N729" s="82">
        <f t="shared" si="202"/>
        <v>0</v>
      </c>
      <c r="O729" s="78" t="s">
        <v>103</v>
      </c>
      <c r="P729" s="15">
        <f t="shared" si="203"/>
        <v>0</v>
      </c>
      <c r="Q729" s="80" t="e">
        <f t="shared" ref="Q729:Q749" si="205">IF(ISBLANK(M729),0,L729/ROUND(M729,4))</f>
        <v>#DIV/0!</v>
      </c>
      <c r="R729" s="80" t="e">
        <f t="shared" ref="R729:R749" si="206">IF(ISBLANK(M729),0,Q729*ROUND(N729,2))</f>
        <v>#DIV/0!</v>
      </c>
      <c r="S729" s="15" t="e">
        <f t="shared" ref="S729:S749" si="207">ROUND(P729,2)*Q729</f>
        <v>#DIV/0!</v>
      </c>
      <c r="T729" s="80" t="e">
        <f t="shared" ref="T729:T749" si="208">Q729*dagenperjaar1</f>
        <v>#DIV/0!</v>
      </c>
      <c r="U729" s="16" t="e">
        <f t="shared" ref="U729:U749" si="209">T729*ROUND(P729,2)</f>
        <v>#DIV/0!</v>
      </c>
    </row>
    <row r="730" spans="1:21" x14ac:dyDescent="0.3">
      <c r="A730" s="77" t="s">
        <v>844</v>
      </c>
      <c r="B730" s="78" t="s">
        <v>40</v>
      </c>
      <c r="C730" s="78" t="s">
        <v>338</v>
      </c>
      <c r="D730" s="78" t="s">
        <v>964</v>
      </c>
      <c r="E730" s="79" t="s">
        <v>511</v>
      </c>
      <c r="F730" s="78" t="s">
        <v>848</v>
      </c>
      <c r="G730" s="78" t="s">
        <v>216</v>
      </c>
      <c r="H730" s="78" t="s">
        <v>11</v>
      </c>
      <c r="I730" s="78" t="s">
        <v>214</v>
      </c>
      <c r="J730" s="79" t="s">
        <v>217</v>
      </c>
      <c r="K730" s="80">
        <v>27.36</v>
      </c>
      <c r="L730" s="80">
        <f t="shared" si="204"/>
        <v>21.458823529411763</v>
      </c>
      <c r="M730" s="81">
        <f>prodnorm6</f>
        <v>0</v>
      </c>
      <c r="N730" s="82">
        <f>dagwerk6</f>
        <v>0</v>
      </c>
      <c r="O730" s="78" t="s">
        <v>103</v>
      </c>
      <c r="P730" s="15">
        <f>uurtarief6</f>
        <v>0</v>
      </c>
      <c r="Q730" s="80" t="e">
        <f t="shared" si="205"/>
        <v>#DIV/0!</v>
      </c>
      <c r="R730" s="80" t="e">
        <f t="shared" si="206"/>
        <v>#DIV/0!</v>
      </c>
      <c r="S730" s="15" t="e">
        <f t="shared" si="207"/>
        <v>#DIV/0!</v>
      </c>
      <c r="T730" s="80" t="e">
        <f t="shared" si="208"/>
        <v>#DIV/0!</v>
      </c>
      <c r="U730" s="16" t="e">
        <f t="shared" si="209"/>
        <v>#DIV/0!</v>
      </c>
    </row>
    <row r="731" spans="1:21" x14ac:dyDescent="0.3">
      <c r="A731" s="77" t="s">
        <v>844</v>
      </c>
      <c r="B731" s="78" t="s">
        <v>40</v>
      </c>
      <c r="C731" s="78" t="s">
        <v>338</v>
      </c>
      <c r="D731" s="78" t="s">
        <v>965</v>
      </c>
      <c r="E731" s="79" t="s">
        <v>889</v>
      </c>
      <c r="F731" s="78" t="s">
        <v>591</v>
      </c>
      <c r="G731" s="78" t="s">
        <v>250</v>
      </c>
      <c r="H731" s="78" t="s">
        <v>11</v>
      </c>
      <c r="I731" s="78" t="s">
        <v>214</v>
      </c>
      <c r="J731" s="79" t="s">
        <v>251</v>
      </c>
      <c r="K731" s="80">
        <v>15.97</v>
      </c>
      <c r="L731" s="80">
        <f t="shared" si="204"/>
        <v>12.525490196078431</v>
      </c>
      <c r="M731" s="81">
        <f>prodnorm30</f>
        <v>0</v>
      </c>
      <c r="N731" s="82">
        <f>dagwerk30</f>
        <v>0</v>
      </c>
      <c r="O731" s="78" t="s">
        <v>103</v>
      </c>
      <c r="P731" s="15">
        <f>uurtarief30</f>
        <v>0</v>
      </c>
      <c r="Q731" s="80" t="e">
        <f t="shared" si="205"/>
        <v>#DIV/0!</v>
      </c>
      <c r="R731" s="80" t="e">
        <f t="shared" si="206"/>
        <v>#DIV/0!</v>
      </c>
      <c r="S731" s="15" t="e">
        <f t="shared" si="207"/>
        <v>#DIV/0!</v>
      </c>
      <c r="T731" s="80" t="e">
        <f t="shared" si="208"/>
        <v>#DIV/0!</v>
      </c>
      <c r="U731" s="16" t="e">
        <f t="shared" si="209"/>
        <v>#DIV/0!</v>
      </c>
    </row>
    <row r="732" spans="1:21" x14ac:dyDescent="0.3">
      <c r="A732" s="77" t="s">
        <v>844</v>
      </c>
      <c r="B732" s="78" t="s">
        <v>40</v>
      </c>
      <c r="C732" s="78" t="s">
        <v>338</v>
      </c>
      <c r="D732" s="78" t="s">
        <v>966</v>
      </c>
      <c r="E732" s="79" t="s">
        <v>290</v>
      </c>
      <c r="F732" s="78" t="s">
        <v>848</v>
      </c>
      <c r="G732" s="78" t="s">
        <v>234</v>
      </c>
      <c r="H732" s="78" t="s">
        <v>11</v>
      </c>
      <c r="I732" s="78" t="s">
        <v>214</v>
      </c>
      <c r="J732" s="79" t="s">
        <v>235</v>
      </c>
      <c r="K732" s="80">
        <v>43.260000000000005</v>
      </c>
      <c r="L732" s="80">
        <f t="shared" si="204"/>
        <v>33.929411764705883</v>
      </c>
      <c r="M732" s="81">
        <f>prodnorm21</f>
        <v>0</v>
      </c>
      <c r="N732" s="82">
        <f>dagwerk21</f>
        <v>0</v>
      </c>
      <c r="O732" s="78" t="s">
        <v>103</v>
      </c>
      <c r="P732" s="15">
        <f>uurtarief21</f>
        <v>0</v>
      </c>
      <c r="Q732" s="80" t="e">
        <f t="shared" si="205"/>
        <v>#DIV/0!</v>
      </c>
      <c r="R732" s="80" t="e">
        <f t="shared" si="206"/>
        <v>#DIV/0!</v>
      </c>
      <c r="S732" s="15" t="e">
        <f t="shared" si="207"/>
        <v>#DIV/0!</v>
      </c>
      <c r="T732" s="80" t="e">
        <f t="shared" si="208"/>
        <v>#DIV/0!</v>
      </c>
      <c r="U732" s="16" t="e">
        <f t="shared" si="209"/>
        <v>#DIV/0!</v>
      </c>
    </row>
    <row r="733" spans="1:21" x14ac:dyDescent="0.3">
      <c r="A733" s="77" t="s">
        <v>844</v>
      </c>
      <c r="B733" s="78" t="s">
        <v>40</v>
      </c>
      <c r="C733" s="78" t="s">
        <v>338</v>
      </c>
      <c r="D733" s="78" t="s">
        <v>967</v>
      </c>
      <c r="E733" s="79" t="s">
        <v>290</v>
      </c>
      <c r="F733" s="78" t="s">
        <v>848</v>
      </c>
      <c r="G733" s="78" t="s">
        <v>234</v>
      </c>
      <c r="H733" s="78" t="s">
        <v>11</v>
      </c>
      <c r="I733" s="78" t="s">
        <v>214</v>
      </c>
      <c r="J733" s="79" t="s">
        <v>235</v>
      </c>
      <c r="K733" s="80">
        <v>45.05</v>
      </c>
      <c r="L733" s="80">
        <f t="shared" si="204"/>
        <v>35.333333333333329</v>
      </c>
      <c r="M733" s="81">
        <f>prodnorm21</f>
        <v>0</v>
      </c>
      <c r="N733" s="82">
        <f>dagwerk21</f>
        <v>0</v>
      </c>
      <c r="O733" s="78" t="s">
        <v>103</v>
      </c>
      <c r="P733" s="15">
        <f>uurtarief21</f>
        <v>0</v>
      </c>
      <c r="Q733" s="80" t="e">
        <f t="shared" si="205"/>
        <v>#DIV/0!</v>
      </c>
      <c r="R733" s="80" t="e">
        <f t="shared" si="206"/>
        <v>#DIV/0!</v>
      </c>
      <c r="S733" s="15" t="e">
        <f t="shared" si="207"/>
        <v>#DIV/0!</v>
      </c>
      <c r="T733" s="80" t="e">
        <f t="shared" si="208"/>
        <v>#DIV/0!</v>
      </c>
      <c r="U733" s="16" t="e">
        <f t="shared" si="209"/>
        <v>#DIV/0!</v>
      </c>
    </row>
    <row r="734" spans="1:21" x14ac:dyDescent="0.3">
      <c r="A734" s="77" t="s">
        <v>844</v>
      </c>
      <c r="B734" s="78" t="s">
        <v>40</v>
      </c>
      <c r="C734" s="78" t="s">
        <v>338</v>
      </c>
      <c r="D734" s="78" t="s">
        <v>968</v>
      </c>
      <c r="E734" s="79" t="s">
        <v>290</v>
      </c>
      <c r="F734" s="78" t="s">
        <v>848</v>
      </c>
      <c r="G734" s="78" t="s">
        <v>234</v>
      </c>
      <c r="H734" s="78" t="s">
        <v>11</v>
      </c>
      <c r="I734" s="78" t="s">
        <v>214</v>
      </c>
      <c r="J734" s="79" t="s">
        <v>235</v>
      </c>
      <c r="K734" s="80">
        <v>64.760000000000005</v>
      </c>
      <c r="L734" s="80">
        <f t="shared" si="204"/>
        <v>50.792156862745102</v>
      </c>
      <c r="M734" s="81">
        <f>prodnorm21</f>
        <v>0</v>
      </c>
      <c r="N734" s="82">
        <f>dagwerk21</f>
        <v>0</v>
      </c>
      <c r="O734" s="78" t="s">
        <v>103</v>
      </c>
      <c r="P734" s="15">
        <f>uurtarief21</f>
        <v>0</v>
      </c>
      <c r="Q734" s="80" t="e">
        <f t="shared" si="205"/>
        <v>#DIV/0!</v>
      </c>
      <c r="R734" s="80" t="e">
        <f t="shared" si="206"/>
        <v>#DIV/0!</v>
      </c>
      <c r="S734" s="15" t="e">
        <f t="shared" si="207"/>
        <v>#DIV/0!</v>
      </c>
      <c r="T734" s="80" t="e">
        <f t="shared" si="208"/>
        <v>#DIV/0!</v>
      </c>
      <c r="U734" s="16" t="e">
        <f t="shared" si="209"/>
        <v>#DIV/0!</v>
      </c>
    </row>
    <row r="735" spans="1:21" x14ac:dyDescent="0.3">
      <c r="A735" s="77" t="s">
        <v>844</v>
      </c>
      <c r="B735" s="78" t="s">
        <v>40</v>
      </c>
      <c r="C735" s="78" t="s">
        <v>338</v>
      </c>
      <c r="D735" s="78" t="s">
        <v>969</v>
      </c>
      <c r="E735" s="79" t="s">
        <v>511</v>
      </c>
      <c r="F735" s="78" t="s">
        <v>848</v>
      </c>
      <c r="G735" s="78" t="s">
        <v>216</v>
      </c>
      <c r="H735" s="78" t="s">
        <v>11</v>
      </c>
      <c r="I735" s="78" t="s">
        <v>214</v>
      </c>
      <c r="J735" s="79" t="s">
        <v>217</v>
      </c>
      <c r="K735" s="80">
        <v>13.58</v>
      </c>
      <c r="L735" s="80">
        <f t="shared" si="204"/>
        <v>10.650980392156862</v>
      </c>
      <c r="M735" s="81">
        <f>prodnorm6</f>
        <v>0</v>
      </c>
      <c r="N735" s="82">
        <f>dagwerk6</f>
        <v>0</v>
      </c>
      <c r="O735" s="78" t="s">
        <v>103</v>
      </c>
      <c r="P735" s="15">
        <f>uurtarief6</f>
        <v>0</v>
      </c>
      <c r="Q735" s="80" t="e">
        <f t="shared" si="205"/>
        <v>#DIV/0!</v>
      </c>
      <c r="R735" s="80" t="e">
        <f t="shared" si="206"/>
        <v>#DIV/0!</v>
      </c>
      <c r="S735" s="15" t="e">
        <f t="shared" si="207"/>
        <v>#DIV/0!</v>
      </c>
      <c r="T735" s="80" t="e">
        <f t="shared" si="208"/>
        <v>#DIV/0!</v>
      </c>
      <c r="U735" s="16" t="e">
        <f t="shared" si="209"/>
        <v>#DIV/0!</v>
      </c>
    </row>
    <row r="736" spans="1:21" x14ac:dyDescent="0.3">
      <c r="A736" s="77" t="s">
        <v>844</v>
      </c>
      <c r="B736" s="78" t="s">
        <v>40</v>
      </c>
      <c r="C736" s="78" t="s">
        <v>338</v>
      </c>
      <c r="D736" s="78" t="s">
        <v>970</v>
      </c>
      <c r="E736" s="79" t="s">
        <v>290</v>
      </c>
      <c r="F736" s="78" t="s">
        <v>848</v>
      </c>
      <c r="G736" s="78" t="s">
        <v>234</v>
      </c>
      <c r="H736" s="78" t="s">
        <v>11</v>
      </c>
      <c r="I736" s="78" t="s">
        <v>214</v>
      </c>
      <c r="J736" s="79" t="s">
        <v>235</v>
      </c>
      <c r="K736" s="80">
        <v>56.89</v>
      </c>
      <c r="L736" s="80">
        <f t="shared" si="204"/>
        <v>44.619607843137253</v>
      </c>
      <c r="M736" s="81">
        <f>prodnorm21</f>
        <v>0</v>
      </c>
      <c r="N736" s="82">
        <f>dagwerk21</f>
        <v>0</v>
      </c>
      <c r="O736" s="78" t="s">
        <v>103</v>
      </c>
      <c r="P736" s="15">
        <f>uurtarief21</f>
        <v>0</v>
      </c>
      <c r="Q736" s="80" t="e">
        <f t="shared" si="205"/>
        <v>#DIV/0!</v>
      </c>
      <c r="R736" s="80" t="e">
        <f t="shared" si="206"/>
        <v>#DIV/0!</v>
      </c>
      <c r="S736" s="15" t="e">
        <f t="shared" si="207"/>
        <v>#DIV/0!</v>
      </c>
      <c r="T736" s="80" t="e">
        <f t="shared" si="208"/>
        <v>#DIV/0!</v>
      </c>
      <c r="U736" s="16" t="e">
        <f t="shared" si="209"/>
        <v>#DIV/0!</v>
      </c>
    </row>
    <row r="737" spans="1:21" x14ac:dyDescent="0.3">
      <c r="A737" s="77" t="s">
        <v>844</v>
      </c>
      <c r="B737" s="78" t="s">
        <v>40</v>
      </c>
      <c r="C737" s="78" t="s">
        <v>338</v>
      </c>
      <c r="D737" s="78" t="s">
        <v>971</v>
      </c>
      <c r="E737" s="79" t="s">
        <v>290</v>
      </c>
      <c r="F737" s="78" t="s">
        <v>848</v>
      </c>
      <c r="G737" s="78" t="s">
        <v>234</v>
      </c>
      <c r="H737" s="78" t="s">
        <v>11</v>
      </c>
      <c r="I737" s="78" t="s">
        <v>214</v>
      </c>
      <c r="J737" s="79" t="s">
        <v>235</v>
      </c>
      <c r="K737" s="80">
        <v>57.949999999999996</v>
      </c>
      <c r="L737" s="80">
        <f t="shared" si="204"/>
        <v>45.450980392156858</v>
      </c>
      <c r="M737" s="81">
        <f>prodnorm21</f>
        <v>0</v>
      </c>
      <c r="N737" s="82">
        <f>dagwerk21</f>
        <v>0</v>
      </c>
      <c r="O737" s="78" t="s">
        <v>103</v>
      </c>
      <c r="P737" s="15">
        <f>uurtarief21</f>
        <v>0</v>
      </c>
      <c r="Q737" s="80" t="e">
        <f t="shared" si="205"/>
        <v>#DIV/0!</v>
      </c>
      <c r="R737" s="80" t="e">
        <f t="shared" si="206"/>
        <v>#DIV/0!</v>
      </c>
      <c r="S737" s="15" t="e">
        <f t="shared" si="207"/>
        <v>#DIV/0!</v>
      </c>
      <c r="T737" s="80" t="e">
        <f t="shared" si="208"/>
        <v>#DIV/0!</v>
      </c>
      <c r="U737" s="16" t="e">
        <f t="shared" si="209"/>
        <v>#DIV/0!</v>
      </c>
    </row>
    <row r="738" spans="1:21" x14ac:dyDescent="0.3">
      <c r="A738" s="77" t="s">
        <v>844</v>
      </c>
      <c r="B738" s="78" t="s">
        <v>40</v>
      </c>
      <c r="C738" s="78" t="s">
        <v>338</v>
      </c>
      <c r="D738" s="78" t="s">
        <v>972</v>
      </c>
      <c r="E738" s="79" t="s">
        <v>290</v>
      </c>
      <c r="F738" s="78" t="s">
        <v>848</v>
      </c>
      <c r="G738" s="78" t="s">
        <v>234</v>
      </c>
      <c r="H738" s="78" t="s">
        <v>11</v>
      </c>
      <c r="I738" s="78" t="s">
        <v>214</v>
      </c>
      <c r="J738" s="79" t="s">
        <v>235</v>
      </c>
      <c r="K738" s="80">
        <v>57.949999999999996</v>
      </c>
      <c r="L738" s="80">
        <f t="shared" si="204"/>
        <v>45.450980392156858</v>
      </c>
      <c r="M738" s="81">
        <f>prodnorm21</f>
        <v>0</v>
      </c>
      <c r="N738" s="82">
        <f>dagwerk21</f>
        <v>0</v>
      </c>
      <c r="O738" s="78" t="s">
        <v>103</v>
      </c>
      <c r="P738" s="15">
        <f>uurtarief21</f>
        <v>0</v>
      </c>
      <c r="Q738" s="80" t="e">
        <f t="shared" si="205"/>
        <v>#DIV/0!</v>
      </c>
      <c r="R738" s="80" t="e">
        <f t="shared" si="206"/>
        <v>#DIV/0!</v>
      </c>
      <c r="S738" s="15" t="e">
        <f t="shared" si="207"/>
        <v>#DIV/0!</v>
      </c>
      <c r="T738" s="80" t="e">
        <f t="shared" si="208"/>
        <v>#DIV/0!</v>
      </c>
      <c r="U738" s="16" t="e">
        <f t="shared" si="209"/>
        <v>#DIV/0!</v>
      </c>
    </row>
    <row r="739" spans="1:21" x14ac:dyDescent="0.3">
      <c r="A739" s="77" t="s">
        <v>844</v>
      </c>
      <c r="B739" s="78" t="s">
        <v>40</v>
      </c>
      <c r="C739" s="78" t="s">
        <v>338</v>
      </c>
      <c r="D739" s="78" t="s">
        <v>973</v>
      </c>
      <c r="E739" s="79" t="s">
        <v>282</v>
      </c>
      <c r="F739" s="78" t="s">
        <v>848</v>
      </c>
      <c r="G739" s="78" t="s">
        <v>236</v>
      </c>
      <c r="H739" s="78" t="s">
        <v>11</v>
      </c>
      <c r="I739" s="78" t="s">
        <v>214</v>
      </c>
      <c r="J739" s="79" t="s">
        <v>237</v>
      </c>
      <c r="K739" s="80">
        <v>176.34</v>
      </c>
      <c r="L739" s="80">
        <f t="shared" si="204"/>
        <v>138.30588235294118</v>
      </c>
      <c r="M739" s="81">
        <f>prodnorm22</f>
        <v>0</v>
      </c>
      <c r="N739" s="82">
        <f>dagwerk22</f>
        <v>0</v>
      </c>
      <c r="O739" s="78" t="s">
        <v>103</v>
      </c>
      <c r="P739" s="15">
        <f>uurtarief22</f>
        <v>0</v>
      </c>
      <c r="Q739" s="80" t="e">
        <f t="shared" si="205"/>
        <v>#DIV/0!</v>
      </c>
      <c r="R739" s="80" t="e">
        <f t="shared" si="206"/>
        <v>#DIV/0!</v>
      </c>
      <c r="S739" s="15" t="e">
        <f t="shared" si="207"/>
        <v>#DIV/0!</v>
      </c>
      <c r="T739" s="80" t="e">
        <f t="shared" si="208"/>
        <v>#DIV/0!</v>
      </c>
      <c r="U739" s="16" t="e">
        <f t="shared" si="209"/>
        <v>#DIV/0!</v>
      </c>
    </row>
    <row r="740" spans="1:21" x14ac:dyDescent="0.3">
      <c r="A740" s="77" t="s">
        <v>844</v>
      </c>
      <c r="B740" s="78" t="s">
        <v>40</v>
      </c>
      <c r="C740" s="78" t="s">
        <v>338</v>
      </c>
      <c r="D740" s="78" t="s">
        <v>974</v>
      </c>
      <c r="E740" s="79" t="s">
        <v>975</v>
      </c>
      <c r="F740" s="78" t="s">
        <v>848</v>
      </c>
      <c r="G740" s="78" t="s">
        <v>244</v>
      </c>
      <c r="H740" s="78" t="s">
        <v>11</v>
      </c>
      <c r="I740" s="78" t="s">
        <v>214</v>
      </c>
      <c r="J740" s="79" t="s">
        <v>245</v>
      </c>
      <c r="K740" s="80">
        <v>81.36</v>
      </c>
      <c r="L740" s="80">
        <f t="shared" si="204"/>
        <v>63.811764705882354</v>
      </c>
      <c r="M740" s="81">
        <f>prodnorm27</f>
        <v>0</v>
      </c>
      <c r="N740" s="82">
        <f>dagwerk27</f>
        <v>0</v>
      </c>
      <c r="O740" s="78" t="s">
        <v>103</v>
      </c>
      <c r="P740" s="15">
        <f>uurtarief27</f>
        <v>0</v>
      </c>
      <c r="Q740" s="80" t="e">
        <f t="shared" si="205"/>
        <v>#DIV/0!</v>
      </c>
      <c r="R740" s="80" t="e">
        <f t="shared" si="206"/>
        <v>#DIV/0!</v>
      </c>
      <c r="S740" s="15" t="e">
        <f t="shared" si="207"/>
        <v>#DIV/0!</v>
      </c>
      <c r="T740" s="80" t="e">
        <f t="shared" si="208"/>
        <v>#DIV/0!</v>
      </c>
      <c r="U740" s="16" t="e">
        <f t="shared" si="209"/>
        <v>#DIV/0!</v>
      </c>
    </row>
    <row r="741" spans="1:21" x14ac:dyDescent="0.3">
      <c r="A741" s="77" t="s">
        <v>844</v>
      </c>
      <c r="B741" s="78" t="s">
        <v>40</v>
      </c>
      <c r="C741" s="78" t="s">
        <v>338</v>
      </c>
      <c r="D741" s="78" t="s">
        <v>976</v>
      </c>
      <c r="E741" s="79" t="s">
        <v>977</v>
      </c>
      <c r="F741" s="78" t="s">
        <v>848</v>
      </c>
      <c r="G741" s="78" t="s">
        <v>244</v>
      </c>
      <c r="H741" s="78" t="s">
        <v>11</v>
      </c>
      <c r="I741" s="78" t="s">
        <v>214</v>
      </c>
      <c r="J741" s="79" t="s">
        <v>245</v>
      </c>
      <c r="K741" s="80">
        <v>81.040000000000006</v>
      </c>
      <c r="L741" s="80">
        <f t="shared" si="204"/>
        <v>63.560784313725492</v>
      </c>
      <c r="M741" s="81">
        <f>prodnorm27</f>
        <v>0</v>
      </c>
      <c r="N741" s="82">
        <f>dagwerk27</f>
        <v>0</v>
      </c>
      <c r="O741" s="78" t="s">
        <v>103</v>
      </c>
      <c r="P741" s="15">
        <f>uurtarief27</f>
        <v>0</v>
      </c>
      <c r="Q741" s="80" t="e">
        <f t="shared" si="205"/>
        <v>#DIV/0!</v>
      </c>
      <c r="R741" s="80" t="e">
        <f t="shared" si="206"/>
        <v>#DIV/0!</v>
      </c>
      <c r="S741" s="15" t="e">
        <f t="shared" si="207"/>
        <v>#DIV/0!</v>
      </c>
      <c r="T741" s="80" t="e">
        <f t="shared" si="208"/>
        <v>#DIV/0!</v>
      </c>
      <c r="U741" s="16" t="e">
        <f t="shared" si="209"/>
        <v>#DIV/0!</v>
      </c>
    </row>
    <row r="742" spans="1:21" x14ac:dyDescent="0.3">
      <c r="A742" s="77" t="s">
        <v>844</v>
      </c>
      <c r="B742" s="78" t="s">
        <v>40</v>
      </c>
      <c r="C742" s="78" t="s">
        <v>338</v>
      </c>
      <c r="D742" s="78" t="s">
        <v>978</v>
      </c>
      <c r="E742" s="79" t="s">
        <v>511</v>
      </c>
      <c r="F742" s="78" t="s">
        <v>848</v>
      </c>
      <c r="G742" s="78" t="s">
        <v>216</v>
      </c>
      <c r="H742" s="78" t="s">
        <v>11</v>
      </c>
      <c r="I742" s="78" t="s">
        <v>214</v>
      </c>
      <c r="J742" s="79" t="s">
        <v>217</v>
      </c>
      <c r="K742" s="80">
        <v>30.77</v>
      </c>
      <c r="L742" s="80">
        <f t="shared" si="204"/>
        <v>24.133333333333333</v>
      </c>
      <c r="M742" s="81">
        <f>prodnorm6</f>
        <v>0</v>
      </c>
      <c r="N742" s="82">
        <f>dagwerk6</f>
        <v>0</v>
      </c>
      <c r="O742" s="78" t="s">
        <v>103</v>
      </c>
      <c r="P742" s="15">
        <f>uurtarief6</f>
        <v>0</v>
      </c>
      <c r="Q742" s="80" t="e">
        <f t="shared" si="205"/>
        <v>#DIV/0!</v>
      </c>
      <c r="R742" s="80" t="e">
        <f t="shared" si="206"/>
        <v>#DIV/0!</v>
      </c>
      <c r="S742" s="15" t="e">
        <f t="shared" si="207"/>
        <v>#DIV/0!</v>
      </c>
      <c r="T742" s="80" t="e">
        <f t="shared" si="208"/>
        <v>#DIV/0!</v>
      </c>
      <c r="U742" s="16" t="e">
        <f t="shared" si="209"/>
        <v>#DIV/0!</v>
      </c>
    </row>
    <row r="743" spans="1:21" x14ac:dyDescent="0.3">
      <c r="A743" s="77" t="s">
        <v>844</v>
      </c>
      <c r="B743" s="78" t="s">
        <v>40</v>
      </c>
      <c r="C743" s="78" t="s">
        <v>338</v>
      </c>
      <c r="D743" s="78" t="s">
        <v>979</v>
      </c>
      <c r="E743" s="79" t="s">
        <v>290</v>
      </c>
      <c r="F743" s="78" t="s">
        <v>848</v>
      </c>
      <c r="G743" s="78" t="s">
        <v>234</v>
      </c>
      <c r="H743" s="78" t="s">
        <v>11</v>
      </c>
      <c r="I743" s="78" t="s">
        <v>214</v>
      </c>
      <c r="J743" s="79" t="s">
        <v>235</v>
      </c>
      <c r="K743" s="80">
        <v>44.27</v>
      </c>
      <c r="L743" s="80">
        <f t="shared" si="204"/>
        <v>34.721568627450985</v>
      </c>
      <c r="M743" s="81">
        <f>prodnorm21</f>
        <v>0</v>
      </c>
      <c r="N743" s="82">
        <f>dagwerk21</f>
        <v>0</v>
      </c>
      <c r="O743" s="78" t="s">
        <v>103</v>
      </c>
      <c r="P743" s="15">
        <f>uurtarief21</f>
        <v>0</v>
      </c>
      <c r="Q743" s="80" t="e">
        <f t="shared" si="205"/>
        <v>#DIV/0!</v>
      </c>
      <c r="R743" s="80" t="e">
        <f t="shared" si="206"/>
        <v>#DIV/0!</v>
      </c>
      <c r="S743" s="15" t="e">
        <f t="shared" si="207"/>
        <v>#DIV/0!</v>
      </c>
      <c r="T743" s="80" t="e">
        <f t="shared" si="208"/>
        <v>#DIV/0!</v>
      </c>
      <c r="U743" s="16" t="e">
        <f t="shared" si="209"/>
        <v>#DIV/0!</v>
      </c>
    </row>
    <row r="744" spans="1:21" x14ac:dyDescent="0.3">
      <c r="A744" s="77" t="s">
        <v>844</v>
      </c>
      <c r="B744" s="78" t="s">
        <v>40</v>
      </c>
      <c r="C744" s="78" t="s">
        <v>338</v>
      </c>
      <c r="D744" s="78" t="s">
        <v>980</v>
      </c>
      <c r="E744" s="79" t="s">
        <v>290</v>
      </c>
      <c r="F744" s="78" t="s">
        <v>848</v>
      </c>
      <c r="G744" s="78" t="s">
        <v>234</v>
      </c>
      <c r="H744" s="78" t="s">
        <v>11</v>
      </c>
      <c r="I744" s="78" t="s">
        <v>214</v>
      </c>
      <c r="J744" s="79" t="s">
        <v>235</v>
      </c>
      <c r="K744" s="80">
        <v>44.620000000000005</v>
      </c>
      <c r="L744" s="80">
        <f t="shared" si="204"/>
        <v>34.996078431372553</v>
      </c>
      <c r="M744" s="81">
        <f>prodnorm21</f>
        <v>0</v>
      </c>
      <c r="N744" s="82">
        <f>dagwerk21</f>
        <v>0</v>
      </c>
      <c r="O744" s="78" t="s">
        <v>103</v>
      </c>
      <c r="P744" s="15">
        <f>uurtarief21</f>
        <v>0</v>
      </c>
      <c r="Q744" s="80" t="e">
        <f t="shared" si="205"/>
        <v>#DIV/0!</v>
      </c>
      <c r="R744" s="80" t="e">
        <f t="shared" si="206"/>
        <v>#DIV/0!</v>
      </c>
      <c r="S744" s="15" t="e">
        <f t="shared" si="207"/>
        <v>#DIV/0!</v>
      </c>
      <c r="T744" s="80" t="e">
        <f t="shared" si="208"/>
        <v>#DIV/0!</v>
      </c>
      <c r="U744" s="16" t="e">
        <f t="shared" si="209"/>
        <v>#DIV/0!</v>
      </c>
    </row>
    <row r="745" spans="1:21" x14ac:dyDescent="0.3">
      <c r="A745" s="77" t="s">
        <v>844</v>
      </c>
      <c r="B745" s="78" t="s">
        <v>40</v>
      </c>
      <c r="C745" s="78" t="s">
        <v>338</v>
      </c>
      <c r="D745" s="78" t="s">
        <v>981</v>
      </c>
      <c r="E745" s="79" t="s">
        <v>290</v>
      </c>
      <c r="F745" s="78" t="s">
        <v>848</v>
      </c>
      <c r="G745" s="78" t="s">
        <v>234</v>
      </c>
      <c r="H745" s="78" t="s">
        <v>11</v>
      </c>
      <c r="I745" s="78" t="s">
        <v>214</v>
      </c>
      <c r="J745" s="79" t="s">
        <v>235</v>
      </c>
      <c r="K745" s="80">
        <v>45.879999999999995</v>
      </c>
      <c r="L745" s="80">
        <f t="shared" si="204"/>
        <v>35.984313725490189</v>
      </c>
      <c r="M745" s="81">
        <f>prodnorm21</f>
        <v>0</v>
      </c>
      <c r="N745" s="82">
        <f>dagwerk21</f>
        <v>0</v>
      </c>
      <c r="O745" s="78" t="s">
        <v>103</v>
      </c>
      <c r="P745" s="15">
        <f>uurtarief21</f>
        <v>0</v>
      </c>
      <c r="Q745" s="80" t="e">
        <f t="shared" si="205"/>
        <v>#DIV/0!</v>
      </c>
      <c r="R745" s="80" t="e">
        <f t="shared" si="206"/>
        <v>#DIV/0!</v>
      </c>
      <c r="S745" s="15" t="e">
        <f t="shared" si="207"/>
        <v>#DIV/0!</v>
      </c>
      <c r="T745" s="80" t="e">
        <f t="shared" si="208"/>
        <v>#DIV/0!</v>
      </c>
      <c r="U745" s="16" t="e">
        <f t="shared" si="209"/>
        <v>#DIV/0!</v>
      </c>
    </row>
    <row r="746" spans="1:21" x14ac:dyDescent="0.3">
      <c r="A746" s="77" t="s">
        <v>844</v>
      </c>
      <c r="B746" s="78" t="s">
        <v>40</v>
      </c>
      <c r="C746" s="78" t="s">
        <v>338</v>
      </c>
      <c r="D746" s="78" t="s">
        <v>982</v>
      </c>
      <c r="E746" s="79" t="s">
        <v>906</v>
      </c>
      <c r="F746" s="78" t="s">
        <v>591</v>
      </c>
      <c r="G746" s="78" t="s">
        <v>250</v>
      </c>
      <c r="H746" s="78" t="s">
        <v>11</v>
      </c>
      <c r="I746" s="78" t="s">
        <v>214</v>
      </c>
      <c r="J746" s="79" t="s">
        <v>251</v>
      </c>
      <c r="K746" s="80">
        <v>15.97</v>
      </c>
      <c r="L746" s="80">
        <f t="shared" si="204"/>
        <v>12.525490196078431</v>
      </c>
      <c r="M746" s="81">
        <f>prodnorm30</f>
        <v>0</v>
      </c>
      <c r="N746" s="82">
        <f>dagwerk30</f>
        <v>0</v>
      </c>
      <c r="O746" s="78" t="s">
        <v>103</v>
      </c>
      <c r="P746" s="15">
        <f>uurtarief30</f>
        <v>0</v>
      </c>
      <c r="Q746" s="80" t="e">
        <f t="shared" si="205"/>
        <v>#DIV/0!</v>
      </c>
      <c r="R746" s="80" t="e">
        <f t="shared" si="206"/>
        <v>#DIV/0!</v>
      </c>
      <c r="S746" s="15" t="e">
        <f t="shared" si="207"/>
        <v>#DIV/0!</v>
      </c>
      <c r="T746" s="80" t="e">
        <f t="shared" si="208"/>
        <v>#DIV/0!</v>
      </c>
      <c r="U746" s="16" t="e">
        <f t="shared" si="209"/>
        <v>#DIV/0!</v>
      </c>
    </row>
    <row r="747" spans="1:21" x14ac:dyDescent="0.3">
      <c r="A747" s="77" t="s">
        <v>844</v>
      </c>
      <c r="B747" s="78" t="s">
        <v>40</v>
      </c>
      <c r="C747" s="78" t="s">
        <v>338</v>
      </c>
      <c r="D747" s="78" t="s">
        <v>983</v>
      </c>
      <c r="E747" s="79" t="s">
        <v>511</v>
      </c>
      <c r="F747" s="78" t="s">
        <v>848</v>
      </c>
      <c r="G747" s="78" t="s">
        <v>216</v>
      </c>
      <c r="H747" s="78" t="s">
        <v>11</v>
      </c>
      <c r="I747" s="78" t="s">
        <v>214</v>
      </c>
      <c r="J747" s="79" t="s">
        <v>217</v>
      </c>
      <c r="K747" s="80">
        <v>24.479999999999997</v>
      </c>
      <c r="L747" s="80">
        <f t="shared" si="204"/>
        <v>19.199999999999996</v>
      </c>
      <c r="M747" s="81">
        <f>prodnorm6</f>
        <v>0</v>
      </c>
      <c r="N747" s="82">
        <f>dagwerk6</f>
        <v>0</v>
      </c>
      <c r="O747" s="78" t="s">
        <v>103</v>
      </c>
      <c r="P747" s="15">
        <f>uurtarief6</f>
        <v>0</v>
      </c>
      <c r="Q747" s="80" t="e">
        <f t="shared" si="205"/>
        <v>#DIV/0!</v>
      </c>
      <c r="R747" s="80" t="e">
        <f t="shared" si="206"/>
        <v>#DIV/0!</v>
      </c>
      <c r="S747" s="15" t="e">
        <f t="shared" si="207"/>
        <v>#DIV/0!</v>
      </c>
      <c r="T747" s="80" t="e">
        <f t="shared" si="208"/>
        <v>#DIV/0!</v>
      </c>
      <c r="U747" s="16" t="e">
        <f t="shared" si="209"/>
        <v>#DIV/0!</v>
      </c>
    </row>
    <row r="748" spans="1:21" x14ac:dyDescent="0.3">
      <c r="A748" s="77" t="s">
        <v>844</v>
      </c>
      <c r="B748" s="78" t="s">
        <v>40</v>
      </c>
      <c r="C748" s="78" t="s">
        <v>338</v>
      </c>
      <c r="D748" s="78" t="s">
        <v>984</v>
      </c>
      <c r="E748" s="79" t="s">
        <v>290</v>
      </c>
      <c r="F748" s="78" t="s">
        <v>848</v>
      </c>
      <c r="G748" s="78" t="s">
        <v>234</v>
      </c>
      <c r="H748" s="78" t="s">
        <v>11</v>
      </c>
      <c r="I748" s="78" t="s">
        <v>214</v>
      </c>
      <c r="J748" s="79" t="s">
        <v>235</v>
      </c>
      <c r="K748" s="80">
        <v>47.87</v>
      </c>
      <c r="L748" s="80">
        <f t="shared" si="204"/>
        <v>37.545098039215681</v>
      </c>
      <c r="M748" s="81">
        <f>prodnorm21</f>
        <v>0</v>
      </c>
      <c r="N748" s="82">
        <f>dagwerk21</f>
        <v>0</v>
      </c>
      <c r="O748" s="78" t="s">
        <v>103</v>
      </c>
      <c r="P748" s="15">
        <f>uurtarief21</f>
        <v>0</v>
      </c>
      <c r="Q748" s="80" t="e">
        <f t="shared" si="205"/>
        <v>#DIV/0!</v>
      </c>
      <c r="R748" s="80" t="e">
        <f t="shared" si="206"/>
        <v>#DIV/0!</v>
      </c>
      <c r="S748" s="15" t="e">
        <f t="shared" si="207"/>
        <v>#DIV/0!</v>
      </c>
      <c r="T748" s="80" t="e">
        <f t="shared" si="208"/>
        <v>#DIV/0!</v>
      </c>
      <c r="U748" s="16" t="e">
        <f t="shared" si="209"/>
        <v>#DIV/0!</v>
      </c>
    </row>
    <row r="749" spans="1:21" x14ac:dyDescent="0.3">
      <c r="A749" s="77" t="s">
        <v>844</v>
      </c>
      <c r="B749" s="78" t="s">
        <v>40</v>
      </c>
      <c r="C749" s="78" t="s">
        <v>338</v>
      </c>
      <c r="D749" s="78" t="s">
        <v>985</v>
      </c>
      <c r="E749" s="79" t="s">
        <v>290</v>
      </c>
      <c r="F749" s="78" t="s">
        <v>848</v>
      </c>
      <c r="G749" s="78" t="s">
        <v>234</v>
      </c>
      <c r="H749" s="78" t="s">
        <v>11</v>
      </c>
      <c r="I749" s="78" t="s">
        <v>214</v>
      </c>
      <c r="J749" s="79" t="s">
        <v>235</v>
      </c>
      <c r="K749" s="80">
        <v>75.900000000000006</v>
      </c>
      <c r="L749" s="80">
        <f t="shared" si="204"/>
        <v>59.529411764705884</v>
      </c>
      <c r="M749" s="81">
        <f>prodnorm21</f>
        <v>0</v>
      </c>
      <c r="N749" s="82">
        <f>dagwerk21</f>
        <v>0</v>
      </c>
      <c r="O749" s="78" t="s">
        <v>103</v>
      </c>
      <c r="P749" s="15">
        <f>uurtarief21</f>
        <v>0</v>
      </c>
      <c r="Q749" s="80" t="e">
        <f t="shared" si="205"/>
        <v>#DIV/0!</v>
      </c>
      <c r="R749" s="80" t="e">
        <f t="shared" si="206"/>
        <v>#DIV/0!</v>
      </c>
      <c r="S749" s="15" t="e">
        <f t="shared" si="207"/>
        <v>#DIV/0!</v>
      </c>
      <c r="T749" s="80" t="e">
        <f t="shared" si="208"/>
        <v>#DIV/0!</v>
      </c>
      <c r="U749" s="16" t="e">
        <f t="shared" si="209"/>
        <v>#DIV/0!</v>
      </c>
    </row>
    <row r="750" spans="1:21" x14ac:dyDescent="0.3">
      <c r="A750" s="77" t="s">
        <v>844</v>
      </c>
      <c r="B750" s="78" t="s">
        <v>40</v>
      </c>
      <c r="C750" s="78" t="s">
        <v>338</v>
      </c>
      <c r="D750" s="78" t="s">
        <v>986</v>
      </c>
      <c r="E750" s="79" t="s">
        <v>867</v>
      </c>
      <c r="F750" s="78" t="s">
        <v>848</v>
      </c>
      <c r="G750" s="78" t="s">
        <v>300</v>
      </c>
      <c r="H750" s="78"/>
      <c r="I750" s="78"/>
      <c r="J750" s="78"/>
      <c r="K750" s="80">
        <v>12.139999999999999</v>
      </c>
      <c r="L750" s="80"/>
      <c r="M750" s="81"/>
      <c r="N750" s="82"/>
      <c r="O750" s="78"/>
      <c r="P750" s="15"/>
      <c r="Q750" s="80"/>
      <c r="R750" s="80"/>
      <c r="S750" s="15"/>
      <c r="T750" s="83"/>
      <c r="U750" s="16"/>
    </row>
    <row r="751" spans="1:21" x14ac:dyDescent="0.3">
      <c r="A751" s="77" t="s">
        <v>844</v>
      </c>
      <c r="B751" s="78" t="s">
        <v>40</v>
      </c>
      <c r="C751" s="78" t="s">
        <v>338</v>
      </c>
      <c r="D751" s="78" t="s">
        <v>987</v>
      </c>
      <c r="E751" s="79" t="s">
        <v>911</v>
      </c>
      <c r="F751" s="78" t="s">
        <v>591</v>
      </c>
      <c r="G751" s="78" t="s">
        <v>250</v>
      </c>
      <c r="H751" s="78" t="s">
        <v>11</v>
      </c>
      <c r="I751" s="78" t="s">
        <v>214</v>
      </c>
      <c r="J751" s="79" t="s">
        <v>251</v>
      </c>
      <c r="K751" s="80">
        <v>3.4499999999999997</v>
      </c>
      <c r="L751" s="80">
        <f>K751*VLOOKUP(H751,dagsoorttabel1,2,FALSE)</f>
        <v>2.7058823529411762</v>
      </c>
      <c r="M751" s="81">
        <f>prodnorm30</f>
        <v>0</v>
      </c>
      <c r="N751" s="82">
        <f>dagwerk30</f>
        <v>0</v>
      </c>
      <c r="O751" s="78" t="s">
        <v>103</v>
      </c>
      <c r="P751" s="15">
        <f>uurtarief30</f>
        <v>0</v>
      </c>
      <c r="Q751" s="80" t="e">
        <f>IF(ISBLANK(M751),0,L751/ROUND(M751,4))</f>
        <v>#DIV/0!</v>
      </c>
      <c r="R751" s="80" t="e">
        <f>IF(ISBLANK(M751),0,Q751*ROUND(N751,2))</f>
        <v>#DIV/0!</v>
      </c>
      <c r="S751" s="15" t="e">
        <f>ROUND(P751,2)*Q751</f>
        <v>#DIV/0!</v>
      </c>
      <c r="T751" s="80" t="e">
        <f>Q751*dagenperjaar1</f>
        <v>#DIV/0!</v>
      </c>
      <c r="U751" s="16" t="e">
        <f>T751*ROUND(P751,2)</f>
        <v>#DIV/0!</v>
      </c>
    </row>
    <row r="752" spans="1:21" x14ac:dyDescent="0.3">
      <c r="A752" s="77" t="s">
        <v>844</v>
      </c>
      <c r="B752" s="78" t="s">
        <v>40</v>
      </c>
      <c r="C752" s="78" t="s">
        <v>338</v>
      </c>
      <c r="D752" s="78" t="s">
        <v>988</v>
      </c>
      <c r="E752" s="79" t="s">
        <v>913</v>
      </c>
      <c r="F752" s="78" t="s">
        <v>591</v>
      </c>
      <c r="G752" s="78" t="s">
        <v>250</v>
      </c>
      <c r="H752" s="78" t="s">
        <v>11</v>
      </c>
      <c r="I752" s="78" t="s">
        <v>214</v>
      </c>
      <c r="J752" s="79" t="s">
        <v>251</v>
      </c>
      <c r="K752" s="80">
        <v>13.5</v>
      </c>
      <c r="L752" s="80">
        <f>K752*VLOOKUP(H752,dagsoorttabel1,2,FALSE)</f>
        <v>10.588235294117647</v>
      </c>
      <c r="M752" s="81">
        <f>prodnorm30</f>
        <v>0</v>
      </c>
      <c r="N752" s="82">
        <f>dagwerk30</f>
        <v>0</v>
      </c>
      <c r="O752" s="78" t="s">
        <v>103</v>
      </c>
      <c r="P752" s="15">
        <f>uurtarief30</f>
        <v>0</v>
      </c>
      <c r="Q752" s="80" t="e">
        <f>IF(ISBLANK(M752),0,L752/ROUND(M752,4))</f>
        <v>#DIV/0!</v>
      </c>
      <c r="R752" s="80" t="e">
        <f>IF(ISBLANK(M752),0,Q752*ROUND(N752,2))</f>
        <v>#DIV/0!</v>
      </c>
      <c r="S752" s="15" t="e">
        <f>ROUND(P752,2)*Q752</f>
        <v>#DIV/0!</v>
      </c>
      <c r="T752" s="80" t="e">
        <f>Q752*dagenperjaar1</f>
        <v>#DIV/0!</v>
      </c>
      <c r="U752" s="16" t="e">
        <f>T752*ROUND(P752,2)</f>
        <v>#DIV/0!</v>
      </c>
    </row>
    <row r="753" spans="1:21" x14ac:dyDescent="0.3">
      <c r="A753" s="77" t="s">
        <v>844</v>
      </c>
      <c r="B753" s="78" t="s">
        <v>40</v>
      </c>
      <c r="C753" s="78" t="s">
        <v>338</v>
      </c>
      <c r="D753" s="78" t="s">
        <v>989</v>
      </c>
      <c r="E753" s="79" t="s">
        <v>419</v>
      </c>
      <c r="F753" s="78" t="s">
        <v>591</v>
      </c>
      <c r="G753" s="78" t="s">
        <v>250</v>
      </c>
      <c r="H753" s="78" t="s">
        <v>11</v>
      </c>
      <c r="I753" s="78" t="s">
        <v>214</v>
      </c>
      <c r="J753" s="79" t="s">
        <v>251</v>
      </c>
      <c r="K753" s="80">
        <v>1.41</v>
      </c>
      <c r="L753" s="80">
        <f>K753*VLOOKUP(H753,dagsoorttabel1,2,FALSE)</f>
        <v>1.1058823529411763</v>
      </c>
      <c r="M753" s="81">
        <f>prodnorm30</f>
        <v>0</v>
      </c>
      <c r="N753" s="82">
        <f>dagwerk30</f>
        <v>0</v>
      </c>
      <c r="O753" s="78" t="s">
        <v>103</v>
      </c>
      <c r="P753" s="15">
        <f>uurtarief30</f>
        <v>0</v>
      </c>
      <c r="Q753" s="80" t="e">
        <f>IF(ISBLANK(M753),0,L753/ROUND(M753,4))</f>
        <v>#DIV/0!</v>
      </c>
      <c r="R753" s="80" t="e">
        <f>IF(ISBLANK(M753),0,Q753*ROUND(N753,2))</f>
        <v>#DIV/0!</v>
      </c>
      <c r="S753" s="15" t="e">
        <f>ROUND(P753,2)*Q753</f>
        <v>#DIV/0!</v>
      </c>
      <c r="T753" s="80" t="e">
        <f>Q753*dagenperjaar1</f>
        <v>#DIV/0!</v>
      </c>
      <c r="U753" s="16" t="e">
        <f>T753*ROUND(P753,2)</f>
        <v>#DIV/0!</v>
      </c>
    </row>
    <row r="754" spans="1:21" x14ac:dyDescent="0.3">
      <c r="A754" s="77" t="s">
        <v>844</v>
      </c>
      <c r="B754" s="78" t="s">
        <v>40</v>
      </c>
      <c r="C754" s="78" t="s">
        <v>338</v>
      </c>
      <c r="D754" s="78" t="s">
        <v>990</v>
      </c>
      <c r="E754" s="79" t="s">
        <v>917</v>
      </c>
      <c r="F754" s="78" t="s">
        <v>591</v>
      </c>
      <c r="G754" s="78" t="s">
        <v>250</v>
      </c>
      <c r="H754" s="78" t="s">
        <v>11</v>
      </c>
      <c r="I754" s="78" t="s">
        <v>214</v>
      </c>
      <c r="J754" s="79" t="s">
        <v>251</v>
      </c>
      <c r="K754" s="80">
        <v>13.5</v>
      </c>
      <c r="L754" s="80">
        <f>K754*VLOOKUP(H754,dagsoorttabel1,2,FALSE)</f>
        <v>10.588235294117647</v>
      </c>
      <c r="M754" s="81">
        <f>prodnorm30</f>
        <v>0</v>
      </c>
      <c r="N754" s="82">
        <f>dagwerk30</f>
        <v>0</v>
      </c>
      <c r="O754" s="78" t="s">
        <v>103</v>
      </c>
      <c r="P754" s="15">
        <f>uurtarief30</f>
        <v>0</v>
      </c>
      <c r="Q754" s="80" t="e">
        <f>IF(ISBLANK(M754),0,L754/ROUND(M754,4))</f>
        <v>#DIV/0!</v>
      </c>
      <c r="R754" s="80" t="e">
        <f>IF(ISBLANK(M754),0,Q754*ROUND(N754,2))</f>
        <v>#DIV/0!</v>
      </c>
      <c r="S754" s="15" t="e">
        <f>ROUND(P754,2)*Q754</f>
        <v>#DIV/0!</v>
      </c>
      <c r="T754" s="80" t="e">
        <f>Q754*dagenperjaar1</f>
        <v>#DIV/0!</v>
      </c>
      <c r="U754" s="16" t="e">
        <f>T754*ROUND(P754,2)</f>
        <v>#DIV/0!</v>
      </c>
    </row>
    <row r="755" spans="1:21" x14ac:dyDescent="0.3">
      <c r="A755" s="77" t="s">
        <v>844</v>
      </c>
      <c r="B755" s="78" t="s">
        <v>40</v>
      </c>
      <c r="C755" s="78" t="s">
        <v>338</v>
      </c>
      <c r="D755" s="78" t="s">
        <v>991</v>
      </c>
      <c r="E755" s="79" t="s">
        <v>919</v>
      </c>
      <c r="F755" s="78" t="s">
        <v>40</v>
      </c>
      <c r="G755" s="78" t="s">
        <v>300</v>
      </c>
      <c r="H755" s="78"/>
      <c r="I755" s="78"/>
      <c r="J755" s="78"/>
      <c r="K755" s="80">
        <v>2</v>
      </c>
      <c r="L755" s="80"/>
      <c r="M755" s="81"/>
      <c r="N755" s="82"/>
      <c r="O755" s="78"/>
      <c r="P755" s="15"/>
      <c r="Q755" s="80"/>
      <c r="R755" s="80"/>
      <c r="S755" s="15"/>
      <c r="T755" s="83"/>
      <c r="U755" s="16"/>
    </row>
    <row r="756" spans="1:21" x14ac:dyDescent="0.3">
      <c r="A756" s="77" t="s">
        <v>844</v>
      </c>
      <c r="B756" s="78" t="s">
        <v>40</v>
      </c>
      <c r="C756" s="78" t="s">
        <v>338</v>
      </c>
      <c r="D756" s="78" t="s">
        <v>992</v>
      </c>
      <c r="E756" s="79" t="s">
        <v>921</v>
      </c>
      <c r="F756" s="78" t="s">
        <v>40</v>
      </c>
      <c r="G756" s="78" t="s">
        <v>300</v>
      </c>
      <c r="H756" s="78"/>
      <c r="I756" s="78"/>
      <c r="J756" s="78"/>
      <c r="K756" s="80">
        <v>4</v>
      </c>
      <c r="L756" s="80"/>
      <c r="M756" s="81"/>
      <c r="N756" s="82"/>
      <c r="O756" s="78"/>
      <c r="P756" s="15"/>
      <c r="Q756" s="80"/>
      <c r="R756" s="80"/>
      <c r="S756" s="15"/>
      <c r="T756" s="83"/>
      <c r="U756" s="16"/>
    </row>
    <row r="757" spans="1:21" ht="27" x14ac:dyDescent="0.3">
      <c r="A757" s="77" t="s">
        <v>844</v>
      </c>
      <c r="B757" s="78" t="s">
        <v>40</v>
      </c>
      <c r="C757" s="78" t="s">
        <v>338</v>
      </c>
      <c r="D757" s="78" t="s">
        <v>993</v>
      </c>
      <c r="E757" s="79" t="s">
        <v>380</v>
      </c>
      <c r="F757" s="78" t="s">
        <v>848</v>
      </c>
      <c r="G757" s="78" t="s">
        <v>256</v>
      </c>
      <c r="H757" s="78" t="s">
        <v>11</v>
      </c>
      <c r="I757" s="78" t="s">
        <v>214</v>
      </c>
      <c r="J757" s="79" t="s">
        <v>257</v>
      </c>
      <c r="K757" s="80">
        <v>30.95</v>
      </c>
      <c r="L757" s="80">
        <f t="shared" ref="L757:L792" si="210">K757*VLOOKUP(H757,dagsoorttabel1,2,FALSE)</f>
        <v>24.274509803921568</v>
      </c>
      <c r="M757" s="81">
        <f t="shared" ref="M757:M764" si="211">prodnorm33</f>
        <v>0</v>
      </c>
      <c r="N757" s="82">
        <f t="shared" ref="N757:N764" si="212">dagwerk33</f>
        <v>0</v>
      </c>
      <c r="O757" s="78" t="s">
        <v>103</v>
      </c>
      <c r="P757" s="15">
        <f t="shared" ref="P757:P764" si="213">uurtarief33</f>
        <v>0</v>
      </c>
      <c r="Q757" s="80" t="e">
        <f t="shared" ref="Q757:Q792" si="214">IF(ISBLANK(M757),0,L757/ROUND(M757,4))</f>
        <v>#DIV/0!</v>
      </c>
      <c r="R757" s="80" t="e">
        <f t="shared" ref="R757:R792" si="215">IF(ISBLANK(M757),0,Q757*ROUND(N757,2))</f>
        <v>#DIV/0!</v>
      </c>
      <c r="S757" s="15" t="e">
        <f t="shared" ref="S757:S792" si="216">ROUND(P757,2)*Q757</f>
        <v>#DIV/0!</v>
      </c>
      <c r="T757" s="80" t="e">
        <f t="shared" ref="T757:T792" si="217">Q757*dagenperjaar1</f>
        <v>#DIV/0!</v>
      </c>
      <c r="U757" s="16" t="e">
        <f t="shared" ref="U757:U792" si="218">T757*ROUND(P757,2)</f>
        <v>#DIV/0!</v>
      </c>
    </row>
    <row r="758" spans="1:21" ht="27" x14ac:dyDescent="0.3">
      <c r="A758" s="77" t="s">
        <v>844</v>
      </c>
      <c r="B758" s="78" t="s">
        <v>40</v>
      </c>
      <c r="C758" s="78" t="s">
        <v>338</v>
      </c>
      <c r="D758" s="78" t="s">
        <v>994</v>
      </c>
      <c r="E758" s="79" t="s">
        <v>380</v>
      </c>
      <c r="F758" s="78" t="s">
        <v>848</v>
      </c>
      <c r="G758" s="78" t="s">
        <v>256</v>
      </c>
      <c r="H758" s="78" t="s">
        <v>11</v>
      </c>
      <c r="I758" s="78" t="s">
        <v>214</v>
      </c>
      <c r="J758" s="79" t="s">
        <v>257</v>
      </c>
      <c r="K758" s="80">
        <v>30.95</v>
      </c>
      <c r="L758" s="80">
        <f t="shared" si="210"/>
        <v>24.274509803921568</v>
      </c>
      <c r="M758" s="81">
        <f t="shared" si="211"/>
        <v>0</v>
      </c>
      <c r="N758" s="82">
        <f t="shared" si="212"/>
        <v>0</v>
      </c>
      <c r="O758" s="78" t="s">
        <v>103</v>
      </c>
      <c r="P758" s="15">
        <f t="shared" si="213"/>
        <v>0</v>
      </c>
      <c r="Q758" s="80" t="e">
        <f t="shared" si="214"/>
        <v>#DIV/0!</v>
      </c>
      <c r="R758" s="80" t="e">
        <f t="shared" si="215"/>
        <v>#DIV/0!</v>
      </c>
      <c r="S758" s="15" t="e">
        <f t="shared" si="216"/>
        <v>#DIV/0!</v>
      </c>
      <c r="T758" s="80" t="e">
        <f t="shared" si="217"/>
        <v>#DIV/0!</v>
      </c>
      <c r="U758" s="16" t="e">
        <f t="shared" si="218"/>
        <v>#DIV/0!</v>
      </c>
    </row>
    <row r="759" spans="1:21" ht="27" x14ac:dyDescent="0.3">
      <c r="A759" s="77" t="s">
        <v>844</v>
      </c>
      <c r="B759" s="78" t="s">
        <v>40</v>
      </c>
      <c r="C759" s="78" t="s">
        <v>338</v>
      </c>
      <c r="D759" s="78" t="s">
        <v>995</v>
      </c>
      <c r="E759" s="79" t="s">
        <v>380</v>
      </c>
      <c r="F759" s="78" t="s">
        <v>848</v>
      </c>
      <c r="G759" s="78" t="s">
        <v>256</v>
      </c>
      <c r="H759" s="78" t="s">
        <v>11</v>
      </c>
      <c r="I759" s="78" t="s">
        <v>214</v>
      </c>
      <c r="J759" s="79" t="s">
        <v>257</v>
      </c>
      <c r="K759" s="80">
        <v>94.22</v>
      </c>
      <c r="L759" s="80">
        <f t="shared" si="210"/>
        <v>73.898039215686268</v>
      </c>
      <c r="M759" s="81">
        <f t="shared" si="211"/>
        <v>0</v>
      </c>
      <c r="N759" s="82">
        <f t="shared" si="212"/>
        <v>0</v>
      </c>
      <c r="O759" s="78" t="s">
        <v>103</v>
      </c>
      <c r="P759" s="15">
        <f t="shared" si="213"/>
        <v>0</v>
      </c>
      <c r="Q759" s="80" t="e">
        <f t="shared" si="214"/>
        <v>#DIV/0!</v>
      </c>
      <c r="R759" s="80" t="e">
        <f t="shared" si="215"/>
        <v>#DIV/0!</v>
      </c>
      <c r="S759" s="15" t="e">
        <f t="shared" si="216"/>
        <v>#DIV/0!</v>
      </c>
      <c r="T759" s="80" t="e">
        <f t="shared" si="217"/>
        <v>#DIV/0!</v>
      </c>
      <c r="U759" s="16" t="e">
        <f t="shared" si="218"/>
        <v>#DIV/0!</v>
      </c>
    </row>
    <row r="760" spans="1:21" ht="27" x14ac:dyDescent="0.3">
      <c r="A760" s="77" t="s">
        <v>844</v>
      </c>
      <c r="B760" s="78" t="s">
        <v>40</v>
      </c>
      <c r="C760" s="78" t="s">
        <v>338</v>
      </c>
      <c r="D760" s="78" t="s">
        <v>996</v>
      </c>
      <c r="E760" s="79" t="s">
        <v>380</v>
      </c>
      <c r="F760" s="78" t="s">
        <v>848</v>
      </c>
      <c r="G760" s="78" t="s">
        <v>256</v>
      </c>
      <c r="H760" s="78" t="s">
        <v>11</v>
      </c>
      <c r="I760" s="78" t="s">
        <v>214</v>
      </c>
      <c r="J760" s="79" t="s">
        <v>257</v>
      </c>
      <c r="K760" s="80">
        <v>20.69</v>
      </c>
      <c r="L760" s="80">
        <f t="shared" si="210"/>
        <v>16.227450980392156</v>
      </c>
      <c r="M760" s="81">
        <f t="shared" si="211"/>
        <v>0</v>
      </c>
      <c r="N760" s="82">
        <f t="shared" si="212"/>
        <v>0</v>
      </c>
      <c r="O760" s="78" t="s">
        <v>103</v>
      </c>
      <c r="P760" s="15">
        <f t="shared" si="213"/>
        <v>0</v>
      </c>
      <c r="Q760" s="80" t="e">
        <f t="shared" si="214"/>
        <v>#DIV/0!</v>
      </c>
      <c r="R760" s="80" t="e">
        <f t="shared" si="215"/>
        <v>#DIV/0!</v>
      </c>
      <c r="S760" s="15" t="e">
        <f t="shared" si="216"/>
        <v>#DIV/0!</v>
      </c>
      <c r="T760" s="80" t="e">
        <f t="shared" si="217"/>
        <v>#DIV/0!</v>
      </c>
      <c r="U760" s="16" t="e">
        <f t="shared" si="218"/>
        <v>#DIV/0!</v>
      </c>
    </row>
    <row r="761" spans="1:21" ht="27" x14ac:dyDescent="0.3">
      <c r="A761" s="77" t="s">
        <v>844</v>
      </c>
      <c r="B761" s="78" t="s">
        <v>40</v>
      </c>
      <c r="C761" s="78" t="s">
        <v>338</v>
      </c>
      <c r="D761" s="78" t="s">
        <v>997</v>
      </c>
      <c r="E761" s="79" t="s">
        <v>380</v>
      </c>
      <c r="F761" s="78" t="s">
        <v>848</v>
      </c>
      <c r="G761" s="78" t="s">
        <v>256</v>
      </c>
      <c r="H761" s="78" t="s">
        <v>11</v>
      </c>
      <c r="I761" s="78" t="s">
        <v>214</v>
      </c>
      <c r="J761" s="79" t="s">
        <v>257</v>
      </c>
      <c r="K761" s="80">
        <v>14.82</v>
      </c>
      <c r="L761" s="80">
        <f t="shared" si="210"/>
        <v>11.623529411764705</v>
      </c>
      <c r="M761" s="81">
        <f t="shared" si="211"/>
        <v>0</v>
      </c>
      <c r="N761" s="82">
        <f t="shared" si="212"/>
        <v>0</v>
      </c>
      <c r="O761" s="78" t="s">
        <v>103</v>
      </c>
      <c r="P761" s="15">
        <f t="shared" si="213"/>
        <v>0</v>
      </c>
      <c r="Q761" s="80" t="e">
        <f t="shared" si="214"/>
        <v>#DIV/0!</v>
      </c>
      <c r="R761" s="80" t="e">
        <f t="shared" si="215"/>
        <v>#DIV/0!</v>
      </c>
      <c r="S761" s="15" t="e">
        <f t="shared" si="216"/>
        <v>#DIV/0!</v>
      </c>
      <c r="T761" s="80" t="e">
        <f t="shared" si="217"/>
        <v>#DIV/0!</v>
      </c>
      <c r="U761" s="16" t="e">
        <f t="shared" si="218"/>
        <v>#DIV/0!</v>
      </c>
    </row>
    <row r="762" spans="1:21" ht="27" x14ac:dyDescent="0.3">
      <c r="A762" s="77" t="s">
        <v>844</v>
      </c>
      <c r="B762" s="78" t="s">
        <v>40</v>
      </c>
      <c r="C762" s="78" t="s">
        <v>338</v>
      </c>
      <c r="D762" s="78" t="s">
        <v>998</v>
      </c>
      <c r="E762" s="79" t="s">
        <v>380</v>
      </c>
      <c r="F762" s="78" t="s">
        <v>848</v>
      </c>
      <c r="G762" s="78" t="s">
        <v>256</v>
      </c>
      <c r="H762" s="78" t="s">
        <v>11</v>
      </c>
      <c r="I762" s="78" t="s">
        <v>214</v>
      </c>
      <c r="J762" s="79" t="s">
        <v>257</v>
      </c>
      <c r="K762" s="80">
        <v>94.679999999999993</v>
      </c>
      <c r="L762" s="80">
        <f t="shared" si="210"/>
        <v>74.258823529411757</v>
      </c>
      <c r="M762" s="81">
        <f t="shared" si="211"/>
        <v>0</v>
      </c>
      <c r="N762" s="82">
        <f t="shared" si="212"/>
        <v>0</v>
      </c>
      <c r="O762" s="78" t="s">
        <v>103</v>
      </c>
      <c r="P762" s="15">
        <f t="shared" si="213"/>
        <v>0</v>
      </c>
      <c r="Q762" s="80" t="e">
        <f t="shared" si="214"/>
        <v>#DIV/0!</v>
      </c>
      <c r="R762" s="80" t="e">
        <f t="shared" si="215"/>
        <v>#DIV/0!</v>
      </c>
      <c r="S762" s="15" t="e">
        <f t="shared" si="216"/>
        <v>#DIV/0!</v>
      </c>
      <c r="T762" s="80" t="e">
        <f t="shared" si="217"/>
        <v>#DIV/0!</v>
      </c>
      <c r="U762" s="16" t="e">
        <f t="shared" si="218"/>
        <v>#DIV/0!</v>
      </c>
    </row>
    <row r="763" spans="1:21" ht="27" x14ac:dyDescent="0.3">
      <c r="A763" s="77" t="s">
        <v>844</v>
      </c>
      <c r="B763" s="78" t="s">
        <v>40</v>
      </c>
      <c r="C763" s="78" t="s">
        <v>338</v>
      </c>
      <c r="D763" s="78" t="s">
        <v>999</v>
      </c>
      <c r="E763" s="79" t="s">
        <v>380</v>
      </c>
      <c r="F763" s="78" t="s">
        <v>848</v>
      </c>
      <c r="G763" s="78" t="s">
        <v>256</v>
      </c>
      <c r="H763" s="78" t="s">
        <v>11</v>
      </c>
      <c r="I763" s="78" t="s">
        <v>214</v>
      </c>
      <c r="J763" s="79" t="s">
        <v>257</v>
      </c>
      <c r="K763" s="80">
        <v>16.759999999999998</v>
      </c>
      <c r="L763" s="80">
        <f t="shared" si="210"/>
        <v>13.145098039215684</v>
      </c>
      <c r="M763" s="81">
        <f t="shared" si="211"/>
        <v>0</v>
      </c>
      <c r="N763" s="82">
        <f t="shared" si="212"/>
        <v>0</v>
      </c>
      <c r="O763" s="78" t="s">
        <v>103</v>
      </c>
      <c r="P763" s="15">
        <f t="shared" si="213"/>
        <v>0</v>
      </c>
      <c r="Q763" s="80" t="e">
        <f t="shared" si="214"/>
        <v>#DIV/0!</v>
      </c>
      <c r="R763" s="80" t="e">
        <f t="shared" si="215"/>
        <v>#DIV/0!</v>
      </c>
      <c r="S763" s="15" t="e">
        <f t="shared" si="216"/>
        <v>#DIV/0!</v>
      </c>
      <c r="T763" s="80" t="e">
        <f t="shared" si="217"/>
        <v>#DIV/0!</v>
      </c>
      <c r="U763" s="16" t="e">
        <f t="shared" si="218"/>
        <v>#DIV/0!</v>
      </c>
    </row>
    <row r="764" spans="1:21" ht="27" x14ac:dyDescent="0.3">
      <c r="A764" s="77" t="s">
        <v>844</v>
      </c>
      <c r="B764" s="78" t="s">
        <v>40</v>
      </c>
      <c r="C764" s="78" t="s">
        <v>338</v>
      </c>
      <c r="D764" s="78" t="s">
        <v>1000</v>
      </c>
      <c r="E764" s="79" t="s">
        <v>380</v>
      </c>
      <c r="F764" s="78" t="s">
        <v>848</v>
      </c>
      <c r="G764" s="78" t="s">
        <v>256</v>
      </c>
      <c r="H764" s="78" t="s">
        <v>11</v>
      </c>
      <c r="I764" s="78" t="s">
        <v>214</v>
      </c>
      <c r="J764" s="79" t="s">
        <v>257</v>
      </c>
      <c r="K764" s="80">
        <v>21.14</v>
      </c>
      <c r="L764" s="80">
        <f t="shared" si="210"/>
        <v>16.580392156862747</v>
      </c>
      <c r="M764" s="81">
        <f t="shared" si="211"/>
        <v>0</v>
      </c>
      <c r="N764" s="82">
        <f t="shared" si="212"/>
        <v>0</v>
      </c>
      <c r="O764" s="78" t="s">
        <v>103</v>
      </c>
      <c r="P764" s="15">
        <f t="shared" si="213"/>
        <v>0</v>
      </c>
      <c r="Q764" s="80" t="e">
        <f t="shared" si="214"/>
        <v>#DIV/0!</v>
      </c>
      <c r="R764" s="80" t="e">
        <f t="shared" si="215"/>
        <v>#DIV/0!</v>
      </c>
      <c r="S764" s="15" t="e">
        <f t="shared" si="216"/>
        <v>#DIV/0!</v>
      </c>
      <c r="T764" s="80" t="e">
        <f t="shared" si="217"/>
        <v>#DIV/0!</v>
      </c>
      <c r="U764" s="16" t="e">
        <f t="shared" si="218"/>
        <v>#DIV/0!</v>
      </c>
    </row>
    <row r="765" spans="1:21" x14ac:dyDescent="0.3">
      <c r="A765" s="77" t="s">
        <v>844</v>
      </c>
      <c r="B765" s="78" t="s">
        <v>40</v>
      </c>
      <c r="C765" s="78" t="s">
        <v>338</v>
      </c>
      <c r="D765" s="78" t="s">
        <v>1001</v>
      </c>
      <c r="E765" s="79" t="s">
        <v>938</v>
      </c>
      <c r="F765" s="78" t="s">
        <v>288</v>
      </c>
      <c r="G765" s="78" t="s">
        <v>252</v>
      </c>
      <c r="H765" s="78" t="s">
        <v>11</v>
      </c>
      <c r="I765" s="78" t="s">
        <v>214</v>
      </c>
      <c r="J765" s="79" t="s">
        <v>253</v>
      </c>
      <c r="K765" s="80">
        <v>4.8</v>
      </c>
      <c r="L765" s="80">
        <f t="shared" si="210"/>
        <v>3.7647058823529411</v>
      </c>
      <c r="M765" s="81">
        <f>prodnorm31</f>
        <v>0</v>
      </c>
      <c r="N765" s="82">
        <f>dagwerk31</f>
        <v>0</v>
      </c>
      <c r="O765" s="78" t="s">
        <v>103</v>
      </c>
      <c r="P765" s="15">
        <f>uurtarief31</f>
        <v>0</v>
      </c>
      <c r="Q765" s="80" t="e">
        <f t="shared" si="214"/>
        <v>#DIV/0!</v>
      </c>
      <c r="R765" s="80" t="e">
        <f t="shared" si="215"/>
        <v>#DIV/0!</v>
      </c>
      <c r="S765" s="15" t="e">
        <f t="shared" si="216"/>
        <v>#DIV/0!</v>
      </c>
      <c r="T765" s="80" t="e">
        <f t="shared" si="217"/>
        <v>#DIV/0!</v>
      </c>
      <c r="U765" s="16" t="e">
        <f t="shared" si="218"/>
        <v>#DIV/0!</v>
      </c>
    </row>
    <row r="766" spans="1:21" x14ac:dyDescent="0.3">
      <c r="A766" s="77" t="s">
        <v>844</v>
      </c>
      <c r="B766" s="78" t="s">
        <v>40</v>
      </c>
      <c r="C766" s="78" t="s">
        <v>338</v>
      </c>
      <c r="D766" s="78" t="s">
        <v>1002</v>
      </c>
      <c r="E766" s="79" t="s">
        <v>942</v>
      </c>
      <c r="F766" s="78" t="s">
        <v>288</v>
      </c>
      <c r="G766" s="78" t="s">
        <v>252</v>
      </c>
      <c r="H766" s="78" t="s">
        <v>11</v>
      </c>
      <c r="I766" s="78" t="s">
        <v>214</v>
      </c>
      <c r="J766" s="79" t="s">
        <v>253</v>
      </c>
      <c r="K766" s="80">
        <v>4.46</v>
      </c>
      <c r="L766" s="80">
        <f t="shared" si="210"/>
        <v>3.4980392156862745</v>
      </c>
      <c r="M766" s="81">
        <f>prodnorm31</f>
        <v>0</v>
      </c>
      <c r="N766" s="82">
        <f>dagwerk31</f>
        <v>0</v>
      </c>
      <c r="O766" s="78" t="s">
        <v>103</v>
      </c>
      <c r="P766" s="15">
        <f>uurtarief31</f>
        <v>0</v>
      </c>
      <c r="Q766" s="80" t="e">
        <f t="shared" si="214"/>
        <v>#DIV/0!</v>
      </c>
      <c r="R766" s="80" t="e">
        <f t="shared" si="215"/>
        <v>#DIV/0!</v>
      </c>
      <c r="S766" s="15" t="e">
        <f t="shared" si="216"/>
        <v>#DIV/0!</v>
      </c>
      <c r="T766" s="80" t="e">
        <f t="shared" si="217"/>
        <v>#DIV/0!</v>
      </c>
      <c r="U766" s="16" t="e">
        <f t="shared" si="218"/>
        <v>#DIV/0!</v>
      </c>
    </row>
    <row r="767" spans="1:21" x14ac:dyDescent="0.3">
      <c r="A767" s="77" t="s">
        <v>844</v>
      </c>
      <c r="B767" s="78" t="s">
        <v>40</v>
      </c>
      <c r="C767" s="78" t="s">
        <v>1003</v>
      </c>
      <c r="D767" s="78" t="s">
        <v>1004</v>
      </c>
      <c r="E767" s="79" t="s">
        <v>490</v>
      </c>
      <c r="F767" s="78" t="s">
        <v>848</v>
      </c>
      <c r="G767" s="78" t="s">
        <v>216</v>
      </c>
      <c r="H767" s="78" t="s">
        <v>11</v>
      </c>
      <c r="I767" s="78" t="s">
        <v>214</v>
      </c>
      <c r="J767" s="79" t="s">
        <v>217</v>
      </c>
      <c r="K767" s="80">
        <v>15.97</v>
      </c>
      <c r="L767" s="80">
        <f t="shared" si="210"/>
        <v>12.525490196078431</v>
      </c>
      <c r="M767" s="81">
        <f>prodnorm6</f>
        <v>0</v>
      </c>
      <c r="N767" s="82">
        <f>dagwerk6</f>
        <v>0</v>
      </c>
      <c r="O767" s="78" t="s">
        <v>103</v>
      </c>
      <c r="P767" s="15">
        <f>uurtarief6</f>
        <v>0</v>
      </c>
      <c r="Q767" s="80" t="e">
        <f t="shared" si="214"/>
        <v>#DIV/0!</v>
      </c>
      <c r="R767" s="80" t="e">
        <f t="shared" si="215"/>
        <v>#DIV/0!</v>
      </c>
      <c r="S767" s="15" t="e">
        <f t="shared" si="216"/>
        <v>#DIV/0!</v>
      </c>
      <c r="T767" s="80" t="e">
        <f t="shared" si="217"/>
        <v>#DIV/0!</v>
      </c>
      <c r="U767" s="16" t="e">
        <f t="shared" si="218"/>
        <v>#DIV/0!</v>
      </c>
    </row>
    <row r="768" spans="1:21" x14ac:dyDescent="0.3">
      <c r="A768" s="77" t="s">
        <v>844</v>
      </c>
      <c r="B768" s="78" t="s">
        <v>40</v>
      </c>
      <c r="C768" s="78" t="s">
        <v>1003</v>
      </c>
      <c r="D768" s="78" t="s">
        <v>1005</v>
      </c>
      <c r="E768" s="79" t="s">
        <v>488</v>
      </c>
      <c r="F768" s="78" t="s">
        <v>848</v>
      </c>
      <c r="G768" s="78" t="s">
        <v>216</v>
      </c>
      <c r="H768" s="78" t="s">
        <v>11</v>
      </c>
      <c r="I768" s="78" t="s">
        <v>214</v>
      </c>
      <c r="J768" s="79" t="s">
        <v>217</v>
      </c>
      <c r="K768" s="80">
        <v>15.97</v>
      </c>
      <c r="L768" s="80">
        <f t="shared" si="210"/>
        <v>12.525490196078431</v>
      </c>
      <c r="M768" s="81">
        <f>prodnorm6</f>
        <v>0</v>
      </c>
      <c r="N768" s="82">
        <f>dagwerk6</f>
        <v>0</v>
      </c>
      <c r="O768" s="78" t="s">
        <v>103</v>
      </c>
      <c r="P768" s="15">
        <f>uurtarief6</f>
        <v>0</v>
      </c>
      <c r="Q768" s="80" t="e">
        <f t="shared" si="214"/>
        <v>#DIV/0!</v>
      </c>
      <c r="R768" s="80" t="e">
        <f t="shared" si="215"/>
        <v>#DIV/0!</v>
      </c>
      <c r="S768" s="15" t="e">
        <f t="shared" si="216"/>
        <v>#DIV/0!</v>
      </c>
      <c r="T768" s="80" t="e">
        <f t="shared" si="217"/>
        <v>#DIV/0!</v>
      </c>
      <c r="U768" s="16" t="e">
        <f t="shared" si="218"/>
        <v>#DIV/0!</v>
      </c>
    </row>
    <row r="769" spans="1:21" x14ac:dyDescent="0.3">
      <c r="A769" s="77" t="s">
        <v>844</v>
      </c>
      <c r="B769" s="78" t="s">
        <v>40</v>
      </c>
      <c r="C769" s="78" t="s">
        <v>1003</v>
      </c>
      <c r="D769" s="78" t="s">
        <v>1006</v>
      </c>
      <c r="E769" s="79" t="s">
        <v>488</v>
      </c>
      <c r="F769" s="78" t="s">
        <v>848</v>
      </c>
      <c r="G769" s="78" t="s">
        <v>216</v>
      </c>
      <c r="H769" s="78" t="s">
        <v>11</v>
      </c>
      <c r="I769" s="78" t="s">
        <v>214</v>
      </c>
      <c r="J769" s="79" t="s">
        <v>217</v>
      </c>
      <c r="K769" s="80">
        <v>15.97</v>
      </c>
      <c r="L769" s="80">
        <f t="shared" si="210"/>
        <v>12.525490196078431</v>
      </c>
      <c r="M769" s="81">
        <f>prodnorm6</f>
        <v>0</v>
      </c>
      <c r="N769" s="82">
        <f>dagwerk6</f>
        <v>0</v>
      </c>
      <c r="O769" s="78" t="s">
        <v>103</v>
      </c>
      <c r="P769" s="15">
        <f>uurtarief6</f>
        <v>0</v>
      </c>
      <c r="Q769" s="80" t="e">
        <f t="shared" si="214"/>
        <v>#DIV/0!</v>
      </c>
      <c r="R769" s="80" t="e">
        <f t="shared" si="215"/>
        <v>#DIV/0!</v>
      </c>
      <c r="S769" s="15" t="e">
        <f t="shared" si="216"/>
        <v>#DIV/0!</v>
      </c>
      <c r="T769" s="80" t="e">
        <f t="shared" si="217"/>
        <v>#DIV/0!</v>
      </c>
      <c r="U769" s="16" t="e">
        <f t="shared" si="218"/>
        <v>#DIV/0!</v>
      </c>
    </row>
    <row r="770" spans="1:21" ht="27" x14ac:dyDescent="0.3">
      <c r="A770" s="77" t="s">
        <v>844</v>
      </c>
      <c r="B770" s="78" t="s">
        <v>40</v>
      </c>
      <c r="C770" s="78" t="s">
        <v>1003</v>
      </c>
      <c r="D770" s="78" t="s">
        <v>1007</v>
      </c>
      <c r="E770" s="79" t="s">
        <v>952</v>
      </c>
      <c r="F770" s="78" t="s">
        <v>848</v>
      </c>
      <c r="G770" s="78" t="s">
        <v>256</v>
      </c>
      <c r="H770" s="78" t="s">
        <v>11</v>
      </c>
      <c r="I770" s="78" t="s">
        <v>214</v>
      </c>
      <c r="J770" s="79" t="s">
        <v>257</v>
      </c>
      <c r="K770" s="80">
        <v>6.9300000000000006</v>
      </c>
      <c r="L770" s="80">
        <f t="shared" si="210"/>
        <v>5.4352941176470591</v>
      </c>
      <c r="M770" s="81">
        <f>prodnorm33</f>
        <v>0</v>
      </c>
      <c r="N770" s="82">
        <f>dagwerk33</f>
        <v>0</v>
      </c>
      <c r="O770" s="78" t="s">
        <v>103</v>
      </c>
      <c r="P770" s="15">
        <f>uurtarief33</f>
        <v>0</v>
      </c>
      <c r="Q770" s="80" t="e">
        <f t="shared" si="214"/>
        <v>#DIV/0!</v>
      </c>
      <c r="R770" s="80" t="e">
        <f t="shared" si="215"/>
        <v>#DIV/0!</v>
      </c>
      <c r="S770" s="15" t="e">
        <f t="shared" si="216"/>
        <v>#DIV/0!</v>
      </c>
      <c r="T770" s="80" t="e">
        <f t="shared" si="217"/>
        <v>#DIV/0!</v>
      </c>
      <c r="U770" s="16" t="e">
        <f t="shared" si="218"/>
        <v>#DIV/0!</v>
      </c>
    </row>
    <row r="771" spans="1:21" ht="27" x14ac:dyDescent="0.3">
      <c r="A771" s="77" t="s">
        <v>844</v>
      </c>
      <c r="B771" s="78" t="s">
        <v>40</v>
      </c>
      <c r="C771" s="78" t="s">
        <v>1003</v>
      </c>
      <c r="D771" s="78" t="s">
        <v>1008</v>
      </c>
      <c r="E771" s="79" t="s">
        <v>952</v>
      </c>
      <c r="F771" s="78" t="s">
        <v>848</v>
      </c>
      <c r="G771" s="78" t="s">
        <v>256</v>
      </c>
      <c r="H771" s="78" t="s">
        <v>11</v>
      </c>
      <c r="I771" s="78" t="s">
        <v>214</v>
      </c>
      <c r="J771" s="79" t="s">
        <v>257</v>
      </c>
      <c r="K771" s="80">
        <v>2.59</v>
      </c>
      <c r="L771" s="80">
        <f t="shared" si="210"/>
        <v>2.0313725490196077</v>
      </c>
      <c r="M771" s="81">
        <f>prodnorm33</f>
        <v>0</v>
      </c>
      <c r="N771" s="82">
        <f>dagwerk33</f>
        <v>0</v>
      </c>
      <c r="O771" s="78" t="s">
        <v>103</v>
      </c>
      <c r="P771" s="15">
        <f>uurtarief33</f>
        <v>0</v>
      </c>
      <c r="Q771" s="80" t="e">
        <f t="shared" si="214"/>
        <v>#DIV/0!</v>
      </c>
      <c r="R771" s="80" t="e">
        <f t="shared" si="215"/>
        <v>#DIV/0!</v>
      </c>
      <c r="S771" s="15" t="e">
        <f t="shared" si="216"/>
        <v>#DIV/0!</v>
      </c>
      <c r="T771" s="80" t="e">
        <f t="shared" si="217"/>
        <v>#DIV/0!</v>
      </c>
      <c r="U771" s="16" t="e">
        <f t="shared" si="218"/>
        <v>#DIV/0!</v>
      </c>
    </row>
    <row r="772" spans="1:21" ht="27" x14ac:dyDescent="0.3">
      <c r="A772" s="77" t="s">
        <v>844</v>
      </c>
      <c r="B772" s="78" t="s">
        <v>40</v>
      </c>
      <c r="C772" s="78" t="s">
        <v>1003</v>
      </c>
      <c r="D772" s="78" t="s">
        <v>1009</v>
      </c>
      <c r="E772" s="79" t="s">
        <v>952</v>
      </c>
      <c r="F772" s="78" t="s">
        <v>848</v>
      </c>
      <c r="G772" s="78" t="s">
        <v>256</v>
      </c>
      <c r="H772" s="78" t="s">
        <v>11</v>
      </c>
      <c r="I772" s="78" t="s">
        <v>214</v>
      </c>
      <c r="J772" s="79" t="s">
        <v>257</v>
      </c>
      <c r="K772" s="80">
        <v>2.59</v>
      </c>
      <c r="L772" s="80">
        <f t="shared" si="210"/>
        <v>2.0313725490196077</v>
      </c>
      <c r="M772" s="81">
        <f>prodnorm33</f>
        <v>0</v>
      </c>
      <c r="N772" s="82">
        <f>dagwerk33</f>
        <v>0</v>
      </c>
      <c r="O772" s="78" t="s">
        <v>103</v>
      </c>
      <c r="P772" s="15">
        <f>uurtarief33</f>
        <v>0</v>
      </c>
      <c r="Q772" s="80" t="e">
        <f t="shared" si="214"/>
        <v>#DIV/0!</v>
      </c>
      <c r="R772" s="80" t="e">
        <f t="shared" si="215"/>
        <v>#DIV/0!</v>
      </c>
      <c r="S772" s="15" t="e">
        <f t="shared" si="216"/>
        <v>#DIV/0!</v>
      </c>
      <c r="T772" s="80" t="e">
        <f t="shared" si="217"/>
        <v>#DIV/0!</v>
      </c>
      <c r="U772" s="16" t="e">
        <f t="shared" si="218"/>
        <v>#DIV/0!</v>
      </c>
    </row>
    <row r="773" spans="1:21" x14ac:dyDescent="0.3">
      <c r="A773" s="77" t="s">
        <v>844</v>
      </c>
      <c r="B773" s="78" t="s">
        <v>40</v>
      </c>
      <c r="C773" s="78" t="s">
        <v>556</v>
      </c>
      <c r="D773" s="78" t="s">
        <v>1010</v>
      </c>
      <c r="E773" s="79" t="s">
        <v>1011</v>
      </c>
      <c r="F773" s="78" t="s">
        <v>848</v>
      </c>
      <c r="G773" s="78" t="s">
        <v>240</v>
      </c>
      <c r="H773" s="78" t="s">
        <v>11</v>
      </c>
      <c r="I773" s="78" t="s">
        <v>214</v>
      </c>
      <c r="J773" s="79" t="s">
        <v>241</v>
      </c>
      <c r="K773" s="80">
        <v>425.78999999999996</v>
      </c>
      <c r="L773" s="80">
        <f t="shared" si="210"/>
        <v>333.95294117647057</v>
      </c>
      <c r="M773" s="81">
        <f>prodnorm25</f>
        <v>0</v>
      </c>
      <c r="N773" s="82">
        <f>dagwerk25</f>
        <v>0</v>
      </c>
      <c r="O773" s="78" t="s">
        <v>103</v>
      </c>
      <c r="P773" s="15">
        <f>uurtarief25</f>
        <v>0</v>
      </c>
      <c r="Q773" s="80" t="e">
        <f t="shared" si="214"/>
        <v>#DIV/0!</v>
      </c>
      <c r="R773" s="80" t="e">
        <f t="shared" si="215"/>
        <v>#DIV/0!</v>
      </c>
      <c r="S773" s="15" t="e">
        <f t="shared" si="216"/>
        <v>#DIV/0!</v>
      </c>
      <c r="T773" s="80" t="e">
        <f t="shared" si="217"/>
        <v>#DIV/0!</v>
      </c>
      <c r="U773" s="16" t="e">
        <f t="shared" si="218"/>
        <v>#DIV/0!</v>
      </c>
    </row>
    <row r="774" spans="1:21" x14ac:dyDescent="0.3">
      <c r="A774" s="77" t="s">
        <v>844</v>
      </c>
      <c r="B774" s="78" t="s">
        <v>40</v>
      </c>
      <c r="C774" s="78" t="s">
        <v>556</v>
      </c>
      <c r="D774" s="78" t="s">
        <v>1012</v>
      </c>
      <c r="E774" s="79" t="s">
        <v>511</v>
      </c>
      <c r="F774" s="78" t="s">
        <v>848</v>
      </c>
      <c r="G774" s="78" t="s">
        <v>216</v>
      </c>
      <c r="H774" s="78" t="s">
        <v>11</v>
      </c>
      <c r="I774" s="78" t="s">
        <v>214</v>
      </c>
      <c r="J774" s="79" t="s">
        <v>217</v>
      </c>
      <c r="K774" s="80">
        <v>12.850000000000001</v>
      </c>
      <c r="L774" s="80">
        <f t="shared" si="210"/>
        <v>10.078431372549021</v>
      </c>
      <c r="M774" s="81">
        <f>prodnorm6</f>
        <v>0</v>
      </c>
      <c r="N774" s="82">
        <f>dagwerk6</f>
        <v>0</v>
      </c>
      <c r="O774" s="78" t="s">
        <v>103</v>
      </c>
      <c r="P774" s="15">
        <f>uurtarief6</f>
        <v>0</v>
      </c>
      <c r="Q774" s="80" t="e">
        <f t="shared" si="214"/>
        <v>#DIV/0!</v>
      </c>
      <c r="R774" s="80" t="e">
        <f t="shared" si="215"/>
        <v>#DIV/0!</v>
      </c>
      <c r="S774" s="15" t="e">
        <f t="shared" si="216"/>
        <v>#DIV/0!</v>
      </c>
      <c r="T774" s="80" t="e">
        <f t="shared" si="217"/>
        <v>#DIV/0!</v>
      </c>
      <c r="U774" s="16" t="e">
        <f t="shared" si="218"/>
        <v>#DIV/0!</v>
      </c>
    </row>
    <row r="775" spans="1:21" x14ac:dyDescent="0.3">
      <c r="A775" s="77" t="s">
        <v>844</v>
      </c>
      <c r="B775" s="78" t="s">
        <v>40</v>
      </c>
      <c r="C775" s="78" t="s">
        <v>556</v>
      </c>
      <c r="D775" s="78" t="s">
        <v>1013</v>
      </c>
      <c r="E775" s="79" t="s">
        <v>511</v>
      </c>
      <c r="F775" s="78" t="s">
        <v>848</v>
      </c>
      <c r="G775" s="78" t="s">
        <v>216</v>
      </c>
      <c r="H775" s="78" t="s">
        <v>11</v>
      </c>
      <c r="I775" s="78" t="s">
        <v>214</v>
      </c>
      <c r="J775" s="79" t="s">
        <v>217</v>
      </c>
      <c r="K775" s="80">
        <v>17.8</v>
      </c>
      <c r="L775" s="80">
        <f t="shared" si="210"/>
        <v>13.96078431372549</v>
      </c>
      <c r="M775" s="81">
        <f>prodnorm6</f>
        <v>0</v>
      </c>
      <c r="N775" s="82">
        <f>dagwerk6</f>
        <v>0</v>
      </c>
      <c r="O775" s="78" t="s">
        <v>103</v>
      </c>
      <c r="P775" s="15">
        <f>uurtarief6</f>
        <v>0</v>
      </c>
      <c r="Q775" s="80" t="e">
        <f t="shared" si="214"/>
        <v>#DIV/0!</v>
      </c>
      <c r="R775" s="80" t="e">
        <f t="shared" si="215"/>
        <v>#DIV/0!</v>
      </c>
      <c r="S775" s="15" t="e">
        <f t="shared" si="216"/>
        <v>#DIV/0!</v>
      </c>
      <c r="T775" s="80" t="e">
        <f t="shared" si="217"/>
        <v>#DIV/0!</v>
      </c>
      <c r="U775" s="16" t="e">
        <f t="shared" si="218"/>
        <v>#DIV/0!</v>
      </c>
    </row>
    <row r="776" spans="1:21" x14ac:dyDescent="0.3">
      <c r="A776" s="77" t="s">
        <v>844</v>
      </c>
      <c r="B776" s="78" t="s">
        <v>40</v>
      </c>
      <c r="C776" s="78" t="s">
        <v>556</v>
      </c>
      <c r="D776" s="78" t="s">
        <v>1014</v>
      </c>
      <c r="E776" s="79" t="s">
        <v>290</v>
      </c>
      <c r="F776" s="78" t="s">
        <v>848</v>
      </c>
      <c r="G776" s="78" t="s">
        <v>234</v>
      </c>
      <c r="H776" s="78" t="s">
        <v>11</v>
      </c>
      <c r="I776" s="78" t="s">
        <v>214</v>
      </c>
      <c r="J776" s="79" t="s">
        <v>235</v>
      </c>
      <c r="K776" s="80">
        <v>57.949999999999996</v>
      </c>
      <c r="L776" s="80">
        <f t="shared" si="210"/>
        <v>45.450980392156858</v>
      </c>
      <c r="M776" s="81">
        <f>prodnorm21</f>
        <v>0</v>
      </c>
      <c r="N776" s="82">
        <f>dagwerk21</f>
        <v>0</v>
      </c>
      <c r="O776" s="78" t="s">
        <v>103</v>
      </c>
      <c r="P776" s="15">
        <f>uurtarief21</f>
        <v>0</v>
      </c>
      <c r="Q776" s="80" t="e">
        <f t="shared" si="214"/>
        <v>#DIV/0!</v>
      </c>
      <c r="R776" s="80" t="e">
        <f t="shared" si="215"/>
        <v>#DIV/0!</v>
      </c>
      <c r="S776" s="15" t="e">
        <f t="shared" si="216"/>
        <v>#DIV/0!</v>
      </c>
      <c r="T776" s="80" t="e">
        <f t="shared" si="217"/>
        <v>#DIV/0!</v>
      </c>
      <c r="U776" s="16" t="e">
        <f t="shared" si="218"/>
        <v>#DIV/0!</v>
      </c>
    </row>
    <row r="777" spans="1:21" x14ac:dyDescent="0.3">
      <c r="A777" s="77" t="s">
        <v>844</v>
      </c>
      <c r="B777" s="78" t="s">
        <v>40</v>
      </c>
      <c r="C777" s="78" t="s">
        <v>556</v>
      </c>
      <c r="D777" s="78" t="s">
        <v>1015</v>
      </c>
      <c r="E777" s="79" t="s">
        <v>290</v>
      </c>
      <c r="F777" s="78" t="s">
        <v>848</v>
      </c>
      <c r="G777" s="78" t="s">
        <v>234</v>
      </c>
      <c r="H777" s="78" t="s">
        <v>11</v>
      </c>
      <c r="I777" s="78" t="s">
        <v>214</v>
      </c>
      <c r="J777" s="79" t="s">
        <v>235</v>
      </c>
      <c r="K777" s="80">
        <v>57.96</v>
      </c>
      <c r="L777" s="80">
        <f t="shared" si="210"/>
        <v>45.458823529411767</v>
      </c>
      <c r="M777" s="81">
        <f>prodnorm21</f>
        <v>0</v>
      </c>
      <c r="N777" s="82">
        <f>dagwerk21</f>
        <v>0</v>
      </c>
      <c r="O777" s="78" t="s">
        <v>103</v>
      </c>
      <c r="P777" s="15">
        <f>uurtarief21</f>
        <v>0</v>
      </c>
      <c r="Q777" s="80" t="e">
        <f t="shared" si="214"/>
        <v>#DIV/0!</v>
      </c>
      <c r="R777" s="80" t="e">
        <f t="shared" si="215"/>
        <v>#DIV/0!</v>
      </c>
      <c r="S777" s="15" t="e">
        <f t="shared" si="216"/>
        <v>#DIV/0!</v>
      </c>
      <c r="T777" s="80" t="e">
        <f t="shared" si="217"/>
        <v>#DIV/0!</v>
      </c>
      <c r="U777" s="16" t="e">
        <f t="shared" si="218"/>
        <v>#DIV/0!</v>
      </c>
    </row>
    <row r="778" spans="1:21" x14ac:dyDescent="0.3">
      <c r="A778" s="77" t="s">
        <v>844</v>
      </c>
      <c r="B778" s="78" t="s">
        <v>40</v>
      </c>
      <c r="C778" s="78" t="s">
        <v>556</v>
      </c>
      <c r="D778" s="78" t="s">
        <v>1016</v>
      </c>
      <c r="E778" s="79" t="s">
        <v>1017</v>
      </c>
      <c r="F778" s="78" t="s">
        <v>848</v>
      </c>
      <c r="G778" s="78" t="s">
        <v>216</v>
      </c>
      <c r="H778" s="78" t="s">
        <v>11</v>
      </c>
      <c r="I778" s="78" t="s">
        <v>214</v>
      </c>
      <c r="J778" s="79" t="s">
        <v>217</v>
      </c>
      <c r="K778" s="80">
        <v>47.97</v>
      </c>
      <c r="L778" s="80">
        <f t="shared" si="210"/>
        <v>37.623529411764707</v>
      </c>
      <c r="M778" s="81">
        <f>prodnorm6</f>
        <v>0</v>
      </c>
      <c r="N778" s="82">
        <f>dagwerk6</f>
        <v>0</v>
      </c>
      <c r="O778" s="78" t="s">
        <v>103</v>
      </c>
      <c r="P778" s="15">
        <f>uurtarief6</f>
        <v>0</v>
      </c>
      <c r="Q778" s="80" t="e">
        <f t="shared" si="214"/>
        <v>#DIV/0!</v>
      </c>
      <c r="R778" s="80" t="e">
        <f t="shared" si="215"/>
        <v>#DIV/0!</v>
      </c>
      <c r="S778" s="15" t="e">
        <f t="shared" si="216"/>
        <v>#DIV/0!</v>
      </c>
      <c r="T778" s="80" t="e">
        <f t="shared" si="217"/>
        <v>#DIV/0!</v>
      </c>
      <c r="U778" s="16" t="e">
        <f t="shared" si="218"/>
        <v>#DIV/0!</v>
      </c>
    </row>
    <row r="779" spans="1:21" x14ac:dyDescent="0.3">
      <c r="A779" s="77" t="s">
        <v>844</v>
      </c>
      <c r="B779" s="78" t="s">
        <v>40</v>
      </c>
      <c r="C779" s="78" t="s">
        <v>556</v>
      </c>
      <c r="D779" s="78" t="s">
        <v>1018</v>
      </c>
      <c r="E779" s="79" t="s">
        <v>290</v>
      </c>
      <c r="F779" s="78" t="s">
        <v>848</v>
      </c>
      <c r="G779" s="78" t="s">
        <v>234</v>
      </c>
      <c r="H779" s="78" t="s">
        <v>11</v>
      </c>
      <c r="I779" s="78" t="s">
        <v>214</v>
      </c>
      <c r="J779" s="79" t="s">
        <v>235</v>
      </c>
      <c r="K779" s="80">
        <v>67.940000000000012</v>
      </c>
      <c r="L779" s="80">
        <f t="shared" si="210"/>
        <v>53.286274509803931</v>
      </c>
      <c r="M779" s="81">
        <f>prodnorm21</f>
        <v>0</v>
      </c>
      <c r="N779" s="82">
        <f>dagwerk21</f>
        <v>0</v>
      </c>
      <c r="O779" s="78" t="s">
        <v>103</v>
      </c>
      <c r="P779" s="15">
        <f>uurtarief21</f>
        <v>0</v>
      </c>
      <c r="Q779" s="80" t="e">
        <f t="shared" si="214"/>
        <v>#DIV/0!</v>
      </c>
      <c r="R779" s="80" t="e">
        <f t="shared" si="215"/>
        <v>#DIV/0!</v>
      </c>
      <c r="S779" s="15" t="e">
        <f t="shared" si="216"/>
        <v>#DIV/0!</v>
      </c>
      <c r="T779" s="80" t="e">
        <f t="shared" si="217"/>
        <v>#DIV/0!</v>
      </c>
      <c r="U779" s="16" t="e">
        <f t="shared" si="218"/>
        <v>#DIV/0!</v>
      </c>
    </row>
    <row r="780" spans="1:21" x14ac:dyDescent="0.3">
      <c r="A780" s="77" t="s">
        <v>844</v>
      </c>
      <c r="B780" s="78" t="s">
        <v>40</v>
      </c>
      <c r="C780" s="78" t="s">
        <v>556</v>
      </c>
      <c r="D780" s="78" t="s">
        <v>1019</v>
      </c>
      <c r="E780" s="79" t="s">
        <v>290</v>
      </c>
      <c r="F780" s="78" t="s">
        <v>404</v>
      </c>
      <c r="G780" s="78" t="s">
        <v>234</v>
      </c>
      <c r="H780" s="78" t="s">
        <v>11</v>
      </c>
      <c r="I780" s="78" t="s">
        <v>214</v>
      </c>
      <c r="J780" s="79" t="s">
        <v>235</v>
      </c>
      <c r="K780" s="80">
        <v>73</v>
      </c>
      <c r="L780" s="80">
        <f t="shared" si="210"/>
        <v>57.254901960784316</v>
      </c>
      <c r="M780" s="81">
        <f>prodnorm21</f>
        <v>0</v>
      </c>
      <c r="N780" s="82">
        <f>dagwerk21</f>
        <v>0</v>
      </c>
      <c r="O780" s="78" t="s">
        <v>103</v>
      </c>
      <c r="P780" s="15">
        <f>uurtarief21</f>
        <v>0</v>
      </c>
      <c r="Q780" s="80" t="e">
        <f t="shared" si="214"/>
        <v>#DIV/0!</v>
      </c>
      <c r="R780" s="80" t="e">
        <f t="shared" si="215"/>
        <v>#DIV/0!</v>
      </c>
      <c r="S780" s="15" t="e">
        <f t="shared" si="216"/>
        <v>#DIV/0!</v>
      </c>
      <c r="T780" s="80" t="e">
        <f t="shared" si="217"/>
        <v>#DIV/0!</v>
      </c>
      <c r="U780" s="16" t="e">
        <f t="shared" si="218"/>
        <v>#DIV/0!</v>
      </c>
    </row>
    <row r="781" spans="1:21" x14ac:dyDescent="0.3">
      <c r="A781" s="77" t="s">
        <v>844</v>
      </c>
      <c r="B781" s="78" t="s">
        <v>40</v>
      </c>
      <c r="C781" s="78" t="s">
        <v>556</v>
      </c>
      <c r="D781" s="78" t="s">
        <v>1020</v>
      </c>
      <c r="E781" s="79" t="s">
        <v>488</v>
      </c>
      <c r="F781" s="78" t="s">
        <v>848</v>
      </c>
      <c r="G781" s="78" t="s">
        <v>216</v>
      </c>
      <c r="H781" s="78" t="s">
        <v>11</v>
      </c>
      <c r="I781" s="78" t="s">
        <v>214</v>
      </c>
      <c r="J781" s="79" t="s">
        <v>217</v>
      </c>
      <c r="K781" s="80">
        <v>21.68</v>
      </c>
      <c r="L781" s="80">
        <f t="shared" si="210"/>
        <v>17.003921568627451</v>
      </c>
      <c r="M781" s="81">
        <f>prodnorm6</f>
        <v>0</v>
      </c>
      <c r="N781" s="82">
        <f>dagwerk6</f>
        <v>0</v>
      </c>
      <c r="O781" s="78" t="s">
        <v>103</v>
      </c>
      <c r="P781" s="15">
        <f>uurtarief6</f>
        <v>0</v>
      </c>
      <c r="Q781" s="80" t="e">
        <f t="shared" si="214"/>
        <v>#DIV/0!</v>
      </c>
      <c r="R781" s="80" t="e">
        <f t="shared" si="215"/>
        <v>#DIV/0!</v>
      </c>
      <c r="S781" s="15" t="e">
        <f t="shared" si="216"/>
        <v>#DIV/0!</v>
      </c>
      <c r="T781" s="80" t="e">
        <f t="shared" si="217"/>
        <v>#DIV/0!</v>
      </c>
      <c r="U781" s="16" t="e">
        <f t="shared" si="218"/>
        <v>#DIV/0!</v>
      </c>
    </row>
    <row r="782" spans="1:21" x14ac:dyDescent="0.3">
      <c r="A782" s="77" t="s">
        <v>844</v>
      </c>
      <c r="B782" s="78" t="s">
        <v>40</v>
      </c>
      <c r="C782" s="78" t="s">
        <v>556</v>
      </c>
      <c r="D782" s="78" t="s">
        <v>1021</v>
      </c>
      <c r="E782" s="79" t="s">
        <v>290</v>
      </c>
      <c r="F782" s="78" t="s">
        <v>848</v>
      </c>
      <c r="G782" s="78" t="s">
        <v>234</v>
      </c>
      <c r="H782" s="78" t="s">
        <v>11</v>
      </c>
      <c r="I782" s="78" t="s">
        <v>214</v>
      </c>
      <c r="J782" s="79" t="s">
        <v>235</v>
      </c>
      <c r="K782" s="80">
        <v>67.940000000000012</v>
      </c>
      <c r="L782" s="80">
        <f t="shared" si="210"/>
        <v>53.286274509803931</v>
      </c>
      <c r="M782" s="81">
        <f>prodnorm21</f>
        <v>0</v>
      </c>
      <c r="N782" s="82">
        <f>dagwerk21</f>
        <v>0</v>
      </c>
      <c r="O782" s="78" t="s">
        <v>103</v>
      </c>
      <c r="P782" s="15">
        <f>uurtarief21</f>
        <v>0</v>
      </c>
      <c r="Q782" s="80" t="e">
        <f t="shared" si="214"/>
        <v>#DIV/0!</v>
      </c>
      <c r="R782" s="80" t="e">
        <f t="shared" si="215"/>
        <v>#DIV/0!</v>
      </c>
      <c r="S782" s="15" t="e">
        <f t="shared" si="216"/>
        <v>#DIV/0!</v>
      </c>
      <c r="T782" s="80" t="e">
        <f t="shared" si="217"/>
        <v>#DIV/0!</v>
      </c>
      <c r="U782" s="16" t="e">
        <f t="shared" si="218"/>
        <v>#DIV/0!</v>
      </c>
    </row>
    <row r="783" spans="1:21" x14ac:dyDescent="0.3">
      <c r="A783" s="77" t="s">
        <v>844</v>
      </c>
      <c r="B783" s="78" t="s">
        <v>40</v>
      </c>
      <c r="C783" s="78" t="s">
        <v>556</v>
      </c>
      <c r="D783" s="78" t="s">
        <v>1022</v>
      </c>
      <c r="E783" s="79" t="s">
        <v>290</v>
      </c>
      <c r="F783" s="78" t="s">
        <v>848</v>
      </c>
      <c r="G783" s="78" t="s">
        <v>234</v>
      </c>
      <c r="H783" s="78" t="s">
        <v>11</v>
      </c>
      <c r="I783" s="78" t="s">
        <v>214</v>
      </c>
      <c r="J783" s="79" t="s">
        <v>235</v>
      </c>
      <c r="K783" s="80">
        <v>67.77</v>
      </c>
      <c r="L783" s="80">
        <f t="shared" si="210"/>
        <v>53.152941176470584</v>
      </c>
      <c r="M783" s="81">
        <f>prodnorm21</f>
        <v>0</v>
      </c>
      <c r="N783" s="82">
        <f>dagwerk21</f>
        <v>0</v>
      </c>
      <c r="O783" s="78" t="s">
        <v>103</v>
      </c>
      <c r="P783" s="15">
        <f>uurtarief21</f>
        <v>0</v>
      </c>
      <c r="Q783" s="80" t="e">
        <f t="shared" si="214"/>
        <v>#DIV/0!</v>
      </c>
      <c r="R783" s="80" t="e">
        <f t="shared" si="215"/>
        <v>#DIV/0!</v>
      </c>
      <c r="S783" s="15" t="e">
        <f t="shared" si="216"/>
        <v>#DIV/0!</v>
      </c>
      <c r="T783" s="80" t="e">
        <f t="shared" si="217"/>
        <v>#DIV/0!</v>
      </c>
      <c r="U783" s="16" t="e">
        <f t="shared" si="218"/>
        <v>#DIV/0!</v>
      </c>
    </row>
    <row r="784" spans="1:21" x14ac:dyDescent="0.3">
      <c r="A784" s="77" t="s">
        <v>844</v>
      </c>
      <c r="B784" s="78" t="s">
        <v>40</v>
      </c>
      <c r="C784" s="78" t="s">
        <v>556</v>
      </c>
      <c r="D784" s="78" t="s">
        <v>1023</v>
      </c>
      <c r="E784" s="79" t="s">
        <v>290</v>
      </c>
      <c r="F784" s="78" t="s">
        <v>848</v>
      </c>
      <c r="G784" s="78" t="s">
        <v>234</v>
      </c>
      <c r="H784" s="78" t="s">
        <v>11</v>
      </c>
      <c r="I784" s="78" t="s">
        <v>214</v>
      </c>
      <c r="J784" s="79" t="s">
        <v>235</v>
      </c>
      <c r="K784" s="80">
        <v>67.77</v>
      </c>
      <c r="L784" s="80">
        <f t="shared" si="210"/>
        <v>53.152941176470584</v>
      </c>
      <c r="M784" s="81">
        <f>prodnorm21</f>
        <v>0</v>
      </c>
      <c r="N784" s="82">
        <f>dagwerk21</f>
        <v>0</v>
      </c>
      <c r="O784" s="78" t="s">
        <v>103</v>
      </c>
      <c r="P784" s="15">
        <f>uurtarief21</f>
        <v>0</v>
      </c>
      <c r="Q784" s="80" t="e">
        <f t="shared" si="214"/>
        <v>#DIV/0!</v>
      </c>
      <c r="R784" s="80" t="e">
        <f t="shared" si="215"/>
        <v>#DIV/0!</v>
      </c>
      <c r="S784" s="15" t="e">
        <f t="shared" si="216"/>
        <v>#DIV/0!</v>
      </c>
      <c r="T784" s="80" t="e">
        <f t="shared" si="217"/>
        <v>#DIV/0!</v>
      </c>
      <c r="U784" s="16" t="e">
        <f t="shared" si="218"/>
        <v>#DIV/0!</v>
      </c>
    </row>
    <row r="785" spans="1:21" x14ac:dyDescent="0.3">
      <c r="A785" s="77" t="s">
        <v>844</v>
      </c>
      <c r="B785" s="78" t="s">
        <v>40</v>
      </c>
      <c r="C785" s="78" t="s">
        <v>556</v>
      </c>
      <c r="D785" s="78" t="s">
        <v>1024</v>
      </c>
      <c r="E785" s="79" t="s">
        <v>511</v>
      </c>
      <c r="F785" s="78" t="s">
        <v>848</v>
      </c>
      <c r="G785" s="78" t="s">
        <v>216</v>
      </c>
      <c r="H785" s="78" t="s">
        <v>11</v>
      </c>
      <c r="I785" s="78" t="s">
        <v>214</v>
      </c>
      <c r="J785" s="79" t="s">
        <v>217</v>
      </c>
      <c r="K785" s="80">
        <v>28.34</v>
      </c>
      <c r="L785" s="80">
        <f t="shared" si="210"/>
        <v>22.227450980392156</v>
      </c>
      <c r="M785" s="81">
        <f>prodnorm6</f>
        <v>0</v>
      </c>
      <c r="N785" s="82">
        <f>dagwerk6</f>
        <v>0</v>
      </c>
      <c r="O785" s="78" t="s">
        <v>103</v>
      </c>
      <c r="P785" s="15">
        <f>uurtarief6</f>
        <v>0</v>
      </c>
      <c r="Q785" s="80" t="e">
        <f t="shared" si="214"/>
        <v>#DIV/0!</v>
      </c>
      <c r="R785" s="80" t="e">
        <f t="shared" si="215"/>
        <v>#DIV/0!</v>
      </c>
      <c r="S785" s="15" t="e">
        <f t="shared" si="216"/>
        <v>#DIV/0!</v>
      </c>
      <c r="T785" s="80" t="e">
        <f t="shared" si="217"/>
        <v>#DIV/0!</v>
      </c>
      <c r="U785" s="16" t="e">
        <f t="shared" si="218"/>
        <v>#DIV/0!</v>
      </c>
    </row>
    <row r="786" spans="1:21" x14ac:dyDescent="0.3">
      <c r="A786" s="77" t="s">
        <v>844</v>
      </c>
      <c r="B786" s="78" t="s">
        <v>40</v>
      </c>
      <c r="C786" s="78" t="s">
        <v>556</v>
      </c>
      <c r="D786" s="78" t="s">
        <v>1025</v>
      </c>
      <c r="E786" s="79" t="s">
        <v>511</v>
      </c>
      <c r="F786" s="78" t="s">
        <v>848</v>
      </c>
      <c r="G786" s="78" t="s">
        <v>216</v>
      </c>
      <c r="H786" s="78" t="s">
        <v>11</v>
      </c>
      <c r="I786" s="78" t="s">
        <v>214</v>
      </c>
      <c r="J786" s="79" t="s">
        <v>217</v>
      </c>
      <c r="K786" s="80">
        <v>12.360000000000001</v>
      </c>
      <c r="L786" s="80">
        <f t="shared" si="210"/>
        <v>9.6941176470588246</v>
      </c>
      <c r="M786" s="81">
        <f>prodnorm6</f>
        <v>0</v>
      </c>
      <c r="N786" s="82">
        <f>dagwerk6</f>
        <v>0</v>
      </c>
      <c r="O786" s="78" t="s">
        <v>103</v>
      </c>
      <c r="P786" s="15">
        <f>uurtarief6</f>
        <v>0</v>
      </c>
      <c r="Q786" s="80" t="e">
        <f t="shared" si="214"/>
        <v>#DIV/0!</v>
      </c>
      <c r="R786" s="80" t="e">
        <f t="shared" si="215"/>
        <v>#DIV/0!</v>
      </c>
      <c r="S786" s="15" t="e">
        <f t="shared" si="216"/>
        <v>#DIV/0!</v>
      </c>
      <c r="T786" s="80" t="e">
        <f t="shared" si="217"/>
        <v>#DIV/0!</v>
      </c>
      <c r="U786" s="16" t="e">
        <f t="shared" si="218"/>
        <v>#DIV/0!</v>
      </c>
    </row>
    <row r="787" spans="1:21" x14ac:dyDescent="0.3">
      <c r="A787" s="77" t="s">
        <v>844</v>
      </c>
      <c r="B787" s="78" t="s">
        <v>40</v>
      </c>
      <c r="C787" s="78" t="s">
        <v>556</v>
      </c>
      <c r="D787" s="78" t="s">
        <v>1026</v>
      </c>
      <c r="E787" s="79" t="s">
        <v>511</v>
      </c>
      <c r="F787" s="78" t="s">
        <v>848</v>
      </c>
      <c r="G787" s="78" t="s">
        <v>216</v>
      </c>
      <c r="H787" s="78" t="s">
        <v>11</v>
      </c>
      <c r="I787" s="78" t="s">
        <v>214</v>
      </c>
      <c r="J787" s="79" t="s">
        <v>217</v>
      </c>
      <c r="K787" s="80">
        <v>8.83</v>
      </c>
      <c r="L787" s="80">
        <f t="shared" si="210"/>
        <v>6.9254901960784316</v>
      </c>
      <c r="M787" s="81">
        <f>prodnorm6</f>
        <v>0</v>
      </c>
      <c r="N787" s="82">
        <f>dagwerk6</f>
        <v>0</v>
      </c>
      <c r="O787" s="78" t="s">
        <v>103</v>
      </c>
      <c r="P787" s="15">
        <f>uurtarief6</f>
        <v>0</v>
      </c>
      <c r="Q787" s="80" t="e">
        <f t="shared" si="214"/>
        <v>#DIV/0!</v>
      </c>
      <c r="R787" s="80" t="e">
        <f t="shared" si="215"/>
        <v>#DIV/0!</v>
      </c>
      <c r="S787" s="15" t="e">
        <f t="shared" si="216"/>
        <v>#DIV/0!</v>
      </c>
      <c r="T787" s="80" t="e">
        <f t="shared" si="217"/>
        <v>#DIV/0!</v>
      </c>
      <c r="U787" s="16" t="e">
        <f t="shared" si="218"/>
        <v>#DIV/0!</v>
      </c>
    </row>
    <row r="788" spans="1:21" x14ac:dyDescent="0.3">
      <c r="A788" s="77" t="s">
        <v>844</v>
      </c>
      <c r="B788" s="78" t="s">
        <v>40</v>
      </c>
      <c r="C788" s="78" t="s">
        <v>556</v>
      </c>
      <c r="D788" s="78" t="s">
        <v>1027</v>
      </c>
      <c r="E788" s="79" t="s">
        <v>290</v>
      </c>
      <c r="F788" s="78" t="s">
        <v>404</v>
      </c>
      <c r="G788" s="78" t="s">
        <v>234</v>
      </c>
      <c r="H788" s="78" t="s">
        <v>11</v>
      </c>
      <c r="I788" s="78" t="s">
        <v>214</v>
      </c>
      <c r="J788" s="79" t="s">
        <v>235</v>
      </c>
      <c r="K788" s="80">
        <v>90</v>
      </c>
      <c r="L788" s="80">
        <f t="shared" si="210"/>
        <v>70.588235294117652</v>
      </c>
      <c r="M788" s="81">
        <f>prodnorm21</f>
        <v>0</v>
      </c>
      <c r="N788" s="82">
        <f>dagwerk21</f>
        <v>0</v>
      </c>
      <c r="O788" s="78" t="s">
        <v>103</v>
      </c>
      <c r="P788" s="15">
        <f>uurtarief21</f>
        <v>0</v>
      </c>
      <c r="Q788" s="80" t="e">
        <f t="shared" si="214"/>
        <v>#DIV/0!</v>
      </c>
      <c r="R788" s="80" t="e">
        <f t="shared" si="215"/>
        <v>#DIV/0!</v>
      </c>
      <c r="S788" s="15" t="e">
        <f t="shared" si="216"/>
        <v>#DIV/0!</v>
      </c>
      <c r="T788" s="80" t="e">
        <f t="shared" si="217"/>
        <v>#DIV/0!</v>
      </c>
      <c r="U788" s="16" t="e">
        <f t="shared" si="218"/>
        <v>#DIV/0!</v>
      </c>
    </row>
    <row r="789" spans="1:21" x14ac:dyDescent="0.3">
      <c r="A789" s="77" t="s">
        <v>844</v>
      </c>
      <c r="B789" s="78" t="s">
        <v>40</v>
      </c>
      <c r="C789" s="78" t="s">
        <v>556</v>
      </c>
      <c r="D789" s="78" t="s">
        <v>1028</v>
      </c>
      <c r="E789" s="79" t="s">
        <v>911</v>
      </c>
      <c r="F789" s="78" t="s">
        <v>591</v>
      </c>
      <c r="G789" s="78" t="s">
        <v>250</v>
      </c>
      <c r="H789" s="78" t="s">
        <v>11</v>
      </c>
      <c r="I789" s="78" t="s">
        <v>214</v>
      </c>
      <c r="J789" s="79" t="s">
        <v>251</v>
      </c>
      <c r="K789" s="80">
        <v>3.4499999999999997</v>
      </c>
      <c r="L789" s="80">
        <f t="shared" si="210"/>
        <v>2.7058823529411762</v>
      </c>
      <c r="M789" s="81">
        <f>prodnorm30</f>
        <v>0</v>
      </c>
      <c r="N789" s="82">
        <f>dagwerk30</f>
        <v>0</v>
      </c>
      <c r="O789" s="78" t="s">
        <v>103</v>
      </c>
      <c r="P789" s="15">
        <f>uurtarief30</f>
        <v>0</v>
      </c>
      <c r="Q789" s="80" t="e">
        <f t="shared" si="214"/>
        <v>#DIV/0!</v>
      </c>
      <c r="R789" s="80" t="e">
        <f t="shared" si="215"/>
        <v>#DIV/0!</v>
      </c>
      <c r="S789" s="15" t="e">
        <f t="shared" si="216"/>
        <v>#DIV/0!</v>
      </c>
      <c r="T789" s="80" t="e">
        <f t="shared" si="217"/>
        <v>#DIV/0!</v>
      </c>
      <c r="U789" s="16" t="e">
        <f t="shared" si="218"/>
        <v>#DIV/0!</v>
      </c>
    </row>
    <row r="790" spans="1:21" x14ac:dyDescent="0.3">
      <c r="A790" s="77" t="s">
        <v>844</v>
      </c>
      <c r="B790" s="78" t="s">
        <v>40</v>
      </c>
      <c r="C790" s="78" t="s">
        <v>556</v>
      </c>
      <c r="D790" s="78" t="s">
        <v>1029</v>
      </c>
      <c r="E790" s="79" t="s">
        <v>913</v>
      </c>
      <c r="F790" s="78" t="s">
        <v>591</v>
      </c>
      <c r="G790" s="78" t="s">
        <v>250</v>
      </c>
      <c r="H790" s="78" t="s">
        <v>11</v>
      </c>
      <c r="I790" s="78" t="s">
        <v>214</v>
      </c>
      <c r="J790" s="79" t="s">
        <v>251</v>
      </c>
      <c r="K790" s="80">
        <v>13.5</v>
      </c>
      <c r="L790" s="80">
        <f t="shared" si="210"/>
        <v>10.588235294117647</v>
      </c>
      <c r="M790" s="81">
        <f>prodnorm30</f>
        <v>0</v>
      </c>
      <c r="N790" s="82">
        <f>dagwerk30</f>
        <v>0</v>
      </c>
      <c r="O790" s="78" t="s">
        <v>103</v>
      </c>
      <c r="P790" s="15">
        <f>uurtarief30</f>
        <v>0</v>
      </c>
      <c r="Q790" s="80" t="e">
        <f t="shared" si="214"/>
        <v>#DIV/0!</v>
      </c>
      <c r="R790" s="80" t="e">
        <f t="shared" si="215"/>
        <v>#DIV/0!</v>
      </c>
      <c r="S790" s="15" t="e">
        <f t="shared" si="216"/>
        <v>#DIV/0!</v>
      </c>
      <c r="T790" s="80" t="e">
        <f t="shared" si="217"/>
        <v>#DIV/0!</v>
      </c>
      <c r="U790" s="16" t="e">
        <f t="shared" si="218"/>
        <v>#DIV/0!</v>
      </c>
    </row>
    <row r="791" spans="1:21" x14ac:dyDescent="0.3">
      <c r="A791" s="77" t="s">
        <v>844</v>
      </c>
      <c r="B791" s="78" t="s">
        <v>40</v>
      </c>
      <c r="C791" s="78" t="s">
        <v>556</v>
      </c>
      <c r="D791" s="78" t="s">
        <v>1030</v>
      </c>
      <c r="E791" s="79" t="s">
        <v>419</v>
      </c>
      <c r="F791" s="78" t="s">
        <v>591</v>
      </c>
      <c r="G791" s="78" t="s">
        <v>250</v>
      </c>
      <c r="H791" s="78" t="s">
        <v>11</v>
      </c>
      <c r="I791" s="78" t="s">
        <v>214</v>
      </c>
      <c r="J791" s="79" t="s">
        <v>251</v>
      </c>
      <c r="K791" s="80">
        <v>1.41</v>
      </c>
      <c r="L791" s="80">
        <f t="shared" si="210"/>
        <v>1.1058823529411763</v>
      </c>
      <c r="M791" s="81">
        <f>prodnorm30</f>
        <v>0</v>
      </c>
      <c r="N791" s="82">
        <f>dagwerk30</f>
        <v>0</v>
      </c>
      <c r="O791" s="78" t="s">
        <v>103</v>
      </c>
      <c r="P791" s="15">
        <f>uurtarief30</f>
        <v>0</v>
      </c>
      <c r="Q791" s="80" t="e">
        <f t="shared" si="214"/>
        <v>#DIV/0!</v>
      </c>
      <c r="R791" s="80" t="e">
        <f t="shared" si="215"/>
        <v>#DIV/0!</v>
      </c>
      <c r="S791" s="15" t="e">
        <f t="shared" si="216"/>
        <v>#DIV/0!</v>
      </c>
      <c r="T791" s="80" t="e">
        <f t="shared" si="217"/>
        <v>#DIV/0!</v>
      </c>
      <c r="U791" s="16" t="e">
        <f t="shared" si="218"/>
        <v>#DIV/0!</v>
      </c>
    </row>
    <row r="792" spans="1:21" x14ac:dyDescent="0.3">
      <c r="A792" s="77" t="s">
        <v>844</v>
      </c>
      <c r="B792" s="78" t="s">
        <v>40</v>
      </c>
      <c r="C792" s="78" t="s">
        <v>556</v>
      </c>
      <c r="D792" s="78" t="s">
        <v>1031</v>
      </c>
      <c r="E792" s="79" t="s">
        <v>917</v>
      </c>
      <c r="F792" s="78" t="s">
        <v>591</v>
      </c>
      <c r="G792" s="78" t="s">
        <v>250</v>
      </c>
      <c r="H792" s="78" t="s">
        <v>11</v>
      </c>
      <c r="I792" s="78" t="s">
        <v>214</v>
      </c>
      <c r="J792" s="79" t="s">
        <v>251</v>
      </c>
      <c r="K792" s="80">
        <v>13.5</v>
      </c>
      <c r="L792" s="80">
        <f t="shared" si="210"/>
        <v>10.588235294117647</v>
      </c>
      <c r="M792" s="81">
        <f>prodnorm30</f>
        <v>0</v>
      </c>
      <c r="N792" s="82">
        <f>dagwerk30</f>
        <v>0</v>
      </c>
      <c r="O792" s="78" t="s">
        <v>103</v>
      </c>
      <c r="P792" s="15">
        <f>uurtarief30</f>
        <v>0</v>
      </c>
      <c r="Q792" s="80" t="e">
        <f t="shared" si="214"/>
        <v>#DIV/0!</v>
      </c>
      <c r="R792" s="80" t="e">
        <f t="shared" si="215"/>
        <v>#DIV/0!</v>
      </c>
      <c r="S792" s="15" t="e">
        <f t="shared" si="216"/>
        <v>#DIV/0!</v>
      </c>
      <c r="T792" s="80" t="e">
        <f t="shared" si="217"/>
        <v>#DIV/0!</v>
      </c>
      <c r="U792" s="16" t="e">
        <f t="shared" si="218"/>
        <v>#DIV/0!</v>
      </c>
    </row>
    <row r="793" spans="1:21" x14ac:dyDescent="0.3">
      <c r="A793" s="77" t="s">
        <v>844</v>
      </c>
      <c r="B793" s="78" t="s">
        <v>40</v>
      </c>
      <c r="C793" s="78" t="s">
        <v>556</v>
      </c>
      <c r="D793" s="78" t="s">
        <v>1032</v>
      </c>
      <c r="E793" s="79" t="s">
        <v>919</v>
      </c>
      <c r="F793" s="78" t="s">
        <v>40</v>
      </c>
      <c r="G793" s="78" t="s">
        <v>300</v>
      </c>
      <c r="H793" s="78"/>
      <c r="I793" s="78"/>
      <c r="J793" s="78"/>
      <c r="K793" s="80">
        <v>2</v>
      </c>
      <c r="L793" s="80"/>
      <c r="M793" s="81"/>
      <c r="N793" s="82"/>
      <c r="O793" s="78"/>
      <c r="P793" s="15"/>
      <c r="Q793" s="80"/>
      <c r="R793" s="80"/>
      <c r="S793" s="15"/>
      <c r="T793" s="83"/>
      <c r="U793" s="16"/>
    </row>
    <row r="794" spans="1:21" x14ac:dyDescent="0.3">
      <c r="A794" s="77" t="s">
        <v>844</v>
      </c>
      <c r="B794" s="78" t="s">
        <v>40</v>
      </c>
      <c r="C794" s="78" t="s">
        <v>556</v>
      </c>
      <c r="D794" s="78" t="s">
        <v>1033</v>
      </c>
      <c r="E794" s="79" t="s">
        <v>921</v>
      </c>
      <c r="F794" s="78" t="s">
        <v>40</v>
      </c>
      <c r="G794" s="78" t="s">
        <v>300</v>
      </c>
      <c r="H794" s="78"/>
      <c r="I794" s="78"/>
      <c r="J794" s="78"/>
      <c r="K794" s="80">
        <v>4</v>
      </c>
      <c r="L794" s="80"/>
      <c r="M794" s="81"/>
      <c r="N794" s="82"/>
      <c r="O794" s="78"/>
      <c r="P794" s="15"/>
      <c r="Q794" s="80"/>
      <c r="R794" s="80"/>
      <c r="S794" s="15"/>
      <c r="T794" s="83"/>
      <c r="U794" s="16"/>
    </row>
    <row r="795" spans="1:21" ht="27" x14ac:dyDescent="0.3">
      <c r="A795" s="77" t="s">
        <v>844</v>
      </c>
      <c r="B795" s="78" t="s">
        <v>40</v>
      </c>
      <c r="C795" s="78" t="s">
        <v>556</v>
      </c>
      <c r="D795" s="78" t="s">
        <v>1034</v>
      </c>
      <c r="E795" s="79" t="s">
        <v>380</v>
      </c>
      <c r="F795" s="78" t="s">
        <v>848</v>
      </c>
      <c r="G795" s="78" t="s">
        <v>256</v>
      </c>
      <c r="H795" s="78" t="s">
        <v>11</v>
      </c>
      <c r="I795" s="78" t="s">
        <v>214</v>
      </c>
      <c r="J795" s="79" t="s">
        <v>257</v>
      </c>
      <c r="K795" s="80">
        <v>28.5</v>
      </c>
      <c r="L795" s="80">
        <f t="shared" ref="L795:L801" si="219">K795*VLOOKUP(H795,dagsoorttabel1,2,FALSE)</f>
        <v>22.352941176470587</v>
      </c>
      <c r="M795" s="81">
        <f>prodnorm33</f>
        <v>0</v>
      </c>
      <c r="N795" s="82">
        <f>dagwerk33</f>
        <v>0</v>
      </c>
      <c r="O795" s="78" t="s">
        <v>103</v>
      </c>
      <c r="P795" s="15">
        <f>uurtarief33</f>
        <v>0</v>
      </c>
      <c r="Q795" s="80" t="e">
        <f t="shared" ref="Q795:Q801" si="220">IF(ISBLANK(M795),0,L795/ROUND(M795,4))</f>
        <v>#DIV/0!</v>
      </c>
      <c r="R795" s="80" t="e">
        <f t="shared" ref="R795:R801" si="221">IF(ISBLANK(M795),0,Q795*ROUND(N795,2))</f>
        <v>#DIV/0!</v>
      </c>
      <c r="S795" s="15" t="e">
        <f t="shared" ref="S795:S801" si="222">ROUND(P795,2)*Q795</f>
        <v>#DIV/0!</v>
      </c>
      <c r="T795" s="80" t="e">
        <f t="shared" ref="T795:T801" si="223">Q795*dagenperjaar1</f>
        <v>#DIV/0!</v>
      </c>
      <c r="U795" s="16" t="e">
        <f t="shared" ref="U795:U801" si="224">T795*ROUND(P795,2)</f>
        <v>#DIV/0!</v>
      </c>
    </row>
    <row r="796" spans="1:21" ht="27" x14ac:dyDescent="0.3">
      <c r="A796" s="77" t="s">
        <v>844</v>
      </c>
      <c r="B796" s="78" t="s">
        <v>40</v>
      </c>
      <c r="C796" s="78" t="s">
        <v>556</v>
      </c>
      <c r="D796" s="78" t="s">
        <v>1035</v>
      </c>
      <c r="E796" s="79" t="s">
        <v>380</v>
      </c>
      <c r="F796" s="78" t="s">
        <v>848</v>
      </c>
      <c r="G796" s="78" t="s">
        <v>256</v>
      </c>
      <c r="H796" s="78" t="s">
        <v>11</v>
      </c>
      <c r="I796" s="78" t="s">
        <v>214</v>
      </c>
      <c r="J796" s="79" t="s">
        <v>257</v>
      </c>
      <c r="K796" s="80">
        <v>28.5</v>
      </c>
      <c r="L796" s="80">
        <f t="shared" si="219"/>
        <v>22.352941176470587</v>
      </c>
      <c r="M796" s="81">
        <f>prodnorm33</f>
        <v>0</v>
      </c>
      <c r="N796" s="82">
        <f>dagwerk33</f>
        <v>0</v>
      </c>
      <c r="O796" s="78" t="s">
        <v>103</v>
      </c>
      <c r="P796" s="15">
        <f>uurtarief33</f>
        <v>0</v>
      </c>
      <c r="Q796" s="80" t="e">
        <f t="shared" si="220"/>
        <v>#DIV/0!</v>
      </c>
      <c r="R796" s="80" t="e">
        <f t="shared" si="221"/>
        <v>#DIV/0!</v>
      </c>
      <c r="S796" s="15" t="e">
        <f t="shared" si="222"/>
        <v>#DIV/0!</v>
      </c>
      <c r="T796" s="80" t="e">
        <f t="shared" si="223"/>
        <v>#DIV/0!</v>
      </c>
      <c r="U796" s="16" t="e">
        <f t="shared" si="224"/>
        <v>#DIV/0!</v>
      </c>
    </row>
    <row r="797" spans="1:21" ht="27" x14ac:dyDescent="0.3">
      <c r="A797" s="77" t="s">
        <v>844</v>
      </c>
      <c r="B797" s="78" t="s">
        <v>40</v>
      </c>
      <c r="C797" s="78" t="s">
        <v>556</v>
      </c>
      <c r="D797" s="78" t="s">
        <v>1036</v>
      </c>
      <c r="E797" s="79" t="s">
        <v>380</v>
      </c>
      <c r="F797" s="78" t="s">
        <v>848</v>
      </c>
      <c r="G797" s="78" t="s">
        <v>256</v>
      </c>
      <c r="H797" s="78" t="s">
        <v>11</v>
      </c>
      <c r="I797" s="78" t="s">
        <v>214</v>
      </c>
      <c r="J797" s="79" t="s">
        <v>257</v>
      </c>
      <c r="K797" s="80">
        <v>17</v>
      </c>
      <c r="L797" s="80">
        <f t="shared" si="219"/>
        <v>13.333333333333334</v>
      </c>
      <c r="M797" s="81">
        <f>prodnorm33</f>
        <v>0</v>
      </c>
      <c r="N797" s="82">
        <f>dagwerk33</f>
        <v>0</v>
      </c>
      <c r="O797" s="78" t="s">
        <v>103</v>
      </c>
      <c r="P797" s="15">
        <f>uurtarief33</f>
        <v>0</v>
      </c>
      <c r="Q797" s="80" t="e">
        <f t="shared" si="220"/>
        <v>#DIV/0!</v>
      </c>
      <c r="R797" s="80" t="e">
        <f t="shared" si="221"/>
        <v>#DIV/0!</v>
      </c>
      <c r="S797" s="15" t="e">
        <f t="shared" si="222"/>
        <v>#DIV/0!</v>
      </c>
      <c r="T797" s="80" t="e">
        <f t="shared" si="223"/>
        <v>#DIV/0!</v>
      </c>
      <c r="U797" s="16" t="e">
        <f t="shared" si="224"/>
        <v>#DIV/0!</v>
      </c>
    </row>
    <row r="798" spans="1:21" ht="27" x14ac:dyDescent="0.3">
      <c r="A798" s="77" t="s">
        <v>844</v>
      </c>
      <c r="B798" s="78" t="s">
        <v>40</v>
      </c>
      <c r="C798" s="78" t="s">
        <v>556</v>
      </c>
      <c r="D798" s="78" t="s">
        <v>1037</v>
      </c>
      <c r="E798" s="79" t="s">
        <v>380</v>
      </c>
      <c r="F798" s="78" t="s">
        <v>848</v>
      </c>
      <c r="G798" s="78" t="s">
        <v>256</v>
      </c>
      <c r="H798" s="78" t="s">
        <v>11</v>
      </c>
      <c r="I798" s="78" t="s">
        <v>214</v>
      </c>
      <c r="J798" s="79" t="s">
        <v>257</v>
      </c>
      <c r="K798" s="80">
        <v>21.14</v>
      </c>
      <c r="L798" s="80">
        <f t="shared" si="219"/>
        <v>16.580392156862747</v>
      </c>
      <c r="M798" s="81">
        <f>prodnorm33</f>
        <v>0</v>
      </c>
      <c r="N798" s="82">
        <f>dagwerk33</f>
        <v>0</v>
      </c>
      <c r="O798" s="78" t="s">
        <v>103</v>
      </c>
      <c r="P798" s="15">
        <f>uurtarief33</f>
        <v>0</v>
      </c>
      <c r="Q798" s="80" t="e">
        <f t="shared" si="220"/>
        <v>#DIV/0!</v>
      </c>
      <c r="R798" s="80" t="e">
        <f t="shared" si="221"/>
        <v>#DIV/0!</v>
      </c>
      <c r="S798" s="15" t="e">
        <f t="shared" si="222"/>
        <v>#DIV/0!</v>
      </c>
      <c r="T798" s="80" t="e">
        <f t="shared" si="223"/>
        <v>#DIV/0!</v>
      </c>
      <c r="U798" s="16" t="e">
        <f t="shared" si="224"/>
        <v>#DIV/0!</v>
      </c>
    </row>
    <row r="799" spans="1:21" x14ac:dyDescent="0.3">
      <c r="A799" s="77" t="s">
        <v>844</v>
      </c>
      <c r="B799" s="78" t="s">
        <v>40</v>
      </c>
      <c r="C799" s="78" t="s">
        <v>556</v>
      </c>
      <c r="D799" s="78" t="s">
        <v>1038</v>
      </c>
      <c r="E799" s="79" t="s">
        <v>938</v>
      </c>
      <c r="F799" s="78" t="s">
        <v>288</v>
      </c>
      <c r="G799" s="78" t="s">
        <v>252</v>
      </c>
      <c r="H799" s="78" t="s">
        <v>11</v>
      </c>
      <c r="I799" s="78" t="s">
        <v>214</v>
      </c>
      <c r="J799" s="79" t="s">
        <v>253</v>
      </c>
      <c r="K799" s="80">
        <v>4.78</v>
      </c>
      <c r="L799" s="80">
        <f t="shared" si="219"/>
        <v>3.7490196078431373</v>
      </c>
      <c r="M799" s="81">
        <f>prodnorm31</f>
        <v>0</v>
      </c>
      <c r="N799" s="82">
        <f>dagwerk31</f>
        <v>0</v>
      </c>
      <c r="O799" s="78" t="s">
        <v>103</v>
      </c>
      <c r="P799" s="15">
        <f>uurtarief31</f>
        <v>0</v>
      </c>
      <c r="Q799" s="80" t="e">
        <f t="shared" si="220"/>
        <v>#DIV/0!</v>
      </c>
      <c r="R799" s="80" t="e">
        <f t="shared" si="221"/>
        <v>#DIV/0!</v>
      </c>
      <c r="S799" s="15" t="e">
        <f t="shared" si="222"/>
        <v>#DIV/0!</v>
      </c>
      <c r="T799" s="80" t="e">
        <f t="shared" si="223"/>
        <v>#DIV/0!</v>
      </c>
      <c r="U799" s="16" t="e">
        <f t="shared" si="224"/>
        <v>#DIV/0!</v>
      </c>
    </row>
    <row r="800" spans="1:21" x14ac:dyDescent="0.3">
      <c r="A800" s="77" t="s">
        <v>844</v>
      </c>
      <c r="B800" s="78" t="s">
        <v>40</v>
      </c>
      <c r="C800" s="78" t="s">
        <v>556</v>
      </c>
      <c r="D800" s="78" t="s">
        <v>1039</v>
      </c>
      <c r="E800" s="79" t="s">
        <v>942</v>
      </c>
      <c r="F800" s="78" t="s">
        <v>288</v>
      </c>
      <c r="G800" s="78" t="s">
        <v>252</v>
      </c>
      <c r="H800" s="78" t="s">
        <v>11</v>
      </c>
      <c r="I800" s="78" t="s">
        <v>214</v>
      </c>
      <c r="J800" s="79" t="s">
        <v>253</v>
      </c>
      <c r="K800" s="80">
        <v>4.46</v>
      </c>
      <c r="L800" s="80">
        <f t="shared" si="219"/>
        <v>3.4980392156862745</v>
      </c>
      <c r="M800" s="81">
        <f>prodnorm31</f>
        <v>0</v>
      </c>
      <c r="N800" s="82">
        <f>dagwerk31</f>
        <v>0</v>
      </c>
      <c r="O800" s="78" t="s">
        <v>103</v>
      </c>
      <c r="P800" s="15">
        <f>uurtarief31</f>
        <v>0</v>
      </c>
      <c r="Q800" s="80" t="e">
        <f t="shared" si="220"/>
        <v>#DIV/0!</v>
      </c>
      <c r="R800" s="80" t="e">
        <f t="shared" si="221"/>
        <v>#DIV/0!</v>
      </c>
      <c r="S800" s="15" t="e">
        <f t="shared" si="222"/>
        <v>#DIV/0!</v>
      </c>
      <c r="T800" s="80" t="e">
        <f t="shared" si="223"/>
        <v>#DIV/0!</v>
      </c>
      <c r="U800" s="16" t="e">
        <f t="shared" si="224"/>
        <v>#DIV/0!</v>
      </c>
    </row>
    <row r="801" spans="1:21" x14ac:dyDescent="0.3">
      <c r="A801" s="84" t="s">
        <v>844</v>
      </c>
      <c r="B801" s="85" t="s">
        <v>40</v>
      </c>
      <c r="C801" s="85" t="s">
        <v>556</v>
      </c>
      <c r="D801" s="85" t="s">
        <v>1040</v>
      </c>
      <c r="E801" s="86" t="s">
        <v>411</v>
      </c>
      <c r="F801" s="85" t="s">
        <v>1041</v>
      </c>
      <c r="G801" s="85" t="s">
        <v>252</v>
      </c>
      <c r="H801" s="85" t="s">
        <v>11</v>
      </c>
      <c r="I801" s="85" t="s">
        <v>214</v>
      </c>
      <c r="J801" s="86" t="s">
        <v>253</v>
      </c>
      <c r="K801" s="87">
        <v>4.46</v>
      </c>
      <c r="L801" s="87">
        <f t="shared" si="219"/>
        <v>3.4980392156862745</v>
      </c>
      <c r="M801" s="88">
        <f>prodnorm31</f>
        <v>0</v>
      </c>
      <c r="N801" s="89">
        <f>dagwerk31</f>
        <v>0</v>
      </c>
      <c r="O801" s="85" t="s">
        <v>103</v>
      </c>
      <c r="P801" s="24">
        <f>uurtarief31</f>
        <v>0</v>
      </c>
      <c r="Q801" s="87" t="e">
        <f t="shared" si="220"/>
        <v>#DIV/0!</v>
      </c>
      <c r="R801" s="87" t="e">
        <f t="shared" si="221"/>
        <v>#DIV/0!</v>
      </c>
      <c r="S801" s="24" t="e">
        <f t="shared" si="222"/>
        <v>#DIV/0!</v>
      </c>
      <c r="T801" s="87" t="e">
        <f t="shared" si="223"/>
        <v>#DIV/0!</v>
      </c>
      <c r="U801" s="25" t="e">
        <f t="shared" si="224"/>
        <v>#DIV/0!</v>
      </c>
    </row>
    <row r="802" spans="1:21" x14ac:dyDescent="0.3">
      <c r="A802" s="90" t="s">
        <v>506</v>
      </c>
      <c r="B802" s="60"/>
      <c r="C802" s="60"/>
      <c r="D802" s="60"/>
      <c r="E802" s="60"/>
      <c r="F802" s="60"/>
      <c r="G802" s="60"/>
      <c r="H802" s="60"/>
      <c r="I802" s="60"/>
      <c r="J802" s="60"/>
      <c r="K802" s="60"/>
      <c r="L802" s="60"/>
      <c r="M802" s="60"/>
      <c r="N802" s="60"/>
      <c r="O802" s="60"/>
      <c r="P802" s="62" t="e">
        <f>IF(_xlfn.SINGLE(object5_urenjaar1)&gt;0,_xlfn.SINGLE(object5_prijsjaar1)/_xlfn.SINGLE(object5_urenjaar1),0)</f>
        <v>#DIV/0!</v>
      </c>
      <c r="Q802" s="61" t="e">
        <f>SUM(Q636:Q801)</f>
        <v>#DIV/0!</v>
      </c>
      <c r="R802" s="61" t="e">
        <f>SUM(R636:R801)</f>
        <v>#DIV/0!</v>
      </c>
      <c r="S802" s="62" t="e">
        <f>SUM(S636:S801)</f>
        <v>#DIV/0!</v>
      </c>
      <c r="T802" s="61" t="e">
        <f>SUM(T636:T801)</f>
        <v>#DIV/0!</v>
      </c>
      <c r="U802" s="63" t="e">
        <f>SUM(U636:U801)</f>
        <v>#DIV/0!</v>
      </c>
    </row>
    <row r="803" spans="1:21" x14ac:dyDescent="0.3">
      <c r="A803" s="68" t="s">
        <v>1042</v>
      </c>
      <c r="B803" s="32"/>
      <c r="C803" s="32"/>
      <c r="D803" s="32"/>
      <c r="E803" s="32"/>
      <c r="F803" s="32"/>
      <c r="G803" s="32"/>
      <c r="H803" s="32"/>
      <c r="I803" s="32"/>
      <c r="J803" s="32"/>
      <c r="K803" s="32"/>
      <c r="L803" s="32"/>
      <c r="M803" s="32"/>
      <c r="N803" s="32"/>
      <c r="O803" s="32"/>
      <c r="P803" s="32"/>
      <c r="Q803" s="32"/>
      <c r="R803" s="32"/>
      <c r="S803" s="32"/>
      <c r="T803" s="32"/>
      <c r="U803" s="58"/>
    </row>
    <row r="804" spans="1:21" x14ac:dyDescent="0.3">
      <c r="A804" s="69" t="s">
        <v>1043</v>
      </c>
      <c r="B804" s="70" t="s">
        <v>40</v>
      </c>
      <c r="C804" s="70" t="s">
        <v>280</v>
      </c>
      <c r="D804" s="70" t="s">
        <v>281</v>
      </c>
      <c r="E804" s="71" t="s">
        <v>1044</v>
      </c>
      <c r="F804" s="70" t="s">
        <v>850</v>
      </c>
      <c r="G804" s="70" t="s">
        <v>228</v>
      </c>
      <c r="H804" s="70" t="s">
        <v>11</v>
      </c>
      <c r="I804" s="70" t="s">
        <v>214</v>
      </c>
      <c r="J804" s="71" t="s">
        <v>229</v>
      </c>
      <c r="K804" s="72">
        <v>258.2</v>
      </c>
      <c r="L804" s="72">
        <f>K804*VLOOKUP(H804,dagsoorttabel1,2,FALSE)</f>
        <v>202.50980392156862</v>
      </c>
      <c r="M804" s="73">
        <f>prodnorm15</f>
        <v>0</v>
      </c>
      <c r="N804" s="74">
        <f>dagwerk15</f>
        <v>0</v>
      </c>
      <c r="O804" s="70" t="s">
        <v>103</v>
      </c>
      <c r="P804" s="75">
        <f>uurtarief15</f>
        <v>0</v>
      </c>
      <c r="Q804" s="72" t="e">
        <f>IF(ISBLANK(M804),0,L804/ROUND(M804,4))</f>
        <v>#DIV/0!</v>
      </c>
      <c r="R804" s="72" t="e">
        <f>IF(ISBLANK(M804),0,Q804*ROUND(N804,2))</f>
        <v>#DIV/0!</v>
      </c>
      <c r="S804" s="75" t="e">
        <f>ROUND(P804,2)*Q804</f>
        <v>#DIV/0!</v>
      </c>
      <c r="T804" s="72" t="e">
        <f>Q804*dagenperjaar1</f>
        <v>#DIV/0!</v>
      </c>
      <c r="U804" s="76" t="e">
        <f>T804*ROUND(P804,2)</f>
        <v>#DIV/0!</v>
      </c>
    </row>
    <row r="805" spans="1:21" x14ac:dyDescent="0.3">
      <c r="A805" s="77" t="s">
        <v>1043</v>
      </c>
      <c r="B805" s="78" t="s">
        <v>40</v>
      </c>
      <c r="C805" s="78" t="s">
        <v>280</v>
      </c>
      <c r="D805" s="78" t="s">
        <v>284</v>
      </c>
      <c r="E805" s="79" t="s">
        <v>592</v>
      </c>
      <c r="F805" s="78" t="s">
        <v>509</v>
      </c>
      <c r="G805" s="78" t="s">
        <v>300</v>
      </c>
      <c r="H805" s="78"/>
      <c r="I805" s="78"/>
      <c r="J805" s="78"/>
      <c r="K805" s="80">
        <v>23.1</v>
      </c>
      <c r="L805" s="80"/>
      <c r="M805" s="81"/>
      <c r="N805" s="82"/>
      <c r="O805" s="78"/>
      <c r="P805" s="15"/>
      <c r="Q805" s="80"/>
      <c r="R805" s="80"/>
      <c r="S805" s="15"/>
      <c r="T805" s="83"/>
      <c r="U805" s="16"/>
    </row>
    <row r="806" spans="1:21" x14ac:dyDescent="0.3">
      <c r="A806" s="77" t="s">
        <v>1043</v>
      </c>
      <c r="B806" s="78" t="s">
        <v>40</v>
      </c>
      <c r="C806" s="78" t="s">
        <v>280</v>
      </c>
      <c r="D806" s="78" t="s">
        <v>284</v>
      </c>
      <c r="E806" s="79" t="s">
        <v>493</v>
      </c>
      <c r="F806" s="78" t="s">
        <v>850</v>
      </c>
      <c r="G806" s="78" t="s">
        <v>228</v>
      </c>
      <c r="H806" s="78" t="s">
        <v>11</v>
      </c>
      <c r="I806" s="78" t="s">
        <v>214</v>
      </c>
      <c r="J806" s="79" t="s">
        <v>229</v>
      </c>
      <c r="K806" s="80">
        <v>23.1</v>
      </c>
      <c r="L806" s="80">
        <f t="shared" ref="L806:L816" si="225">K806*VLOOKUP(H806,dagsoorttabel1,2,FALSE)</f>
        <v>18.117647058823529</v>
      </c>
      <c r="M806" s="81">
        <f>prodnorm15</f>
        <v>0</v>
      </c>
      <c r="N806" s="82">
        <f>dagwerk15</f>
        <v>0</v>
      </c>
      <c r="O806" s="78" t="s">
        <v>103</v>
      </c>
      <c r="P806" s="15">
        <f>uurtarief15</f>
        <v>0</v>
      </c>
      <c r="Q806" s="80" t="e">
        <f t="shared" ref="Q806:Q816" si="226">IF(ISBLANK(M806),0,L806/ROUND(M806,4))</f>
        <v>#DIV/0!</v>
      </c>
      <c r="R806" s="80" t="e">
        <f t="shared" ref="R806:R816" si="227">IF(ISBLANK(M806),0,Q806*ROUND(N806,2))</f>
        <v>#DIV/0!</v>
      </c>
      <c r="S806" s="15" t="e">
        <f t="shared" ref="S806:S816" si="228">ROUND(P806,2)*Q806</f>
        <v>#DIV/0!</v>
      </c>
      <c r="T806" s="80" t="e">
        <f t="shared" ref="T806:T816" si="229">Q806*dagenperjaar1</f>
        <v>#DIV/0!</v>
      </c>
      <c r="U806" s="16" t="e">
        <f t="shared" ref="U806:U816" si="230">T806*ROUND(P806,2)</f>
        <v>#DIV/0!</v>
      </c>
    </row>
    <row r="807" spans="1:21" x14ac:dyDescent="0.3">
      <c r="A807" s="77" t="s">
        <v>1043</v>
      </c>
      <c r="B807" s="78" t="s">
        <v>40</v>
      </c>
      <c r="C807" s="78" t="s">
        <v>280</v>
      </c>
      <c r="D807" s="78" t="s">
        <v>289</v>
      </c>
      <c r="E807" s="79" t="s">
        <v>1045</v>
      </c>
      <c r="F807" s="78" t="s">
        <v>850</v>
      </c>
      <c r="G807" s="78" t="s">
        <v>228</v>
      </c>
      <c r="H807" s="78" t="s">
        <v>11</v>
      </c>
      <c r="I807" s="78" t="s">
        <v>214</v>
      </c>
      <c r="J807" s="79" t="s">
        <v>229</v>
      </c>
      <c r="K807" s="80">
        <v>258.2</v>
      </c>
      <c r="L807" s="80">
        <f t="shared" si="225"/>
        <v>202.50980392156862</v>
      </c>
      <c r="M807" s="81">
        <f>prodnorm15</f>
        <v>0</v>
      </c>
      <c r="N807" s="82">
        <f>dagwerk15</f>
        <v>0</v>
      </c>
      <c r="O807" s="78" t="s">
        <v>103</v>
      </c>
      <c r="P807" s="15">
        <f>uurtarief15</f>
        <v>0</v>
      </c>
      <c r="Q807" s="80" t="e">
        <f t="shared" si="226"/>
        <v>#DIV/0!</v>
      </c>
      <c r="R807" s="80" t="e">
        <f t="shared" si="227"/>
        <v>#DIV/0!</v>
      </c>
      <c r="S807" s="15" t="e">
        <f t="shared" si="228"/>
        <v>#DIV/0!</v>
      </c>
      <c r="T807" s="80" t="e">
        <f t="shared" si="229"/>
        <v>#DIV/0!</v>
      </c>
      <c r="U807" s="16" t="e">
        <f t="shared" si="230"/>
        <v>#DIV/0!</v>
      </c>
    </row>
    <row r="808" spans="1:21" x14ac:dyDescent="0.3">
      <c r="A808" s="77" t="s">
        <v>1043</v>
      </c>
      <c r="B808" s="78" t="s">
        <v>40</v>
      </c>
      <c r="C808" s="78" t="s">
        <v>280</v>
      </c>
      <c r="D808" s="78" t="s">
        <v>291</v>
      </c>
      <c r="E808" s="79" t="s">
        <v>493</v>
      </c>
      <c r="F808" s="78" t="s">
        <v>850</v>
      </c>
      <c r="G808" s="78" t="s">
        <v>228</v>
      </c>
      <c r="H808" s="78" t="s">
        <v>11</v>
      </c>
      <c r="I808" s="78" t="s">
        <v>214</v>
      </c>
      <c r="J808" s="79" t="s">
        <v>229</v>
      </c>
      <c r="K808" s="80">
        <v>38</v>
      </c>
      <c r="L808" s="80">
        <f t="shared" si="225"/>
        <v>29.803921568627452</v>
      </c>
      <c r="M808" s="81">
        <f>prodnorm15</f>
        <v>0</v>
      </c>
      <c r="N808" s="82">
        <f>dagwerk15</f>
        <v>0</v>
      </c>
      <c r="O808" s="78" t="s">
        <v>103</v>
      </c>
      <c r="P808" s="15">
        <f>uurtarief15</f>
        <v>0</v>
      </c>
      <c r="Q808" s="80" t="e">
        <f t="shared" si="226"/>
        <v>#DIV/0!</v>
      </c>
      <c r="R808" s="80" t="e">
        <f t="shared" si="227"/>
        <v>#DIV/0!</v>
      </c>
      <c r="S808" s="15" t="e">
        <f t="shared" si="228"/>
        <v>#DIV/0!</v>
      </c>
      <c r="T808" s="80" t="e">
        <f t="shared" si="229"/>
        <v>#DIV/0!</v>
      </c>
      <c r="U808" s="16" t="e">
        <f t="shared" si="230"/>
        <v>#DIV/0!</v>
      </c>
    </row>
    <row r="809" spans="1:21" x14ac:dyDescent="0.3">
      <c r="A809" s="77" t="s">
        <v>1043</v>
      </c>
      <c r="B809" s="78" t="s">
        <v>40</v>
      </c>
      <c r="C809" s="78" t="s">
        <v>280</v>
      </c>
      <c r="D809" s="78" t="s">
        <v>292</v>
      </c>
      <c r="E809" s="79" t="s">
        <v>1046</v>
      </c>
      <c r="F809" s="78" t="s">
        <v>850</v>
      </c>
      <c r="G809" s="78" t="s">
        <v>228</v>
      </c>
      <c r="H809" s="78" t="s">
        <v>11</v>
      </c>
      <c r="I809" s="78" t="s">
        <v>214</v>
      </c>
      <c r="J809" s="79" t="s">
        <v>229</v>
      </c>
      <c r="K809" s="80">
        <v>258.10000000000002</v>
      </c>
      <c r="L809" s="80">
        <f t="shared" si="225"/>
        <v>202.43137254901961</v>
      </c>
      <c r="M809" s="81">
        <f>prodnorm15</f>
        <v>0</v>
      </c>
      <c r="N809" s="82">
        <f>dagwerk15</f>
        <v>0</v>
      </c>
      <c r="O809" s="78" t="s">
        <v>103</v>
      </c>
      <c r="P809" s="15">
        <f>uurtarief15</f>
        <v>0</v>
      </c>
      <c r="Q809" s="80" t="e">
        <f t="shared" si="226"/>
        <v>#DIV/0!</v>
      </c>
      <c r="R809" s="80" t="e">
        <f t="shared" si="227"/>
        <v>#DIV/0!</v>
      </c>
      <c r="S809" s="15" t="e">
        <f t="shared" si="228"/>
        <v>#DIV/0!</v>
      </c>
      <c r="T809" s="80" t="e">
        <f t="shared" si="229"/>
        <v>#DIV/0!</v>
      </c>
      <c r="U809" s="16" t="e">
        <f t="shared" si="230"/>
        <v>#DIV/0!</v>
      </c>
    </row>
    <row r="810" spans="1:21" x14ac:dyDescent="0.3">
      <c r="A810" s="77" t="s">
        <v>1043</v>
      </c>
      <c r="B810" s="78" t="s">
        <v>40</v>
      </c>
      <c r="C810" s="78" t="s">
        <v>280</v>
      </c>
      <c r="D810" s="78" t="s">
        <v>294</v>
      </c>
      <c r="E810" s="79" t="s">
        <v>493</v>
      </c>
      <c r="F810" s="78" t="s">
        <v>850</v>
      </c>
      <c r="G810" s="78" t="s">
        <v>228</v>
      </c>
      <c r="H810" s="78" t="s">
        <v>11</v>
      </c>
      <c r="I810" s="78" t="s">
        <v>214</v>
      </c>
      <c r="J810" s="79" t="s">
        <v>229</v>
      </c>
      <c r="K810" s="80">
        <v>31.1</v>
      </c>
      <c r="L810" s="80">
        <f t="shared" si="225"/>
        <v>24.3921568627451</v>
      </c>
      <c r="M810" s="81">
        <f>prodnorm15</f>
        <v>0</v>
      </c>
      <c r="N810" s="82">
        <f>dagwerk15</f>
        <v>0</v>
      </c>
      <c r="O810" s="78" t="s">
        <v>103</v>
      </c>
      <c r="P810" s="15">
        <f>uurtarief15</f>
        <v>0</v>
      </c>
      <c r="Q810" s="80" t="e">
        <f t="shared" si="226"/>
        <v>#DIV/0!</v>
      </c>
      <c r="R810" s="80" t="e">
        <f t="shared" si="227"/>
        <v>#DIV/0!</v>
      </c>
      <c r="S810" s="15" t="e">
        <f t="shared" si="228"/>
        <v>#DIV/0!</v>
      </c>
      <c r="T810" s="80" t="e">
        <f t="shared" si="229"/>
        <v>#DIV/0!</v>
      </c>
      <c r="U810" s="16" t="e">
        <f t="shared" si="230"/>
        <v>#DIV/0!</v>
      </c>
    </row>
    <row r="811" spans="1:21" x14ac:dyDescent="0.3">
      <c r="A811" s="77" t="s">
        <v>1043</v>
      </c>
      <c r="B811" s="78" t="s">
        <v>40</v>
      </c>
      <c r="C811" s="78" t="s">
        <v>280</v>
      </c>
      <c r="D811" s="78" t="s">
        <v>296</v>
      </c>
      <c r="E811" s="79" t="s">
        <v>1047</v>
      </c>
      <c r="F811" s="78" t="s">
        <v>482</v>
      </c>
      <c r="G811" s="78" t="s">
        <v>226</v>
      </c>
      <c r="H811" s="78" t="s">
        <v>11</v>
      </c>
      <c r="I811" s="78" t="s">
        <v>214</v>
      </c>
      <c r="J811" s="79" t="s">
        <v>227</v>
      </c>
      <c r="K811" s="80">
        <v>37.4</v>
      </c>
      <c r="L811" s="80">
        <f t="shared" si="225"/>
        <v>29.333333333333332</v>
      </c>
      <c r="M811" s="81">
        <f>prodnorm14</f>
        <v>0</v>
      </c>
      <c r="N811" s="82">
        <f>dagwerk14</f>
        <v>0</v>
      </c>
      <c r="O811" s="78" t="s">
        <v>103</v>
      </c>
      <c r="P811" s="15">
        <f>uurtarief14</f>
        <v>0</v>
      </c>
      <c r="Q811" s="80" t="e">
        <f t="shared" si="226"/>
        <v>#DIV/0!</v>
      </c>
      <c r="R811" s="80" t="e">
        <f t="shared" si="227"/>
        <v>#DIV/0!</v>
      </c>
      <c r="S811" s="15" t="e">
        <f t="shared" si="228"/>
        <v>#DIV/0!</v>
      </c>
      <c r="T811" s="80" t="e">
        <f t="shared" si="229"/>
        <v>#DIV/0!</v>
      </c>
      <c r="U811" s="16" t="e">
        <f t="shared" si="230"/>
        <v>#DIV/0!</v>
      </c>
    </row>
    <row r="812" spans="1:21" x14ac:dyDescent="0.3">
      <c r="A812" s="77" t="s">
        <v>1043</v>
      </c>
      <c r="B812" s="78" t="s">
        <v>40</v>
      </c>
      <c r="C812" s="78" t="s">
        <v>280</v>
      </c>
      <c r="D812" s="78" t="s">
        <v>301</v>
      </c>
      <c r="E812" s="79" t="s">
        <v>1048</v>
      </c>
      <c r="F812" s="78" t="s">
        <v>509</v>
      </c>
      <c r="G812" s="78" t="s">
        <v>216</v>
      </c>
      <c r="H812" s="78" t="s">
        <v>16</v>
      </c>
      <c r="I812" s="78" t="s">
        <v>214</v>
      </c>
      <c r="J812" s="79" t="s">
        <v>217</v>
      </c>
      <c r="K812" s="80">
        <v>38.200000000000003</v>
      </c>
      <c r="L812" s="80">
        <f t="shared" si="225"/>
        <v>11.984313725490196</v>
      </c>
      <c r="M812" s="81">
        <f>prodnorm8</f>
        <v>0</v>
      </c>
      <c r="N812" s="82">
        <f>dagwerk8</f>
        <v>0</v>
      </c>
      <c r="O812" s="78" t="s">
        <v>103</v>
      </c>
      <c r="P812" s="15">
        <f>uurtarief8</f>
        <v>0</v>
      </c>
      <c r="Q812" s="80" t="e">
        <f t="shared" si="226"/>
        <v>#DIV/0!</v>
      </c>
      <c r="R812" s="80" t="e">
        <f t="shared" si="227"/>
        <v>#DIV/0!</v>
      </c>
      <c r="S812" s="15" t="e">
        <f t="shared" si="228"/>
        <v>#DIV/0!</v>
      </c>
      <c r="T812" s="80" t="e">
        <f t="shared" si="229"/>
        <v>#DIV/0!</v>
      </c>
      <c r="U812" s="16" t="e">
        <f t="shared" si="230"/>
        <v>#DIV/0!</v>
      </c>
    </row>
    <row r="813" spans="1:21" x14ac:dyDescent="0.3">
      <c r="A813" s="77" t="s">
        <v>1043</v>
      </c>
      <c r="B813" s="78" t="s">
        <v>40</v>
      </c>
      <c r="C813" s="78" t="s">
        <v>280</v>
      </c>
      <c r="D813" s="78" t="s">
        <v>304</v>
      </c>
      <c r="E813" s="79" t="s">
        <v>786</v>
      </c>
      <c r="F813" s="78" t="s">
        <v>591</v>
      </c>
      <c r="G813" s="78" t="s">
        <v>250</v>
      </c>
      <c r="H813" s="78" t="s">
        <v>11</v>
      </c>
      <c r="I813" s="78" t="s">
        <v>214</v>
      </c>
      <c r="J813" s="79" t="s">
        <v>251</v>
      </c>
      <c r="K813" s="80">
        <v>4.3</v>
      </c>
      <c r="L813" s="80">
        <f t="shared" si="225"/>
        <v>3.3725490196078431</v>
      </c>
      <c r="M813" s="81">
        <f>prodnorm30</f>
        <v>0</v>
      </c>
      <c r="N813" s="82">
        <f>dagwerk30</f>
        <v>0</v>
      </c>
      <c r="O813" s="78" t="s">
        <v>103</v>
      </c>
      <c r="P813" s="15">
        <f>uurtarief30</f>
        <v>0</v>
      </c>
      <c r="Q813" s="80" t="e">
        <f t="shared" si="226"/>
        <v>#DIV/0!</v>
      </c>
      <c r="R813" s="80" t="e">
        <f t="shared" si="227"/>
        <v>#DIV/0!</v>
      </c>
      <c r="S813" s="15" t="e">
        <f t="shared" si="228"/>
        <v>#DIV/0!</v>
      </c>
      <c r="T813" s="80" t="e">
        <f t="shared" si="229"/>
        <v>#DIV/0!</v>
      </c>
      <c r="U813" s="16" t="e">
        <f t="shared" si="230"/>
        <v>#DIV/0!</v>
      </c>
    </row>
    <row r="814" spans="1:21" x14ac:dyDescent="0.3">
      <c r="A814" s="77" t="s">
        <v>1043</v>
      </c>
      <c r="B814" s="78" t="s">
        <v>40</v>
      </c>
      <c r="C814" s="78" t="s">
        <v>280</v>
      </c>
      <c r="D814" s="78" t="s">
        <v>306</v>
      </c>
      <c r="E814" s="79" t="s">
        <v>1049</v>
      </c>
      <c r="F814" s="78" t="s">
        <v>591</v>
      </c>
      <c r="G814" s="78" t="s">
        <v>250</v>
      </c>
      <c r="H814" s="78" t="s">
        <v>11</v>
      </c>
      <c r="I814" s="78" t="s">
        <v>214</v>
      </c>
      <c r="J814" s="79" t="s">
        <v>251</v>
      </c>
      <c r="K814" s="80">
        <v>1.3</v>
      </c>
      <c r="L814" s="80">
        <f t="shared" si="225"/>
        <v>1.0196078431372548</v>
      </c>
      <c r="M814" s="81">
        <f>prodnorm30</f>
        <v>0</v>
      </c>
      <c r="N814" s="82">
        <f>dagwerk30</f>
        <v>0</v>
      </c>
      <c r="O814" s="78" t="s">
        <v>103</v>
      </c>
      <c r="P814" s="15">
        <f>uurtarief30</f>
        <v>0</v>
      </c>
      <c r="Q814" s="80" t="e">
        <f t="shared" si="226"/>
        <v>#DIV/0!</v>
      </c>
      <c r="R814" s="80" t="e">
        <f t="shared" si="227"/>
        <v>#DIV/0!</v>
      </c>
      <c r="S814" s="15" t="e">
        <f t="shared" si="228"/>
        <v>#DIV/0!</v>
      </c>
      <c r="T814" s="80" t="e">
        <f t="shared" si="229"/>
        <v>#DIV/0!</v>
      </c>
      <c r="U814" s="16" t="e">
        <f t="shared" si="230"/>
        <v>#DIV/0!</v>
      </c>
    </row>
    <row r="815" spans="1:21" x14ac:dyDescent="0.3">
      <c r="A815" s="77" t="s">
        <v>1043</v>
      </c>
      <c r="B815" s="78" t="s">
        <v>40</v>
      </c>
      <c r="C815" s="78" t="s">
        <v>280</v>
      </c>
      <c r="D815" s="78" t="s">
        <v>309</v>
      </c>
      <c r="E815" s="79" t="s">
        <v>786</v>
      </c>
      <c r="F815" s="78" t="s">
        <v>591</v>
      </c>
      <c r="G815" s="78" t="s">
        <v>250</v>
      </c>
      <c r="H815" s="78" t="s">
        <v>11</v>
      </c>
      <c r="I815" s="78" t="s">
        <v>214</v>
      </c>
      <c r="J815" s="79" t="s">
        <v>251</v>
      </c>
      <c r="K815" s="80">
        <v>1</v>
      </c>
      <c r="L815" s="80">
        <f t="shared" si="225"/>
        <v>0.78431372549019607</v>
      </c>
      <c r="M815" s="81">
        <f>prodnorm30</f>
        <v>0</v>
      </c>
      <c r="N815" s="82">
        <f>dagwerk30</f>
        <v>0</v>
      </c>
      <c r="O815" s="78" t="s">
        <v>103</v>
      </c>
      <c r="P815" s="15">
        <f>uurtarief30</f>
        <v>0</v>
      </c>
      <c r="Q815" s="80" t="e">
        <f t="shared" si="226"/>
        <v>#DIV/0!</v>
      </c>
      <c r="R815" s="80" t="e">
        <f t="shared" si="227"/>
        <v>#DIV/0!</v>
      </c>
      <c r="S815" s="15" t="e">
        <f t="shared" si="228"/>
        <v>#DIV/0!</v>
      </c>
      <c r="T815" s="80" t="e">
        <f t="shared" si="229"/>
        <v>#DIV/0!</v>
      </c>
      <c r="U815" s="16" t="e">
        <f t="shared" si="230"/>
        <v>#DIV/0!</v>
      </c>
    </row>
    <row r="816" spans="1:21" x14ac:dyDescent="0.3">
      <c r="A816" s="77" t="s">
        <v>1043</v>
      </c>
      <c r="B816" s="78" t="s">
        <v>40</v>
      </c>
      <c r="C816" s="78" t="s">
        <v>280</v>
      </c>
      <c r="D816" s="78" t="s">
        <v>311</v>
      </c>
      <c r="E816" s="79" t="s">
        <v>1050</v>
      </c>
      <c r="F816" s="78" t="s">
        <v>591</v>
      </c>
      <c r="G816" s="78" t="s">
        <v>232</v>
      </c>
      <c r="H816" s="78" t="s">
        <v>11</v>
      </c>
      <c r="I816" s="78" t="s">
        <v>214</v>
      </c>
      <c r="J816" s="79" t="s">
        <v>233</v>
      </c>
      <c r="K816" s="80">
        <v>9.8000000000000007</v>
      </c>
      <c r="L816" s="80">
        <f t="shared" si="225"/>
        <v>7.6862745098039218</v>
      </c>
      <c r="M816" s="81">
        <f>prodnorm19</f>
        <v>0</v>
      </c>
      <c r="N816" s="82">
        <f>dagwerk19</f>
        <v>0</v>
      </c>
      <c r="O816" s="78" t="s">
        <v>103</v>
      </c>
      <c r="P816" s="15">
        <f>uurtarief19</f>
        <v>0</v>
      </c>
      <c r="Q816" s="80" t="e">
        <f t="shared" si="226"/>
        <v>#DIV/0!</v>
      </c>
      <c r="R816" s="80" t="e">
        <f t="shared" si="227"/>
        <v>#DIV/0!</v>
      </c>
      <c r="S816" s="15" t="e">
        <f t="shared" si="228"/>
        <v>#DIV/0!</v>
      </c>
      <c r="T816" s="80" t="e">
        <f t="shared" si="229"/>
        <v>#DIV/0!</v>
      </c>
      <c r="U816" s="16" t="e">
        <f t="shared" si="230"/>
        <v>#DIV/0!</v>
      </c>
    </row>
    <row r="817" spans="1:21" x14ac:dyDescent="0.3">
      <c r="A817" s="77" t="s">
        <v>1043</v>
      </c>
      <c r="B817" s="78" t="s">
        <v>40</v>
      </c>
      <c r="C817" s="78" t="s">
        <v>280</v>
      </c>
      <c r="D817" s="78" t="s">
        <v>315</v>
      </c>
      <c r="E817" s="79" t="s">
        <v>649</v>
      </c>
      <c r="F817" s="78" t="s">
        <v>40</v>
      </c>
      <c r="G817" s="78" t="s">
        <v>300</v>
      </c>
      <c r="H817" s="78"/>
      <c r="I817" s="78"/>
      <c r="J817" s="78"/>
      <c r="K817" s="80">
        <v>4</v>
      </c>
      <c r="L817" s="80"/>
      <c r="M817" s="81"/>
      <c r="N817" s="82"/>
      <c r="O817" s="78"/>
      <c r="P817" s="15"/>
      <c r="Q817" s="80"/>
      <c r="R817" s="80"/>
      <c r="S817" s="15"/>
      <c r="T817" s="83"/>
      <c r="U817" s="16"/>
    </row>
    <row r="818" spans="1:21" x14ac:dyDescent="0.3">
      <c r="A818" s="77" t="s">
        <v>1043</v>
      </c>
      <c r="B818" s="78" t="s">
        <v>40</v>
      </c>
      <c r="C818" s="78" t="s">
        <v>280</v>
      </c>
      <c r="D818" s="78" t="s">
        <v>317</v>
      </c>
      <c r="E818" s="79" t="s">
        <v>1050</v>
      </c>
      <c r="F818" s="78" t="s">
        <v>591</v>
      </c>
      <c r="G818" s="78" t="s">
        <v>232</v>
      </c>
      <c r="H818" s="78" t="s">
        <v>11</v>
      </c>
      <c r="I818" s="78" t="s">
        <v>214</v>
      </c>
      <c r="J818" s="79" t="s">
        <v>233</v>
      </c>
      <c r="K818" s="80">
        <v>9.8000000000000007</v>
      </c>
      <c r="L818" s="80">
        <f t="shared" ref="L818:L830" si="231">K818*VLOOKUP(H818,dagsoorttabel1,2,FALSE)</f>
        <v>7.6862745098039218</v>
      </c>
      <c r="M818" s="81">
        <f>prodnorm19</f>
        <v>0</v>
      </c>
      <c r="N818" s="82">
        <f>dagwerk19</f>
        <v>0</v>
      </c>
      <c r="O818" s="78" t="s">
        <v>103</v>
      </c>
      <c r="P818" s="15">
        <f>uurtarief19</f>
        <v>0</v>
      </c>
      <c r="Q818" s="80" t="e">
        <f t="shared" ref="Q818:Q830" si="232">IF(ISBLANK(M818),0,L818/ROUND(M818,4))</f>
        <v>#DIV/0!</v>
      </c>
      <c r="R818" s="80" t="e">
        <f t="shared" ref="R818:R830" si="233">IF(ISBLANK(M818),0,Q818*ROUND(N818,2))</f>
        <v>#DIV/0!</v>
      </c>
      <c r="S818" s="15" t="e">
        <f t="shared" ref="S818:S830" si="234">ROUND(P818,2)*Q818</f>
        <v>#DIV/0!</v>
      </c>
      <c r="T818" s="80" t="e">
        <f t="shared" ref="T818:T830" si="235">Q818*dagenperjaar1</f>
        <v>#DIV/0!</v>
      </c>
      <c r="U818" s="16" t="e">
        <f t="shared" ref="U818:U830" si="236">T818*ROUND(P818,2)</f>
        <v>#DIV/0!</v>
      </c>
    </row>
    <row r="819" spans="1:21" x14ac:dyDescent="0.3">
      <c r="A819" s="77" t="s">
        <v>1043</v>
      </c>
      <c r="B819" s="78" t="s">
        <v>40</v>
      </c>
      <c r="C819" s="78" t="s">
        <v>280</v>
      </c>
      <c r="D819" s="78" t="s">
        <v>1051</v>
      </c>
      <c r="E819" s="79" t="s">
        <v>419</v>
      </c>
      <c r="F819" s="78" t="s">
        <v>591</v>
      </c>
      <c r="G819" s="78" t="s">
        <v>250</v>
      </c>
      <c r="H819" s="78" t="s">
        <v>11</v>
      </c>
      <c r="I819" s="78" t="s">
        <v>214</v>
      </c>
      <c r="J819" s="79" t="s">
        <v>251</v>
      </c>
      <c r="K819" s="80">
        <v>1.3</v>
      </c>
      <c r="L819" s="80">
        <f t="shared" si="231"/>
        <v>1.0196078431372548</v>
      </c>
      <c r="M819" s="81">
        <f>prodnorm30</f>
        <v>0</v>
      </c>
      <c r="N819" s="82">
        <f>dagwerk30</f>
        <v>0</v>
      </c>
      <c r="O819" s="78" t="s">
        <v>103</v>
      </c>
      <c r="P819" s="15">
        <f>uurtarief30</f>
        <v>0</v>
      </c>
      <c r="Q819" s="80" t="e">
        <f t="shared" si="232"/>
        <v>#DIV/0!</v>
      </c>
      <c r="R819" s="80" t="e">
        <f t="shared" si="233"/>
        <v>#DIV/0!</v>
      </c>
      <c r="S819" s="15" t="e">
        <f t="shared" si="234"/>
        <v>#DIV/0!</v>
      </c>
      <c r="T819" s="80" t="e">
        <f t="shared" si="235"/>
        <v>#DIV/0!</v>
      </c>
      <c r="U819" s="16" t="e">
        <f t="shared" si="236"/>
        <v>#DIV/0!</v>
      </c>
    </row>
    <row r="820" spans="1:21" x14ac:dyDescent="0.3">
      <c r="A820" s="77" t="s">
        <v>1043</v>
      </c>
      <c r="B820" s="78" t="s">
        <v>40</v>
      </c>
      <c r="C820" s="78" t="s">
        <v>280</v>
      </c>
      <c r="D820" s="78" t="s">
        <v>319</v>
      </c>
      <c r="E820" s="79" t="s">
        <v>1049</v>
      </c>
      <c r="F820" s="78" t="s">
        <v>591</v>
      </c>
      <c r="G820" s="78" t="s">
        <v>250</v>
      </c>
      <c r="H820" s="78" t="s">
        <v>11</v>
      </c>
      <c r="I820" s="78" t="s">
        <v>214</v>
      </c>
      <c r="J820" s="79" t="s">
        <v>251</v>
      </c>
      <c r="K820" s="80">
        <v>1.3</v>
      </c>
      <c r="L820" s="80">
        <f t="shared" si="231"/>
        <v>1.0196078431372548</v>
      </c>
      <c r="M820" s="81">
        <f>prodnorm30</f>
        <v>0</v>
      </c>
      <c r="N820" s="82">
        <f>dagwerk30</f>
        <v>0</v>
      </c>
      <c r="O820" s="78" t="s">
        <v>103</v>
      </c>
      <c r="P820" s="15">
        <f>uurtarief30</f>
        <v>0</v>
      </c>
      <c r="Q820" s="80" t="e">
        <f t="shared" si="232"/>
        <v>#DIV/0!</v>
      </c>
      <c r="R820" s="80" t="e">
        <f t="shared" si="233"/>
        <v>#DIV/0!</v>
      </c>
      <c r="S820" s="15" t="e">
        <f t="shared" si="234"/>
        <v>#DIV/0!</v>
      </c>
      <c r="T820" s="80" t="e">
        <f t="shared" si="235"/>
        <v>#DIV/0!</v>
      </c>
      <c r="U820" s="16" t="e">
        <f t="shared" si="236"/>
        <v>#DIV/0!</v>
      </c>
    </row>
    <row r="821" spans="1:21" x14ac:dyDescent="0.3">
      <c r="A821" s="77" t="s">
        <v>1043</v>
      </c>
      <c r="B821" s="78" t="s">
        <v>40</v>
      </c>
      <c r="C821" s="78" t="s">
        <v>280</v>
      </c>
      <c r="D821" s="78" t="s">
        <v>1052</v>
      </c>
      <c r="E821" s="79" t="s">
        <v>786</v>
      </c>
      <c r="F821" s="78" t="s">
        <v>591</v>
      </c>
      <c r="G821" s="78" t="s">
        <v>250</v>
      </c>
      <c r="H821" s="78" t="s">
        <v>11</v>
      </c>
      <c r="I821" s="78" t="s">
        <v>214</v>
      </c>
      <c r="J821" s="79" t="s">
        <v>251</v>
      </c>
      <c r="K821" s="80">
        <v>5.3</v>
      </c>
      <c r="L821" s="80">
        <f t="shared" si="231"/>
        <v>4.1568627450980387</v>
      </c>
      <c r="M821" s="81">
        <f>prodnorm30</f>
        <v>0</v>
      </c>
      <c r="N821" s="82">
        <f>dagwerk30</f>
        <v>0</v>
      </c>
      <c r="O821" s="78" t="s">
        <v>103</v>
      </c>
      <c r="P821" s="15">
        <f>uurtarief30</f>
        <v>0</v>
      </c>
      <c r="Q821" s="80" t="e">
        <f t="shared" si="232"/>
        <v>#DIV/0!</v>
      </c>
      <c r="R821" s="80" t="e">
        <f t="shared" si="233"/>
        <v>#DIV/0!</v>
      </c>
      <c r="S821" s="15" t="e">
        <f t="shared" si="234"/>
        <v>#DIV/0!</v>
      </c>
      <c r="T821" s="80" t="e">
        <f t="shared" si="235"/>
        <v>#DIV/0!</v>
      </c>
      <c r="U821" s="16" t="e">
        <f t="shared" si="236"/>
        <v>#DIV/0!</v>
      </c>
    </row>
    <row r="822" spans="1:21" x14ac:dyDescent="0.3">
      <c r="A822" s="77" t="s">
        <v>1043</v>
      </c>
      <c r="B822" s="78" t="s">
        <v>40</v>
      </c>
      <c r="C822" s="78" t="s">
        <v>280</v>
      </c>
      <c r="D822" s="78" t="s">
        <v>322</v>
      </c>
      <c r="E822" s="79" t="s">
        <v>490</v>
      </c>
      <c r="F822" s="78" t="s">
        <v>768</v>
      </c>
      <c r="G822" s="78" t="s">
        <v>216</v>
      </c>
      <c r="H822" s="78" t="s">
        <v>16</v>
      </c>
      <c r="I822" s="78" t="s">
        <v>214</v>
      </c>
      <c r="J822" s="79" t="s">
        <v>217</v>
      </c>
      <c r="K822" s="80">
        <v>8</v>
      </c>
      <c r="L822" s="80">
        <f t="shared" si="231"/>
        <v>2.5098039215686274</v>
      </c>
      <c r="M822" s="81">
        <f>prodnorm8</f>
        <v>0</v>
      </c>
      <c r="N822" s="82">
        <f>dagwerk8</f>
        <v>0</v>
      </c>
      <c r="O822" s="78" t="s">
        <v>103</v>
      </c>
      <c r="P822" s="15">
        <f>uurtarief8</f>
        <v>0</v>
      </c>
      <c r="Q822" s="80" t="e">
        <f t="shared" si="232"/>
        <v>#DIV/0!</v>
      </c>
      <c r="R822" s="80" t="e">
        <f t="shared" si="233"/>
        <v>#DIV/0!</v>
      </c>
      <c r="S822" s="15" t="e">
        <f t="shared" si="234"/>
        <v>#DIV/0!</v>
      </c>
      <c r="T822" s="80" t="e">
        <f t="shared" si="235"/>
        <v>#DIV/0!</v>
      </c>
      <c r="U822" s="16" t="e">
        <f t="shared" si="236"/>
        <v>#DIV/0!</v>
      </c>
    </row>
    <row r="823" spans="1:21" x14ac:dyDescent="0.3">
      <c r="A823" s="77" t="s">
        <v>1043</v>
      </c>
      <c r="B823" s="78" t="s">
        <v>40</v>
      </c>
      <c r="C823" s="78" t="s">
        <v>280</v>
      </c>
      <c r="D823" s="78" t="s">
        <v>325</v>
      </c>
      <c r="E823" s="79" t="s">
        <v>1053</v>
      </c>
      <c r="F823" s="78" t="s">
        <v>509</v>
      </c>
      <c r="G823" s="78" t="s">
        <v>238</v>
      </c>
      <c r="H823" s="78" t="s">
        <v>21</v>
      </c>
      <c r="I823" s="78" t="s">
        <v>214</v>
      </c>
      <c r="J823" s="79" t="s">
        <v>239</v>
      </c>
      <c r="K823" s="80">
        <v>38.200000000000003</v>
      </c>
      <c r="L823" s="80">
        <f t="shared" si="231"/>
        <v>1.4980392156862745</v>
      </c>
      <c r="M823" s="81">
        <f>prodnorm23</f>
        <v>0</v>
      </c>
      <c r="N823" s="82">
        <f>dagwerk23</f>
        <v>0</v>
      </c>
      <c r="O823" s="78" t="s">
        <v>103</v>
      </c>
      <c r="P823" s="15">
        <f>uurtarief23</f>
        <v>0</v>
      </c>
      <c r="Q823" s="80" t="e">
        <f t="shared" si="232"/>
        <v>#DIV/0!</v>
      </c>
      <c r="R823" s="80" t="e">
        <f t="shared" si="233"/>
        <v>#DIV/0!</v>
      </c>
      <c r="S823" s="15" t="e">
        <f t="shared" si="234"/>
        <v>#DIV/0!</v>
      </c>
      <c r="T823" s="80" t="e">
        <f t="shared" si="235"/>
        <v>#DIV/0!</v>
      </c>
      <c r="U823" s="16" t="e">
        <f t="shared" si="236"/>
        <v>#DIV/0!</v>
      </c>
    </row>
    <row r="824" spans="1:21" x14ac:dyDescent="0.3">
      <c r="A824" s="77" t="s">
        <v>1043</v>
      </c>
      <c r="B824" s="78" t="s">
        <v>40</v>
      </c>
      <c r="C824" s="78" t="s">
        <v>280</v>
      </c>
      <c r="D824" s="78" t="s">
        <v>326</v>
      </c>
      <c r="E824" s="79" t="s">
        <v>1054</v>
      </c>
      <c r="F824" s="78" t="s">
        <v>591</v>
      </c>
      <c r="G824" s="78" t="s">
        <v>232</v>
      </c>
      <c r="H824" s="78" t="s">
        <v>11</v>
      </c>
      <c r="I824" s="78" t="s">
        <v>214</v>
      </c>
      <c r="J824" s="79" t="s">
        <v>233</v>
      </c>
      <c r="K824" s="80">
        <v>37.4</v>
      </c>
      <c r="L824" s="80">
        <f t="shared" si="231"/>
        <v>29.333333333333332</v>
      </c>
      <c r="M824" s="81">
        <f>prodnorm19</f>
        <v>0</v>
      </c>
      <c r="N824" s="82">
        <f>dagwerk19</f>
        <v>0</v>
      </c>
      <c r="O824" s="78" t="s">
        <v>103</v>
      </c>
      <c r="P824" s="15">
        <f>uurtarief19</f>
        <v>0</v>
      </c>
      <c r="Q824" s="80" t="e">
        <f t="shared" si="232"/>
        <v>#DIV/0!</v>
      </c>
      <c r="R824" s="80" t="e">
        <f t="shared" si="233"/>
        <v>#DIV/0!</v>
      </c>
      <c r="S824" s="15" t="e">
        <f t="shared" si="234"/>
        <v>#DIV/0!</v>
      </c>
      <c r="T824" s="80" t="e">
        <f t="shared" si="235"/>
        <v>#DIV/0!</v>
      </c>
      <c r="U824" s="16" t="e">
        <f t="shared" si="236"/>
        <v>#DIV/0!</v>
      </c>
    </row>
    <row r="825" spans="1:21" x14ac:dyDescent="0.3">
      <c r="A825" s="77" t="s">
        <v>1043</v>
      </c>
      <c r="B825" s="78" t="s">
        <v>40</v>
      </c>
      <c r="C825" s="78" t="s">
        <v>280</v>
      </c>
      <c r="D825" s="78" t="s">
        <v>328</v>
      </c>
      <c r="E825" s="79" t="s">
        <v>1055</v>
      </c>
      <c r="F825" s="78" t="s">
        <v>591</v>
      </c>
      <c r="G825" s="78" t="s">
        <v>220</v>
      </c>
      <c r="H825" s="78" t="s">
        <v>11</v>
      </c>
      <c r="I825" s="78" t="s">
        <v>214</v>
      </c>
      <c r="J825" s="79" t="s">
        <v>221</v>
      </c>
      <c r="K825" s="80">
        <v>37.4</v>
      </c>
      <c r="L825" s="80">
        <f t="shared" si="231"/>
        <v>29.333333333333332</v>
      </c>
      <c r="M825" s="81">
        <f>prodnorm11</f>
        <v>0</v>
      </c>
      <c r="N825" s="82">
        <f>dagwerk11</f>
        <v>0</v>
      </c>
      <c r="O825" s="78" t="s">
        <v>103</v>
      </c>
      <c r="P825" s="15">
        <f>uurtarief11</f>
        <v>0</v>
      </c>
      <c r="Q825" s="80" t="e">
        <f t="shared" si="232"/>
        <v>#DIV/0!</v>
      </c>
      <c r="R825" s="80" t="e">
        <f t="shared" si="233"/>
        <v>#DIV/0!</v>
      </c>
      <c r="S825" s="15" t="e">
        <f t="shared" si="234"/>
        <v>#DIV/0!</v>
      </c>
      <c r="T825" s="80" t="e">
        <f t="shared" si="235"/>
        <v>#DIV/0!</v>
      </c>
      <c r="U825" s="16" t="e">
        <f t="shared" si="236"/>
        <v>#DIV/0!</v>
      </c>
    </row>
    <row r="826" spans="1:21" x14ac:dyDescent="0.3">
      <c r="A826" s="77" t="s">
        <v>1043</v>
      </c>
      <c r="B826" s="78" t="s">
        <v>40</v>
      </c>
      <c r="C826" s="78" t="s">
        <v>280</v>
      </c>
      <c r="D826" s="78" t="s">
        <v>329</v>
      </c>
      <c r="E826" s="79" t="s">
        <v>1056</v>
      </c>
      <c r="F826" s="78" t="s">
        <v>591</v>
      </c>
      <c r="G826" s="78" t="s">
        <v>232</v>
      </c>
      <c r="H826" s="78" t="s">
        <v>11</v>
      </c>
      <c r="I826" s="78" t="s">
        <v>214</v>
      </c>
      <c r="J826" s="79" t="s">
        <v>233</v>
      </c>
      <c r="K826" s="80">
        <v>38.200000000000003</v>
      </c>
      <c r="L826" s="80">
        <f t="shared" si="231"/>
        <v>29.96078431372549</v>
      </c>
      <c r="M826" s="81">
        <f>prodnorm19</f>
        <v>0</v>
      </c>
      <c r="N826" s="82">
        <f>dagwerk19</f>
        <v>0</v>
      </c>
      <c r="O826" s="78" t="s">
        <v>103</v>
      </c>
      <c r="P826" s="15">
        <f>uurtarief19</f>
        <v>0</v>
      </c>
      <c r="Q826" s="80" t="e">
        <f t="shared" si="232"/>
        <v>#DIV/0!</v>
      </c>
      <c r="R826" s="80" t="e">
        <f t="shared" si="233"/>
        <v>#DIV/0!</v>
      </c>
      <c r="S826" s="15" t="e">
        <f t="shared" si="234"/>
        <v>#DIV/0!</v>
      </c>
      <c r="T826" s="80" t="e">
        <f t="shared" si="235"/>
        <v>#DIV/0!</v>
      </c>
      <c r="U826" s="16" t="e">
        <f t="shared" si="236"/>
        <v>#DIV/0!</v>
      </c>
    </row>
    <row r="827" spans="1:21" ht="27" x14ac:dyDescent="0.3">
      <c r="A827" s="77" t="s">
        <v>1043</v>
      </c>
      <c r="B827" s="78" t="s">
        <v>40</v>
      </c>
      <c r="C827" s="78" t="s">
        <v>280</v>
      </c>
      <c r="D827" s="78" t="s">
        <v>330</v>
      </c>
      <c r="E827" s="79" t="s">
        <v>808</v>
      </c>
      <c r="F827" s="78" t="s">
        <v>509</v>
      </c>
      <c r="G827" s="78" t="s">
        <v>256</v>
      </c>
      <c r="H827" s="78" t="s">
        <v>11</v>
      </c>
      <c r="I827" s="78" t="s">
        <v>214</v>
      </c>
      <c r="J827" s="79" t="s">
        <v>257</v>
      </c>
      <c r="K827" s="80">
        <v>4.3</v>
      </c>
      <c r="L827" s="80">
        <f t="shared" si="231"/>
        <v>3.3725490196078431</v>
      </c>
      <c r="M827" s="81">
        <f>prodnorm33</f>
        <v>0</v>
      </c>
      <c r="N827" s="82">
        <f>dagwerk33</f>
        <v>0</v>
      </c>
      <c r="O827" s="78" t="s">
        <v>103</v>
      </c>
      <c r="P827" s="15">
        <f>uurtarief33</f>
        <v>0</v>
      </c>
      <c r="Q827" s="80" t="e">
        <f t="shared" si="232"/>
        <v>#DIV/0!</v>
      </c>
      <c r="R827" s="80" t="e">
        <f t="shared" si="233"/>
        <v>#DIV/0!</v>
      </c>
      <c r="S827" s="15" t="e">
        <f t="shared" si="234"/>
        <v>#DIV/0!</v>
      </c>
      <c r="T827" s="80" t="e">
        <f t="shared" si="235"/>
        <v>#DIV/0!</v>
      </c>
      <c r="U827" s="16" t="e">
        <f t="shared" si="236"/>
        <v>#DIV/0!</v>
      </c>
    </row>
    <row r="828" spans="1:21" x14ac:dyDescent="0.3">
      <c r="A828" s="77" t="s">
        <v>1043</v>
      </c>
      <c r="B828" s="78" t="s">
        <v>40</v>
      </c>
      <c r="C828" s="78" t="s">
        <v>280</v>
      </c>
      <c r="D828" s="78" t="s">
        <v>1057</v>
      </c>
      <c r="E828" s="79" t="s">
        <v>1049</v>
      </c>
      <c r="F828" s="78" t="s">
        <v>591</v>
      </c>
      <c r="G828" s="78" t="s">
        <v>220</v>
      </c>
      <c r="H828" s="78" t="s">
        <v>11</v>
      </c>
      <c r="I828" s="78" t="s">
        <v>214</v>
      </c>
      <c r="J828" s="79" t="s">
        <v>221</v>
      </c>
      <c r="K828" s="80">
        <v>1.3</v>
      </c>
      <c r="L828" s="80">
        <f t="shared" si="231"/>
        <v>1.0196078431372548</v>
      </c>
      <c r="M828" s="81">
        <f>prodnorm11</f>
        <v>0</v>
      </c>
      <c r="N828" s="82">
        <f>dagwerk11</f>
        <v>0</v>
      </c>
      <c r="O828" s="78" t="s">
        <v>103</v>
      </c>
      <c r="P828" s="15">
        <f>uurtarief11</f>
        <v>0</v>
      </c>
      <c r="Q828" s="80" t="e">
        <f t="shared" si="232"/>
        <v>#DIV/0!</v>
      </c>
      <c r="R828" s="80" t="e">
        <f t="shared" si="233"/>
        <v>#DIV/0!</v>
      </c>
      <c r="S828" s="15" t="e">
        <f t="shared" si="234"/>
        <v>#DIV/0!</v>
      </c>
      <c r="T828" s="80" t="e">
        <f t="shared" si="235"/>
        <v>#DIV/0!</v>
      </c>
      <c r="U828" s="16" t="e">
        <f t="shared" si="236"/>
        <v>#DIV/0!</v>
      </c>
    </row>
    <row r="829" spans="1:21" x14ac:dyDescent="0.3">
      <c r="A829" s="77" t="s">
        <v>1043</v>
      </c>
      <c r="B829" s="78" t="s">
        <v>40</v>
      </c>
      <c r="C829" s="78" t="s">
        <v>280</v>
      </c>
      <c r="D829" s="78" t="s">
        <v>332</v>
      </c>
      <c r="E829" s="79" t="s">
        <v>786</v>
      </c>
      <c r="F829" s="78" t="s">
        <v>591</v>
      </c>
      <c r="G829" s="78" t="s">
        <v>250</v>
      </c>
      <c r="H829" s="78" t="s">
        <v>11</v>
      </c>
      <c r="I829" s="78" t="s">
        <v>214</v>
      </c>
      <c r="J829" s="79" t="s">
        <v>251</v>
      </c>
      <c r="K829" s="80">
        <v>1</v>
      </c>
      <c r="L829" s="80">
        <f t="shared" si="231"/>
        <v>0.78431372549019607</v>
      </c>
      <c r="M829" s="81">
        <f>prodnorm30</f>
        <v>0</v>
      </c>
      <c r="N829" s="82">
        <f>dagwerk30</f>
        <v>0</v>
      </c>
      <c r="O829" s="78" t="s">
        <v>103</v>
      </c>
      <c r="P829" s="15">
        <f>uurtarief30</f>
        <v>0</v>
      </c>
      <c r="Q829" s="80" t="e">
        <f t="shared" si="232"/>
        <v>#DIV/0!</v>
      </c>
      <c r="R829" s="80" t="e">
        <f t="shared" si="233"/>
        <v>#DIV/0!</v>
      </c>
      <c r="S829" s="15" t="e">
        <f t="shared" si="234"/>
        <v>#DIV/0!</v>
      </c>
      <c r="T829" s="80" t="e">
        <f t="shared" si="235"/>
        <v>#DIV/0!</v>
      </c>
      <c r="U829" s="16" t="e">
        <f t="shared" si="236"/>
        <v>#DIV/0!</v>
      </c>
    </row>
    <row r="830" spans="1:21" x14ac:dyDescent="0.3">
      <c r="A830" s="77" t="s">
        <v>1043</v>
      </c>
      <c r="B830" s="78" t="s">
        <v>40</v>
      </c>
      <c r="C830" s="78" t="s">
        <v>280</v>
      </c>
      <c r="D830" s="78" t="s">
        <v>334</v>
      </c>
      <c r="E830" s="79" t="s">
        <v>493</v>
      </c>
      <c r="F830" s="78" t="s">
        <v>850</v>
      </c>
      <c r="G830" s="78" t="s">
        <v>228</v>
      </c>
      <c r="H830" s="78" t="s">
        <v>11</v>
      </c>
      <c r="I830" s="78" t="s">
        <v>214</v>
      </c>
      <c r="J830" s="79" t="s">
        <v>229</v>
      </c>
      <c r="K830" s="80">
        <v>23.1</v>
      </c>
      <c r="L830" s="80">
        <f t="shared" si="231"/>
        <v>18.117647058823529</v>
      </c>
      <c r="M830" s="81">
        <f>prodnorm15</f>
        <v>0</v>
      </c>
      <c r="N830" s="82">
        <f>dagwerk15</f>
        <v>0</v>
      </c>
      <c r="O830" s="78" t="s">
        <v>103</v>
      </c>
      <c r="P830" s="15">
        <f>uurtarief15</f>
        <v>0</v>
      </c>
      <c r="Q830" s="80" t="e">
        <f t="shared" si="232"/>
        <v>#DIV/0!</v>
      </c>
      <c r="R830" s="80" t="e">
        <f t="shared" si="233"/>
        <v>#DIV/0!</v>
      </c>
      <c r="S830" s="15" t="e">
        <f t="shared" si="234"/>
        <v>#DIV/0!</v>
      </c>
      <c r="T830" s="80" t="e">
        <f t="shared" si="235"/>
        <v>#DIV/0!</v>
      </c>
      <c r="U830" s="16" t="e">
        <f t="shared" si="236"/>
        <v>#DIV/0!</v>
      </c>
    </row>
    <row r="831" spans="1:21" x14ac:dyDescent="0.3">
      <c r="A831" s="77" t="s">
        <v>1043</v>
      </c>
      <c r="B831" s="78" t="s">
        <v>40</v>
      </c>
      <c r="C831" s="78" t="s">
        <v>280</v>
      </c>
      <c r="D831" s="78" t="s">
        <v>336</v>
      </c>
      <c r="E831" s="79" t="s">
        <v>1058</v>
      </c>
      <c r="F831" s="78" t="s">
        <v>288</v>
      </c>
      <c r="G831" s="78" t="s">
        <v>300</v>
      </c>
      <c r="H831" s="78"/>
      <c r="I831" s="78"/>
      <c r="J831" s="78"/>
      <c r="K831" s="80">
        <v>0</v>
      </c>
      <c r="L831" s="80"/>
      <c r="M831" s="81"/>
      <c r="N831" s="82"/>
      <c r="O831" s="78"/>
      <c r="P831" s="15"/>
      <c r="Q831" s="80"/>
      <c r="R831" s="80"/>
      <c r="S831" s="15"/>
      <c r="T831" s="83"/>
      <c r="U831" s="16"/>
    </row>
    <row r="832" spans="1:21" ht="27" x14ac:dyDescent="0.3">
      <c r="A832" s="77" t="s">
        <v>1043</v>
      </c>
      <c r="B832" s="78" t="s">
        <v>40</v>
      </c>
      <c r="C832" s="78" t="s">
        <v>280</v>
      </c>
      <c r="D832" s="78" t="s">
        <v>337</v>
      </c>
      <c r="E832" s="79" t="s">
        <v>808</v>
      </c>
      <c r="F832" s="78" t="s">
        <v>509</v>
      </c>
      <c r="G832" s="78" t="s">
        <v>256</v>
      </c>
      <c r="H832" s="78" t="s">
        <v>11</v>
      </c>
      <c r="I832" s="78" t="s">
        <v>214</v>
      </c>
      <c r="J832" s="79" t="s">
        <v>257</v>
      </c>
      <c r="K832" s="80">
        <v>173.7</v>
      </c>
      <c r="L832" s="80">
        <f t="shared" ref="L832:L838" si="237">K832*VLOOKUP(H832,dagsoorttabel1,2,FALSE)</f>
        <v>136.23529411764704</v>
      </c>
      <c r="M832" s="81">
        <f>prodnorm33</f>
        <v>0</v>
      </c>
      <c r="N832" s="82">
        <f>dagwerk33</f>
        <v>0</v>
      </c>
      <c r="O832" s="78" t="s">
        <v>103</v>
      </c>
      <c r="P832" s="15">
        <f>uurtarief33</f>
        <v>0</v>
      </c>
      <c r="Q832" s="80" t="e">
        <f t="shared" ref="Q832:Q838" si="238">IF(ISBLANK(M832),0,L832/ROUND(M832,4))</f>
        <v>#DIV/0!</v>
      </c>
      <c r="R832" s="80" t="e">
        <f t="shared" ref="R832:R838" si="239">IF(ISBLANK(M832),0,Q832*ROUND(N832,2))</f>
        <v>#DIV/0!</v>
      </c>
      <c r="S832" s="15" t="e">
        <f t="shared" ref="S832:S838" si="240">ROUND(P832,2)*Q832</f>
        <v>#DIV/0!</v>
      </c>
      <c r="T832" s="80" t="e">
        <f t="shared" ref="T832:T838" si="241">Q832*dagenperjaar1</f>
        <v>#DIV/0!</v>
      </c>
      <c r="U832" s="16" t="e">
        <f t="shared" ref="U832:U838" si="242">T832*ROUND(P832,2)</f>
        <v>#DIV/0!</v>
      </c>
    </row>
    <row r="833" spans="1:21" x14ac:dyDescent="0.3">
      <c r="A833" s="77" t="s">
        <v>1043</v>
      </c>
      <c r="B833" s="78" t="s">
        <v>40</v>
      </c>
      <c r="C833" s="78" t="s">
        <v>280</v>
      </c>
      <c r="D833" s="78" t="s">
        <v>417</v>
      </c>
      <c r="E833" s="79" t="s">
        <v>290</v>
      </c>
      <c r="F833" s="78" t="s">
        <v>509</v>
      </c>
      <c r="G833" s="78" t="s">
        <v>234</v>
      </c>
      <c r="H833" s="78" t="s">
        <v>11</v>
      </c>
      <c r="I833" s="78" t="s">
        <v>214</v>
      </c>
      <c r="J833" s="79" t="s">
        <v>235</v>
      </c>
      <c r="K833" s="80">
        <v>53</v>
      </c>
      <c r="L833" s="80">
        <f t="shared" si="237"/>
        <v>41.568627450980394</v>
      </c>
      <c r="M833" s="81">
        <f>prodnorm21</f>
        <v>0</v>
      </c>
      <c r="N833" s="82">
        <f>dagwerk21</f>
        <v>0</v>
      </c>
      <c r="O833" s="78" t="s">
        <v>103</v>
      </c>
      <c r="P833" s="15">
        <f>uurtarief21</f>
        <v>0</v>
      </c>
      <c r="Q833" s="80" t="e">
        <f t="shared" si="238"/>
        <v>#DIV/0!</v>
      </c>
      <c r="R833" s="80" t="e">
        <f t="shared" si="239"/>
        <v>#DIV/0!</v>
      </c>
      <c r="S833" s="15" t="e">
        <f t="shared" si="240"/>
        <v>#DIV/0!</v>
      </c>
      <c r="T833" s="80" t="e">
        <f t="shared" si="241"/>
        <v>#DIV/0!</v>
      </c>
      <c r="U833" s="16" t="e">
        <f t="shared" si="242"/>
        <v>#DIV/0!</v>
      </c>
    </row>
    <row r="834" spans="1:21" x14ac:dyDescent="0.3">
      <c r="A834" s="77" t="s">
        <v>1043</v>
      </c>
      <c r="B834" s="78" t="s">
        <v>40</v>
      </c>
      <c r="C834" s="78" t="s">
        <v>280</v>
      </c>
      <c r="D834" s="78" t="s">
        <v>418</v>
      </c>
      <c r="E834" s="79" t="s">
        <v>290</v>
      </c>
      <c r="F834" s="78" t="s">
        <v>509</v>
      </c>
      <c r="G834" s="78" t="s">
        <v>234</v>
      </c>
      <c r="H834" s="78" t="s">
        <v>11</v>
      </c>
      <c r="I834" s="78" t="s">
        <v>214</v>
      </c>
      <c r="J834" s="79" t="s">
        <v>235</v>
      </c>
      <c r="K834" s="80">
        <v>53.3</v>
      </c>
      <c r="L834" s="80">
        <f t="shared" si="237"/>
        <v>41.803921568627452</v>
      </c>
      <c r="M834" s="81">
        <f>prodnorm21</f>
        <v>0</v>
      </c>
      <c r="N834" s="82">
        <f>dagwerk21</f>
        <v>0</v>
      </c>
      <c r="O834" s="78" t="s">
        <v>103</v>
      </c>
      <c r="P834" s="15">
        <f>uurtarief21</f>
        <v>0</v>
      </c>
      <c r="Q834" s="80" t="e">
        <f t="shared" si="238"/>
        <v>#DIV/0!</v>
      </c>
      <c r="R834" s="80" t="e">
        <f t="shared" si="239"/>
        <v>#DIV/0!</v>
      </c>
      <c r="S834" s="15" t="e">
        <f t="shared" si="240"/>
        <v>#DIV/0!</v>
      </c>
      <c r="T834" s="80" t="e">
        <f t="shared" si="241"/>
        <v>#DIV/0!</v>
      </c>
      <c r="U834" s="16" t="e">
        <f t="shared" si="242"/>
        <v>#DIV/0!</v>
      </c>
    </row>
    <row r="835" spans="1:21" x14ac:dyDescent="0.3">
      <c r="A835" s="77" t="s">
        <v>1043</v>
      </c>
      <c r="B835" s="78" t="s">
        <v>40</v>
      </c>
      <c r="C835" s="78" t="s">
        <v>280</v>
      </c>
      <c r="D835" s="78" t="s">
        <v>420</v>
      </c>
      <c r="E835" s="79" t="s">
        <v>290</v>
      </c>
      <c r="F835" s="78" t="s">
        <v>509</v>
      </c>
      <c r="G835" s="78" t="s">
        <v>234</v>
      </c>
      <c r="H835" s="78" t="s">
        <v>11</v>
      </c>
      <c r="I835" s="78" t="s">
        <v>214</v>
      </c>
      <c r="J835" s="79" t="s">
        <v>235</v>
      </c>
      <c r="K835" s="80">
        <v>53.3</v>
      </c>
      <c r="L835" s="80">
        <f t="shared" si="237"/>
        <v>41.803921568627452</v>
      </c>
      <c r="M835" s="81">
        <f>prodnorm21</f>
        <v>0</v>
      </c>
      <c r="N835" s="82">
        <f>dagwerk21</f>
        <v>0</v>
      </c>
      <c r="O835" s="78" t="s">
        <v>103</v>
      </c>
      <c r="P835" s="15">
        <f>uurtarief21</f>
        <v>0</v>
      </c>
      <c r="Q835" s="80" t="e">
        <f t="shared" si="238"/>
        <v>#DIV/0!</v>
      </c>
      <c r="R835" s="80" t="e">
        <f t="shared" si="239"/>
        <v>#DIV/0!</v>
      </c>
      <c r="S835" s="15" t="e">
        <f t="shared" si="240"/>
        <v>#DIV/0!</v>
      </c>
      <c r="T835" s="80" t="e">
        <f t="shared" si="241"/>
        <v>#DIV/0!</v>
      </c>
      <c r="U835" s="16" t="e">
        <f t="shared" si="242"/>
        <v>#DIV/0!</v>
      </c>
    </row>
    <row r="836" spans="1:21" x14ac:dyDescent="0.3">
      <c r="A836" s="77" t="s">
        <v>1043</v>
      </c>
      <c r="B836" s="78" t="s">
        <v>40</v>
      </c>
      <c r="C836" s="78" t="s">
        <v>280</v>
      </c>
      <c r="D836" s="78" t="s">
        <v>531</v>
      </c>
      <c r="E836" s="79" t="s">
        <v>290</v>
      </c>
      <c r="F836" s="78" t="s">
        <v>509</v>
      </c>
      <c r="G836" s="78" t="s">
        <v>234</v>
      </c>
      <c r="H836" s="78" t="s">
        <v>11</v>
      </c>
      <c r="I836" s="78" t="s">
        <v>214</v>
      </c>
      <c r="J836" s="79" t="s">
        <v>235</v>
      </c>
      <c r="K836" s="80">
        <v>53</v>
      </c>
      <c r="L836" s="80">
        <f t="shared" si="237"/>
        <v>41.568627450980394</v>
      </c>
      <c r="M836" s="81">
        <f>prodnorm21</f>
        <v>0</v>
      </c>
      <c r="N836" s="82">
        <f>dagwerk21</f>
        <v>0</v>
      </c>
      <c r="O836" s="78" t="s">
        <v>103</v>
      </c>
      <c r="P836" s="15">
        <f>uurtarief21</f>
        <v>0</v>
      </c>
      <c r="Q836" s="80" t="e">
        <f t="shared" si="238"/>
        <v>#DIV/0!</v>
      </c>
      <c r="R836" s="80" t="e">
        <f t="shared" si="239"/>
        <v>#DIV/0!</v>
      </c>
      <c r="S836" s="15" t="e">
        <f t="shared" si="240"/>
        <v>#DIV/0!</v>
      </c>
      <c r="T836" s="80" t="e">
        <f t="shared" si="241"/>
        <v>#DIV/0!</v>
      </c>
      <c r="U836" s="16" t="e">
        <f t="shared" si="242"/>
        <v>#DIV/0!</v>
      </c>
    </row>
    <row r="837" spans="1:21" x14ac:dyDescent="0.3">
      <c r="A837" s="77" t="s">
        <v>1043</v>
      </c>
      <c r="B837" s="78" t="s">
        <v>40</v>
      </c>
      <c r="C837" s="78" t="s">
        <v>280</v>
      </c>
      <c r="D837" s="78" t="s">
        <v>533</v>
      </c>
      <c r="E837" s="79" t="s">
        <v>594</v>
      </c>
      <c r="F837" s="78" t="s">
        <v>509</v>
      </c>
      <c r="G837" s="78" t="s">
        <v>252</v>
      </c>
      <c r="H837" s="78" t="s">
        <v>11</v>
      </c>
      <c r="I837" s="78" t="s">
        <v>214</v>
      </c>
      <c r="J837" s="79" t="s">
        <v>253</v>
      </c>
      <c r="K837" s="80">
        <v>26.9</v>
      </c>
      <c r="L837" s="80">
        <f t="shared" si="237"/>
        <v>21.098039215686274</v>
      </c>
      <c r="M837" s="81">
        <f>prodnorm31</f>
        <v>0</v>
      </c>
      <c r="N837" s="82">
        <f>dagwerk31</f>
        <v>0</v>
      </c>
      <c r="O837" s="78" t="s">
        <v>103</v>
      </c>
      <c r="P837" s="15">
        <f>uurtarief31</f>
        <v>0</v>
      </c>
      <c r="Q837" s="80" t="e">
        <f t="shared" si="238"/>
        <v>#DIV/0!</v>
      </c>
      <c r="R837" s="80" t="e">
        <f t="shared" si="239"/>
        <v>#DIV/0!</v>
      </c>
      <c r="S837" s="15" t="e">
        <f t="shared" si="240"/>
        <v>#DIV/0!</v>
      </c>
      <c r="T837" s="80" t="e">
        <f t="shared" si="241"/>
        <v>#DIV/0!</v>
      </c>
      <c r="U837" s="16" t="e">
        <f t="shared" si="242"/>
        <v>#DIV/0!</v>
      </c>
    </row>
    <row r="838" spans="1:21" x14ac:dyDescent="0.3">
      <c r="A838" s="77" t="s">
        <v>1043</v>
      </c>
      <c r="B838" s="78" t="s">
        <v>40</v>
      </c>
      <c r="C838" s="78" t="s">
        <v>280</v>
      </c>
      <c r="D838" s="78" t="s">
        <v>534</v>
      </c>
      <c r="E838" s="79" t="s">
        <v>1059</v>
      </c>
      <c r="F838" s="78" t="s">
        <v>509</v>
      </c>
      <c r="G838" s="78" t="s">
        <v>236</v>
      </c>
      <c r="H838" s="78" t="s">
        <v>11</v>
      </c>
      <c r="I838" s="78" t="s">
        <v>214</v>
      </c>
      <c r="J838" s="79" t="s">
        <v>237</v>
      </c>
      <c r="K838" s="80">
        <v>167.1</v>
      </c>
      <c r="L838" s="80">
        <f t="shared" si="237"/>
        <v>131.05882352941177</v>
      </c>
      <c r="M838" s="81">
        <f>prodnorm22</f>
        <v>0</v>
      </c>
      <c r="N838" s="82">
        <f>dagwerk22</f>
        <v>0</v>
      </c>
      <c r="O838" s="78" t="s">
        <v>103</v>
      </c>
      <c r="P838" s="15">
        <f>uurtarief22</f>
        <v>0</v>
      </c>
      <c r="Q838" s="80" t="e">
        <f t="shared" si="238"/>
        <v>#DIV/0!</v>
      </c>
      <c r="R838" s="80" t="e">
        <f t="shared" si="239"/>
        <v>#DIV/0!</v>
      </c>
      <c r="S838" s="15" t="e">
        <f t="shared" si="240"/>
        <v>#DIV/0!</v>
      </c>
      <c r="T838" s="80" t="e">
        <f t="shared" si="241"/>
        <v>#DIV/0!</v>
      </c>
      <c r="U838" s="16" t="e">
        <f t="shared" si="242"/>
        <v>#DIV/0!</v>
      </c>
    </row>
    <row r="839" spans="1:21" x14ac:dyDescent="0.3">
      <c r="A839" s="77" t="s">
        <v>1043</v>
      </c>
      <c r="B839" s="78" t="s">
        <v>40</v>
      </c>
      <c r="C839" s="78" t="s">
        <v>280</v>
      </c>
      <c r="D839" s="78" t="s">
        <v>535</v>
      </c>
      <c r="E839" s="79" t="s">
        <v>649</v>
      </c>
      <c r="F839" s="78" t="s">
        <v>40</v>
      </c>
      <c r="G839" s="78" t="s">
        <v>300</v>
      </c>
      <c r="H839" s="78"/>
      <c r="I839" s="78"/>
      <c r="J839" s="78"/>
      <c r="K839" s="80">
        <v>3.3</v>
      </c>
      <c r="L839" s="80"/>
      <c r="M839" s="81"/>
      <c r="N839" s="82"/>
      <c r="O839" s="78"/>
      <c r="P839" s="15"/>
      <c r="Q839" s="80"/>
      <c r="R839" s="80"/>
      <c r="S839" s="15"/>
      <c r="T839" s="83"/>
      <c r="U839" s="16"/>
    </row>
    <row r="840" spans="1:21" x14ac:dyDescent="0.3">
      <c r="A840" s="77" t="s">
        <v>1043</v>
      </c>
      <c r="B840" s="78" t="s">
        <v>40</v>
      </c>
      <c r="C840" s="78" t="s">
        <v>280</v>
      </c>
      <c r="D840" s="78" t="s">
        <v>536</v>
      </c>
      <c r="E840" s="79" t="s">
        <v>594</v>
      </c>
      <c r="F840" s="78" t="s">
        <v>509</v>
      </c>
      <c r="G840" s="78" t="s">
        <v>252</v>
      </c>
      <c r="H840" s="78" t="s">
        <v>11</v>
      </c>
      <c r="I840" s="78" t="s">
        <v>214</v>
      </c>
      <c r="J840" s="79" t="s">
        <v>253</v>
      </c>
      <c r="K840" s="80">
        <v>35.799999999999997</v>
      </c>
      <c r="L840" s="80">
        <f t="shared" ref="L840:L856" si="243">K840*VLOOKUP(H840,dagsoorttabel1,2,FALSE)</f>
        <v>28.078431372549016</v>
      </c>
      <c r="M840" s="81">
        <f>prodnorm31</f>
        <v>0</v>
      </c>
      <c r="N840" s="82">
        <f>dagwerk31</f>
        <v>0</v>
      </c>
      <c r="O840" s="78" t="s">
        <v>103</v>
      </c>
      <c r="P840" s="15">
        <f>uurtarief31</f>
        <v>0</v>
      </c>
      <c r="Q840" s="80" t="e">
        <f t="shared" ref="Q840:Q856" si="244">IF(ISBLANK(M840),0,L840/ROUND(M840,4))</f>
        <v>#DIV/0!</v>
      </c>
      <c r="R840" s="80" t="e">
        <f t="shared" ref="R840:R856" si="245">IF(ISBLANK(M840),0,Q840*ROUND(N840,2))</f>
        <v>#DIV/0!</v>
      </c>
      <c r="S840" s="15" t="e">
        <f t="shared" ref="S840:S856" si="246">ROUND(P840,2)*Q840</f>
        <v>#DIV/0!</v>
      </c>
      <c r="T840" s="80" t="e">
        <f t="shared" ref="T840:T856" si="247">Q840*dagenperjaar1</f>
        <v>#DIV/0!</v>
      </c>
      <c r="U840" s="16" t="e">
        <f t="shared" ref="U840:U856" si="248">T840*ROUND(P840,2)</f>
        <v>#DIV/0!</v>
      </c>
    </row>
    <row r="841" spans="1:21" x14ac:dyDescent="0.3">
      <c r="A841" s="77" t="s">
        <v>1043</v>
      </c>
      <c r="B841" s="78" t="s">
        <v>40</v>
      </c>
      <c r="C841" s="78" t="s">
        <v>280</v>
      </c>
      <c r="D841" s="78" t="s">
        <v>1060</v>
      </c>
      <c r="E841" s="79" t="s">
        <v>684</v>
      </c>
      <c r="F841" s="78" t="s">
        <v>509</v>
      </c>
      <c r="G841" s="78" t="s">
        <v>230</v>
      </c>
      <c r="H841" s="78" t="s">
        <v>11</v>
      </c>
      <c r="I841" s="78" t="s">
        <v>214</v>
      </c>
      <c r="J841" s="79" t="s">
        <v>231</v>
      </c>
      <c r="K841" s="80">
        <v>3.3</v>
      </c>
      <c r="L841" s="80">
        <f t="shared" si="243"/>
        <v>2.5882352941176467</v>
      </c>
      <c r="M841" s="81">
        <f>prodnorm17</f>
        <v>0</v>
      </c>
      <c r="N841" s="82">
        <f>dagwerk17</f>
        <v>0</v>
      </c>
      <c r="O841" s="78" t="s">
        <v>103</v>
      </c>
      <c r="P841" s="15">
        <f>uurtarief17</f>
        <v>0</v>
      </c>
      <c r="Q841" s="80" t="e">
        <f t="shared" si="244"/>
        <v>#DIV/0!</v>
      </c>
      <c r="R841" s="80" t="e">
        <f t="shared" si="245"/>
        <v>#DIV/0!</v>
      </c>
      <c r="S841" s="15" t="e">
        <f t="shared" si="246"/>
        <v>#DIV/0!</v>
      </c>
      <c r="T841" s="80" t="e">
        <f t="shared" si="247"/>
        <v>#DIV/0!</v>
      </c>
      <c r="U841" s="16" t="e">
        <f t="shared" si="248"/>
        <v>#DIV/0!</v>
      </c>
    </row>
    <row r="842" spans="1:21" x14ac:dyDescent="0.3">
      <c r="A842" s="77" t="s">
        <v>1043</v>
      </c>
      <c r="B842" s="78" t="s">
        <v>40</v>
      </c>
      <c r="C842" s="78" t="s">
        <v>280</v>
      </c>
      <c r="D842" s="78" t="s">
        <v>538</v>
      </c>
      <c r="E842" s="79" t="s">
        <v>290</v>
      </c>
      <c r="F842" s="78" t="s">
        <v>509</v>
      </c>
      <c r="G842" s="78" t="s">
        <v>234</v>
      </c>
      <c r="H842" s="78" t="s">
        <v>11</v>
      </c>
      <c r="I842" s="78" t="s">
        <v>214</v>
      </c>
      <c r="J842" s="79" t="s">
        <v>235</v>
      </c>
      <c r="K842" s="80">
        <v>54</v>
      </c>
      <c r="L842" s="80">
        <f t="shared" si="243"/>
        <v>42.352941176470587</v>
      </c>
      <c r="M842" s="81">
        <f>prodnorm21</f>
        <v>0</v>
      </c>
      <c r="N842" s="82">
        <f>dagwerk21</f>
        <v>0</v>
      </c>
      <c r="O842" s="78" t="s">
        <v>103</v>
      </c>
      <c r="P842" s="15">
        <f>uurtarief21</f>
        <v>0</v>
      </c>
      <c r="Q842" s="80" t="e">
        <f t="shared" si="244"/>
        <v>#DIV/0!</v>
      </c>
      <c r="R842" s="80" t="e">
        <f t="shared" si="245"/>
        <v>#DIV/0!</v>
      </c>
      <c r="S842" s="15" t="e">
        <f t="shared" si="246"/>
        <v>#DIV/0!</v>
      </c>
      <c r="T842" s="80" t="e">
        <f t="shared" si="247"/>
        <v>#DIV/0!</v>
      </c>
      <c r="U842" s="16" t="e">
        <f t="shared" si="248"/>
        <v>#DIV/0!</v>
      </c>
    </row>
    <row r="843" spans="1:21" x14ac:dyDescent="0.3">
      <c r="A843" s="77" t="s">
        <v>1043</v>
      </c>
      <c r="B843" s="78" t="s">
        <v>40</v>
      </c>
      <c r="C843" s="78" t="s">
        <v>280</v>
      </c>
      <c r="D843" s="78" t="s">
        <v>540</v>
      </c>
      <c r="E843" s="79" t="s">
        <v>290</v>
      </c>
      <c r="F843" s="78" t="s">
        <v>509</v>
      </c>
      <c r="G843" s="78" t="s">
        <v>234</v>
      </c>
      <c r="H843" s="78" t="s">
        <v>11</v>
      </c>
      <c r="I843" s="78" t="s">
        <v>214</v>
      </c>
      <c r="J843" s="79" t="s">
        <v>235</v>
      </c>
      <c r="K843" s="80">
        <v>54</v>
      </c>
      <c r="L843" s="80">
        <f t="shared" si="243"/>
        <v>42.352941176470587</v>
      </c>
      <c r="M843" s="81">
        <f>prodnorm21</f>
        <v>0</v>
      </c>
      <c r="N843" s="82">
        <f>dagwerk21</f>
        <v>0</v>
      </c>
      <c r="O843" s="78" t="s">
        <v>103</v>
      </c>
      <c r="P843" s="15">
        <f>uurtarief21</f>
        <v>0</v>
      </c>
      <c r="Q843" s="80" t="e">
        <f t="shared" si="244"/>
        <v>#DIV/0!</v>
      </c>
      <c r="R843" s="80" t="e">
        <f t="shared" si="245"/>
        <v>#DIV/0!</v>
      </c>
      <c r="S843" s="15" t="e">
        <f t="shared" si="246"/>
        <v>#DIV/0!</v>
      </c>
      <c r="T843" s="80" t="e">
        <f t="shared" si="247"/>
        <v>#DIV/0!</v>
      </c>
      <c r="U843" s="16" t="e">
        <f t="shared" si="248"/>
        <v>#DIV/0!</v>
      </c>
    </row>
    <row r="844" spans="1:21" x14ac:dyDescent="0.3">
      <c r="A844" s="77" t="s">
        <v>1043</v>
      </c>
      <c r="B844" s="78" t="s">
        <v>40</v>
      </c>
      <c r="C844" s="78" t="s">
        <v>280</v>
      </c>
      <c r="D844" s="78" t="s">
        <v>541</v>
      </c>
      <c r="E844" s="79" t="s">
        <v>290</v>
      </c>
      <c r="F844" s="78" t="s">
        <v>509</v>
      </c>
      <c r="G844" s="78" t="s">
        <v>234</v>
      </c>
      <c r="H844" s="78" t="s">
        <v>11</v>
      </c>
      <c r="I844" s="78" t="s">
        <v>214</v>
      </c>
      <c r="J844" s="79" t="s">
        <v>235</v>
      </c>
      <c r="K844" s="80">
        <v>54</v>
      </c>
      <c r="L844" s="80">
        <f t="shared" si="243"/>
        <v>42.352941176470587</v>
      </c>
      <c r="M844" s="81">
        <f>prodnorm21</f>
        <v>0</v>
      </c>
      <c r="N844" s="82">
        <f>dagwerk21</f>
        <v>0</v>
      </c>
      <c r="O844" s="78" t="s">
        <v>103</v>
      </c>
      <c r="P844" s="15">
        <f>uurtarief21</f>
        <v>0</v>
      </c>
      <c r="Q844" s="80" t="e">
        <f t="shared" si="244"/>
        <v>#DIV/0!</v>
      </c>
      <c r="R844" s="80" t="e">
        <f t="shared" si="245"/>
        <v>#DIV/0!</v>
      </c>
      <c r="S844" s="15" t="e">
        <f t="shared" si="246"/>
        <v>#DIV/0!</v>
      </c>
      <c r="T844" s="80" t="e">
        <f t="shared" si="247"/>
        <v>#DIV/0!</v>
      </c>
      <c r="U844" s="16" t="e">
        <f t="shared" si="248"/>
        <v>#DIV/0!</v>
      </c>
    </row>
    <row r="845" spans="1:21" x14ac:dyDescent="0.3">
      <c r="A845" s="77" t="s">
        <v>1043</v>
      </c>
      <c r="B845" s="78" t="s">
        <v>40</v>
      </c>
      <c r="C845" s="78" t="s">
        <v>280</v>
      </c>
      <c r="D845" s="78" t="s">
        <v>542</v>
      </c>
      <c r="E845" s="79" t="s">
        <v>786</v>
      </c>
      <c r="F845" s="78" t="s">
        <v>591</v>
      </c>
      <c r="G845" s="78" t="s">
        <v>250</v>
      </c>
      <c r="H845" s="78" t="s">
        <v>11</v>
      </c>
      <c r="I845" s="78" t="s">
        <v>214</v>
      </c>
      <c r="J845" s="79" t="s">
        <v>251</v>
      </c>
      <c r="K845" s="80">
        <v>11.8</v>
      </c>
      <c r="L845" s="80">
        <f t="shared" si="243"/>
        <v>9.2549019607843146</v>
      </c>
      <c r="M845" s="81">
        <f>prodnorm30</f>
        <v>0</v>
      </c>
      <c r="N845" s="82">
        <f>dagwerk30</f>
        <v>0</v>
      </c>
      <c r="O845" s="78" t="s">
        <v>103</v>
      </c>
      <c r="P845" s="15">
        <f>uurtarief30</f>
        <v>0</v>
      </c>
      <c r="Q845" s="80" t="e">
        <f t="shared" si="244"/>
        <v>#DIV/0!</v>
      </c>
      <c r="R845" s="80" t="e">
        <f t="shared" si="245"/>
        <v>#DIV/0!</v>
      </c>
      <c r="S845" s="15" t="e">
        <f t="shared" si="246"/>
        <v>#DIV/0!</v>
      </c>
      <c r="T845" s="80" t="e">
        <f t="shared" si="247"/>
        <v>#DIV/0!</v>
      </c>
      <c r="U845" s="16" t="e">
        <f t="shared" si="248"/>
        <v>#DIV/0!</v>
      </c>
    </row>
    <row r="846" spans="1:21" x14ac:dyDescent="0.3">
      <c r="A846" s="77" t="s">
        <v>1043</v>
      </c>
      <c r="B846" s="78" t="s">
        <v>40</v>
      </c>
      <c r="C846" s="78" t="s">
        <v>280</v>
      </c>
      <c r="D846" s="78" t="s">
        <v>543</v>
      </c>
      <c r="E846" s="79" t="s">
        <v>786</v>
      </c>
      <c r="F846" s="78" t="s">
        <v>591</v>
      </c>
      <c r="G846" s="78" t="s">
        <v>250</v>
      </c>
      <c r="H846" s="78" t="s">
        <v>11</v>
      </c>
      <c r="I846" s="78" t="s">
        <v>214</v>
      </c>
      <c r="J846" s="79" t="s">
        <v>251</v>
      </c>
      <c r="K846" s="80">
        <v>11.8</v>
      </c>
      <c r="L846" s="80">
        <f t="shared" si="243"/>
        <v>9.2549019607843146</v>
      </c>
      <c r="M846" s="81">
        <f>prodnorm30</f>
        <v>0</v>
      </c>
      <c r="N846" s="82">
        <f>dagwerk30</f>
        <v>0</v>
      </c>
      <c r="O846" s="78" t="s">
        <v>103</v>
      </c>
      <c r="P846" s="15">
        <f>uurtarief30</f>
        <v>0</v>
      </c>
      <c r="Q846" s="80" t="e">
        <f t="shared" si="244"/>
        <v>#DIV/0!</v>
      </c>
      <c r="R846" s="80" t="e">
        <f t="shared" si="245"/>
        <v>#DIV/0!</v>
      </c>
      <c r="S846" s="15" t="e">
        <f t="shared" si="246"/>
        <v>#DIV/0!</v>
      </c>
      <c r="T846" s="80" t="e">
        <f t="shared" si="247"/>
        <v>#DIV/0!</v>
      </c>
      <c r="U846" s="16" t="e">
        <f t="shared" si="248"/>
        <v>#DIV/0!</v>
      </c>
    </row>
    <row r="847" spans="1:21" x14ac:dyDescent="0.3">
      <c r="A847" s="77" t="s">
        <v>1043</v>
      </c>
      <c r="B847" s="78" t="s">
        <v>40</v>
      </c>
      <c r="C847" s="78" t="s">
        <v>280</v>
      </c>
      <c r="D847" s="78" t="s">
        <v>545</v>
      </c>
      <c r="E847" s="79" t="s">
        <v>1061</v>
      </c>
      <c r="F847" s="78" t="s">
        <v>768</v>
      </c>
      <c r="G847" s="78" t="s">
        <v>216</v>
      </c>
      <c r="H847" s="78" t="s">
        <v>16</v>
      </c>
      <c r="I847" s="78" t="s">
        <v>214</v>
      </c>
      <c r="J847" s="79" t="s">
        <v>217</v>
      </c>
      <c r="K847" s="80">
        <v>32</v>
      </c>
      <c r="L847" s="80">
        <f t="shared" si="243"/>
        <v>10.03921568627451</v>
      </c>
      <c r="M847" s="81">
        <f>prodnorm8</f>
        <v>0</v>
      </c>
      <c r="N847" s="82">
        <f>dagwerk8</f>
        <v>0</v>
      </c>
      <c r="O847" s="78" t="s">
        <v>103</v>
      </c>
      <c r="P847" s="15">
        <f>uurtarief8</f>
        <v>0</v>
      </c>
      <c r="Q847" s="80" t="e">
        <f t="shared" si="244"/>
        <v>#DIV/0!</v>
      </c>
      <c r="R847" s="80" t="e">
        <f t="shared" si="245"/>
        <v>#DIV/0!</v>
      </c>
      <c r="S847" s="15" t="e">
        <f t="shared" si="246"/>
        <v>#DIV/0!</v>
      </c>
      <c r="T847" s="80" t="e">
        <f t="shared" si="247"/>
        <v>#DIV/0!</v>
      </c>
      <c r="U847" s="16" t="e">
        <f t="shared" si="248"/>
        <v>#DIV/0!</v>
      </c>
    </row>
    <row r="848" spans="1:21" ht="27" x14ac:dyDescent="0.3">
      <c r="A848" s="77" t="s">
        <v>1043</v>
      </c>
      <c r="B848" s="78" t="s">
        <v>40</v>
      </c>
      <c r="C848" s="78" t="s">
        <v>280</v>
      </c>
      <c r="D848" s="78" t="s">
        <v>546</v>
      </c>
      <c r="E848" s="79" t="s">
        <v>808</v>
      </c>
      <c r="F848" s="78" t="s">
        <v>509</v>
      </c>
      <c r="G848" s="78" t="s">
        <v>256</v>
      </c>
      <c r="H848" s="78" t="s">
        <v>11</v>
      </c>
      <c r="I848" s="78" t="s">
        <v>214</v>
      </c>
      <c r="J848" s="79" t="s">
        <v>257</v>
      </c>
      <c r="K848" s="80">
        <v>53.3</v>
      </c>
      <c r="L848" s="80">
        <f t="shared" si="243"/>
        <v>41.803921568627452</v>
      </c>
      <c r="M848" s="81">
        <f>prodnorm33</f>
        <v>0</v>
      </c>
      <c r="N848" s="82">
        <f>dagwerk33</f>
        <v>0</v>
      </c>
      <c r="O848" s="78" t="s">
        <v>103</v>
      </c>
      <c r="P848" s="15">
        <f>uurtarief33</f>
        <v>0</v>
      </c>
      <c r="Q848" s="80" t="e">
        <f t="shared" si="244"/>
        <v>#DIV/0!</v>
      </c>
      <c r="R848" s="80" t="e">
        <f t="shared" si="245"/>
        <v>#DIV/0!</v>
      </c>
      <c r="S848" s="15" t="e">
        <f t="shared" si="246"/>
        <v>#DIV/0!</v>
      </c>
      <c r="T848" s="80" t="e">
        <f t="shared" si="247"/>
        <v>#DIV/0!</v>
      </c>
      <c r="U848" s="16" t="e">
        <f t="shared" si="248"/>
        <v>#DIV/0!</v>
      </c>
    </row>
    <row r="849" spans="1:21" x14ac:dyDescent="0.3">
      <c r="A849" s="77" t="s">
        <v>1043</v>
      </c>
      <c r="B849" s="78" t="s">
        <v>40</v>
      </c>
      <c r="C849" s="78" t="s">
        <v>280</v>
      </c>
      <c r="D849" s="78" t="s">
        <v>548</v>
      </c>
      <c r="E849" s="79" t="s">
        <v>1062</v>
      </c>
      <c r="F849" s="78" t="s">
        <v>509</v>
      </c>
      <c r="G849" s="78" t="s">
        <v>234</v>
      </c>
      <c r="H849" s="78" t="s">
        <v>11</v>
      </c>
      <c r="I849" s="78" t="s">
        <v>214</v>
      </c>
      <c r="J849" s="79" t="s">
        <v>235</v>
      </c>
      <c r="K849" s="80">
        <v>69</v>
      </c>
      <c r="L849" s="80">
        <f t="shared" si="243"/>
        <v>54.117647058823529</v>
      </c>
      <c r="M849" s="81">
        <f>prodnorm21</f>
        <v>0</v>
      </c>
      <c r="N849" s="82">
        <f>dagwerk21</f>
        <v>0</v>
      </c>
      <c r="O849" s="78" t="s">
        <v>103</v>
      </c>
      <c r="P849" s="15">
        <f>uurtarief21</f>
        <v>0</v>
      </c>
      <c r="Q849" s="80" t="e">
        <f t="shared" si="244"/>
        <v>#DIV/0!</v>
      </c>
      <c r="R849" s="80" t="e">
        <f t="shared" si="245"/>
        <v>#DIV/0!</v>
      </c>
      <c r="S849" s="15" t="e">
        <f t="shared" si="246"/>
        <v>#DIV/0!</v>
      </c>
      <c r="T849" s="80" t="e">
        <f t="shared" si="247"/>
        <v>#DIV/0!</v>
      </c>
      <c r="U849" s="16" t="e">
        <f t="shared" si="248"/>
        <v>#DIV/0!</v>
      </c>
    </row>
    <row r="850" spans="1:21" x14ac:dyDescent="0.3">
      <c r="A850" s="77" t="s">
        <v>1043</v>
      </c>
      <c r="B850" s="78" t="s">
        <v>40</v>
      </c>
      <c r="C850" s="78" t="s">
        <v>280</v>
      </c>
      <c r="D850" s="78" t="s">
        <v>549</v>
      </c>
      <c r="E850" s="79" t="s">
        <v>290</v>
      </c>
      <c r="F850" s="78" t="s">
        <v>509</v>
      </c>
      <c r="G850" s="78" t="s">
        <v>234</v>
      </c>
      <c r="H850" s="78" t="s">
        <v>11</v>
      </c>
      <c r="I850" s="78" t="s">
        <v>214</v>
      </c>
      <c r="J850" s="79" t="s">
        <v>235</v>
      </c>
      <c r="K850" s="80">
        <v>53</v>
      </c>
      <c r="L850" s="80">
        <f t="shared" si="243"/>
        <v>41.568627450980394</v>
      </c>
      <c r="M850" s="81">
        <f>prodnorm21</f>
        <v>0</v>
      </c>
      <c r="N850" s="82">
        <f>dagwerk21</f>
        <v>0</v>
      </c>
      <c r="O850" s="78" t="s">
        <v>103</v>
      </c>
      <c r="P850" s="15">
        <f>uurtarief21</f>
        <v>0</v>
      </c>
      <c r="Q850" s="80" t="e">
        <f t="shared" si="244"/>
        <v>#DIV/0!</v>
      </c>
      <c r="R850" s="80" t="e">
        <f t="shared" si="245"/>
        <v>#DIV/0!</v>
      </c>
      <c r="S850" s="15" t="e">
        <f t="shared" si="246"/>
        <v>#DIV/0!</v>
      </c>
      <c r="T850" s="80" t="e">
        <f t="shared" si="247"/>
        <v>#DIV/0!</v>
      </c>
      <c r="U850" s="16" t="e">
        <f t="shared" si="248"/>
        <v>#DIV/0!</v>
      </c>
    </row>
    <row r="851" spans="1:21" x14ac:dyDescent="0.3">
      <c r="A851" s="77" t="s">
        <v>1043</v>
      </c>
      <c r="B851" s="78" t="s">
        <v>40</v>
      </c>
      <c r="C851" s="78" t="s">
        <v>280</v>
      </c>
      <c r="D851" s="78" t="s">
        <v>550</v>
      </c>
      <c r="E851" s="79" t="s">
        <v>290</v>
      </c>
      <c r="F851" s="78" t="s">
        <v>509</v>
      </c>
      <c r="G851" s="78" t="s">
        <v>234</v>
      </c>
      <c r="H851" s="78" t="s">
        <v>11</v>
      </c>
      <c r="I851" s="78" t="s">
        <v>214</v>
      </c>
      <c r="J851" s="79" t="s">
        <v>235</v>
      </c>
      <c r="K851" s="80">
        <v>53</v>
      </c>
      <c r="L851" s="80">
        <f t="shared" si="243"/>
        <v>41.568627450980394</v>
      </c>
      <c r="M851" s="81">
        <f>prodnorm21</f>
        <v>0</v>
      </c>
      <c r="N851" s="82">
        <f>dagwerk21</f>
        <v>0</v>
      </c>
      <c r="O851" s="78" t="s">
        <v>103</v>
      </c>
      <c r="P851" s="15">
        <f>uurtarief21</f>
        <v>0</v>
      </c>
      <c r="Q851" s="80" t="e">
        <f t="shared" si="244"/>
        <v>#DIV/0!</v>
      </c>
      <c r="R851" s="80" t="e">
        <f t="shared" si="245"/>
        <v>#DIV/0!</v>
      </c>
      <c r="S851" s="15" t="e">
        <f t="shared" si="246"/>
        <v>#DIV/0!</v>
      </c>
      <c r="T851" s="80" t="e">
        <f t="shared" si="247"/>
        <v>#DIV/0!</v>
      </c>
      <c r="U851" s="16" t="e">
        <f t="shared" si="248"/>
        <v>#DIV/0!</v>
      </c>
    </row>
    <row r="852" spans="1:21" x14ac:dyDescent="0.3">
      <c r="A852" s="77" t="s">
        <v>1043</v>
      </c>
      <c r="B852" s="78" t="s">
        <v>40</v>
      </c>
      <c r="C852" s="78" t="s">
        <v>280</v>
      </c>
      <c r="D852" s="78" t="s">
        <v>624</v>
      </c>
      <c r="E852" s="79" t="s">
        <v>1062</v>
      </c>
      <c r="F852" s="78" t="s">
        <v>509</v>
      </c>
      <c r="G852" s="78" t="s">
        <v>234</v>
      </c>
      <c r="H852" s="78" t="s">
        <v>11</v>
      </c>
      <c r="I852" s="78" t="s">
        <v>214</v>
      </c>
      <c r="J852" s="79" t="s">
        <v>235</v>
      </c>
      <c r="K852" s="80">
        <v>53.4</v>
      </c>
      <c r="L852" s="80">
        <f t="shared" si="243"/>
        <v>41.882352941176471</v>
      </c>
      <c r="M852" s="81">
        <f>prodnorm21</f>
        <v>0</v>
      </c>
      <c r="N852" s="82">
        <f>dagwerk21</f>
        <v>0</v>
      </c>
      <c r="O852" s="78" t="s">
        <v>103</v>
      </c>
      <c r="P852" s="15">
        <f>uurtarief21</f>
        <v>0</v>
      </c>
      <c r="Q852" s="80" t="e">
        <f t="shared" si="244"/>
        <v>#DIV/0!</v>
      </c>
      <c r="R852" s="80" t="e">
        <f t="shared" si="245"/>
        <v>#DIV/0!</v>
      </c>
      <c r="S852" s="15" t="e">
        <f t="shared" si="246"/>
        <v>#DIV/0!</v>
      </c>
      <c r="T852" s="80" t="e">
        <f t="shared" si="247"/>
        <v>#DIV/0!</v>
      </c>
      <c r="U852" s="16" t="e">
        <f t="shared" si="248"/>
        <v>#DIV/0!</v>
      </c>
    </row>
    <row r="853" spans="1:21" x14ac:dyDescent="0.3">
      <c r="A853" s="77" t="s">
        <v>1043</v>
      </c>
      <c r="B853" s="78" t="s">
        <v>40</v>
      </c>
      <c r="C853" s="78" t="s">
        <v>280</v>
      </c>
      <c r="D853" s="78" t="s">
        <v>625</v>
      </c>
      <c r="E853" s="79" t="s">
        <v>1063</v>
      </c>
      <c r="F853" s="78" t="s">
        <v>509</v>
      </c>
      <c r="G853" s="78" t="s">
        <v>240</v>
      </c>
      <c r="H853" s="78" t="s">
        <v>11</v>
      </c>
      <c r="I853" s="78" t="s">
        <v>214</v>
      </c>
      <c r="J853" s="79" t="s">
        <v>241</v>
      </c>
      <c r="K853" s="80">
        <v>170.2</v>
      </c>
      <c r="L853" s="80">
        <f t="shared" si="243"/>
        <v>133.49019607843135</v>
      </c>
      <c r="M853" s="81">
        <f>prodnorm25</f>
        <v>0</v>
      </c>
      <c r="N853" s="82">
        <f>dagwerk25</f>
        <v>0</v>
      </c>
      <c r="O853" s="78" t="s">
        <v>103</v>
      </c>
      <c r="P853" s="15">
        <f>uurtarief25</f>
        <v>0</v>
      </c>
      <c r="Q853" s="80" t="e">
        <f t="shared" si="244"/>
        <v>#DIV/0!</v>
      </c>
      <c r="R853" s="80" t="e">
        <f t="shared" si="245"/>
        <v>#DIV/0!</v>
      </c>
      <c r="S853" s="15" t="e">
        <f t="shared" si="246"/>
        <v>#DIV/0!</v>
      </c>
      <c r="T853" s="80" t="e">
        <f t="shared" si="247"/>
        <v>#DIV/0!</v>
      </c>
      <c r="U853" s="16" t="e">
        <f t="shared" si="248"/>
        <v>#DIV/0!</v>
      </c>
    </row>
    <row r="854" spans="1:21" x14ac:dyDescent="0.3">
      <c r="A854" s="77" t="s">
        <v>1043</v>
      </c>
      <c r="B854" s="78" t="s">
        <v>40</v>
      </c>
      <c r="C854" s="78" t="s">
        <v>280</v>
      </c>
      <c r="D854" s="78" t="s">
        <v>627</v>
      </c>
      <c r="E854" s="79" t="s">
        <v>594</v>
      </c>
      <c r="F854" s="78" t="s">
        <v>509</v>
      </c>
      <c r="G854" s="78" t="s">
        <v>252</v>
      </c>
      <c r="H854" s="78" t="s">
        <v>11</v>
      </c>
      <c r="I854" s="78" t="s">
        <v>214</v>
      </c>
      <c r="J854" s="79" t="s">
        <v>253</v>
      </c>
      <c r="K854" s="80">
        <v>20.9</v>
      </c>
      <c r="L854" s="80">
        <f t="shared" si="243"/>
        <v>16.392156862745097</v>
      </c>
      <c r="M854" s="81">
        <f>prodnorm31</f>
        <v>0</v>
      </c>
      <c r="N854" s="82">
        <f>dagwerk31</f>
        <v>0</v>
      </c>
      <c r="O854" s="78" t="s">
        <v>103</v>
      </c>
      <c r="P854" s="15">
        <f>uurtarief31</f>
        <v>0</v>
      </c>
      <c r="Q854" s="80" t="e">
        <f t="shared" si="244"/>
        <v>#DIV/0!</v>
      </c>
      <c r="R854" s="80" t="e">
        <f t="shared" si="245"/>
        <v>#DIV/0!</v>
      </c>
      <c r="S854" s="15" t="e">
        <f t="shared" si="246"/>
        <v>#DIV/0!</v>
      </c>
      <c r="T854" s="80" t="e">
        <f t="shared" si="247"/>
        <v>#DIV/0!</v>
      </c>
      <c r="U854" s="16" t="e">
        <f t="shared" si="248"/>
        <v>#DIV/0!</v>
      </c>
    </row>
    <row r="855" spans="1:21" x14ac:dyDescent="0.3">
      <c r="A855" s="77" t="s">
        <v>1043</v>
      </c>
      <c r="B855" s="78" t="s">
        <v>40</v>
      </c>
      <c r="C855" s="78" t="s">
        <v>280</v>
      </c>
      <c r="D855" s="78" t="s">
        <v>629</v>
      </c>
      <c r="E855" s="79" t="s">
        <v>592</v>
      </c>
      <c r="F855" s="78" t="s">
        <v>509</v>
      </c>
      <c r="G855" s="78" t="s">
        <v>238</v>
      </c>
      <c r="H855" s="78" t="s">
        <v>21</v>
      </c>
      <c r="I855" s="78" t="s">
        <v>214</v>
      </c>
      <c r="J855" s="79" t="s">
        <v>239</v>
      </c>
      <c r="K855" s="80">
        <v>3.1</v>
      </c>
      <c r="L855" s="80">
        <f t="shared" si="243"/>
        <v>0.12156862745098039</v>
      </c>
      <c r="M855" s="81">
        <f>prodnorm23</f>
        <v>0</v>
      </c>
      <c r="N855" s="82">
        <f>dagwerk23</f>
        <v>0</v>
      </c>
      <c r="O855" s="78" t="s">
        <v>103</v>
      </c>
      <c r="P855" s="15">
        <f>uurtarief23</f>
        <v>0</v>
      </c>
      <c r="Q855" s="80" t="e">
        <f t="shared" si="244"/>
        <v>#DIV/0!</v>
      </c>
      <c r="R855" s="80" t="e">
        <f t="shared" si="245"/>
        <v>#DIV/0!</v>
      </c>
      <c r="S855" s="15" t="e">
        <f t="shared" si="246"/>
        <v>#DIV/0!</v>
      </c>
      <c r="T855" s="80" t="e">
        <f t="shared" si="247"/>
        <v>#DIV/0!</v>
      </c>
      <c r="U855" s="16" t="e">
        <f t="shared" si="248"/>
        <v>#DIV/0!</v>
      </c>
    </row>
    <row r="856" spans="1:21" x14ac:dyDescent="0.3">
      <c r="A856" s="77" t="s">
        <v>1043</v>
      </c>
      <c r="B856" s="78" t="s">
        <v>40</v>
      </c>
      <c r="C856" s="78" t="s">
        <v>280</v>
      </c>
      <c r="D856" s="78" t="s">
        <v>631</v>
      </c>
      <c r="E856" s="79" t="s">
        <v>592</v>
      </c>
      <c r="F856" s="78" t="s">
        <v>509</v>
      </c>
      <c r="G856" s="78" t="s">
        <v>238</v>
      </c>
      <c r="H856" s="78" t="s">
        <v>21</v>
      </c>
      <c r="I856" s="78" t="s">
        <v>214</v>
      </c>
      <c r="J856" s="79" t="s">
        <v>239</v>
      </c>
      <c r="K856" s="80">
        <v>6.7</v>
      </c>
      <c r="L856" s="80">
        <f t="shared" si="243"/>
        <v>0.2627450980392157</v>
      </c>
      <c r="M856" s="81">
        <f>prodnorm23</f>
        <v>0</v>
      </c>
      <c r="N856" s="82">
        <f>dagwerk23</f>
        <v>0</v>
      </c>
      <c r="O856" s="78" t="s">
        <v>103</v>
      </c>
      <c r="P856" s="15">
        <f>uurtarief23</f>
        <v>0</v>
      </c>
      <c r="Q856" s="80" t="e">
        <f t="shared" si="244"/>
        <v>#DIV/0!</v>
      </c>
      <c r="R856" s="80" t="e">
        <f t="shared" si="245"/>
        <v>#DIV/0!</v>
      </c>
      <c r="S856" s="15" t="e">
        <f t="shared" si="246"/>
        <v>#DIV/0!</v>
      </c>
      <c r="T856" s="80" t="e">
        <f t="shared" si="247"/>
        <v>#DIV/0!</v>
      </c>
      <c r="U856" s="16" t="e">
        <f t="shared" si="248"/>
        <v>#DIV/0!</v>
      </c>
    </row>
    <row r="857" spans="1:21" x14ac:dyDescent="0.3">
      <c r="A857" s="77" t="s">
        <v>1043</v>
      </c>
      <c r="B857" s="78" t="s">
        <v>40</v>
      </c>
      <c r="C857" s="78" t="s">
        <v>280</v>
      </c>
      <c r="D857" s="78" t="s">
        <v>632</v>
      </c>
      <c r="E857" s="79" t="s">
        <v>1064</v>
      </c>
      <c r="F857" s="78" t="s">
        <v>40</v>
      </c>
      <c r="G857" s="78" t="s">
        <v>300</v>
      </c>
      <c r="H857" s="78"/>
      <c r="I857" s="78"/>
      <c r="J857" s="78"/>
      <c r="K857" s="80">
        <v>16.5</v>
      </c>
      <c r="L857" s="80"/>
      <c r="M857" s="81"/>
      <c r="N857" s="82"/>
      <c r="O857" s="78"/>
      <c r="P857" s="15"/>
      <c r="Q857" s="80"/>
      <c r="R857" s="80"/>
      <c r="S857" s="15"/>
      <c r="T857" s="83"/>
      <c r="U857" s="16"/>
    </row>
    <row r="858" spans="1:21" x14ac:dyDescent="0.3">
      <c r="A858" s="77" t="s">
        <v>1043</v>
      </c>
      <c r="B858" s="78" t="s">
        <v>40</v>
      </c>
      <c r="C858" s="78" t="s">
        <v>280</v>
      </c>
      <c r="D858" s="78" t="s">
        <v>634</v>
      </c>
      <c r="E858" s="79" t="s">
        <v>1053</v>
      </c>
      <c r="F858" s="78" t="s">
        <v>509</v>
      </c>
      <c r="G858" s="78" t="s">
        <v>238</v>
      </c>
      <c r="H858" s="78" t="s">
        <v>21</v>
      </c>
      <c r="I858" s="78" t="s">
        <v>214</v>
      </c>
      <c r="J858" s="79" t="s">
        <v>239</v>
      </c>
      <c r="K858" s="80">
        <v>16.2</v>
      </c>
      <c r="L858" s="80">
        <f t="shared" ref="L858:L881" si="249">K858*VLOOKUP(H858,dagsoorttabel1,2,FALSE)</f>
        <v>0.63529411764705879</v>
      </c>
      <c r="M858" s="81">
        <f>prodnorm23</f>
        <v>0</v>
      </c>
      <c r="N858" s="82">
        <f>dagwerk23</f>
        <v>0</v>
      </c>
      <c r="O858" s="78" t="s">
        <v>103</v>
      </c>
      <c r="P858" s="15">
        <f>uurtarief23</f>
        <v>0</v>
      </c>
      <c r="Q858" s="80" t="e">
        <f t="shared" ref="Q858:Q881" si="250">IF(ISBLANK(M858),0,L858/ROUND(M858,4))</f>
        <v>#DIV/0!</v>
      </c>
      <c r="R858" s="80" t="e">
        <f t="shared" ref="R858:R881" si="251">IF(ISBLANK(M858),0,Q858*ROUND(N858,2))</f>
        <v>#DIV/0!</v>
      </c>
      <c r="S858" s="15" t="e">
        <f t="shared" ref="S858:S881" si="252">ROUND(P858,2)*Q858</f>
        <v>#DIV/0!</v>
      </c>
      <c r="T858" s="80" t="e">
        <f t="shared" ref="T858:T881" si="253">Q858*dagenperjaar1</f>
        <v>#DIV/0!</v>
      </c>
      <c r="U858" s="16" t="e">
        <f t="shared" ref="U858:U881" si="254">T858*ROUND(P858,2)</f>
        <v>#DIV/0!</v>
      </c>
    </row>
    <row r="859" spans="1:21" x14ac:dyDescent="0.3">
      <c r="A859" s="77" t="s">
        <v>1043</v>
      </c>
      <c r="B859" s="78" t="s">
        <v>40</v>
      </c>
      <c r="C859" s="78" t="s">
        <v>280</v>
      </c>
      <c r="D859" s="78" t="s">
        <v>635</v>
      </c>
      <c r="E859" s="79" t="s">
        <v>290</v>
      </c>
      <c r="F859" s="78" t="s">
        <v>509</v>
      </c>
      <c r="G859" s="78" t="s">
        <v>234</v>
      </c>
      <c r="H859" s="78" t="s">
        <v>11</v>
      </c>
      <c r="I859" s="78" t="s">
        <v>214</v>
      </c>
      <c r="J859" s="79" t="s">
        <v>235</v>
      </c>
      <c r="K859" s="80">
        <v>51.8</v>
      </c>
      <c r="L859" s="80">
        <f t="shared" si="249"/>
        <v>40.627450980392155</v>
      </c>
      <c r="M859" s="81">
        <f>prodnorm21</f>
        <v>0</v>
      </c>
      <c r="N859" s="82">
        <f>dagwerk21</f>
        <v>0</v>
      </c>
      <c r="O859" s="78" t="s">
        <v>103</v>
      </c>
      <c r="P859" s="15">
        <f>uurtarief21</f>
        <v>0</v>
      </c>
      <c r="Q859" s="80" t="e">
        <f t="shared" si="250"/>
        <v>#DIV/0!</v>
      </c>
      <c r="R859" s="80" t="e">
        <f t="shared" si="251"/>
        <v>#DIV/0!</v>
      </c>
      <c r="S859" s="15" t="e">
        <f t="shared" si="252"/>
        <v>#DIV/0!</v>
      </c>
      <c r="T859" s="80" t="e">
        <f t="shared" si="253"/>
        <v>#DIV/0!</v>
      </c>
      <c r="U859" s="16" t="e">
        <f t="shared" si="254"/>
        <v>#DIV/0!</v>
      </c>
    </row>
    <row r="860" spans="1:21" x14ac:dyDescent="0.3">
      <c r="A860" s="77" t="s">
        <v>1043</v>
      </c>
      <c r="B860" s="78" t="s">
        <v>40</v>
      </c>
      <c r="C860" s="78" t="s">
        <v>280</v>
      </c>
      <c r="D860" s="78" t="s">
        <v>636</v>
      </c>
      <c r="E860" s="79" t="s">
        <v>290</v>
      </c>
      <c r="F860" s="78" t="s">
        <v>509</v>
      </c>
      <c r="G860" s="78" t="s">
        <v>234</v>
      </c>
      <c r="H860" s="78" t="s">
        <v>11</v>
      </c>
      <c r="I860" s="78" t="s">
        <v>214</v>
      </c>
      <c r="J860" s="79" t="s">
        <v>235</v>
      </c>
      <c r="K860" s="80">
        <v>84.1</v>
      </c>
      <c r="L860" s="80">
        <f t="shared" si="249"/>
        <v>65.960784313725483</v>
      </c>
      <c r="M860" s="81">
        <f>prodnorm21</f>
        <v>0</v>
      </c>
      <c r="N860" s="82">
        <f>dagwerk21</f>
        <v>0</v>
      </c>
      <c r="O860" s="78" t="s">
        <v>103</v>
      </c>
      <c r="P860" s="15">
        <f>uurtarief21</f>
        <v>0</v>
      </c>
      <c r="Q860" s="80" t="e">
        <f t="shared" si="250"/>
        <v>#DIV/0!</v>
      </c>
      <c r="R860" s="80" t="e">
        <f t="shared" si="251"/>
        <v>#DIV/0!</v>
      </c>
      <c r="S860" s="15" t="e">
        <f t="shared" si="252"/>
        <v>#DIV/0!</v>
      </c>
      <c r="T860" s="80" t="e">
        <f t="shared" si="253"/>
        <v>#DIV/0!</v>
      </c>
      <c r="U860" s="16" t="e">
        <f t="shared" si="254"/>
        <v>#DIV/0!</v>
      </c>
    </row>
    <row r="861" spans="1:21" x14ac:dyDescent="0.3">
      <c r="A861" s="77" t="s">
        <v>1043</v>
      </c>
      <c r="B861" s="78" t="s">
        <v>40</v>
      </c>
      <c r="C861" s="78" t="s">
        <v>280</v>
      </c>
      <c r="D861" s="78" t="s">
        <v>637</v>
      </c>
      <c r="E861" s="79" t="s">
        <v>1065</v>
      </c>
      <c r="F861" s="78" t="s">
        <v>509</v>
      </c>
      <c r="G861" s="78" t="s">
        <v>216</v>
      </c>
      <c r="H861" s="78" t="s">
        <v>16</v>
      </c>
      <c r="I861" s="78" t="s">
        <v>214</v>
      </c>
      <c r="J861" s="79" t="s">
        <v>217</v>
      </c>
      <c r="K861" s="80">
        <v>21.1</v>
      </c>
      <c r="L861" s="80">
        <f t="shared" si="249"/>
        <v>6.6196078431372554</v>
      </c>
      <c r="M861" s="81">
        <f>prodnorm8</f>
        <v>0</v>
      </c>
      <c r="N861" s="82">
        <f>dagwerk8</f>
        <v>0</v>
      </c>
      <c r="O861" s="78" t="s">
        <v>103</v>
      </c>
      <c r="P861" s="15">
        <f>uurtarief8</f>
        <v>0</v>
      </c>
      <c r="Q861" s="80" t="e">
        <f t="shared" si="250"/>
        <v>#DIV/0!</v>
      </c>
      <c r="R861" s="80" t="e">
        <f t="shared" si="251"/>
        <v>#DIV/0!</v>
      </c>
      <c r="S861" s="15" t="e">
        <f t="shared" si="252"/>
        <v>#DIV/0!</v>
      </c>
      <c r="T861" s="80" t="e">
        <f t="shared" si="253"/>
        <v>#DIV/0!</v>
      </c>
      <c r="U861" s="16" t="e">
        <f t="shared" si="254"/>
        <v>#DIV/0!</v>
      </c>
    </row>
    <row r="862" spans="1:21" x14ac:dyDescent="0.3">
      <c r="A862" s="77" t="s">
        <v>1043</v>
      </c>
      <c r="B862" s="78" t="s">
        <v>40</v>
      </c>
      <c r="C862" s="78" t="s">
        <v>280</v>
      </c>
      <c r="D862" s="78" t="s">
        <v>638</v>
      </c>
      <c r="E862" s="79" t="s">
        <v>594</v>
      </c>
      <c r="F862" s="78" t="s">
        <v>509</v>
      </c>
      <c r="G862" s="78" t="s">
        <v>252</v>
      </c>
      <c r="H862" s="78" t="s">
        <v>11</v>
      </c>
      <c r="I862" s="78" t="s">
        <v>214</v>
      </c>
      <c r="J862" s="79" t="s">
        <v>253</v>
      </c>
      <c r="K862" s="80">
        <v>94</v>
      </c>
      <c r="L862" s="80">
        <f t="shared" si="249"/>
        <v>73.725490196078425</v>
      </c>
      <c r="M862" s="81">
        <f>prodnorm31</f>
        <v>0</v>
      </c>
      <c r="N862" s="82">
        <f>dagwerk31</f>
        <v>0</v>
      </c>
      <c r="O862" s="78" t="s">
        <v>103</v>
      </c>
      <c r="P862" s="15">
        <f>uurtarief31</f>
        <v>0</v>
      </c>
      <c r="Q862" s="80" t="e">
        <f t="shared" si="250"/>
        <v>#DIV/0!</v>
      </c>
      <c r="R862" s="80" t="e">
        <f t="shared" si="251"/>
        <v>#DIV/0!</v>
      </c>
      <c r="S862" s="15" t="e">
        <f t="shared" si="252"/>
        <v>#DIV/0!</v>
      </c>
      <c r="T862" s="80" t="e">
        <f t="shared" si="253"/>
        <v>#DIV/0!</v>
      </c>
      <c r="U862" s="16" t="e">
        <f t="shared" si="254"/>
        <v>#DIV/0!</v>
      </c>
    </row>
    <row r="863" spans="1:21" ht="27" x14ac:dyDescent="0.3">
      <c r="A863" s="77" t="s">
        <v>1043</v>
      </c>
      <c r="B863" s="78" t="s">
        <v>40</v>
      </c>
      <c r="C863" s="78" t="s">
        <v>280</v>
      </c>
      <c r="D863" s="78" t="s">
        <v>639</v>
      </c>
      <c r="E863" s="79" t="s">
        <v>808</v>
      </c>
      <c r="F863" s="78" t="s">
        <v>1066</v>
      </c>
      <c r="G863" s="78" t="s">
        <v>256</v>
      </c>
      <c r="H863" s="78" t="s">
        <v>11</v>
      </c>
      <c r="I863" s="78" t="s">
        <v>214</v>
      </c>
      <c r="J863" s="79" t="s">
        <v>257</v>
      </c>
      <c r="K863" s="80">
        <v>136</v>
      </c>
      <c r="L863" s="80">
        <f t="shared" si="249"/>
        <v>106.66666666666667</v>
      </c>
      <c r="M863" s="81">
        <f>prodnorm33</f>
        <v>0</v>
      </c>
      <c r="N863" s="82">
        <f>dagwerk33</f>
        <v>0</v>
      </c>
      <c r="O863" s="78" t="s">
        <v>103</v>
      </c>
      <c r="P863" s="15">
        <f>uurtarief33</f>
        <v>0</v>
      </c>
      <c r="Q863" s="80" t="e">
        <f t="shared" si="250"/>
        <v>#DIV/0!</v>
      </c>
      <c r="R863" s="80" t="e">
        <f t="shared" si="251"/>
        <v>#DIV/0!</v>
      </c>
      <c r="S863" s="15" t="e">
        <f t="shared" si="252"/>
        <v>#DIV/0!</v>
      </c>
      <c r="T863" s="80" t="e">
        <f t="shared" si="253"/>
        <v>#DIV/0!</v>
      </c>
      <c r="U863" s="16" t="e">
        <f t="shared" si="254"/>
        <v>#DIV/0!</v>
      </c>
    </row>
    <row r="864" spans="1:21" x14ac:dyDescent="0.3">
      <c r="A864" s="77" t="s">
        <v>1043</v>
      </c>
      <c r="B864" s="78" t="s">
        <v>40</v>
      </c>
      <c r="C864" s="78" t="s">
        <v>280</v>
      </c>
      <c r="D864" s="78" t="s">
        <v>640</v>
      </c>
      <c r="E864" s="79" t="s">
        <v>511</v>
      </c>
      <c r="F864" s="78" t="s">
        <v>768</v>
      </c>
      <c r="G864" s="78" t="s">
        <v>216</v>
      </c>
      <c r="H864" s="78" t="s">
        <v>16</v>
      </c>
      <c r="I864" s="78" t="s">
        <v>214</v>
      </c>
      <c r="J864" s="79" t="s">
        <v>217</v>
      </c>
      <c r="K864" s="80">
        <v>16</v>
      </c>
      <c r="L864" s="80">
        <f t="shared" si="249"/>
        <v>5.0196078431372548</v>
      </c>
      <c r="M864" s="81">
        <f>prodnorm8</f>
        <v>0</v>
      </c>
      <c r="N864" s="82">
        <f>dagwerk8</f>
        <v>0</v>
      </c>
      <c r="O864" s="78" t="s">
        <v>103</v>
      </c>
      <c r="P864" s="15">
        <f>uurtarief8</f>
        <v>0</v>
      </c>
      <c r="Q864" s="80" t="e">
        <f t="shared" si="250"/>
        <v>#DIV/0!</v>
      </c>
      <c r="R864" s="80" t="e">
        <f t="shared" si="251"/>
        <v>#DIV/0!</v>
      </c>
      <c r="S864" s="15" t="e">
        <f t="shared" si="252"/>
        <v>#DIV/0!</v>
      </c>
      <c r="T864" s="80" t="e">
        <f t="shared" si="253"/>
        <v>#DIV/0!</v>
      </c>
      <c r="U864" s="16" t="e">
        <f t="shared" si="254"/>
        <v>#DIV/0!</v>
      </c>
    </row>
    <row r="865" spans="1:21" x14ac:dyDescent="0.3">
      <c r="A865" s="77" t="s">
        <v>1043</v>
      </c>
      <c r="B865" s="78" t="s">
        <v>40</v>
      </c>
      <c r="C865" s="78" t="s">
        <v>280</v>
      </c>
      <c r="D865" s="78" t="s">
        <v>641</v>
      </c>
      <c r="E865" s="79" t="s">
        <v>511</v>
      </c>
      <c r="F865" s="78" t="s">
        <v>768</v>
      </c>
      <c r="G865" s="78" t="s">
        <v>216</v>
      </c>
      <c r="H865" s="78" t="s">
        <v>16</v>
      </c>
      <c r="I865" s="78" t="s">
        <v>214</v>
      </c>
      <c r="J865" s="79" t="s">
        <v>217</v>
      </c>
      <c r="K865" s="80">
        <v>16</v>
      </c>
      <c r="L865" s="80">
        <f t="shared" si="249"/>
        <v>5.0196078431372548</v>
      </c>
      <c r="M865" s="81">
        <f>prodnorm8</f>
        <v>0</v>
      </c>
      <c r="N865" s="82">
        <f>dagwerk8</f>
        <v>0</v>
      </c>
      <c r="O865" s="78" t="s">
        <v>103</v>
      </c>
      <c r="P865" s="15">
        <f>uurtarief8</f>
        <v>0</v>
      </c>
      <c r="Q865" s="80" t="e">
        <f t="shared" si="250"/>
        <v>#DIV/0!</v>
      </c>
      <c r="R865" s="80" t="e">
        <f t="shared" si="251"/>
        <v>#DIV/0!</v>
      </c>
      <c r="S865" s="15" t="e">
        <f t="shared" si="252"/>
        <v>#DIV/0!</v>
      </c>
      <c r="T865" s="80" t="e">
        <f t="shared" si="253"/>
        <v>#DIV/0!</v>
      </c>
      <c r="U865" s="16" t="e">
        <f t="shared" si="254"/>
        <v>#DIV/0!</v>
      </c>
    </row>
    <row r="866" spans="1:21" x14ac:dyDescent="0.3">
      <c r="A866" s="77" t="s">
        <v>1043</v>
      </c>
      <c r="B866" s="78" t="s">
        <v>40</v>
      </c>
      <c r="C866" s="78" t="s">
        <v>280</v>
      </c>
      <c r="D866" s="78" t="s">
        <v>642</v>
      </c>
      <c r="E866" s="79" t="s">
        <v>1067</v>
      </c>
      <c r="F866" s="78" t="s">
        <v>509</v>
      </c>
      <c r="G866" s="78" t="s">
        <v>216</v>
      </c>
      <c r="H866" s="78" t="s">
        <v>18</v>
      </c>
      <c r="I866" s="78" t="s">
        <v>214</v>
      </c>
      <c r="J866" s="79" t="s">
        <v>217</v>
      </c>
      <c r="K866" s="80">
        <v>14.5</v>
      </c>
      <c r="L866" s="80">
        <f t="shared" si="249"/>
        <v>2.2745098039215685</v>
      </c>
      <c r="M866" s="81">
        <f>prodnorm7</f>
        <v>0</v>
      </c>
      <c r="N866" s="82">
        <f>dagwerk7</f>
        <v>0</v>
      </c>
      <c r="O866" s="78" t="s">
        <v>103</v>
      </c>
      <c r="P866" s="15">
        <f>uurtarief7</f>
        <v>0</v>
      </c>
      <c r="Q866" s="80" t="e">
        <f t="shared" si="250"/>
        <v>#DIV/0!</v>
      </c>
      <c r="R866" s="80" t="e">
        <f t="shared" si="251"/>
        <v>#DIV/0!</v>
      </c>
      <c r="S866" s="15" t="e">
        <f t="shared" si="252"/>
        <v>#DIV/0!</v>
      </c>
      <c r="T866" s="80" t="e">
        <f t="shared" si="253"/>
        <v>#DIV/0!</v>
      </c>
      <c r="U866" s="16" t="e">
        <f t="shared" si="254"/>
        <v>#DIV/0!</v>
      </c>
    </row>
    <row r="867" spans="1:21" x14ac:dyDescent="0.3">
      <c r="A867" s="77" t="s">
        <v>1043</v>
      </c>
      <c r="B867" s="78" t="s">
        <v>40</v>
      </c>
      <c r="C867" s="78" t="s">
        <v>280</v>
      </c>
      <c r="D867" s="78" t="s">
        <v>644</v>
      </c>
      <c r="E867" s="79" t="s">
        <v>1068</v>
      </c>
      <c r="F867" s="78" t="s">
        <v>509</v>
      </c>
      <c r="G867" s="78" t="s">
        <v>238</v>
      </c>
      <c r="H867" s="78" t="s">
        <v>21</v>
      </c>
      <c r="I867" s="78" t="s">
        <v>214</v>
      </c>
      <c r="J867" s="79" t="s">
        <v>239</v>
      </c>
      <c r="K867" s="80">
        <v>14.5</v>
      </c>
      <c r="L867" s="80">
        <f t="shared" si="249"/>
        <v>0.56862745098039214</v>
      </c>
      <c r="M867" s="81">
        <f>prodnorm23</f>
        <v>0</v>
      </c>
      <c r="N867" s="82">
        <f>dagwerk23</f>
        <v>0</v>
      </c>
      <c r="O867" s="78" t="s">
        <v>103</v>
      </c>
      <c r="P867" s="15">
        <f>uurtarief23</f>
        <v>0</v>
      </c>
      <c r="Q867" s="80" t="e">
        <f t="shared" si="250"/>
        <v>#DIV/0!</v>
      </c>
      <c r="R867" s="80" t="e">
        <f t="shared" si="251"/>
        <v>#DIV/0!</v>
      </c>
      <c r="S867" s="15" t="e">
        <f t="shared" si="252"/>
        <v>#DIV/0!</v>
      </c>
      <c r="T867" s="80" t="e">
        <f t="shared" si="253"/>
        <v>#DIV/0!</v>
      </c>
      <c r="U867" s="16" t="e">
        <f t="shared" si="254"/>
        <v>#DIV/0!</v>
      </c>
    </row>
    <row r="868" spans="1:21" ht="27" x14ac:dyDescent="0.3">
      <c r="A868" s="77" t="s">
        <v>1043</v>
      </c>
      <c r="B868" s="78" t="s">
        <v>40</v>
      </c>
      <c r="C868" s="78" t="s">
        <v>280</v>
      </c>
      <c r="D868" s="78" t="s">
        <v>645</v>
      </c>
      <c r="E868" s="79" t="s">
        <v>808</v>
      </c>
      <c r="F868" s="78" t="s">
        <v>509</v>
      </c>
      <c r="G868" s="78" t="s">
        <v>256</v>
      </c>
      <c r="H868" s="78" t="s">
        <v>11</v>
      </c>
      <c r="I868" s="78" t="s">
        <v>214</v>
      </c>
      <c r="J868" s="79" t="s">
        <v>257</v>
      </c>
      <c r="K868" s="80">
        <v>53.2</v>
      </c>
      <c r="L868" s="80">
        <f t="shared" si="249"/>
        <v>41.725490196078432</v>
      </c>
      <c r="M868" s="81">
        <f>prodnorm33</f>
        <v>0</v>
      </c>
      <c r="N868" s="82">
        <f>dagwerk33</f>
        <v>0</v>
      </c>
      <c r="O868" s="78" t="s">
        <v>103</v>
      </c>
      <c r="P868" s="15">
        <f>uurtarief33</f>
        <v>0</v>
      </c>
      <c r="Q868" s="80" t="e">
        <f t="shared" si="250"/>
        <v>#DIV/0!</v>
      </c>
      <c r="R868" s="80" t="e">
        <f t="shared" si="251"/>
        <v>#DIV/0!</v>
      </c>
      <c r="S868" s="15" t="e">
        <f t="shared" si="252"/>
        <v>#DIV/0!</v>
      </c>
      <c r="T868" s="80" t="e">
        <f t="shared" si="253"/>
        <v>#DIV/0!</v>
      </c>
      <c r="U868" s="16" t="e">
        <f t="shared" si="254"/>
        <v>#DIV/0!</v>
      </c>
    </row>
    <row r="869" spans="1:21" ht="27" x14ac:dyDescent="0.3">
      <c r="A869" s="77" t="s">
        <v>1043</v>
      </c>
      <c r="B869" s="78" t="s">
        <v>40</v>
      </c>
      <c r="C869" s="78" t="s">
        <v>280</v>
      </c>
      <c r="D869" s="78" t="s">
        <v>646</v>
      </c>
      <c r="E869" s="79" t="s">
        <v>808</v>
      </c>
      <c r="F869" s="78" t="s">
        <v>509</v>
      </c>
      <c r="G869" s="78" t="s">
        <v>256</v>
      </c>
      <c r="H869" s="78" t="s">
        <v>11</v>
      </c>
      <c r="I869" s="78" t="s">
        <v>214</v>
      </c>
      <c r="J869" s="79" t="s">
        <v>257</v>
      </c>
      <c r="K869" s="80">
        <v>12</v>
      </c>
      <c r="L869" s="80">
        <f t="shared" si="249"/>
        <v>9.4117647058823533</v>
      </c>
      <c r="M869" s="81">
        <f>prodnorm33</f>
        <v>0</v>
      </c>
      <c r="N869" s="82">
        <f>dagwerk33</f>
        <v>0</v>
      </c>
      <c r="O869" s="78" t="s">
        <v>103</v>
      </c>
      <c r="P869" s="15">
        <f>uurtarief33</f>
        <v>0</v>
      </c>
      <c r="Q869" s="80" t="e">
        <f t="shared" si="250"/>
        <v>#DIV/0!</v>
      </c>
      <c r="R869" s="80" t="e">
        <f t="shared" si="251"/>
        <v>#DIV/0!</v>
      </c>
      <c r="S869" s="15" t="e">
        <f t="shared" si="252"/>
        <v>#DIV/0!</v>
      </c>
      <c r="T869" s="80" t="e">
        <f t="shared" si="253"/>
        <v>#DIV/0!</v>
      </c>
      <c r="U869" s="16" t="e">
        <f t="shared" si="254"/>
        <v>#DIV/0!</v>
      </c>
    </row>
    <row r="870" spans="1:21" x14ac:dyDescent="0.3">
      <c r="A870" s="77" t="s">
        <v>1043</v>
      </c>
      <c r="B870" s="78" t="s">
        <v>40</v>
      </c>
      <c r="C870" s="78" t="s">
        <v>280</v>
      </c>
      <c r="D870" s="78" t="s">
        <v>1069</v>
      </c>
      <c r="E870" s="79" t="s">
        <v>592</v>
      </c>
      <c r="F870" s="78" t="s">
        <v>509</v>
      </c>
      <c r="G870" s="78" t="s">
        <v>238</v>
      </c>
      <c r="H870" s="78" t="s">
        <v>21</v>
      </c>
      <c r="I870" s="78" t="s">
        <v>214</v>
      </c>
      <c r="J870" s="79" t="s">
        <v>239</v>
      </c>
      <c r="K870" s="80">
        <v>31.3</v>
      </c>
      <c r="L870" s="80">
        <f t="shared" si="249"/>
        <v>1.2274509803921569</v>
      </c>
      <c r="M870" s="81">
        <f>prodnorm23</f>
        <v>0</v>
      </c>
      <c r="N870" s="82">
        <f>dagwerk23</f>
        <v>0</v>
      </c>
      <c r="O870" s="78" t="s">
        <v>103</v>
      </c>
      <c r="P870" s="15">
        <f>uurtarief23</f>
        <v>0</v>
      </c>
      <c r="Q870" s="80" t="e">
        <f t="shared" si="250"/>
        <v>#DIV/0!</v>
      </c>
      <c r="R870" s="80" t="e">
        <f t="shared" si="251"/>
        <v>#DIV/0!</v>
      </c>
      <c r="S870" s="15" t="e">
        <f t="shared" si="252"/>
        <v>#DIV/0!</v>
      </c>
      <c r="T870" s="80" t="e">
        <f t="shared" si="253"/>
        <v>#DIV/0!</v>
      </c>
      <c r="U870" s="16" t="e">
        <f t="shared" si="254"/>
        <v>#DIV/0!</v>
      </c>
    </row>
    <row r="871" spans="1:21" x14ac:dyDescent="0.3">
      <c r="A871" s="77" t="s">
        <v>1043</v>
      </c>
      <c r="B871" s="78" t="s">
        <v>40</v>
      </c>
      <c r="C871" s="78" t="s">
        <v>280</v>
      </c>
      <c r="D871" s="78" t="s">
        <v>647</v>
      </c>
      <c r="E871" s="79" t="s">
        <v>1070</v>
      </c>
      <c r="F871" s="78" t="s">
        <v>509</v>
      </c>
      <c r="G871" s="78" t="s">
        <v>234</v>
      </c>
      <c r="H871" s="78" t="s">
        <v>11</v>
      </c>
      <c r="I871" s="78" t="s">
        <v>214</v>
      </c>
      <c r="J871" s="79" t="s">
        <v>235</v>
      </c>
      <c r="K871" s="80">
        <v>62.6</v>
      </c>
      <c r="L871" s="80">
        <f t="shared" si="249"/>
        <v>49.098039215686278</v>
      </c>
      <c r="M871" s="81">
        <f>prodnorm21</f>
        <v>0</v>
      </c>
      <c r="N871" s="82">
        <f>dagwerk21</f>
        <v>0</v>
      </c>
      <c r="O871" s="78" t="s">
        <v>103</v>
      </c>
      <c r="P871" s="15">
        <f>uurtarief21</f>
        <v>0</v>
      </c>
      <c r="Q871" s="80" t="e">
        <f t="shared" si="250"/>
        <v>#DIV/0!</v>
      </c>
      <c r="R871" s="80" t="e">
        <f t="shared" si="251"/>
        <v>#DIV/0!</v>
      </c>
      <c r="S871" s="15" t="e">
        <f t="shared" si="252"/>
        <v>#DIV/0!</v>
      </c>
      <c r="T871" s="80" t="e">
        <f t="shared" si="253"/>
        <v>#DIV/0!</v>
      </c>
      <c r="U871" s="16" t="e">
        <f t="shared" si="254"/>
        <v>#DIV/0!</v>
      </c>
    </row>
    <row r="872" spans="1:21" x14ac:dyDescent="0.3">
      <c r="A872" s="77" t="s">
        <v>1043</v>
      </c>
      <c r="B872" s="78" t="s">
        <v>40</v>
      </c>
      <c r="C872" s="78" t="s">
        <v>280</v>
      </c>
      <c r="D872" s="78" t="s">
        <v>648</v>
      </c>
      <c r="E872" s="79" t="s">
        <v>594</v>
      </c>
      <c r="F872" s="78" t="s">
        <v>509</v>
      </c>
      <c r="G872" s="78" t="s">
        <v>252</v>
      </c>
      <c r="H872" s="78" t="s">
        <v>11</v>
      </c>
      <c r="I872" s="78" t="s">
        <v>214</v>
      </c>
      <c r="J872" s="79" t="s">
        <v>253</v>
      </c>
      <c r="K872" s="80">
        <v>34.700000000000003</v>
      </c>
      <c r="L872" s="80">
        <f t="shared" si="249"/>
        <v>27.215686274509807</v>
      </c>
      <c r="M872" s="81">
        <f>prodnorm31</f>
        <v>0</v>
      </c>
      <c r="N872" s="82">
        <f>dagwerk31</f>
        <v>0</v>
      </c>
      <c r="O872" s="78" t="s">
        <v>103</v>
      </c>
      <c r="P872" s="15">
        <f>uurtarief31</f>
        <v>0</v>
      </c>
      <c r="Q872" s="80" t="e">
        <f t="shared" si="250"/>
        <v>#DIV/0!</v>
      </c>
      <c r="R872" s="80" t="e">
        <f t="shared" si="251"/>
        <v>#DIV/0!</v>
      </c>
      <c r="S872" s="15" t="e">
        <f t="shared" si="252"/>
        <v>#DIV/0!</v>
      </c>
      <c r="T872" s="80" t="e">
        <f t="shared" si="253"/>
        <v>#DIV/0!</v>
      </c>
      <c r="U872" s="16" t="e">
        <f t="shared" si="254"/>
        <v>#DIV/0!</v>
      </c>
    </row>
    <row r="873" spans="1:21" x14ac:dyDescent="0.3">
      <c r="A873" s="77" t="s">
        <v>1043</v>
      </c>
      <c r="B873" s="78" t="s">
        <v>40</v>
      </c>
      <c r="C873" s="78" t="s">
        <v>280</v>
      </c>
      <c r="D873" s="78" t="s">
        <v>651</v>
      </c>
      <c r="E873" s="79" t="s">
        <v>1071</v>
      </c>
      <c r="F873" s="78" t="s">
        <v>509</v>
      </c>
      <c r="G873" s="78" t="s">
        <v>244</v>
      </c>
      <c r="H873" s="78" t="s">
        <v>11</v>
      </c>
      <c r="I873" s="78" t="s">
        <v>214</v>
      </c>
      <c r="J873" s="79" t="s">
        <v>245</v>
      </c>
      <c r="K873" s="80">
        <v>93.8</v>
      </c>
      <c r="L873" s="80">
        <f t="shared" si="249"/>
        <v>73.568627450980387</v>
      </c>
      <c r="M873" s="81">
        <f>prodnorm27</f>
        <v>0</v>
      </c>
      <c r="N873" s="82">
        <f>dagwerk27</f>
        <v>0</v>
      </c>
      <c r="O873" s="78" t="s">
        <v>103</v>
      </c>
      <c r="P873" s="15">
        <f>uurtarief27</f>
        <v>0</v>
      </c>
      <c r="Q873" s="80" t="e">
        <f t="shared" si="250"/>
        <v>#DIV/0!</v>
      </c>
      <c r="R873" s="80" t="e">
        <f t="shared" si="251"/>
        <v>#DIV/0!</v>
      </c>
      <c r="S873" s="15" t="e">
        <f t="shared" si="252"/>
        <v>#DIV/0!</v>
      </c>
      <c r="T873" s="80" t="e">
        <f t="shared" si="253"/>
        <v>#DIV/0!</v>
      </c>
      <c r="U873" s="16" t="e">
        <f t="shared" si="254"/>
        <v>#DIV/0!</v>
      </c>
    </row>
    <row r="874" spans="1:21" ht="27" x14ac:dyDescent="0.3">
      <c r="A874" s="77" t="s">
        <v>1043</v>
      </c>
      <c r="B874" s="78" t="s">
        <v>40</v>
      </c>
      <c r="C874" s="78" t="s">
        <v>280</v>
      </c>
      <c r="D874" s="78" t="s">
        <v>652</v>
      </c>
      <c r="E874" s="79" t="s">
        <v>1072</v>
      </c>
      <c r="F874" s="78" t="s">
        <v>509</v>
      </c>
      <c r="G874" s="78" t="s">
        <v>256</v>
      </c>
      <c r="H874" s="78" t="s">
        <v>11</v>
      </c>
      <c r="I874" s="78" t="s">
        <v>214</v>
      </c>
      <c r="J874" s="79" t="s">
        <v>257</v>
      </c>
      <c r="K874" s="80">
        <v>11.1</v>
      </c>
      <c r="L874" s="80">
        <f t="shared" si="249"/>
        <v>8.7058823529411757</v>
      </c>
      <c r="M874" s="81">
        <f>prodnorm33</f>
        <v>0</v>
      </c>
      <c r="N874" s="82">
        <f>dagwerk33</f>
        <v>0</v>
      </c>
      <c r="O874" s="78" t="s">
        <v>103</v>
      </c>
      <c r="P874" s="15">
        <f>uurtarief33</f>
        <v>0</v>
      </c>
      <c r="Q874" s="80" t="e">
        <f t="shared" si="250"/>
        <v>#DIV/0!</v>
      </c>
      <c r="R874" s="80" t="e">
        <f t="shared" si="251"/>
        <v>#DIV/0!</v>
      </c>
      <c r="S874" s="15" t="e">
        <f t="shared" si="252"/>
        <v>#DIV/0!</v>
      </c>
      <c r="T874" s="80" t="e">
        <f t="shared" si="253"/>
        <v>#DIV/0!</v>
      </c>
      <c r="U874" s="16" t="e">
        <f t="shared" si="254"/>
        <v>#DIV/0!</v>
      </c>
    </row>
    <row r="875" spans="1:21" x14ac:dyDescent="0.3">
      <c r="A875" s="77" t="s">
        <v>1043</v>
      </c>
      <c r="B875" s="78" t="s">
        <v>40</v>
      </c>
      <c r="C875" s="78" t="s">
        <v>280</v>
      </c>
      <c r="D875" s="78" t="s">
        <v>653</v>
      </c>
      <c r="E875" s="79" t="s">
        <v>1073</v>
      </c>
      <c r="F875" s="78" t="s">
        <v>509</v>
      </c>
      <c r="G875" s="78" t="s">
        <v>216</v>
      </c>
      <c r="H875" s="78" t="s">
        <v>16</v>
      </c>
      <c r="I875" s="78" t="s">
        <v>214</v>
      </c>
      <c r="J875" s="79" t="s">
        <v>217</v>
      </c>
      <c r="K875" s="80">
        <v>22.9</v>
      </c>
      <c r="L875" s="80">
        <f t="shared" si="249"/>
        <v>7.1843137254901954</v>
      </c>
      <c r="M875" s="81">
        <f>prodnorm8</f>
        <v>0</v>
      </c>
      <c r="N875" s="82">
        <f>dagwerk8</f>
        <v>0</v>
      </c>
      <c r="O875" s="78" t="s">
        <v>103</v>
      </c>
      <c r="P875" s="15">
        <f>uurtarief8</f>
        <v>0</v>
      </c>
      <c r="Q875" s="80" t="e">
        <f t="shared" si="250"/>
        <v>#DIV/0!</v>
      </c>
      <c r="R875" s="80" t="e">
        <f t="shared" si="251"/>
        <v>#DIV/0!</v>
      </c>
      <c r="S875" s="15" t="e">
        <f t="shared" si="252"/>
        <v>#DIV/0!</v>
      </c>
      <c r="T875" s="80" t="e">
        <f t="shared" si="253"/>
        <v>#DIV/0!</v>
      </c>
      <c r="U875" s="16" t="e">
        <f t="shared" si="254"/>
        <v>#DIV/0!</v>
      </c>
    </row>
    <row r="876" spans="1:21" ht="27" x14ac:dyDescent="0.3">
      <c r="A876" s="77" t="s">
        <v>1043</v>
      </c>
      <c r="B876" s="78" t="s">
        <v>40</v>
      </c>
      <c r="C876" s="78" t="s">
        <v>280</v>
      </c>
      <c r="D876" s="78" t="s">
        <v>654</v>
      </c>
      <c r="E876" s="79" t="s">
        <v>1072</v>
      </c>
      <c r="F876" s="78" t="s">
        <v>509</v>
      </c>
      <c r="G876" s="78" t="s">
        <v>256</v>
      </c>
      <c r="H876" s="78" t="s">
        <v>11</v>
      </c>
      <c r="I876" s="78" t="s">
        <v>214</v>
      </c>
      <c r="J876" s="79" t="s">
        <v>257</v>
      </c>
      <c r="K876" s="80">
        <v>11.1</v>
      </c>
      <c r="L876" s="80">
        <f t="shared" si="249"/>
        <v>8.7058823529411757</v>
      </c>
      <c r="M876" s="81">
        <f>prodnorm33</f>
        <v>0</v>
      </c>
      <c r="N876" s="82">
        <f>dagwerk33</f>
        <v>0</v>
      </c>
      <c r="O876" s="78" t="s">
        <v>103</v>
      </c>
      <c r="P876" s="15">
        <f>uurtarief33</f>
        <v>0</v>
      </c>
      <c r="Q876" s="80" t="e">
        <f t="shared" si="250"/>
        <v>#DIV/0!</v>
      </c>
      <c r="R876" s="80" t="e">
        <f t="shared" si="251"/>
        <v>#DIV/0!</v>
      </c>
      <c r="S876" s="15" t="e">
        <f t="shared" si="252"/>
        <v>#DIV/0!</v>
      </c>
      <c r="T876" s="80" t="e">
        <f t="shared" si="253"/>
        <v>#DIV/0!</v>
      </c>
      <c r="U876" s="16" t="e">
        <f t="shared" si="254"/>
        <v>#DIV/0!</v>
      </c>
    </row>
    <row r="877" spans="1:21" x14ac:dyDescent="0.3">
      <c r="A877" s="77" t="s">
        <v>1043</v>
      </c>
      <c r="B877" s="78" t="s">
        <v>40</v>
      </c>
      <c r="C877" s="78" t="s">
        <v>280</v>
      </c>
      <c r="D877" s="78" t="s">
        <v>655</v>
      </c>
      <c r="E877" s="79" t="s">
        <v>1074</v>
      </c>
      <c r="F877" s="78" t="s">
        <v>509</v>
      </c>
      <c r="G877" s="78" t="s">
        <v>244</v>
      </c>
      <c r="H877" s="78" t="s">
        <v>11</v>
      </c>
      <c r="I877" s="78" t="s">
        <v>214</v>
      </c>
      <c r="J877" s="79" t="s">
        <v>245</v>
      </c>
      <c r="K877" s="80">
        <v>76.099999999999994</v>
      </c>
      <c r="L877" s="80">
        <f t="shared" si="249"/>
        <v>59.686274509803916</v>
      </c>
      <c r="M877" s="81">
        <f>prodnorm27</f>
        <v>0</v>
      </c>
      <c r="N877" s="82">
        <f>dagwerk27</f>
        <v>0</v>
      </c>
      <c r="O877" s="78" t="s">
        <v>103</v>
      </c>
      <c r="P877" s="15">
        <f>uurtarief27</f>
        <v>0</v>
      </c>
      <c r="Q877" s="80" t="e">
        <f t="shared" si="250"/>
        <v>#DIV/0!</v>
      </c>
      <c r="R877" s="80" t="e">
        <f t="shared" si="251"/>
        <v>#DIV/0!</v>
      </c>
      <c r="S877" s="15" t="e">
        <f t="shared" si="252"/>
        <v>#DIV/0!</v>
      </c>
      <c r="T877" s="80" t="e">
        <f t="shared" si="253"/>
        <v>#DIV/0!</v>
      </c>
      <c r="U877" s="16" t="e">
        <f t="shared" si="254"/>
        <v>#DIV/0!</v>
      </c>
    </row>
    <row r="878" spans="1:21" x14ac:dyDescent="0.3">
      <c r="A878" s="77" t="s">
        <v>1043</v>
      </c>
      <c r="B878" s="78" t="s">
        <v>40</v>
      </c>
      <c r="C878" s="78" t="s">
        <v>280</v>
      </c>
      <c r="D878" s="78" t="s">
        <v>656</v>
      </c>
      <c r="E878" s="79" t="s">
        <v>1075</v>
      </c>
      <c r="F878" s="78" t="s">
        <v>509</v>
      </c>
      <c r="G878" s="78" t="s">
        <v>222</v>
      </c>
      <c r="H878" s="78" t="s">
        <v>11</v>
      </c>
      <c r="I878" s="78" t="s">
        <v>214</v>
      </c>
      <c r="J878" s="79" t="s">
        <v>223</v>
      </c>
      <c r="K878" s="80">
        <v>14.2</v>
      </c>
      <c r="L878" s="80">
        <f t="shared" si="249"/>
        <v>11.137254901960784</v>
      </c>
      <c r="M878" s="81">
        <f>prodnorm12</f>
        <v>0</v>
      </c>
      <c r="N878" s="82">
        <f>dagwerk12</f>
        <v>0</v>
      </c>
      <c r="O878" s="78" t="s">
        <v>103</v>
      </c>
      <c r="P878" s="15">
        <f>uurtarief12</f>
        <v>0</v>
      </c>
      <c r="Q878" s="80" t="e">
        <f t="shared" si="250"/>
        <v>#DIV/0!</v>
      </c>
      <c r="R878" s="80" t="e">
        <f t="shared" si="251"/>
        <v>#DIV/0!</v>
      </c>
      <c r="S878" s="15" t="e">
        <f t="shared" si="252"/>
        <v>#DIV/0!</v>
      </c>
      <c r="T878" s="80" t="e">
        <f t="shared" si="253"/>
        <v>#DIV/0!</v>
      </c>
      <c r="U878" s="16" t="e">
        <f t="shared" si="254"/>
        <v>#DIV/0!</v>
      </c>
    </row>
    <row r="879" spans="1:21" x14ac:dyDescent="0.3">
      <c r="A879" s="77" t="s">
        <v>1043</v>
      </c>
      <c r="B879" s="78" t="s">
        <v>40</v>
      </c>
      <c r="C879" s="78" t="s">
        <v>280</v>
      </c>
      <c r="D879" s="78" t="s">
        <v>657</v>
      </c>
      <c r="E879" s="79" t="s">
        <v>1076</v>
      </c>
      <c r="F879" s="78" t="s">
        <v>509</v>
      </c>
      <c r="G879" s="78" t="s">
        <v>234</v>
      </c>
      <c r="H879" s="78" t="s">
        <v>11</v>
      </c>
      <c r="I879" s="78" t="s">
        <v>214</v>
      </c>
      <c r="J879" s="79" t="s">
        <v>235</v>
      </c>
      <c r="K879" s="80">
        <v>61</v>
      </c>
      <c r="L879" s="80">
        <f t="shared" si="249"/>
        <v>47.843137254901961</v>
      </c>
      <c r="M879" s="81">
        <f>prodnorm21</f>
        <v>0</v>
      </c>
      <c r="N879" s="82">
        <f>dagwerk21</f>
        <v>0</v>
      </c>
      <c r="O879" s="78" t="s">
        <v>103</v>
      </c>
      <c r="P879" s="15">
        <f>uurtarief21</f>
        <v>0</v>
      </c>
      <c r="Q879" s="80" t="e">
        <f t="shared" si="250"/>
        <v>#DIV/0!</v>
      </c>
      <c r="R879" s="80" t="e">
        <f t="shared" si="251"/>
        <v>#DIV/0!</v>
      </c>
      <c r="S879" s="15" t="e">
        <f t="shared" si="252"/>
        <v>#DIV/0!</v>
      </c>
      <c r="T879" s="80" t="e">
        <f t="shared" si="253"/>
        <v>#DIV/0!</v>
      </c>
      <c r="U879" s="16" t="e">
        <f t="shared" si="254"/>
        <v>#DIV/0!</v>
      </c>
    </row>
    <row r="880" spans="1:21" x14ac:dyDescent="0.3">
      <c r="A880" s="77" t="s">
        <v>1043</v>
      </c>
      <c r="B880" s="78" t="s">
        <v>40</v>
      </c>
      <c r="C880" s="78" t="s">
        <v>280</v>
      </c>
      <c r="D880" s="78" t="s">
        <v>658</v>
      </c>
      <c r="E880" s="79" t="s">
        <v>1077</v>
      </c>
      <c r="F880" s="78" t="s">
        <v>509</v>
      </c>
      <c r="G880" s="78" t="s">
        <v>248</v>
      </c>
      <c r="H880" s="78" t="s">
        <v>11</v>
      </c>
      <c r="I880" s="78" t="s">
        <v>214</v>
      </c>
      <c r="J880" s="79" t="s">
        <v>249</v>
      </c>
      <c r="K880" s="80">
        <v>61</v>
      </c>
      <c r="L880" s="80">
        <f t="shared" si="249"/>
        <v>47.843137254901961</v>
      </c>
      <c r="M880" s="81">
        <f>prodnorm29</f>
        <v>0</v>
      </c>
      <c r="N880" s="82">
        <f>dagwerk29</f>
        <v>0</v>
      </c>
      <c r="O880" s="78" t="s">
        <v>103</v>
      </c>
      <c r="P880" s="15">
        <f>uurtarief29</f>
        <v>0</v>
      </c>
      <c r="Q880" s="80" t="e">
        <f t="shared" si="250"/>
        <v>#DIV/0!</v>
      </c>
      <c r="R880" s="80" t="e">
        <f t="shared" si="251"/>
        <v>#DIV/0!</v>
      </c>
      <c r="S880" s="15" t="e">
        <f t="shared" si="252"/>
        <v>#DIV/0!</v>
      </c>
      <c r="T880" s="80" t="e">
        <f t="shared" si="253"/>
        <v>#DIV/0!</v>
      </c>
      <c r="U880" s="16" t="e">
        <f t="shared" si="254"/>
        <v>#DIV/0!</v>
      </c>
    </row>
    <row r="881" spans="1:21" x14ac:dyDescent="0.3">
      <c r="A881" s="77" t="s">
        <v>1043</v>
      </c>
      <c r="B881" s="78" t="s">
        <v>40</v>
      </c>
      <c r="C881" s="78" t="s">
        <v>280</v>
      </c>
      <c r="D881" s="78" t="s">
        <v>659</v>
      </c>
      <c r="E881" s="79" t="s">
        <v>1078</v>
      </c>
      <c r="F881" s="78" t="s">
        <v>1079</v>
      </c>
      <c r="G881" s="78" t="s">
        <v>234</v>
      </c>
      <c r="H881" s="78" t="s">
        <v>13</v>
      </c>
      <c r="I881" s="78" t="s">
        <v>214</v>
      </c>
      <c r="J881" s="79" t="s">
        <v>235</v>
      </c>
      <c r="K881" s="80">
        <v>28</v>
      </c>
      <c r="L881" s="80">
        <f t="shared" si="249"/>
        <v>13.176470588235293</v>
      </c>
      <c r="M881" s="81">
        <f>prodnorm20</f>
        <v>0</v>
      </c>
      <c r="N881" s="82">
        <f>dagwerk20</f>
        <v>0</v>
      </c>
      <c r="O881" s="78" t="s">
        <v>103</v>
      </c>
      <c r="P881" s="15">
        <f>uurtarief20</f>
        <v>0</v>
      </c>
      <c r="Q881" s="80" t="e">
        <f t="shared" si="250"/>
        <v>#DIV/0!</v>
      </c>
      <c r="R881" s="80" t="e">
        <f t="shared" si="251"/>
        <v>#DIV/0!</v>
      </c>
      <c r="S881" s="15" t="e">
        <f t="shared" si="252"/>
        <v>#DIV/0!</v>
      </c>
      <c r="T881" s="80" t="e">
        <f t="shared" si="253"/>
        <v>#DIV/0!</v>
      </c>
      <c r="U881" s="16" t="e">
        <f t="shared" si="254"/>
        <v>#DIV/0!</v>
      </c>
    </row>
    <row r="882" spans="1:21" x14ac:dyDescent="0.3">
      <c r="A882" s="77" t="s">
        <v>1043</v>
      </c>
      <c r="B882" s="78" t="s">
        <v>40</v>
      </c>
      <c r="C882" s="78" t="s">
        <v>280</v>
      </c>
      <c r="D882" s="78" t="s">
        <v>660</v>
      </c>
      <c r="E882" s="79" t="s">
        <v>1080</v>
      </c>
      <c r="F882" s="78" t="s">
        <v>40</v>
      </c>
      <c r="G882" s="78" t="s">
        <v>300</v>
      </c>
      <c r="H882" s="78"/>
      <c r="I882" s="78"/>
      <c r="J882" s="78"/>
      <c r="K882" s="80">
        <v>2</v>
      </c>
      <c r="L882" s="80"/>
      <c r="M882" s="81"/>
      <c r="N882" s="82"/>
      <c r="O882" s="78"/>
      <c r="P882" s="15"/>
      <c r="Q882" s="80"/>
      <c r="R882" s="80"/>
      <c r="S882" s="15"/>
      <c r="T882" s="83"/>
      <c r="U882" s="16"/>
    </row>
    <row r="883" spans="1:21" x14ac:dyDescent="0.3">
      <c r="A883" s="77" t="s">
        <v>1043</v>
      </c>
      <c r="B883" s="78" t="s">
        <v>40</v>
      </c>
      <c r="C883" s="78" t="s">
        <v>280</v>
      </c>
      <c r="D883" s="78" t="s">
        <v>661</v>
      </c>
      <c r="E883" s="79" t="s">
        <v>592</v>
      </c>
      <c r="F883" s="78" t="s">
        <v>509</v>
      </c>
      <c r="G883" s="78" t="s">
        <v>238</v>
      </c>
      <c r="H883" s="78" t="s">
        <v>21</v>
      </c>
      <c r="I883" s="78" t="s">
        <v>214</v>
      </c>
      <c r="J883" s="79" t="s">
        <v>239</v>
      </c>
      <c r="K883" s="80">
        <v>12</v>
      </c>
      <c r="L883" s="80">
        <f>K883*VLOOKUP(H883,dagsoorttabel1,2,FALSE)</f>
        <v>0.47058823529411764</v>
      </c>
      <c r="M883" s="81">
        <f>prodnorm23</f>
        <v>0</v>
      </c>
      <c r="N883" s="82">
        <f>dagwerk23</f>
        <v>0</v>
      </c>
      <c r="O883" s="78" t="s">
        <v>103</v>
      </c>
      <c r="P883" s="15">
        <f>uurtarief23</f>
        <v>0</v>
      </c>
      <c r="Q883" s="80" t="e">
        <f>IF(ISBLANK(M883),0,L883/ROUND(M883,4))</f>
        <v>#DIV/0!</v>
      </c>
      <c r="R883" s="80" t="e">
        <f>IF(ISBLANK(M883),0,Q883*ROUND(N883,2))</f>
        <v>#DIV/0!</v>
      </c>
      <c r="S883" s="15" t="e">
        <f>ROUND(P883,2)*Q883</f>
        <v>#DIV/0!</v>
      </c>
      <c r="T883" s="80" t="e">
        <f>Q883*dagenperjaar1</f>
        <v>#DIV/0!</v>
      </c>
      <c r="U883" s="16" t="e">
        <f>T883*ROUND(P883,2)</f>
        <v>#DIV/0!</v>
      </c>
    </row>
    <row r="884" spans="1:21" x14ac:dyDescent="0.3">
      <c r="A884" s="77" t="s">
        <v>1043</v>
      </c>
      <c r="B884" s="78" t="s">
        <v>40</v>
      </c>
      <c r="C884" s="78" t="s">
        <v>280</v>
      </c>
      <c r="D884" s="78" t="s">
        <v>662</v>
      </c>
      <c r="E884" s="79" t="s">
        <v>592</v>
      </c>
      <c r="F884" s="78" t="s">
        <v>509</v>
      </c>
      <c r="G884" s="78" t="s">
        <v>238</v>
      </c>
      <c r="H884" s="78" t="s">
        <v>21</v>
      </c>
      <c r="I884" s="78" t="s">
        <v>214</v>
      </c>
      <c r="J884" s="79" t="s">
        <v>239</v>
      </c>
      <c r="K884" s="80">
        <v>12</v>
      </c>
      <c r="L884" s="80">
        <f>K884*VLOOKUP(H884,dagsoorttabel1,2,FALSE)</f>
        <v>0.47058823529411764</v>
      </c>
      <c r="M884" s="81">
        <f>prodnorm23</f>
        <v>0</v>
      </c>
      <c r="N884" s="82">
        <f>dagwerk23</f>
        <v>0</v>
      </c>
      <c r="O884" s="78" t="s">
        <v>103</v>
      </c>
      <c r="P884" s="15">
        <f>uurtarief23</f>
        <v>0</v>
      </c>
      <c r="Q884" s="80" t="e">
        <f>IF(ISBLANK(M884),0,L884/ROUND(M884,4))</f>
        <v>#DIV/0!</v>
      </c>
      <c r="R884" s="80" t="e">
        <f>IF(ISBLANK(M884),0,Q884*ROUND(N884,2))</f>
        <v>#DIV/0!</v>
      </c>
      <c r="S884" s="15" t="e">
        <f>ROUND(P884,2)*Q884</f>
        <v>#DIV/0!</v>
      </c>
      <c r="T884" s="80" t="e">
        <f>Q884*dagenperjaar1</f>
        <v>#DIV/0!</v>
      </c>
      <c r="U884" s="16" t="e">
        <f>T884*ROUND(P884,2)</f>
        <v>#DIV/0!</v>
      </c>
    </row>
    <row r="885" spans="1:21" x14ac:dyDescent="0.3">
      <c r="A885" s="77" t="s">
        <v>1043</v>
      </c>
      <c r="B885" s="78" t="s">
        <v>40</v>
      </c>
      <c r="C885" s="78" t="s">
        <v>280</v>
      </c>
      <c r="D885" s="78" t="s">
        <v>663</v>
      </c>
      <c r="E885" s="79" t="s">
        <v>1081</v>
      </c>
      <c r="F885" s="78" t="s">
        <v>288</v>
      </c>
      <c r="G885" s="78" t="s">
        <v>300</v>
      </c>
      <c r="H885" s="78"/>
      <c r="I885" s="78"/>
      <c r="J885" s="78"/>
      <c r="K885" s="80">
        <v>0</v>
      </c>
      <c r="L885" s="80"/>
      <c r="M885" s="81"/>
      <c r="N885" s="82"/>
      <c r="O885" s="78"/>
      <c r="P885" s="15"/>
      <c r="Q885" s="80"/>
      <c r="R885" s="80"/>
      <c r="S885" s="15"/>
      <c r="T885" s="83"/>
      <c r="U885" s="16"/>
    </row>
    <row r="886" spans="1:21" x14ac:dyDescent="0.3">
      <c r="A886" s="77" t="s">
        <v>1043</v>
      </c>
      <c r="B886" s="78" t="s">
        <v>40</v>
      </c>
      <c r="C886" s="78" t="s">
        <v>280</v>
      </c>
      <c r="D886" s="78" t="s">
        <v>664</v>
      </c>
      <c r="E886" s="79" t="s">
        <v>1082</v>
      </c>
      <c r="F886" s="78" t="s">
        <v>288</v>
      </c>
      <c r="G886" s="78" t="s">
        <v>300</v>
      </c>
      <c r="H886" s="78"/>
      <c r="I886" s="78"/>
      <c r="J886" s="78"/>
      <c r="K886" s="80">
        <v>0</v>
      </c>
      <c r="L886" s="80"/>
      <c r="M886" s="81"/>
      <c r="N886" s="82"/>
      <c r="O886" s="78"/>
      <c r="P886" s="15"/>
      <c r="Q886" s="80"/>
      <c r="R886" s="80"/>
      <c r="S886" s="15"/>
      <c r="T886" s="83"/>
      <c r="U886" s="16"/>
    </row>
    <row r="887" spans="1:21" ht="27" x14ac:dyDescent="0.3">
      <c r="A887" s="77" t="s">
        <v>1043</v>
      </c>
      <c r="B887" s="78" t="s">
        <v>40</v>
      </c>
      <c r="C887" s="78" t="s">
        <v>280</v>
      </c>
      <c r="D887" s="78" t="s">
        <v>665</v>
      </c>
      <c r="E887" s="79" t="s">
        <v>1083</v>
      </c>
      <c r="F887" s="78" t="s">
        <v>804</v>
      </c>
      <c r="G887" s="78" t="s">
        <v>256</v>
      </c>
      <c r="H887" s="78" t="s">
        <v>11</v>
      </c>
      <c r="I887" s="78" t="s">
        <v>214</v>
      </c>
      <c r="J887" s="79" t="s">
        <v>257</v>
      </c>
      <c r="K887" s="80">
        <v>94</v>
      </c>
      <c r="L887" s="80">
        <f>K887*VLOOKUP(H887,dagsoorttabel1,2,FALSE)</f>
        <v>73.725490196078425</v>
      </c>
      <c r="M887" s="81">
        <f>prodnorm33</f>
        <v>0</v>
      </c>
      <c r="N887" s="82">
        <f>dagwerk33</f>
        <v>0</v>
      </c>
      <c r="O887" s="78" t="s">
        <v>103</v>
      </c>
      <c r="P887" s="15">
        <f>uurtarief33</f>
        <v>0</v>
      </c>
      <c r="Q887" s="80" t="e">
        <f>IF(ISBLANK(M887),0,L887/ROUND(M887,4))</f>
        <v>#DIV/0!</v>
      </c>
      <c r="R887" s="80" t="e">
        <f>IF(ISBLANK(M887),0,Q887*ROUND(N887,2))</f>
        <v>#DIV/0!</v>
      </c>
      <c r="S887" s="15" t="e">
        <f>ROUND(P887,2)*Q887</f>
        <v>#DIV/0!</v>
      </c>
      <c r="T887" s="80" t="e">
        <f>Q887*dagenperjaar1</f>
        <v>#DIV/0!</v>
      </c>
      <c r="U887" s="16" t="e">
        <f>T887*ROUND(P887,2)</f>
        <v>#DIV/0!</v>
      </c>
    </row>
    <row r="888" spans="1:21" ht="27" x14ac:dyDescent="0.3">
      <c r="A888" s="77" t="s">
        <v>1043</v>
      </c>
      <c r="B888" s="78" t="s">
        <v>40</v>
      </c>
      <c r="C888" s="78" t="s">
        <v>280</v>
      </c>
      <c r="D888" s="78" t="s">
        <v>1084</v>
      </c>
      <c r="E888" s="79" t="s">
        <v>1083</v>
      </c>
      <c r="F888" s="78" t="s">
        <v>591</v>
      </c>
      <c r="G888" s="78" t="s">
        <v>256</v>
      </c>
      <c r="H888" s="78" t="s">
        <v>11</v>
      </c>
      <c r="I888" s="78" t="s">
        <v>214</v>
      </c>
      <c r="J888" s="79" t="s">
        <v>257</v>
      </c>
      <c r="K888" s="80">
        <v>94</v>
      </c>
      <c r="L888" s="80">
        <f>K888*VLOOKUP(H888,dagsoorttabel1,2,FALSE)</f>
        <v>73.725490196078425</v>
      </c>
      <c r="M888" s="81">
        <f>prodnorm33</f>
        <v>0</v>
      </c>
      <c r="N888" s="82">
        <f>dagwerk33</f>
        <v>0</v>
      </c>
      <c r="O888" s="78" t="s">
        <v>103</v>
      </c>
      <c r="P888" s="15">
        <f>uurtarief33</f>
        <v>0</v>
      </c>
      <c r="Q888" s="80" t="e">
        <f>IF(ISBLANK(M888),0,L888/ROUND(M888,4))</f>
        <v>#DIV/0!</v>
      </c>
      <c r="R888" s="80" t="e">
        <f>IF(ISBLANK(M888),0,Q888*ROUND(N888,2))</f>
        <v>#DIV/0!</v>
      </c>
      <c r="S888" s="15" t="e">
        <f>ROUND(P888,2)*Q888</f>
        <v>#DIV/0!</v>
      </c>
      <c r="T888" s="80" t="e">
        <f>Q888*dagenperjaar1</f>
        <v>#DIV/0!</v>
      </c>
      <c r="U888" s="16" t="e">
        <f>T888*ROUND(P888,2)</f>
        <v>#DIV/0!</v>
      </c>
    </row>
    <row r="889" spans="1:21" x14ac:dyDescent="0.3">
      <c r="A889" s="77" t="s">
        <v>1043</v>
      </c>
      <c r="B889" s="78" t="s">
        <v>40</v>
      </c>
      <c r="C889" s="78" t="s">
        <v>280</v>
      </c>
      <c r="D889" s="78" t="s">
        <v>667</v>
      </c>
      <c r="E889" s="79" t="s">
        <v>1085</v>
      </c>
      <c r="F889" s="78" t="s">
        <v>524</v>
      </c>
      <c r="G889" s="78" t="s">
        <v>224</v>
      </c>
      <c r="H889" s="78" t="s">
        <v>11</v>
      </c>
      <c r="I889" s="78" t="s">
        <v>214</v>
      </c>
      <c r="J889" s="79" t="s">
        <v>225</v>
      </c>
      <c r="K889" s="80">
        <v>16</v>
      </c>
      <c r="L889" s="80">
        <f>K889*VLOOKUP(H889,dagsoorttabel1,2,FALSE)</f>
        <v>12.549019607843137</v>
      </c>
      <c r="M889" s="81">
        <f>prodnorm13</f>
        <v>0</v>
      </c>
      <c r="N889" s="82">
        <f>dagwerk13</f>
        <v>0</v>
      </c>
      <c r="O889" s="78" t="s">
        <v>103</v>
      </c>
      <c r="P889" s="15">
        <f>uurtarief13</f>
        <v>0</v>
      </c>
      <c r="Q889" s="80" t="e">
        <f>IF(ISBLANK(M889),0,L889/ROUND(M889,4))</f>
        <v>#DIV/0!</v>
      </c>
      <c r="R889" s="80" t="e">
        <f>IF(ISBLANK(M889),0,Q889*ROUND(N889,2))</f>
        <v>#DIV/0!</v>
      </c>
      <c r="S889" s="15" t="e">
        <f>ROUND(P889,2)*Q889</f>
        <v>#DIV/0!</v>
      </c>
      <c r="T889" s="80" t="e">
        <f>Q889*dagenperjaar1</f>
        <v>#DIV/0!</v>
      </c>
      <c r="U889" s="16" t="e">
        <f>T889*ROUND(P889,2)</f>
        <v>#DIV/0!</v>
      </c>
    </row>
    <row r="890" spans="1:21" x14ac:dyDescent="0.3">
      <c r="A890" s="77" t="s">
        <v>1043</v>
      </c>
      <c r="B890" s="78" t="s">
        <v>40</v>
      </c>
      <c r="C890" s="78" t="s">
        <v>280</v>
      </c>
      <c r="D890" s="78" t="s">
        <v>668</v>
      </c>
      <c r="E890" s="79" t="s">
        <v>1086</v>
      </c>
      <c r="F890" s="78" t="s">
        <v>509</v>
      </c>
      <c r="G890" s="78" t="s">
        <v>216</v>
      </c>
      <c r="H890" s="78" t="s">
        <v>16</v>
      </c>
      <c r="I890" s="78" t="s">
        <v>214</v>
      </c>
      <c r="J890" s="79" t="s">
        <v>217</v>
      </c>
      <c r="K890" s="80">
        <v>19.600000000000001</v>
      </c>
      <c r="L890" s="80">
        <f>K890*VLOOKUP(H890,dagsoorttabel1,2,FALSE)</f>
        <v>6.1490196078431376</v>
      </c>
      <c r="M890" s="81">
        <f>prodnorm8</f>
        <v>0</v>
      </c>
      <c r="N890" s="82">
        <f>dagwerk8</f>
        <v>0</v>
      </c>
      <c r="O890" s="78" t="s">
        <v>103</v>
      </c>
      <c r="P890" s="15">
        <f>uurtarief8</f>
        <v>0</v>
      </c>
      <c r="Q890" s="80" t="e">
        <f>IF(ISBLANK(M890),0,L890/ROUND(M890,4))</f>
        <v>#DIV/0!</v>
      </c>
      <c r="R890" s="80" t="e">
        <f>IF(ISBLANK(M890),0,Q890*ROUND(N890,2))</f>
        <v>#DIV/0!</v>
      </c>
      <c r="S890" s="15" t="e">
        <f>ROUND(P890,2)*Q890</f>
        <v>#DIV/0!</v>
      </c>
      <c r="T890" s="80" t="e">
        <f>Q890*dagenperjaar1</f>
        <v>#DIV/0!</v>
      </c>
      <c r="U890" s="16" t="e">
        <f>T890*ROUND(P890,2)</f>
        <v>#DIV/0!</v>
      </c>
    </row>
    <row r="891" spans="1:21" x14ac:dyDescent="0.3">
      <c r="A891" s="77" t="s">
        <v>1043</v>
      </c>
      <c r="B891" s="78" t="s">
        <v>40</v>
      </c>
      <c r="C891" s="78" t="s">
        <v>280</v>
      </c>
      <c r="D891" s="78" t="s">
        <v>669</v>
      </c>
      <c r="E891" s="79" t="s">
        <v>699</v>
      </c>
      <c r="F891" s="78" t="s">
        <v>794</v>
      </c>
      <c r="G891" s="78" t="s">
        <v>250</v>
      </c>
      <c r="H891" s="78" t="s">
        <v>11</v>
      </c>
      <c r="I891" s="78" t="s">
        <v>214</v>
      </c>
      <c r="J891" s="79" t="s">
        <v>251</v>
      </c>
      <c r="K891" s="80">
        <v>3.5</v>
      </c>
      <c r="L891" s="80">
        <f>K891*VLOOKUP(H891,dagsoorttabel1,2,FALSE)</f>
        <v>2.7450980392156863</v>
      </c>
      <c r="M891" s="81">
        <f>prodnorm30</f>
        <v>0</v>
      </c>
      <c r="N891" s="82">
        <f>dagwerk30</f>
        <v>0</v>
      </c>
      <c r="O891" s="78" t="s">
        <v>103</v>
      </c>
      <c r="P891" s="15">
        <f>uurtarief30</f>
        <v>0</v>
      </c>
      <c r="Q891" s="80" t="e">
        <f>IF(ISBLANK(M891),0,L891/ROUND(M891,4))</f>
        <v>#DIV/0!</v>
      </c>
      <c r="R891" s="80" t="e">
        <f>IF(ISBLANK(M891),0,Q891*ROUND(N891,2))</f>
        <v>#DIV/0!</v>
      </c>
      <c r="S891" s="15" t="e">
        <f>ROUND(P891,2)*Q891</f>
        <v>#DIV/0!</v>
      </c>
      <c r="T891" s="80" t="e">
        <f>Q891*dagenperjaar1</f>
        <v>#DIV/0!</v>
      </c>
      <c r="U891" s="16" t="e">
        <f>T891*ROUND(P891,2)</f>
        <v>#DIV/0!</v>
      </c>
    </row>
    <row r="892" spans="1:21" x14ac:dyDescent="0.3">
      <c r="A892" s="77" t="s">
        <v>1043</v>
      </c>
      <c r="B892" s="78" t="s">
        <v>40</v>
      </c>
      <c r="C892" s="78" t="s">
        <v>280</v>
      </c>
      <c r="D892" s="78" t="s">
        <v>670</v>
      </c>
      <c r="E892" s="79" t="s">
        <v>1087</v>
      </c>
      <c r="F892" s="78" t="s">
        <v>40</v>
      </c>
      <c r="G892" s="78" t="s">
        <v>300</v>
      </c>
      <c r="H892" s="78"/>
      <c r="I892" s="78"/>
      <c r="J892" s="78"/>
      <c r="K892" s="80">
        <v>2.5</v>
      </c>
      <c r="L892" s="80"/>
      <c r="M892" s="81"/>
      <c r="N892" s="82"/>
      <c r="O892" s="78"/>
      <c r="P892" s="15"/>
      <c r="Q892" s="80"/>
      <c r="R892" s="80"/>
      <c r="S892" s="15"/>
      <c r="T892" s="83"/>
      <c r="U892" s="16"/>
    </row>
    <row r="893" spans="1:21" x14ac:dyDescent="0.3">
      <c r="A893" s="77" t="s">
        <v>1043</v>
      </c>
      <c r="B893" s="78" t="s">
        <v>40</v>
      </c>
      <c r="C893" s="78" t="s">
        <v>280</v>
      </c>
      <c r="D893" s="78" t="s">
        <v>671</v>
      </c>
      <c r="E893" s="79" t="s">
        <v>1088</v>
      </c>
      <c r="F893" s="78" t="s">
        <v>591</v>
      </c>
      <c r="G893" s="78" t="s">
        <v>250</v>
      </c>
      <c r="H893" s="78" t="s">
        <v>11</v>
      </c>
      <c r="I893" s="78" t="s">
        <v>214</v>
      </c>
      <c r="J893" s="79" t="s">
        <v>251</v>
      </c>
      <c r="K893" s="80">
        <v>13.2</v>
      </c>
      <c r="L893" s="80">
        <f>K893*VLOOKUP(H893,dagsoorttabel1,2,FALSE)</f>
        <v>10.352941176470587</v>
      </c>
      <c r="M893" s="81">
        <f>prodnorm30</f>
        <v>0</v>
      </c>
      <c r="N893" s="82">
        <f>dagwerk30</f>
        <v>0</v>
      </c>
      <c r="O893" s="78" t="s">
        <v>103</v>
      </c>
      <c r="P893" s="15">
        <f>uurtarief30</f>
        <v>0</v>
      </c>
      <c r="Q893" s="80" t="e">
        <f>IF(ISBLANK(M893),0,L893/ROUND(M893,4))</f>
        <v>#DIV/0!</v>
      </c>
      <c r="R893" s="80" t="e">
        <f>IF(ISBLANK(M893),0,Q893*ROUND(N893,2))</f>
        <v>#DIV/0!</v>
      </c>
      <c r="S893" s="15" t="e">
        <f>ROUND(P893,2)*Q893</f>
        <v>#DIV/0!</v>
      </c>
      <c r="T893" s="80" t="e">
        <f>Q893*dagenperjaar1</f>
        <v>#DIV/0!</v>
      </c>
      <c r="U893" s="16" t="e">
        <f>T893*ROUND(P893,2)</f>
        <v>#DIV/0!</v>
      </c>
    </row>
    <row r="894" spans="1:21" x14ac:dyDescent="0.3">
      <c r="A894" s="77" t="s">
        <v>1043</v>
      </c>
      <c r="B894" s="78" t="s">
        <v>40</v>
      </c>
      <c r="C894" s="78" t="s">
        <v>280</v>
      </c>
      <c r="D894" s="78" t="s">
        <v>672</v>
      </c>
      <c r="E894" s="79" t="s">
        <v>1089</v>
      </c>
      <c r="F894" s="78" t="s">
        <v>591</v>
      </c>
      <c r="G894" s="78" t="s">
        <v>250</v>
      </c>
      <c r="H894" s="78" t="s">
        <v>11</v>
      </c>
      <c r="I894" s="78" t="s">
        <v>214</v>
      </c>
      <c r="J894" s="79" t="s">
        <v>251</v>
      </c>
      <c r="K894" s="80">
        <v>13.2</v>
      </c>
      <c r="L894" s="80">
        <f>K894*VLOOKUP(H894,dagsoorttabel1,2,FALSE)</f>
        <v>10.352941176470587</v>
      </c>
      <c r="M894" s="81">
        <f>prodnorm30</f>
        <v>0</v>
      </c>
      <c r="N894" s="82">
        <f>dagwerk30</f>
        <v>0</v>
      </c>
      <c r="O894" s="78" t="s">
        <v>103</v>
      </c>
      <c r="P894" s="15">
        <f>uurtarief30</f>
        <v>0</v>
      </c>
      <c r="Q894" s="80" t="e">
        <f>IF(ISBLANK(M894),0,L894/ROUND(M894,4))</f>
        <v>#DIV/0!</v>
      </c>
      <c r="R894" s="80" t="e">
        <f>IF(ISBLANK(M894),0,Q894*ROUND(N894,2))</f>
        <v>#DIV/0!</v>
      </c>
      <c r="S894" s="15" t="e">
        <f>ROUND(P894,2)*Q894</f>
        <v>#DIV/0!</v>
      </c>
      <c r="T894" s="80" t="e">
        <f>Q894*dagenperjaar1</f>
        <v>#DIV/0!</v>
      </c>
      <c r="U894" s="16" t="e">
        <f>T894*ROUND(P894,2)</f>
        <v>#DIV/0!</v>
      </c>
    </row>
    <row r="895" spans="1:21" ht="27" x14ac:dyDescent="0.3">
      <c r="A895" s="77" t="s">
        <v>1043</v>
      </c>
      <c r="B895" s="78" t="s">
        <v>40</v>
      </c>
      <c r="C895" s="78" t="s">
        <v>280</v>
      </c>
      <c r="D895" s="78" t="s">
        <v>673</v>
      </c>
      <c r="E895" s="79" t="s">
        <v>808</v>
      </c>
      <c r="F895" s="78" t="s">
        <v>509</v>
      </c>
      <c r="G895" s="78" t="s">
        <v>256</v>
      </c>
      <c r="H895" s="78" t="s">
        <v>11</v>
      </c>
      <c r="I895" s="78" t="s">
        <v>214</v>
      </c>
      <c r="J895" s="79" t="s">
        <v>257</v>
      </c>
      <c r="K895" s="80">
        <v>4</v>
      </c>
      <c r="L895" s="80">
        <f>K895*VLOOKUP(H895,dagsoorttabel1,2,FALSE)</f>
        <v>3.1372549019607843</v>
      </c>
      <c r="M895" s="81">
        <f>prodnorm33</f>
        <v>0</v>
      </c>
      <c r="N895" s="82">
        <f>dagwerk33</f>
        <v>0</v>
      </c>
      <c r="O895" s="78" t="s">
        <v>103</v>
      </c>
      <c r="P895" s="15">
        <f>uurtarief33</f>
        <v>0</v>
      </c>
      <c r="Q895" s="80" t="e">
        <f>IF(ISBLANK(M895),0,L895/ROUND(M895,4))</f>
        <v>#DIV/0!</v>
      </c>
      <c r="R895" s="80" t="e">
        <f>IF(ISBLANK(M895),0,Q895*ROUND(N895,2))</f>
        <v>#DIV/0!</v>
      </c>
      <c r="S895" s="15" t="e">
        <f>ROUND(P895,2)*Q895</f>
        <v>#DIV/0!</v>
      </c>
      <c r="T895" s="80" t="e">
        <f>Q895*dagenperjaar1</f>
        <v>#DIV/0!</v>
      </c>
      <c r="U895" s="16" t="e">
        <f>T895*ROUND(P895,2)</f>
        <v>#DIV/0!</v>
      </c>
    </row>
    <row r="896" spans="1:21" x14ac:dyDescent="0.3">
      <c r="A896" s="77" t="s">
        <v>1043</v>
      </c>
      <c r="B896" s="78" t="s">
        <v>40</v>
      </c>
      <c r="C896" s="78" t="s">
        <v>280</v>
      </c>
      <c r="D896" s="78" t="s">
        <v>674</v>
      </c>
      <c r="E896" s="79" t="s">
        <v>1080</v>
      </c>
      <c r="F896" s="78" t="s">
        <v>40</v>
      </c>
      <c r="G896" s="78" t="s">
        <v>300</v>
      </c>
      <c r="H896" s="78"/>
      <c r="I896" s="78"/>
      <c r="J896" s="78"/>
      <c r="K896" s="80">
        <v>6.8</v>
      </c>
      <c r="L896" s="80"/>
      <c r="M896" s="81"/>
      <c r="N896" s="82"/>
      <c r="O896" s="78"/>
      <c r="P896" s="15"/>
      <c r="Q896" s="80"/>
      <c r="R896" s="80"/>
      <c r="S896" s="15"/>
      <c r="T896" s="83"/>
      <c r="U896" s="16"/>
    </row>
    <row r="897" spans="1:21" x14ac:dyDescent="0.3">
      <c r="A897" s="77" t="s">
        <v>1043</v>
      </c>
      <c r="B897" s="78" t="s">
        <v>40</v>
      </c>
      <c r="C897" s="78" t="s">
        <v>338</v>
      </c>
      <c r="D897" s="78" t="s">
        <v>1090</v>
      </c>
      <c r="E897" s="79" t="s">
        <v>698</v>
      </c>
      <c r="F897" s="78" t="s">
        <v>509</v>
      </c>
      <c r="G897" s="78" t="s">
        <v>236</v>
      </c>
      <c r="H897" s="78" t="s">
        <v>11</v>
      </c>
      <c r="I897" s="78" t="s">
        <v>214</v>
      </c>
      <c r="J897" s="79" t="s">
        <v>237</v>
      </c>
      <c r="K897" s="80">
        <v>156.30000000000001</v>
      </c>
      <c r="L897" s="80">
        <f t="shared" ref="L897:L916" si="255">K897*VLOOKUP(H897,dagsoorttabel1,2,FALSE)</f>
        <v>122.58823529411765</v>
      </c>
      <c r="M897" s="81">
        <f>prodnorm22</f>
        <v>0</v>
      </c>
      <c r="N897" s="82">
        <f>dagwerk22</f>
        <v>0</v>
      </c>
      <c r="O897" s="78" t="s">
        <v>103</v>
      </c>
      <c r="P897" s="15">
        <f>uurtarief22</f>
        <v>0</v>
      </c>
      <c r="Q897" s="80" t="e">
        <f t="shared" ref="Q897:Q916" si="256">IF(ISBLANK(M897),0,L897/ROUND(M897,4))</f>
        <v>#DIV/0!</v>
      </c>
      <c r="R897" s="80" t="e">
        <f t="shared" ref="R897:R916" si="257">IF(ISBLANK(M897),0,Q897*ROUND(N897,2))</f>
        <v>#DIV/0!</v>
      </c>
      <c r="S897" s="15" t="e">
        <f t="shared" ref="S897:S916" si="258">ROUND(P897,2)*Q897</f>
        <v>#DIV/0!</v>
      </c>
      <c r="T897" s="80" t="e">
        <f t="shared" ref="T897:T916" si="259">Q897*dagenperjaar1</f>
        <v>#DIV/0!</v>
      </c>
      <c r="U897" s="16" t="e">
        <f t="shared" ref="U897:U916" si="260">T897*ROUND(P897,2)</f>
        <v>#DIV/0!</v>
      </c>
    </row>
    <row r="898" spans="1:21" x14ac:dyDescent="0.3">
      <c r="A898" s="77" t="s">
        <v>1043</v>
      </c>
      <c r="B898" s="78" t="s">
        <v>40</v>
      </c>
      <c r="C898" s="78" t="s">
        <v>338</v>
      </c>
      <c r="D898" s="78" t="s">
        <v>339</v>
      </c>
      <c r="E898" s="79" t="s">
        <v>795</v>
      </c>
      <c r="F898" s="78" t="s">
        <v>509</v>
      </c>
      <c r="G898" s="78" t="s">
        <v>216</v>
      </c>
      <c r="H898" s="78" t="s">
        <v>11</v>
      </c>
      <c r="I898" s="78" t="s">
        <v>214</v>
      </c>
      <c r="J898" s="79" t="s">
        <v>217</v>
      </c>
      <c r="K898" s="80">
        <v>121.1</v>
      </c>
      <c r="L898" s="80">
        <f t="shared" si="255"/>
        <v>94.980392156862735</v>
      </c>
      <c r="M898" s="81">
        <f>prodnorm6</f>
        <v>0</v>
      </c>
      <c r="N898" s="82">
        <f>dagwerk6</f>
        <v>0</v>
      </c>
      <c r="O898" s="78" t="s">
        <v>103</v>
      </c>
      <c r="P898" s="15">
        <f>uurtarief6</f>
        <v>0</v>
      </c>
      <c r="Q898" s="80" t="e">
        <f t="shared" si="256"/>
        <v>#DIV/0!</v>
      </c>
      <c r="R898" s="80" t="e">
        <f t="shared" si="257"/>
        <v>#DIV/0!</v>
      </c>
      <c r="S898" s="15" t="e">
        <f t="shared" si="258"/>
        <v>#DIV/0!</v>
      </c>
      <c r="T898" s="80" t="e">
        <f t="shared" si="259"/>
        <v>#DIV/0!</v>
      </c>
      <c r="U898" s="16" t="e">
        <f t="shared" si="260"/>
        <v>#DIV/0!</v>
      </c>
    </row>
    <row r="899" spans="1:21" x14ac:dyDescent="0.3">
      <c r="A899" s="77" t="s">
        <v>1043</v>
      </c>
      <c r="B899" s="78" t="s">
        <v>40</v>
      </c>
      <c r="C899" s="78" t="s">
        <v>338</v>
      </c>
      <c r="D899" s="78" t="s">
        <v>340</v>
      </c>
      <c r="E899" s="79" t="s">
        <v>331</v>
      </c>
      <c r="F899" s="78" t="s">
        <v>509</v>
      </c>
      <c r="G899" s="78" t="s">
        <v>216</v>
      </c>
      <c r="H899" s="78" t="s">
        <v>11</v>
      </c>
      <c r="I899" s="78" t="s">
        <v>214</v>
      </c>
      <c r="J899" s="79" t="s">
        <v>217</v>
      </c>
      <c r="K899" s="80">
        <v>26.7</v>
      </c>
      <c r="L899" s="80">
        <f t="shared" si="255"/>
        <v>20.941176470588236</v>
      </c>
      <c r="M899" s="81">
        <f>prodnorm6</f>
        <v>0</v>
      </c>
      <c r="N899" s="82">
        <f>dagwerk6</f>
        <v>0</v>
      </c>
      <c r="O899" s="78" t="s">
        <v>103</v>
      </c>
      <c r="P899" s="15">
        <f>uurtarief6</f>
        <v>0</v>
      </c>
      <c r="Q899" s="80" t="e">
        <f t="shared" si="256"/>
        <v>#DIV/0!</v>
      </c>
      <c r="R899" s="80" t="e">
        <f t="shared" si="257"/>
        <v>#DIV/0!</v>
      </c>
      <c r="S899" s="15" t="e">
        <f t="shared" si="258"/>
        <v>#DIV/0!</v>
      </c>
      <c r="T899" s="80" t="e">
        <f t="shared" si="259"/>
        <v>#DIV/0!</v>
      </c>
      <c r="U899" s="16" t="e">
        <f t="shared" si="260"/>
        <v>#DIV/0!</v>
      </c>
    </row>
    <row r="900" spans="1:21" x14ac:dyDescent="0.3">
      <c r="A900" s="77" t="s">
        <v>1043</v>
      </c>
      <c r="B900" s="78" t="s">
        <v>40</v>
      </c>
      <c r="C900" s="78" t="s">
        <v>338</v>
      </c>
      <c r="D900" s="78" t="s">
        <v>341</v>
      </c>
      <c r="E900" s="79" t="s">
        <v>592</v>
      </c>
      <c r="F900" s="78" t="s">
        <v>509</v>
      </c>
      <c r="G900" s="78" t="s">
        <v>238</v>
      </c>
      <c r="H900" s="78" t="s">
        <v>21</v>
      </c>
      <c r="I900" s="78" t="s">
        <v>214</v>
      </c>
      <c r="J900" s="79" t="s">
        <v>239</v>
      </c>
      <c r="K900" s="80">
        <v>3</v>
      </c>
      <c r="L900" s="80">
        <f t="shared" si="255"/>
        <v>0.11764705882352941</v>
      </c>
      <c r="M900" s="81">
        <f>prodnorm23</f>
        <v>0</v>
      </c>
      <c r="N900" s="82">
        <f>dagwerk23</f>
        <v>0</v>
      </c>
      <c r="O900" s="78" t="s">
        <v>103</v>
      </c>
      <c r="P900" s="15">
        <f>uurtarief23</f>
        <v>0</v>
      </c>
      <c r="Q900" s="80" t="e">
        <f t="shared" si="256"/>
        <v>#DIV/0!</v>
      </c>
      <c r="R900" s="80" t="e">
        <f t="shared" si="257"/>
        <v>#DIV/0!</v>
      </c>
      <c r="S900" s="15" t="e">
        <f t="shared" si="258"/>
        <v>#DIV/0!</v>
      </c>
      <c r="T900" s="80" t="e">
        <f t="shared" si="259"/>
        <v>#DIV/0!</v>
      </c>
      <c r="U900" s="16" t="e">
        <f t="shared" si="260"/>
        <v>#DIV/0!</v>
      </c>
    </row>
    <row r="901" spans="1:21" x14ac:dyDescent="0.3">
      <c r="A901" s="77" t="s">
        <v>1043</v>
      </c>
      <c r="B901" s="78" t="s">
        <v>40</v>
      </c>
      <c r="C901" s="78" t="s">
        <v>338</v>
      </c>
      <c r="D901" s="78" t="s">
        <v>342</v>
      </c>
      <c r="E901" s="79" t="s">
        <v>594</v>
      </c>
      <c r="F901" s="78" t="s">
        <v>509</v>
      </c>
      <c r="G901" s="78" t="s">
        <v>252</v>
      </c>
      <c r="H901" s="78" t="s">
        <v>11</v>
      </c>
      <c r="I901" s="78" t="s">
        <v>214</v>
      </c>
      <c r="J901" s="79" t="s">
        <v>253</v>
      </c>
      <c r="K901" s="80">
        <v>14.4</v>
      </c>
      <c r="L901" s="80">
        <f t="shared" si="255"/>
        <v>11.294117647058824</v>
      </c>
      <c r="M901" s="81">
        <f>prodnorm31</f>
        <v>0</v>
      </c>
      <c r="N901" s="82">
        <f>dagwerk31</f>
        <v>0</v>
      </c>
      <c r="O901" s="78" t="s">
        <v>103</v>
      </c>
      <c r="P901" s="15">
        <f>uurtarief31</f>
        <v>0</v>
      </c>
      <c r="Q901" s="80" t="e">
        <f t="shared" si="256"/>
        <v>#DIV/0!</v>
      </c>
      <c r="R901" s="80" t="e">
        <f t="shared" si="257"/>
        <v>#DIV/0!</v>
      </c>
      <c r="S901" s="15" t="e">
        <f t="shared" si="258"/>
        <v>#DIV/0!</v>
      </c>
      <c r="T901" s="80" t="e">
        <f t="shared" si="259"/>
        <v>#DIV/0!</v>
      </c>
      <c r="U901" s="16" t="e">
        <f t="shared" si="260"/>
        <v>#DIV/0!</v>
      </c>
    </row>
    <row r="902" spans="1:21" ht="27" x14ac:dyDescent="0.3">
      <c r="A902" s="77" t="s">
        <v>1043</v>
      </c>
      <c r="B902" s="78" t="s">
        <v>40</v>
      </c>
      <c r="C902" s="78" t="s">
        <v>338</v>
      </c>
      <c r="D902" s="78" t="s">
        <v>344</v>
      </c>
      <c r="E902" s="79" t="s">
        <v>808</v>
      </c>
      <c r="F902" s="78" t="s">
        <v>509</v>
      </c>
      <c r="G902" s="78" t="s">
        <v>256</v>
      </c>
      <c r="H902" s="78" t="s">
        <v>11</v>
      </c>
      <c r="I902" s="78" t="s">
        <v>214</v>
      </c>
      <c r="J902" s="79" t="s">
        <v>257</v>
      </c>
      <c r="K902" s="80">
        <v>79</v>
      </c>
      <c r="L902" s="80">
        <f t="shared" si="255"/>
        <v>61.96078431372549</v>
      </c>
      <c r="M902" s="81">
        <f>prodnorm33</f>
        <v>0</v>
      </c>
      <c r="N902" s="82">
        <f>dagwerk33</f>
        <v>0</v>
      </c>
      <c r="O902" s="78" t="s">
        <v>103</v>
      </c>
      <c r="P902" s="15">
        <f>uurtarief33</f>
        <v>0</v>
      </c>
      <c r="Q902" s="80" t="e">
        <f t="shared" si="256"/>
        <v>#DIV/0!</v>
      </c>
      <c r="R902" s="80" t="e">
        <f t="shared" si="257"/>
        <v>#DIV/0!</v>
      </c>
      <c r="S902" s="15" t="e">
        <f t="shared" si="258"/>
        <v>#DIV/0!</v>
      </c>
      <c r="T902" s="80" t="e">
        <f t="shared" si="259"/>
        <v>#DIV/0!</v>
      </c>
      <c r="U902" s="16" t="e">
        <f t="shared" si="260"/>
        <v>#DIV/0!</v>
      </c>
    </row>
    <row r="903" spans="1:21" ht="27" x14ac:dyDescent="0.3">
      <c r="A903" s="77" t="s">
        <v>1043</v>
      </c>
      <c r="B903" s="78" t="s">
        <v>40</v>
      </c>
      <c r="C903" s="78" t="s">
        <v>338</v>
      </c>
      <c r="D903" s="78" t="s">
        <v>345</v>
      </c>
      <c r="E903" s="79" t="s">
        <v>808</v>
      </c>
      <c r="F903" s="78" t="s">
        <v>509</v>
      </c>
      <c r="G903" s="78" t="s">
        <v>256</v>
      </c>
      <c r="H903" s="78" t="s">
        <v>11</v>
      </c>
      <c r="I903" s="78" t="s">
        <v>214</v>
      </c>
      <c r="J903" s="79" t="s">
        <v>257</v>
      </c>
      <c r="K903" s="80">
        <v>21.7</v>
      </c>
      <c r="L903" s="80">
        <f t="shared" si="255"/>
        <v>17.019607843137255</v>
      </c>
      <c r="M903" s="81">
        <f>prodnorm33</f>
        <v>0</v>
      </c>
      <c r="N903" s="82">
        <f>dagwerk33</f>
        <v>0</v>
      </c>
      <c r="O903" s="78" t="s">
        <v>103</v>
      </c>
      <c r="P903" s="15">
        <f>uurtarief33</f>
        <v>0</v>
      </c>
      <c r="Q903" s="80" t="e">
        <f t="shared" si="256"/>
        <v>#DIV/0!</v>
      </c>
      <c r="R903" s="80" t="e">
        <f t="shared" si="257"/>
        <v>#DIV/0!</v>
      </c>
      <c r="S903" s="15" t="e">
        <f t="shared" si="258"/>
        <v>#DIV/0!</v>
      </c>
      <c r="T903" s="80" t="e">
        <f t="shared" si="259"/>
        <v>#DIV/0!</v>
      </c>
      <c r="U903" s="16" t="e">
        <f t="shared" si="260"/>
        <v>#DIV/0!</v>
      </c>
    </row>
    <row r="904" spans="1:21" x14ac:dyDescent="0.3">
      <c r="A904" s="77" t="s">
        <v>1043</v>
      </c>
      <c r="B904" s="78" t="s">
        <v>40</v>
      </c>
      <c r="C904" s="78" t="s">
        <v>338</v>
      </c>
      <c r="D904" s="78" t="s">
        <v>346</v>
      </c>
      <c r="E904" s="79" t="s">
        <v>1061</v>
      </c>
      <c r="F904" s="78" t="s">
        <v>509</v>
      </c>
      <c r="G904" s="78" t="s">
        <v>216</v>
      </c>
      <c r="H904" s="78" t="s">
        <v>16</v>
      </c>
      <c r="I904" s="78" t="s">
        <v>214</v>
      </c>
      <c r="J904" s="79" t="s">
        <v>217</v>
      </c>
      <c r="K904" s="80">
        <v>26.6</v>
      </c>
      <c r="L904" s="80">
        <f t="shared" si="255"/>
        <v>8.3450980392156868</v>
      </c>
      <c r="M904" s="81">
        <f>prodnorm8</f>
        <v>0</v>
      </c>
      <c r="N904" s="82">
        <f>dagwerk8</f>
        <v>0</v>
      </c>
      <c r="O904" s="78" t="s">
        <v>103</v>
      </c>
      <c r="P904" s="15">
        <f>uurtarief8</f>
        <v>0</v>
      </c>
      <c r="Q904" s="80" t="e">
        <f t="shared" si="256"/>
        <v>#DIV/0!</v>
      </c>
      <c r="R904" s="80" t="e">
        <f t="shared" si="257"/>
        <v>#DIV/0!</v>
      </c>
      <c r="S904" s="15" t="e">
        <f t="shared" si="258"/>
        <v>#DIV/0!</v>
      </c>
      <c r="T904" s="80" t="e">
        <f t="shared" si="259"/>
        <v>#DIV/0!</v>
      </c>
      <c r="U904" s="16" t="e">
        <f t="shared" si="260"/>
        <v>#DIV/0!</v>
      </c>
    </row>
    <row r="905" spans="1:21" x14ac:dyDescent="0.3">
      <c r="A905" s="77" t="s">
        <v>1043</v>
      </c>
      <c r="B905" s="78" t="s">
        <v>40</v>
      </c>
      <c r="C905" s="78" t="s">
        <v>338</v>
      </c>
      <c r="D905" s="78" t="s">
        <v>347</v>
      </c>
      <c r="E905" s="79" t="s">
        <v>1091</v>
      </c>
      <c r="F905" s="78" t="s">
        <v>482</v>
      </c>
      <c r="G905" s="78" t="s">
        <v>216</v>
      </c>
      <c r="H905" s="78" t="s">
        <v>16</v>
      </c>
      <c r="I905" s="78" t="s">
        <v>214</v>
      </c>
      <c r="J905" s="79" t="s">
        <v>217</v>
      </c>
      <c r="K905" s="80">
        <v>53</v>
      </c>
      <c r="L905" s="80">
        <f t="shared" si="255"/>
        <v>16.627450980392158</v>
      </c>
      <c r="M905" s="81">
        <f>prodnorm8</f>
        <v>0</v>
      </c>
      <c r="N905" s="82">
        <f>dagwerk8</f>
        <v>0</v>
      </c>
      <c r="O905" s="78" t="s">
        <v>103</v>
      </c>
      <c r="P905" s="15">
        <f>uurtarief8</f>
        <v>0</v>
      </c>
      <c r="Q905" s="80" t="e">
        <f t="shared" si="256"/>
        <v>#DIV/0!</v>
      </c>
      <c r="R905" s="80" t="e">
        <f t="shared" si="257"/>
        <v>#DIV/0!</v>
      </c>
      <c r="S905" s="15" t="e">
        <f t="shared" si="258"/>
        <v>#DIV/0!</v>
      </c>
      <c r="T905" s="80" t="e">
        <f t="shared" si="259"/>
        <v>#DIV/0!</v>
      </c>
      <c r="U905" s="16" t="e">
        <f t="shared" si="260"/>
        <v>#DIV/0!</v>
      </c>
    </row>
    <row r="906" spans="1:21" x14ac:dyDescent="0.3">
      <c r="A906" s="77" t="s">
        <v>1043</v>
      </c>
      <c r="B906" s="78" t="s">
        <v>40</v>
      </c>
      <c r="C906" s="78" t="s">
        <v>338</v>
      </c>
      <c r="D906" s="78" t="s">
        <v>348</v>
      </c>
      <c r="E906" s="79" t="s">
        <v>592</v>
      </c>
      <c r="F906" s="78" t="s">
        <v>509</v>
      </c>
      <c r="G906" s="78" t="s">
        <v>238</v>
      </c>
      <c r="H906" s="78" t="s">
        <v>21</v>
      </c>
      <c r="I906" s="78" t="s">
        <v>214</v>
      </c>
      <c r="J906" s="79" t="s">
        <v>239</v>
      </c>
      <c r="K906" s="80">
        <v>12.4</v>
      </c>
      <c r="L906" s="80">
        <f t="shared" si="255"/>
        <v>0.48627450980392156</v>
      </c>
      <c r="M906" s="81">
        <f>prodnorm23</f>
        <v>0</v>
      </c>
      <c r="N906" s="82">
        <f>dagwerk23</f>
        <v>0</v>
      </c>
      <c r="O906" s="78" t="s">
        <v>103</v>
      </c>
      <c r="P906" s="15">
        <f>uurtarief23</f>
        <v>0</v>
      </c>
      <c r="Q906" s="80" t="e">
        <f t="shared" si="256"/>
        <v>#DIV/0!</v>
      </c>
      <c r="R906" s="80" t="e">
        <f t="shared" si="257"/>
        <v>#DIV/0!</v>
      </c>
      <c r="S906" s="15" t="e">
        <f t="shared" si="258"/>
        <v>#DIV/0!</v>
      </c>
      <c r="T906" s="80" t="e">
        <f t="shared" si="259"/>
        <v>#DIV/0!</v>
      </c>
      <c r="U906" s="16" t="e">
        <f t="shared" si="260"/>
        <v>#DIV/0!</v>
      </c>
    </row>
    <row r="907" spans="1:21" x14ac:dyDescent="0.3">
      <c r="A907" s="77" t="s">
        <v>1043</v>
      </c>
      <c r="B907" s="78" t="s">
        <v>40</v>
      </c>
      <c r="C907" s="78" t="s">
        <v>338</v>
      </c>
      <c r="D907" s="78" t="s">
        <v>349</v>
      </c>
      <c r="E907" s="79" t="s">
        <v>1092</v>
      </c>
      <c r="F907" s="78" t="s">
        <v>509</v>
      </c>
      <c r="G907" s="78" t="s">
        <v>216</v>
      </c>
      <c r="H907" s="78" t="s">
        <v>16</v>
      </c>
      <c r="I907" s="78" t="s">
        <v>214</v>
      </c>
      <c r="J907" s="79" t="s">
        <v>217</v>
      </c>
      <c r="K907" s="80">
        <v>39.299999999999997</v>
      </c>
      <c r="L907" s="80">
        <f t="shared" si="255"/>
        <v>12.329411764705881</v>
      </c>
      <c r="M907" s="81">
        <f>prodnorm8</f>
        <v>0</v>
      </c>
      <c r="N907" s="82">
        <f>dagwerk8</f>
        <v>0</v>
      </c>
      <c r="O907" s="78" t="s">
        <v>103</v>
      </c>
      <c r="P907" s="15">
        <f>uurtarief8</f>
        <v>0</v>
      </c>
      <c r="Q907" s="80" t="e">
        <f t="shared" si="256"/>
        <v>#DIV/0!</v>
      </c>
      <c r="R907" s="80" t="e">
        <f t="shared" si="257"/>
        <v>#DIV/0!</v>
      </c>
      <c r="S907" s="15" t="e">
        <f t="shared" si="258"/>
        <v>#DIV/0!</v>
      </c>
      <c r="T907" s="80" t="e">
        <f t="shared" si="259"/>
        <v>#DIV/0!</v>
      </c>
      <c r="U907" s="16" t="e">
        <f t="shared" si="260"/>
        <v>#DIV/0!</v>
      </c>
    </row>
    <row r="908" spans="1:21" ht="27" x14ac:dyDescent="0.3">
      <c r="A908" s="77" t="s">
        <v>1043</v>
      </c>
      <c r="B908" s="78" t="s">
        <v>40</v>
      </c>
      <c r="C908" s="78" t="s">
        <v>338</v>
      </c>
      <c r="D908" s="78" t="s">
        <v>351</v>
      </c>
      <c r="E908" s="79" t="s">
        <v>1093</v>
      </c>
      <c r="F908" s="78" t="s">
        <v>509</v>
      </c>
      <c r="G908" s="78" t="s">
        <v>256</v>
      </c>
      <c r="H908" s="78" t="s">
        <v>11</v>
      </c>
      <c r="I908" s="78" t="s">
        <v>214</v>
      </c>
      <c r="J908" s="79" t="s">
        <v>257</v>
      </c>
      <c r="K908" s="80">
        <v>25.9</v>
      </c>
      <c r="L908" s="80">
        <f t="shared" si="255"/>
        <v>20.313725490196077</v>
      </c>
      <c r="M908" s="81">
        <f>prodnorm33</f>
        <v>0</v>
      </c>
      <c r="N908" s="82">
        <f>dagwerk33</f>
        <v>0</v>
      </c>
      <c r="O908" s="78" t="s">
        <v>103</v>
      </c>
      <c r="P908" s="15">
        <f>uurtarief33</f>
        <v>0</v>
      </c>
      <c r="Q908" s="80" t="e">
        <f t="shared" si="256"/>
        <v>#DIV/0!</v>
      </c>
      <c r="R908" s="80" t="e">
        <f t="shared" si="257"/>
        <v>#DIV/0!</v>
      </c>
      <c r="S908" s="15" t="e">
        <f t="shared" si="258"/>
        <v>#DIV/0!</v>
      </c>
      <c r="T908" s="80" t="e">
        <f t="shared" si="259"/>
        <v>#DIV/0!</v>
      </c>
      <c r="U908" s="16" t="e">
        <f t="shared" si="260"/>
        <v>#DIV/0!</v>
      </c>
    </row>
    <row r="909" spans="1:21" x14ac:dyDescent="0.3">
      <c r="A909" s="77" t="s">
        <v>1043</v>
      </c>
      <c r="B909" s="78" t="s">
        <v>40</v>
      </c>
      <c r="C909" s="78" t="s">
        <v>338</v>
      </c>
      <c r="D909" s="78" t="s">
        <v>352</v>
      </c>
      <c r="E909" s="79" t="s">
        <v>786</v>
      </c>
      <c r="F909" s="78" t="s">
        <v>591</v>
      </c>
      <c r="G909" s="78" t="s">
        <v>250</v>
      </c>
      <c r="H909" s="78" t="s">
        <v>11</v>
      </c>
      <c r="I909" s="78" t="s">
        <v>214</v>
      </c>
      <c r="J909" s="79" t="s">
        <v>251</v>
      </c>
      <c r="K909" s="80">
        <v>11.8</v>
      </c>
      <c r="L909" s="80">
        <f t="shared" si="255"/>
        <v>9.2549019607843146</v>
      </c>
      <c r="M909" s="81">
        <f>prodnorm30</f>
        <v>0</v>
      </c>
      <c r="N909" s="82">
        <f>dagwerk30</f>
        <v>0</v>
      </c>
      <c r="O909" s="78" t="s">
        <v>103</v>
      </c>
      <c r="P909" s="15">
        <f>uurtarief30</f>
        <v>0</v>
      </c>
      <c r="Q909" s="80" t="e">
        <f t="shared" si="256"/>
        <v>#DIV/0!</v>
      </c>
      <c r="R909" s="80" t="e">
        <f t="shared" si="257"/>
        <v>#DIV/0!</v>
      </c>
      <c r="S909" s="15" t="e">
        <f t="shared" si="258"/>
        <v>#DIV/0!</v>
      </c>
      <c r="T909" s="80" t="e">
        <f t="shared" si="259"/>
        <v>#DIV/0!</v>
      </c>
      <c r="U909" s="16" t="e">
        <f t="shared" si="260"/>
        <v>#DIV/0!</v>
      </c>
    </row>
    <row r="910" spans="1:21" x14ac:dyDescent="0.3">
      <c r="A910" s="77" t="s">
        <v>1043</v>
      </c>
      <c r="B910" s="78" t="s">
        <v>40</v>
      </c>
      <c r="C910" s="78" t="s">
        <v>338</v>
      </c>
      <c r="D910" s="78" t="s">
        <v>354</v>
      </c>
      <c r="E910" s="79" t="s">
        <v>786</v>
      </c>
      <c r="F910" s="78" t="s">
        <v>591</v>
      </c>
      <c r="G910" s="78" t="s">
        <v>250</v>
      </c>
      <c r="H910" s="78" t="s">
        <v>11</v>
      </c>
      <c r="I910" s="78" t="s">
        <v>214</v>
      </c>
      <c r="J910" s="79" t="s">
        <v>251</v>
      </c>
      <c r="K910" s="80">
        <v>11.8</v>
      </c>
      <c r="L910" s="80">
        <f t="shared" si="255"/>
        <v>9.2549019607843146</v>
      </c>
      <c r="M910" s="81">
        <f>prodnorm30</f>
        <v>0</v>
      </c>
      <c r="N910" s="82">
        <f>dagwerk30</f>
        <v>0</v>
      </c>
      <c r="O910" s="78" t="s">
        <v>103</v>
      </c>
      <c r="P910" s="15">
        <f>uurtarief30</f>
        <v>0</v>
      </c>
      <c r="Q910" s="80" t="e">
        <f t="shared" si="256"/>
        <v>#DIV/0!</v>
      </c>
      <c r="R910" s="80" t="e">
        <f t="shared" si="257"/>
        <v>#DIV/0!</v>
      </c>
      <c r="S910" s="15" t="e">
        <f t="shared" si="258"/>
        <v>#DIV/0!</v>
      </c>
      <c r="T910" s="80" t="e">
        <f t="shared" si="259"/>
        <v>#DIV/0!</v>
      </c>
      <c r="U910" s="16" t="e">
        <f t="shared" si="260"/>
        <v>#DIV/0!</v>
      </c>
    </row>
    <row r="911" spans="1:21" ht="27" x14ac:dyDescent="0.3">
      <c r="A911" s="77" t="s">
        <v>1043</v>
      </c>
      <c r="B911" s="78" t="s">
        <v>40</v>
      </c>
      <c r="C911" s="78" t="s">
        <v>338</v>
      </c>
      <c r="D911" s="78" t="s">
        <v>355</v>
      </c>
      <c r="E911" s="79" t="s">
        <v>808</v>
      </c>
      <c r="F911" s="78" t="s">
        <v>509</v>
      </c>
      <c r="G911" s="78" t="s">
        <v>256</v>
      </c>
      <c r="H911" s="78" t="s">
        <v>11</v>
      </c>
      <c r="I911" s="78" t="s">
        <v>214</v>
      </c>
      <c r="J911" s="79" t="s">
        <v>257</v>
      </c>
      <c r="K911" s="80">
        <v>53.1</v>
      </c>
      <c r="L911" s="80">
        <f t="shared" si="255"/>
        <v>41.647058823529413</v>
      </c>
      <c r="M911" s="81">
        <f>prodnorm33</f>
        <v>0</v>
      </c>
      <c r="N911" s="82">
        <f>dagwerk33</f>
        <v>0</v>
      </c>
      <c r="O911" s="78" t="s">
        <v>103</v>
      </c>
      <c r="P911" s="15">
        <f>uurtarief33</f>
        <v>0</v>
      </c>
      <c r="Q911" s="80" t="e">
        <f t="shared" si="256"/>
        <v>#DIV/0!</v>
      </c>
      <c r="R911" s="80" t="e">
        <f t="shared" si="257"/>
        <v>#DIV/0!</v>
      </c>
      <c r="S911" s="15" t="e">
        <f t="shared" si="258"/>
        <v>#DIV/0!</v>
      </c>
      <c r="T911" s="80" t="e">
        <f t="shared" si="259"/>
        <v>#DIV/0!</v>
      </c>
      <c r="U911" s="16" t="e">
        <f t="shared" si="260"/>
        <v>#DIV/0!</v>
      </c>
    </row>
    <row r="912" spans="1:21" x14ac:dyDescent="0.3">
      <c r="A912" s="77" t="s">
        <v>1043</v>
      </c>
      <c r="B912" s="78" t="s">
        <v>40</v>
      </c>
      <c r="C912" s="78" t="s">
        <v>338</v>
      </c>
      <c r="D912" s="78" t="s">
        <v>356</v>
      </c>
      <c r="E912" s="79" t="s">
        <v>1062</v>
      </c>
      <c r="F912" s="78" t="s">
        <v>509</v>
      </c>
      <c r="G912" s="78" t="s">
        <v>234</v>
      </c>
      <c r="H912" s="78" t="s">
        <v>11</v>
      </c>
      <c r="I912" s="78" t="s">
        <v>214</v>
      </c>
      <c r="J912" s="79" t="s">
        <v>235</v>
      </c>
      <c r="K912" s="80">
        <v>68.599999999999994</v>
      </c>
      <c r="L912" s="80">
        <f t="shared" si="255"/>
        <v>53.803921568627445</v>
      </c>
      <c r="M912" s="81">
        <f>prodnorm21</f>
        <v>0</v>
      </c>
      <c r="N912" s="82">
        <f>dagwerk21</f>
        <v>0</v>
      </c>
      <c r="O912" s="78" t="s">
        <v>103</v>
      </c>
      <c r="P912" s="15">
        <f>uurtarief21</f>
        <v>0</v>
      </c>
      <c r="Q912" s="80" t="e">
        <f t="shared" si="256"/>
        <v>#DIV/0!</v>
      </c>
      <c r="R912" s="80" t="e">
        <f t="shared" si="257"/>
        <v>#DIV/0!</v>
      </c>
      <c r="S912" s="15" t="e">
        <f t="shared" si="258"/>
        <v>#DIV/0!</v>
      </c>
      <c r="T912" s="80" t="e">
        <f t="shared" si="259"/>
        <v>#DIV/0!</v>
      </c>
      <c r="U912" s="16" t="e">
        <f t="shared" si="260"/>
        <v>#DIV/0!</v>
      </c>
    </row>
    <row r="913" spans="1:21" x14ac:dyDescent="0.3">
      <c r="A913" s="77" t="s">
        <v>1043</v>
      </c>
      <c r="B913" s="78" t="s">
        <v>40</v>
      </c>
      <c r="C913" s="78" t="s">
        <v>338</v>
      </c>
      <c r="D913" s="78" t="s">
        <v>357</v>
      </c>
      <c r="E913" s="79" t="s">
        <v>1062</v>
      </c>
      <c r="F913" s="78" t="s">
        <v>509</v>
      </c>
      <c r="G913" s="78" t="s">
        <v>234</v>
      </c>
      <c r="H913" s="78" t="s">
        <v>11</v>
      </c>
      <c r="I913" s="78" t="s">
        <v>214</v>
      </c>
      <c r="J913" s="79" t="s">
        <v>235</v>
      </c>
      <c r="K913" s="80">
        <v>53</v>
      </c>
      <c r="L913" s="80">
        <f t="shared" si="255"/>
        <v>41.568627450980394</v>
      </c>
      <c r="M913" s="81">
        <f>prodnorm21</f>
        <v>0</v>
      </c>
      <c r="N913" s="82">
        <f>dagwerk21</f>
        <v>0</v>
      </c>
      <c r="O913" s="78" t="s">
        <v>103</v>
      </c>
      <c r="P913" s="15">
        <f>uurtarief21</f>
        <v>0</v>
      </c>
      <c r="Q913" s="80" t="e">
        <f t="shared" si="256"/>
        <v>#DIV/0!</v>
      </c>
      <c r="R913" s="80" t="e">
        <f t="shared" si="257"/>
        <v>#DIV/0!</v>
      </c>
      <c r="S913" s="15" t="e">
        <f t="shared" si="258"/>
        <v>#DIV/0!</v>
      </c>
      <c r="T913" s="80" t="e">
        <f t="shared" si="259"/>
        <v>#DIV/0!</v>
      </c>
      <c r="U913" s="16" t="e">
        <f t="shared" si="260"/>
        <v>#DIV/0!</v>
      </c>
    </row>
    <row r="914" spans="1:21" x14ac:dyDescent="0.3">
      <c r="A914" s="77" t="s">
        <v>1043</v>
      </c>
      <c r="B914" s="78" t="s">
        <v>40</v>
      </c>
      <c r="C914" s="78" t="s">
        <v>338</v>
      </c>
      <c r="D914" s="78" t="s">
        <v>358</v>
      </c>
      <c r="E914" s="79" t="s">
        <v>1062</v>
      </c>
      <c r="F914" s="78" t="s">
        <v>509</v>
      </c>
      <c r="G914" s="78" t="s">
        <v>234</v>
      </c>
      <c r="H914" s="78" t="s">
        <v>11</v>
      </c>
      <c r="I914" s="78" t="s">
        <v>214</v>
      </c>
      <c r="J914" s="79" t="s">
        <v>235</v>
      </c>
      <c r="K914" s="80">
        <v>53</v>
      </c>
      <c r="L914" s="80">
        <f t="shared" si="255"/>
        <v>41.568627450980394</v>
      </c>
      <c r="M914" s="81">
        <f>prodnorm21</f>
        <v>0</v>
      </c>
      <c r="N914" s="82">
        <f>dagwerk21</f>
        <v>0</v>
      </c>
      <c r="O914" s="78" t="s">
        <v>103</v>
      </c>
      <c r="P914" s="15">
        <f>uurtarief21</f>
        <v>0</v>
      </c>
      <c r="Q914" s="80" t="e">
        <f t="shared" si="256"/>
        <v>#DIV/0!</v>
      </c>
      <c r="R914" s="80" t="e">
        <f t="shared" si="257"/>
        <v>#DIV/0!</v>
      </c>
      <c r="S914" s="15" t="e">
        <f t="shared" si="258"/>
        <v>#DIV/0!</v>
      </c>
      <c r="T914" s="80" t="e">
        <f t="shared" si="259"/>
        <v>#DIV/0!</v>
      </c>
      <c r="U914" s="16" t="e">
        <f t="shared" si="260"/>
        <v>#DIV/0!</v>
      </c>
    </row>
    <row r="915" spans="1:21" x14ac:dyDescent="0.3">
      <c r="A915" s="77" t="s">
        <v>1043</v>
      </c>
      <c r="B915" s="78" t="s">
        <v>40</v>
      </c>
      <c r="C915" s="78" t="s">
        <v>338</v>
      </c>
      <c r="D915" s="78" t="s">
        <v>360</v>
      </c>
      <c r="E915" s="79" t="s">
        <v>1062</v>
      </c>
      <c r="F915" s="78" t="s">
        <v>509</v>
      </c>
      <c r="G915" s="78" t="s">
        <v>234</v>
      </c>
      <c r="H915" s="78" t="s">
        <v>11</v>
      </c>
      <c r="I915" s="78" t="s">
        <v>214</v>
      </c>
      <c r="J915" s="79" t="s">
        <v>235</v>
      </c>
      <c r="K915" s="80">
        <v>53</v>
      </c>
      <c r="L915" s="80">
        <f t="shared" si="255"/>
        <v>41.568627450980394</v>
      </c>
      <c r="M915" s="81">
        <f>prodnorm21</f>
        <v>0</v>
      </c>
      <c r="N915" s="82">
        <f>dagwerk21</f>
        <v>0</v>
      </c>
      <c r="O915" s="78" t="s">
        <v>103</v>
      </c>
      <c r="P915" s="15">
        <f>uurtarief21</f>
        <v>0</v>
      </c>
      <c r="Q915" s="80" t="e">
        <f t="shared" si="256"/>
        <v>#DIV/0!</v>
      </c>
      <c r="R915" s="80" t="e">
        <f t="shared" si="257"/>
        <v>#DIV/0!</v>
      </c>
      <c r="S915" s="15" t="e">
        <f t="shared" si="258"/>
        <v>#DIV/0!</v>
      </c>
      <c r="T915" s="80" t="e">
        <f t="shared" si="259"/>
        <v>#DIV/0!</v>
      </c>
      <c r="U915" s="16" t="e">
        <f t="shared" si="260"/>
        <v>#DIV/0!</v>
      </c>
    </row>
    <row r="916" spans="1:21" x14ac:dyDescent="0.3">
      <c r="A916" s="77" t="s">
        <v>1043</v>
      </c>
      <c r="B916" s="78" t="s">
        <v>40</v>
      </c>
      <c r="C916" s="78" t="s">
        <v>338</v>
      </c>
      <c r="D916" s="78" t="s">
        <v>361</v>
      </c>
      <c r="E916" s="79" t="s">
        <v>1094</v>
      </c>
      <c r="F916" s="78" t="s">
        <v>482</v>
      </c>
      <c r="G916" s="78" t="s">
        <v>216</v>
      </c>
      <c r="H916" s="78" t="s">
        <v>15</v>
      </c>
      <c r="I916" s="78" t="s">
        <v>214</v>
      </c>
      <c r="J916" s="79" t="s">
        <v>217</v>
      </c>
      <c r="K916" s="80">
        <v>30</v>
      </c>
      <c r="L916" s="80">
        <f t="shared" si="255"/>
        <v>9.882352941176471</v>
      </c>
      <c r="M916" s="81">
        <f>prodnorm9</f>
        <v>0</v>
      </c>
      <c r="N916" s="82">
        <f>dagwerk9</f>
        <v>0</v>
      </c>
      <c r="O916" s="78" t="s">
        <v>103</v>
      </c>
      <c r="P916" s="15">
        <f>uurtarief9</f>
        <v>0</v>
      </c>
      <c r="Q916" s="80" t="e">
        <f t="shared" si="256"/>
        <v>#DIV/0!</v>
      </c>
      <c r="R916" s="80" t="e">
        <f t="shared" si="257"/>
        <v>#DIV/0!</v>
      </c>
      <c r="S916" s="15" t="e">
        <f t="shared" si="258"/>
        <v>#DIV/0!</v>
      </c>
      <c r="T916" s="80" t="e">
        <f t="shared" si="259"/>
        <v>#DIV/0!</v>
      </c>
      <c r="U916" s="16" t="e">
        <f t="shared" si="260"/>
        <v>#DIV/0!</v>
      </c>
    </row>
    <row r="917" spans="1:21" x14ac:dyDescent="0.3">
      <c r="A917" s="77" t="s">
        <v>1043</v>
      </c>
      <c r="B917" s="78" t="s">
        <v>40</v>
      </c>
      <c r="C917" s="78" t="s">
        <v>338</v>
      </c>
      <c r="D917" s="78" t="s">
        <v>361</v>
      </c>
      <c r="E917" s="79" t="s">
        <v>511</v>
      </c>
      <c r="F917" s="78" t="s">
        <v>40</v>
      </c>
      <c r="G917" s="78" t="s">
        <v>300</v>
      </c>
      <c r="H917" s="78"/>
      <c r="I917" s="78"/>
      <c r="J917" s="78"/>
      <c r="K917" s="80">
        <v>0</v>
      </c>
      <c r="L917" s="80"/>
      <c r="M917" s="81"/>
      <c r="N917" s="82"/>
      <c r="O917" s="78"/>
      <c r="P917" s="15"/>
      <c r="Q917" s="80"/>
      <c r="R917" s="80"/>
      <c r="S917" s="15"/>
      <c r="T917" s="83"/>
      <c r="U917" s="16"/>
    </row>
    <row r="918" spans="1:21" ht="27" x14ac:dyDescent="0.3">
      <c r="A918" s="77" t="s">
        <v>1043</v>
      </c>
      <c r="B918" s="78" t="s">
        <v>40</v>
      </c>
      <c r="C918" s="78" t="s">
        <v>338</v>
      </c>
      <c r="D918" s="78" t="s">
        <v>363</v>
      </c>
      <c r="E918" s="79" t="s">
        <v>808</v>
      </c>
      <c r="F918" s="78" t="s">
        <v>509</v>
      </c>
      <c r="G918" s="78" t="s">
        <v>256</v>
      </c>
      <c r="H918" s="78" t="s">
        <v>11</v>
      </c>
      <c r="I918" s="78" t="s">
        <v>214</v>
      </c>
      <c r="J918" s="79" t="s">
        <v>257</v>
      </c>
      <c r="K918" s="80">
        <v>109.8</v>
      </c>
      <c r="L918" s="80">
        <f t="shared" ref="L918:L956" si="261">K918*VLOOKUP(H918,dagsoorttabel1,2,FALSE)</f>
        <v>86.117647058823522</v>
      </c>
      <c r="M918" s="81">
        <f>prodnorm33</f>
        <v>0</v>
      </c>
      <c r="N918" s="82">
        <f>dagwerk33</f>
        <v>0</v>
      </c>
      <c r="O918" s="78" t="s">
        <v>103</v>
      </c>
      <c r="P918" s="15">
        <f>uurtarief33</f>
        <v>0</v>
      </c>
      <c r="Q918" s="80" t="e">
        <f t="shared" ref="Q918:Q956" si="262">IF(ISBLANK(M918),0,L918/ROUND(M918,4))</f>
        <v>#DIV/0!</v>
      </c>
      <c r="R918" s="80" t="e">
        <f t="shared" ref="R918:R956" si="263">IF(ISBLANK(M918),0,Q918*ROUND(N918,2))</f>
        <v>#DIV/0!</v>
      </c>
      <c r="S918" s="15" t="e">
        <f t="shared" ref="S918:S956" si="264">ROUND(P918,2)*Q918</f>
        <v>#DIV/0!</v>
      </c>
      <c r="T918" s="80" t="e">
        <f t="shared" ref="T918:T956" si="265">Q918*dagenperjaar1</f>
        <v>#DIV/0!</v>
      </c>
      <c r="U918" s="16" t="e">
        <f t="shared" ref="U918:U956" si="266">T918*ROUND(P918,2)</f>
        <v>#DIV/0!</v>
      </c>
    </row>
    <row r="919" spans="1:21" x14ac:dyDescent="0.3">
      <c r="A919" s="77" t="s">
        <v>1043</v>
      </c>
      <c r="B919" s="78" t="s">
        <v>40</v>
      </c>
      <c r="C919" s="78" t="s">
        <v>338</v>
      </c>
      <c r="D919" s="78" t="s">
        <v>363</v>
      </c>
      <c r="E919" s="79" t="s">
        <v>1095</v>
      </c>
      <c r="F919" s="78" t="s">
        <v>509</v>
      </c>
      <c r="G919" s="78" t="s">
        <v>240</v>
      </c>
      <c r="H919" s="78" t="s">
        <v>11</v>
      </c>
      <c r="I919" s="78" t="s">
        <v>214</v>
      </c>
      <c r="J919" s="79" t="s">
        <v>241</v>
      </c>
      <c r="K919" s="80">
        <v>175.1</v>
      </c>
      <c r="L919" s="80">
        <f t="shared" si="261"/>
        <v>137.33333333333331</v>
      </c>
      <c r="M919" s="81">
        <f>prodnorm25</f>
        <v>0</v>
      </c>
      <c r="N919" s="82">
        <f>dagwerk25</f>
        <v>0</v>
      </c>
      <c r="O919" s="78" t="s">
        <v>103</v>
      </c>
      <c r="P919" s="15">
        <f>uurtarief25</f>
        <v>0</v>
      </c>
      <c r="Q919" s="80" t="e">
        <f t="shared" si="262"/>
        <v>#DIV/0!</v>
      </c>
      <c r="R919" s="80" t="e">
        <f t="shared" si="263"/>
        <v>#DIV/0!</v>
      </c>
      <c r="S919" s="15" t="e">
        <f t="shared" si="264"/>
        <v>#DIV/0!</v>
      </c>
      <c r="T919" s="80" t="e">
        <f t="shared" si="265"/>
        <v>#DIV/0!</v>
      </c>
      <c r="U919" s="16" t="e">
        <f t="shared" si="266"/>
        <v>#DIV/0!</v>
      </c>
    </row>
    <row r="920" spans="1:21" x14ac:dyDescent="0.3">
      <c r="A920" s="77" t="s">
        <v>1043</v>
      </c>
      <c r="B920" s="78" t="s">
        <v>40</v>
      </c>
      <c r="C920" s="78" t="s">
        <v>338</v>
      </c>
      <c r="D920" s="78" t="s">
        <v>365</v>
      </c>
      <c r="E920" s="79" t="s">
        <v>594</v>
      </c>
      <c r="F920" s="78" t="s">
        <v>509</v>
      </c>
      <c r="G920" s="78" t="s">
        <v>252</v>
      </c>
      <c r="H920" s="78" t="s">
        <v>11</v>
      </c>
      <c r="I920" s="78" t="s">
        <v>214</v>
      </c>
      <c r="J920" s="79" t="s">
        <v>253</v>
      </c>
      <c r="K920" s="80">
        <v>7.4</v>
      </c>
      <c r="L920" s="80">
        <f t="shared" si="261"/>
        <v>5.8039215686274508</v>
      </c>
      <c r="M920" s="81">
        <f>prodnorm31</f>
        <v>0</v>
      </c>
      <c r="N920" s="82">
        <f>dagwerk31</f>
        <v>0</v>
      </c>
      <c r="O920" s="78" t="s">
        <v>103</v>
      </c>
      <c r="P920" s="15">
        <f>uurtarief31</f>
        <v>0</v>
      </c>
      <c r="Q920" s="80" t="e">
        <f t="shared" si="262"/>
        <v>#DIV/0!</v>
      </c>
      <c r="R920" s="80" t="e">
        <f t="shared" si="263"/>
        <v>#DIV/0!</v>
      </c>
      <c r="S920" s="15" t="e">
        <f t="shared" si="264"/>
        <v>#DIV/0!</v>
      </c>
      <c r="T920" s="80" t="e">
        <f t="shared" si="265"/>
        <v>#DIV/0!</v>
      </c>
      <c r="U920" s="16" t="e">
        <f t="shared" si="266"/>
        <v>#DIV/0!</v>
      </c>
    </row>
    <row r="921" spans="1:21" x14ac:dyDescent="0.3">
      <c r="A921" s="77" t="s">
        <v>1043</v>
      </c>
      <c r="B921" s="78" t="s">
        <v>40</v>
      </c>
      <c r="C921" s="78" t="s">
        <v>338</v>
      </c>
      <c r="D921" s="78" t="s">
        <v>367</v>
      </c>
      <c r="E921" s="79" t="s">
        <v>290</v>
      </c>
      <c r="F921" s="78" t="s">
        <v>509</v>
      </c>
      <c r="G921" s="78" t="s">
        <v>234</v>
      </c>
      <c r="H921" s="78" t="s">
        <v>11</v>
      </c>
      <c r="I921" s="78" t="s">
        <v>214</v>
      </c>
      <c r="J921" s="79" t="s">
        <v>235</v>
      </c>
      <c r="K921" s="80">
        <v>53</v>
      </c>
      <c r="L921" s="80">
        <f t="shared" si="261"/>
        <v>41.568627450980394</v>
      </c>
      <c r="M921" s="81">
        <f>prodnorm21</f>
        <v>0</v>
      </c>
      <c r="N921" s="82">
        <f>dagwerk21</f>
        <v>0</v>
      </c>
      <c r="O921" s="78" t="s">
        <v>103</v>
      </c>
      <c r="P921" s="15">
        <f>uurtarief21</f>
        <v>0</v>
      </c>
      <c r="Q921" s="80" t="e">
        <f t="shared" si="262"/>
        <v>#DIV/0!</v>
      </c>
      <c r="R921" s="80" t="e">
        <f t="shared" si="263"/>
        <v>#DIV/0!</v>
      </c>
      <c r="S921" s="15" t="e">
        <f t="shared" si="264"/>
        <v>#DIV/0!</v>
      </c>
      <c r="T921" s="80" t="e">
        <f t="shared" si="265"/>
        <v>#DIV/0!</v>
      </c>
      <c r="U921" s="16" t="e">
        <f t="shared" si="266"/>
        <v>#DIV/0!</v>
      </c>
    </row>
    <row r="922" spans="1:21" x14ac:dyDescent="0.3">
      <c r="A922" s="77" t="s">
        <v>1043</v>
      </c>
      <c r="B922" s="78" t="s">
        <v>40</v>
      </c>
      <c r="C922" s="78" t="s">
        <v>338</v>
      </c>
      <c r="D922" s="78" t="s">
        <v>368</v>
      </c>
      <c r="E922" s="79" t="s">
        <v>290</v>
      </c>
      <c r="F922" s="78" t="s">
        <v>509</v>
      </c>
      <c r="G922" s="78" t="s">
        <v>234</v>
      </c>
      <c r="H922" s="78" t="s">
        <v>11</v>
      </c>
      <c r="I922" s="78" t="s">
        <v>214</v>
      </c>
      <c r="J922" s="79" t="s">
        <v>235</v>
      </c>
      <c r="K922" s="80">
        <v>53</v>
      </c>
      <c r="L922" s="80">
        <f t="shared" si="261"/>
        <v>41.568627450980394</v>
      </c>
      <c r="M922" s="81">
        <f>prodnorm21</f>
        <v>0</v>
      </c>
      <c r="N922" s="82">
        <f>dagwerk21</f>
        <v>0</v>
      </c>
      <c r="O922" s="78" t="s">
        <v>103</v>
      </c>
      <c r="P922" s="15">
        <f>uurtarief21</f>
        <v>0</v>
      </c>
      <c r="Q922" s="80" t="e">
        <f t="shared" si="262"/>
        <v>#DIV/0!</v>
      </c>
      <c r="R922" s="80" t="e">
        <f t="shared" si="263"/>
        <v>#DIV/0!</v>
      </c>
      <c r="S922" s="15" t="e">
        <f t="shared" si="264"/>
        <v>#DIV/0!</v>
      </c>
      <c r="T922" s="80" t="e">
        <f t="shared" si="265"/>
        <v>#DIV/0!</v>
      </c>
      <c r="U922" s="16" t="e">
        <f t="shared" si="266"/>
        <v>#DIV/0!</v>
      </c>
    </row>
    <row r="923" spans="1:21" x14ac:dyDescent="0.3">
      <c r="A923" s="77" t="s">
        <v>1043</v>
      </c>
      <c r="B923" s="78" t="s">
        <v>40</v>
      </c>
      <c r="C923" s="78" t="s">
        <v>338</v>
      </c>
      <c r="D923" s="78" t="s">
        <v>369</v>
      </c>
      <c r="E923" s="79" t="s">
        <v>1062</v>
      </c>
      <c r="F923" s="78" t="s">
        <v>509</v>
      </c>
      <c r="G923" s="78" t="s">
        <v>234</v>
      </c>
      <c r="H923" s="78" t="s">
        <v>11</v>
      </c>
      <c r="I923" s="78" t="s">
        <v>214</v>
      </c>
      <c r="J923" s="79" t="s">
        <v>235</v>
      </c>
      <c r="K923" s="80">
        <v>53</v>
      </c>
      <c r="L923" s="80">
        <f t="shared" si="261"/>
        <v>41.568627450980394</v>
      </c>
      <c r="M923" s="81">
        <f>prodnorm21</f>
        <v>0</v>
      </c>
      <c r="N923" s="82">
        <f>dagwerk21</f>
        <v>0</v>
      </c>
      <c r="O923" s="78" t="s">
        <v>103</v>
      </c>
      <c r="P923" s="15">
        <f>uurtarief21</f>
        <v>0</v>
      </c>
      <c r="Q923" s="80" t="e">
        <f t="shared" si="262"/>
        <v>#DIV/0!</v>
      </c>
      <c r="R923" s="80" t="e">
        <f t="shared" si="263"/>
        <v>#DIV/0!</v>
      </c>
      <c r="S923" s="15" t="e">
        <f t="shared" si="264"/>
        <v>#DIV/0!</v>
      </c>
      <c r="T923" s="80" t="e">
        <f t="shared" si="265"/>
        <v>#DIV/0!</v>
      </c>
      <c r="U923" s="16" t="e">
        <f t="shared" si="266"/>
        <v>#DIV/0!</v>
      </c>
    </row>
    <row r="924" spans="1:21" x14ac:dyDescent="0.3">
      <c r="A924" s="77" t="s">
        <v>1043</v>
      </c>
      <c r="B924" s="78" t="s">
        <v>40</v>
      </c>
      <c r="C924" s="78" t="s">
        <v>338</v>
      </c>
      <c r="D924" s="78" t="s">
        <v>370</v>
      </c>
      <c r="E924" s="79" t="s">
        <v>1096</v>
      </c>
      <c r="F924" s="78" t="s">
        <v>509</v>
      </c>
      <c r="G924" s="78" t="s">
        <v>216</v>
      </c>
      <c r="H924" s="78" t="s">
        <v>11</v>
      </c>
      <c r="I924" s="78" t="s">
        <v>214</v>
      </c>
      <c r="J924" s="79" t="s">
        <v>217</v>
      </c>
      <c r="K924" s="80">
        <v>42</v>
      </c>
      <c r="L924" s="80">
        <f t="shared" si="261"/>
        <v>32.941176470588232</v>
      </c>
      <c r="M924" s="81">
        <f>prodnorm6</f>
        <v>0</v>
      </c>
      <c r="N924" s="82">
        <f>dagwerk6</f>
        <v>0</v>
      </c>
      <c r="O924" s="78" t="s">
        <v>103</v>
      </c>
      <c r="P924" s="15">
        <f>uurtarief6</f>
        <v>0</v>
      </c>
      <c r="Q924" s="80" t="e">
        <f t="shared" si="262"/>
        <v>#DIV/0!</v>
      </c>
      <c r="R924" s="80" t="e">
        <f t="shared" si="263"/>
        <v>#DIV/0!</v>
      </c>
      <c r="S924" s="15" t="e">
        <f t="shared" si="264"/>
        <v>#DIV/0!</v>
      </c>
      <c r="T924" s="80" t="e">
        <f t="shared" si="265"/>
        <v>#DIV/0!</v>
      </c>
      <c r="U924" s="16" t="e">
        <f t="shared" si="266"/>
        <v>#DIV/0!</v>
      </c>
    </row>
    <row r="925" spans="1:21" x14ac:dyDescent="0.3">
      <c r="A925" s="77" t="s">
        <v>1043</v>
      </c>
      <c r="B925" s="78" t="s">
        <v>40</v>
      </c>
      <c r="C925" s="78" t="s">
        <v>338</v>
      </c>
      <c r="D925" s="78" t="s">
        <v>1097</v>
      </c>
      <c r="E925" s="79" t="s">
        <v>1098</v>
      </c>
      <c r="F925" s="78" t="s">
        <v>509</v>
      </c>
      <c r="G925" s="78" t="s">
        <v>216</v>
      </c>
      <c r="H925" s="78" t="s">
        <v>16</v>
      </c>
      <c r="I925" s="78" t="s">
        <v>214</v>
      </c>
      <c r="J925" s="79" t="s">
        <v>217</v>
      </c>
      <c r="K925" s="80">
        <v>20</v>
      </c>
      <c r="L925" s="80">
        <f t="shared" si="261"/>
        <v>6.2745098039215685</v>
      </c>
      <c r="M925" s="81">
        <f>prodnorm8</f>
        <v>0</v>
      </c>
      <c r="N925" s="82">
        <f>dagwerk8</f>
        <v>0</v>
      </c>
      <c r="O925" s="78" t="s">
        <v>103</v>
      </c>
      <c r="P925" s="15">
        <f>uurtarief8</f>
        <v>0</v>
      </c>
      <c r="Q925" s="80" t="e">
        <f t="shared" si="262"/>
        <v>#DIV/0!</v>
      </c>
      <c r="R925" s="80" t="e">
        <f t="shared" si="263"/>
        <v>#DIV/0!</v>
      </c>
      <c r="S925" s="15" t="e">
        <f t="shared" si="264"/>
        <v>#DIV/0!</v>
      </c>
      <c r="T925" s="80" t="e">
        <f t="shared" si="265"/>
        <v>#DIV/0!</v>
      </c>
      <c r="U925" s="16" t="e">
        <f t="shared" si="266"/>
        <v>#DIV/0!</v>
      </c>
    </row>
    <row r="926" spans="1:21" x14ac:dyDescent="0.3">
      <c r="A926" s="77" t="s">
        <v>1043</v>
      </c>
      <c r="B926" s="78" t="s">
        <v>40</v>
      </c>
      <c r="C926" s="78" t="s">
        <v>338</v>
      </c>
      <c r="D926" s="78" t="s">
        <v>371</v>
      </c>
      <c r="E926" s="79" t="s">
        <v>1099</v>
      </c>
      <c r="F926" s="78" t="s">
        <v>509</v>
      </c>
      <c r="G926" s="78" t="s">
        <v>242</v>
      </c>
      <c r="H926" s="78" t="s">
        <v>11</v>
      </c>
      <c r="I926" s="78" t="s">
        <v>214</v>
      </c>
      <c r="J926" s="79" t="s">
        <v>243</v>
      </c>
      <c r="K926" s="80">
        <v>30.1</v>
      </c>
      <c r="L926" s="80">
        <f t="shared" si="261"/>
        <v>23.607843137254903</v>
      </c>
      <c r="M926" s="81">
        <f>prodnorm26</f>
        <v>0</v>
      </c>
      <c r="N926" s="82">
        <f>dagwerk26</f>
        <v>0</v>
      </c>
      <c r="O926" s="78" t="s">
        <v>103</v>
      </c>
      <c r="P926" s="15">
        <f>uurtarief26</f>
        <v>0</v>
      </c>
      <c r="Q926" s="80" t="e">
        <f t="shared" si="262"/>
        <v>#DIV/0!</v>
      </c>
      <c r="R926" s="80" t="e">
        <f t="shared" si="263"/>
        <v>#DIV/0!</v>
      </c>
      <c r="S926" s="15" t="e">
        <f t="shared" si="264"/>
        <v>#DIV/0!</v>
      </c>
      <c r="T926" s="80" t="e">
        <f t="shared" si="265"/>
        <v>#DIV/0!</v>
      </c>
      <c r="U926" s="16" t="e">
        <f t="shared" si="266"/>
        <v>#DIV/0!</v>
      </c>
    </row>
    <row r="927" spans="1:21" x14ac:dyDescent="0.3">
      <c r="A927" s="77" t="s">
        <v>1043</v>
      </c>
      <c r="B927" s="78" t="s">
        <v>40</v>
      </c>
      <c r="C927" s="78" t="s">
        <v>338</v>
      </c>
      <c r="D927" s="78" t="s">
        <v>431</v>
      </c>
      <c r="E927" s="79" t="s">
        <v>594</v>
      </c>
      <c r="F927" s="78" t="s">
        <v>509</v>
      </c>
      <c r="G927" s="78" t="s">
        <v>252</v>
      </c>
      <c r="H927" s="78" t="s">
        <v>11</v>
      </c>
      <c r="I927" s="78" t="s">
        <v>214</v>
      </c>
      <c r="J927" s="79" t="s">
        <v>253</v>
      </c>
      <c r="K927" s="80">
        <v>8.8000000000000007</v>
      </c>
      <c r="L927" s="80">
        <f t="shared" si="261"/>
        <v>6.9019607843137258</v>
      </c>
      <c r="M927" s="81">
        <f>prodnorm31</f>
        <v>0</v>
      </c>
      <c r="N927" s="82">
        <f>dagwerk31</f>
        <v>0</v>
      </c>
      <c r="O927" s="78" t="s">
        <v>103</v>
      </c>
      <c r="P927" s="15">
        <f>uurtarief31</f>
        <v>0</v>
      </c>
      <c r="Q927" s="80" t="e">
        <f t="shared" si="262"/>
        <v>#DIV/0!</v>
      </c>
      <c r="R927" s="80" t="e">
        <f t="shared" si="263"/>
        <v>#DIV/0!</v>
      </c>
      <c r="S927" s="15" t="e">
        <f t="shared" si="264"/>
        <v>#DIV/0!</v>
      </c>
      <c r="T927" s="80" t="e">
        <f t="shared" si="265"/>
        <v>#DIV/0!</v>
      </c>
      <c r="U927" s="16" t="e">
        <f t="shared" si="266"/>
        <v>#DIV/0!</v>
      </c>
    </row>
    <row r="928" spans="1:21" x14ac:dyDescent="0.3">
      <c r="A928" s="77" t="s">
        <v>1043</v>
      </c>
      <c r="B928" s="78" t="s">
        <v>40</v>
      </c>
      <c r="C928" s="78" t="s">
        <v>338</v>
      </c>
      <c r="D928" s="78" t="s">
        <v>432</v>
      </c>
      <c r="E928" s="79" t="s">
        <v>592</v>
      </c>
      <c r="F928" s="78" t="s">
        <v>509</v>
      </c>
      <c r="G928" s="78" t="s">
        <v>238</v>
      </c>
      <c r="H928" s="78" t="s">
        <v>21</v>
      </c>
      <c r="I928" s="78" t="s">
        <v>214</v>
      </c>
      <c r="J928" s="79" t="s">
        <v>239</v>
      </c>
      <c r="K928" s="80">
        <v>9.1999999999999993</v>
      </c>
      <c r="L928" s="80">
        <f t="shared" si="261"/>
        <v>0.36078431372549014</v>
      </c>
      <c r="M928" s="81">
        <f>prodnorm23</f>
        <v>0</v>
      </c>
      <c r="N928" s="82">
        <f>dagwerk23</f>
        <v>0</v>
      </c>
      <c r="O928" s="78" t="s">
        <v>103</v>
      </c>
      <c r="P928" s="15">
        <f>uurtarief23</f>
        <v>0</v>
      </c>
      <c r="Q928" s="80" t="e">
        <f t="shared" si="262"/>
        <v>#DIV/0!</v>
      </c>
      <c r="R928" s="80" t="e">
        <f t="shared" si="263"/>
        <v>#DIV/0!</v>
      </c>
      <c r="S928" s="15" t="e">
        <f t="shared" si="264"/>
        <v>#DIV/0!</v>
      </c>
      <c r="T928" s="80" t="e">
        <f t="shared" si="265"/>
        <v>#DIV/0!</v>
      </c>
      <c r="U928" s="16" t="e">
        <f t="shared" si="266"/>
        <v>#DIV/0!</v>
      </c>
    </row>
    <row r="929" spans="1:21" x14ac:dyDescent="0.3">
      <c r="A929" s="77" t="s">
        <v>1043</v>
      </c>
      <c r="B929" s="78" t="s">
        <v>40</v>
      </c>
      <c r="C929" s="78" t="s">
        <v>338</v>
      </c>
      <c r="D929" s="78" t="s">
        <v>433</v>
      </c>
      <c r="E929" s="79" t="s">
        <v>1100</v>
      </c>
      <c r="F929" s="78" t="s">
        <v>509</v>
      </c>
      <c r="G929" s="78" t="s">
        <v>234</v>
      </c>
      <c r="H929" s="78" t="s">
        <v>11</v>
      </c>
      <c r="I929" s="78" t="s">
        <v>214</v>
      </c>
      <c r="J929" s="79" t="s">
        <v>235</v>
      </c>
      <c r="K929" s="80">
        <v>32.4</v>
      </c>
      <c r="L929" s="80">
        <f t="shared" si="261"/>
        <v>25.411764705882351</v>
      </c>
      <c r="M929" s="81">
        <f>prodnorm21</f>
        <v>0</v>
      </c>
      <c r="N929" s="82">
        <f>dagwerk21</f>
        <v>0</v>
      </c>
      <c r="O929" s="78" t="s">
        <v>103</v>
      </c>
      <c r="P929" s="15">
        <f>uurtarief21</f>
        <v>0</v>
      </c>
      <c r="Q929" s="80" t="e">
        <f t="shared" si="262"/>
        <v>#DIV/0!</v>
      </c>
      <c r="R929" s="80" t="e">
        <f t="shared" si="263"/>
        <v>#DIV/0!</v>
      </c>
      <c r="S929" s="15" t="e">
        <f t="shared" si="264"/>
        <v>#DIV/0!</v>
      </c>
      <c r="T929" s="80" t="e">
        <f t="shared" si="265"/>
        <v>#DIV/0!</v>
      </c>
      <c r="U929" s="16" t="e">
        <f t="shared" si="266"/>
        <v>#DIV/0!</v>
      </c>
    </row>
    <row r="930" spans="1:21" x14ac:dyDescent="0.3">
      <c r="A930" s="77" t="s">
        <v>1043</v>
      </c>
      <c r="B930" s="78" t="s">
        <v>40</v>
      </c>
      <c r="C930" s="78" t="s">
        <v>338</v>
      </c>
      <c r="D930" s="78" t="s">
        <v>701</v>
      </c>
      <c r="E930" s="79" t="s">
        <v>820</v>
      </c>
      <c r="F930" s="78" t="s">
        <v>509</v>
      </c>
      <c r="G930" s="78" t="s">
        <v>213</v>
      </c>
      <c r="H930" s="78" t="s">
        <v>11</v>
      </c>
      <c r="I930" s="78" t="s">
        <v>214</v>
      </c>
      <c r="J930" s="79" t="s">
        <v>215</v>
      </c>
      <c r="K930" s="80">
        <v>487.1</v>
      </c>
      <c r="L930" s="80">
        <f t="shared" si="261"/>
        <v>382.03921568627453</v>
      </c>
      <c r="M930" s="81">
        <f>prodnorm5</f>
        <v>0</v>
      </c>
      <c r="N930" s="82">
        <f>dagwerk5</f>
        <v>0</v>
      </c>
      <c r="O930" s="78" t="s">
        <v>103</v>
      </c>
      <c r="P930" s="15">
        <f>uurtarief5</f>
        <v>0</v>
      </c>
      <c r="Q930" s="80" t="e">
        <f t="shared" si="262"/>
        <v>#DIV/0!</v>
      </c>
      <c r="R930" s="80" t="e">
        <f t="shared" si="263"/>
        <v>#DIV/0!</v>
      </c>
      <c r="S930" s="15" t="e">
        <f t="shared" si="264"/>
        <v>#DIV/0!</v>
      </c>
      <c r="T930" s="80" t="e">
        <f t="shared" si="265"/>
        <v>#DIV/0!</v>
      </c>
      <c r="U930" s="16" t="e">
        <f t="shared" si="266"/>
        <v>#DIV/0!</v>
      </c>
    </row>
    <row r="931" spans="1:21" x14ac:dyDescent="0.3">
      <c r="A931" s="77" t="s">
        <v>1043</v>
      </c>
      <c r="B931" s="78" t="s">
        <v>40</v>
      </c>
      <c r="C931" s="78" t="s">
        <v>338</v>
      </c>
      <c r="D931" s="78" t="s">
        <v>702</v>
      </c>
      <c r="E931" s="79" t="s">
        <v>592</v>
      </c>
      <c r="F931" s="78" t="s">
        <v>509</v>
      </c>
      <c r="G931" s="78" t="s">
        <v>238</v>
      </c>
      <c r="H931" s="78" t="s">
        <v>21</v>
      </c>
      <c r="I931" s="78" t="s">
        <v>214</v>
      </c>
      <c r="J931" s="79" t="s">
        <v>239</v>
      </c>
      <c r="K931" s="80">
        <v>7.1</v>
      </c>
      <c r="L931" s="80">
        <f t="shared" si="261"/>
        <v>0.27843137254901956</v>
      </c>
      <c r="M931" s="81">
        <f>prodnorm23</f>
        <v>0</v>
      </c>
      <c r="N931" s="82">
        <f>dagwerk23</f>
        <v>0</v>
      </c>
      <c r="O931" s="78" t="s">
        <v>103</v>
      </c>
      <c r="P931" s="15">
        <f>uurtarief23</f>
        <v>0</v>
      </c>
      <c r="Q931" s="80" t="e">
        <f t="shared" si="262"/>
        <v>#DIV/0!</v>
      </c>
      <c r="R931" s="80" t="e">
        <f t="shared" si="263"/>
        <v>#DIV/0!</v>
      </c>
      <c r="S931" s="15" t="e">
        <f t="shared" si="264"/>
        <v>#DIV/0!</v>
      </c>
      <c r="T931" s="80" t="e">
        <f t="shared" si="265"/>
        <v>#DIV/0!</v>
      </c>
      <c r="U931" s="16" t="e">
        <f t="shared" si="266"/>
        <v>#DIV/0!</v>
      </c>
    </row>
    <row r="932" spans="1:21" x14ac:dyDescent="0.3">
      <c r="A932" s="77" t="s">
        <v>1043</v>
      </c>
      <c r="B932" s="78" t="s">
        <v>40</v>
      </c>
      <c r="C932" s="78" t="s">
        <v>338</v>
      </c>
      <c r="D932" s="78" t="s">
        <v>703</v>
      </c>
      <c r="E932" s="79" t="s">
        <v>1101</v>
      </c>
      <c r="F932" s="78" t="s">
        <v>509</v>
      </c>
      <c r="G932" s="78" t="s">
        <v>238</v>
      </c>
      <c r="H932" s="78" t="s">
        <v>21</v>
      </c>
      <c r="I932" s="78" t="s">
        <v>214</v>
      </c>
      <c r="J932" s="79" t="s">
        <v>239</v>
      </c>
      <c r="K932" s="80">
        <v>121</v>
      </c>
      <c r="L932" s="80">
        <f t="shared" si="261"/>
        <v>4.7450980392156863</v>
      </c>
      <c r="M932" s="81">
        <f>prodnorm23</f>
        <v>0</v>
      </c>
      <c r="N932" s="82">
        <f>dagwerk23</f>
        <v>0</v>
      </c>
      <c r="O932" s="78" t="s">
        <v>103</v>
      </c>
      <c r="P932" s="15">
        <f>uurtarief23</f>
        <v>0</v>
      </c>
      <c r="Q932" s="80" t="e">
        <f t="shared" si="262"/>
        <v>#DIV/0!</v>
      </c>
      <c r="R932" s="80" t="e">
        <f t="shared" si="263"/>
        <v>#DIV/0!</v>
      </c>
      <c r="S932" s="15" t="e">
        <f t="shared" si="264"/>
        <v>#DIV/0!</v>
      </c>
      <c r="T932" s="80" t="e">
        <f t="shared" si="265"/>
        <v>#DIV/0!</v>
      </c>
      <c r="U932" s="16" t="e">
        <f t="shared" si="266"/>
        <v>#DIV/0!</v>
      </c>
    </row>
    <row r="933" spans="1:21" x14ac:dyDescent="0.3">
      <c r="A933" s="77" t="s">
        <v>1043</v>
      </c>
      <c r="B933" s="78" t="s">
        <v>40</v>
      </c>
      <c r="C933" s="78" t="s">
        <v>556</v>
      </c>
      <c r="D933" s="78" t="s">
        <v>1102</v>
      </c>
      <c r="E933" s="79" t="s">
        <v>1062</v>
      </c>
      <c r="F933" s="78" t="s">
        <v>509</v>
      </c>
      <c r="G933" s="78" t="s">
        <v>234</v>
      </c>
      <c r="H933" s="78" t="s">
        <v>11</v>
      </c>
      <c r="I933" s="78" t="s">
        <v>214</v>
      </c>
      <c r="J933" s="79" t="s">
        <v>235</v>
      </c>
      <c r="K933" s="80">
        <v>53.3</v>
      </c>
      <c r="L933" s="80">
        <f t="shared" si="261"/>
        <v>41.803921568627452</v>
      </c>
      <c r="M933" s="81">
        <f>prodnorm21</f>
        <v>0</v>
      </c>
      <c r="N933" s="82">
        <f>dagwerk21</f>
        <v>0</v>
      </c>
      <c r="O933" s="78" t="s">
        <v>103</v>
      </c>
      <c r="P933" s="15">
        <f>uurtarief21</f>
        <v>0</v>
      </c>
      <c r="Q933" s="80" t="e">
        <f t="shared" si="262"/>
        <v>#DIV/0!</v>
      </c>
      <c r="R933" s="80" t="e">
        <f t="shared" si="263"/>
        <v>#DIV/0!</v>
      </c>
      <c r="S933" s="15" t="e">
        <f t="shared" si="264"/>
        <v>#DIV/0!</v>
      </c>
      <c r="T933" s="80" t="e">
        <f t="shared" si="265"/>
        <v>#DIV/0!</v>
      </c>
      <c r="U933" s="16" t="e">
        <f t="shared" si="266"/>
        <v>#DIV/0!</v>
      </c>
    </row>
    <row r="934" spans="1:21" x14ac:dyDescent="0.3">
      <c r="A934" s="77" t="s">
        <v>1043</v>
      </c>
      <c r="B934" s="78" t="s">
        <v>40</v>
      </c>
      <c r="C934" s="78" t="s">
        <v>556</v>
      </c>
      <c r="D934" s="78" t="s">
        <v>557</v>
      </c>
      <c r="E934" s="79" t="s">
        <v>1062</v>
      </c>
      <c r="F934" s="78" t="s">
        <v>509</v>
      </c>
      <c r="G934" s="78" t="s">
        <v>234</v>
      </c>
      <c r="H934" s="78" t="s">
        <v>11</v>
      </c>
      <c r="I934" s="78" t="s">
        <v>214</v>
      </c>
      <c r="J934" s="79" t="s">
        <v>235</v>
      </c>
      <c r="K934" s="80">
        <v>26.4</v>
      </c>
      <c r="L934" s="80">
        <f t="shared" si="261"/>
        <v>20.705882352941174</v>
      </c>
      <c r="M934" s="81">
        <f>prodnorm21</f>
        <v>0</v>
      </c>
      <c r="N934" s="82">
        <f>dagwerk21</f>
        <v>0</v>
      </c>
      <c r="O934" s="78" t="s">
        <v>103</v>
      </c>
      <c r="P934" s="15">
        <f>uurtarief21</f>
        <v>0</v>
      </c>
      <c r="Q934" s="80" t="e">
        <f t="shared" si="262"/>
        <v>#DIV/0!</v>
      </c>
      <c r="R934" s="80" t="e">
        <f t="shared" si="263"/>
        <v>#DIV/0!</v>
      </c>
      <c r="S934" s="15" t="e">
        <f t="shared" si="264"/>
        <v>#DIV/0!</v>
      </c>
      <c r="T934" s="80" t="e">
        <f t="shared" si="265"/>
        <v>#DIV/0!</v>
      </c>
      <c r="U934" s="16" t="e">
        <f t="shared" si="266"/>
        <v>#DIV/0!</v>
      </c>
    </row>
    <row r="935" spans="1:21" x14ac:dyDescent="0.3">
      <c r="A935" s="77" t="s">
        <v>1043</v>
      </c>
      <c r="B935" s="78" t="s">
        <v>40</v>
      </c>
      <c r="C935" s="78" t="s">
        <v>556</v>
      </c>
      <c r="D935" s="78" t="s">
        <v>559</v>
      </c>
      <c r="E935" s="79" t="s">
        <v>1062</v>
      </c>
      <c r="F935" s="78" t="s">
        <v>509</v>
      </c>
      <c r="G935" s="78" t="s">
        <v>234</v>
      </c>
      <c r="H935" s="78" t="s">
        <v>11</v>
      </c>
      <c r="I935" s="78" t="s">
        <v>214</v>
      </c>
      <c r="J935" s="79" t="s">
        <v>235</v>
      </c>
      <c r="K935" s="80">
        <v>80</v>
      </c>
      <c r="L935" s="80">
        <f t="shared" si="261"/>
        <v>62.745098039215684</v>
      </c>
      <c r="M935" s="81">
        <f>prodnorm21</f>
        <v>0</v>
      </c>
      <c r="N935" s="82">
        <f>dagwerk21</f>
        <v>0</v>
      </c>
      <c r="O935" s="78" t="s">
        <v>103</v>
      </c>
      <c r="P935" s="15">
        <f>uurtarief21</f>
        <v>0</v>
      </c>
      <c r="Q935" s="80" t="e">
        <f t="shared" si="262"/>
        <v>#DIV/0!</v>
      </c>
      <c r="R935" s="80" t="e">
        <f t="shared" si="263"/>
        <v>#DIV/0!</v>
      </c>
      <c r="S935" s="15" t="e">
        <f t="shared" si="264"/>
        <v>#DIV/0!</v>
      </c>
      <c r="T935" s="80" t="e">
        <f t="shared" si="265"/>
        <v>#DIV/0!</v>
      </c>
      <c r="U935" s="16" t="e">
        <f t="shared" si="266"/>
        <v>#DIV/0!</v>
      </c>
    </row>
    <row r="936" spans="1:21" x14ac:dyDescent="0.3">
      <c r="A936" s="77" t="s">
        <v>1043</v>
      </c>
      <c r="B936" s="78" t="s">
        <v>40</v>
      </c>
      <c r="C936" s="78" t="s">
        <v>556</v>
      </c>
      <c r="D936" s="78" t="s">
        <v>561</v>
      </c>
      <c r="E936" s="79" t="s">
        <v>1062</v>
      </c>
      <c r="F936" s="78" t="s">
        <v>509</v>
      </c>
      <c r="G936" s="78" t="s">
        <v>234</v>
      </c>
      <c r="H936" s="78" t="s">
        <v>11</v>
      </c>
      <c r="I936" s="78" t="s">
        <v>214</v>
      </c>
      <c r="J936" s="79" t="s">
        <v>235</v>
      </c>
      <c r="K936" s="80">
        <v>53</v>
      </c>
      <c r="L936" s="80">
        <f t="shared" si="261"/>
        <v>41.568627450980394</v>
      </c>
      <c r="M936" s="81">
        <f>prodnorm21</f>
        <v>0</v>
      </c>
      <c r="N936" s="82">
        <f>dagwerk21</f>
        <v>0</v>
      </c>
      <c r="O936" s="78" t="s">
        <v>103</v>
      </c>
      <c r="P936" s="15">
        <f>uurtarief21</f>
        <v>0</v>
      </c>
      <c r="Q936" s="80" t="e">
        <f t="shared" si="262"/>
        <v>#DIV/0!</v>
      </c>
      <c r="R936" s="80" t="e">
        <f t="shared" si="263"/>
        <v>#DIV/0!</v>
      </c>
      <c r="S936" s="15" t="e">
        <f t="shared" si="264"/>
        <v>#DIV/0!</v>
      </c>
      <c r="T936" s="80" t="e">
        <f t="shared" si="265"/>
        <v>#DIV/0!</v>
      </c>
      <c r="U936" s="16" t="e">
        <f t="shared" si="266"/>
        <v>#DIV/0!</v>
      </c>
    </row>
    <row r="937" spans="1:21" x14ac:dyDescent="0.3">
      <c r="A937" s="77" t="s">
        <v>1043</v>
      </c>
      <c r="B937" s="78" t="s">
        <v>40</v>
      </c>
      <c r="C937" s="78" t="s">
        <v>556</v>
      </c>
      <c r="D937" s="78" t="s">
        <v>562</v>
      </c>
      <c r="E937" s="79" t="s">
        <v>594</v>
      </c>
      <c r="F937" s="78" t="s">
        <v>509</v>
      </c>
      <c r="G937" s="78" t="s">
        <v>252</v>
      </c>
      <c r="H937" s="78" t="s">
        <v>11</v>
      </c>
      <c r="I937" s="78" t="s">
        <v>214</v>
      </c>
      <c r="J937" s="79" t="s">
        <v>253</v>
      </c>
      <c r="K937" s="80">
        <v>14.6</v>
      </c>
      <c r="L937" s="80">
        <f t="shared" si="261"/>
        <v>11.450980392156863</v>
      </c>
      <c r="M937" s="81">
        <f>prodnorm31</f>
        <v>0</v>
      </c>
      <c r="N937" s="82">
        <f>dagwerk31</f>
        <v>0</v>
      </c>
      <c r="O937" s="78" t="s">
        <v>103</v>
      </c>
      <c r="P937" s="15">
        <f>uurtarief31</f>
        <v>0</v>
      </c>
      <c r="Q937" s="80" t="e">
        <f t="shared" si="262"/>
        <v>#DIV/0!</v>
      </c>
      <c r="R937" s="80" t="e">
        <f t="shared" si="263"/>
        <v>#DIV/0!</v>
      </c>
      <c r="S937" s="15" t="e">
        <f t="shared" si="264"/>
        <v>#DIV/0!</v>
      </c>
      <c r="T937" s="80" t="e">
        <f t="shared" si="265"/>
        <v>#DIV/0!</v>
      </c>
      <c r="U937" s="16" t="e">
        <f t="shared" si="266"/>
        <v>#DIV/0!</v>
      </c>
    </row>
    <row r="938" spans="1:21" ht="27" x14ac:dyDescent="0.3">
      <c r="A938" s="77" t="s">
        <v>1043</v>
      </c>
      <c r="B938" s="78" t="s">
        <v>40</v>
      </c>
      <c r="C938" s="78" t="s">
        <v>556</v>
      </c>
      <c r="D938" s="78" t="s">
        <v>563</v>
      </c>
      <c r="E938" s="79" t="s">
        <v>808</v>
      </c>
      <c r="F938" s="78" t="s">
        <v>509</v>
      </c>
      <c r="G938" s="78" t="s">
        <v>256</v>
      </c>
      <c r="H938" s="78" t="s">
        <v>11</v>
      </c>
      <c r="I938" s="78" t="s">
        <v>214</v>
      </c>
      <c r="J938" s="79" t="s">
        <v>257</v>
      </c>
      <c r="K938" s="80">
        <v>157.69999999999999</v>
      </c>
      <c r="L938" s="80">
        <f t="shared" si="261"/>
        <v>123.68627450980391</v>
      </c>
      <c r="M938" s="81">
        <f>prodnorm33</f>
        <v>0</v>
      </c>
      <c r="N938" s="82">
        <f>dagwerk33</f>
        <v>0</v>
      </c>
      <c r="O938" s="78" t="s">
        <v>103</v>
      </c>
      <c r="P938" s="15">
        <f>uurtarief33</f>
        <v>0</v>
      </c>
      <c r="Q938" s="80" t="e">
        <f t="shared" si="262"/>
        <v>#DIV/0!</v>
      </c>
      <c r="R938" s="80" t="e">
        <f t="shared" si="263"/>
        <v>#DIV/0!</v>
      </c>
      <c r="S938" s="15" t="e">
        <f t="shared" si="264"/>
        <v>#DIV/0!</v>
      </c>
      <c r="T938" s="80" t="e">
        <f t="shared" si="265"/>
        <v>#DIV/0!</v>
      </c>
      <c r="U938" s="16" t="e">
        <f t="shared" si="266"/>
        <v>#DIV/0!</v>
      </c>
    </row>
    <row r="939" spans="1:21" x14ac:dyDescent="0.3">
      <c r="A939" s="77" t="s">
        <v>1043</v>
      </c>
      <c r="B939" s="78" t="s">
        <v>40</v>
      </c>
      <c r="C939" s="78" t="s">
        <v>556</v>
      </c>
      <c r="D939" s="78" t="s">
        <v>564</v>
      </c>
      <c r="E939" s="79" t="s">
        <v>592</v>
      </c>
      <c r="F939" s="78" t="s">
        <v>509</v>
      </c>
      <c r="G939" s="78" t="s">
        <v>238</v>
      </c>
      <c r="H939" s="78" t="s">
        <v>21</v>
      </c>
      <c r="I939" s="78" t="s">
        <v>214</v>
      </c>
      <c r="J939" s="79" t="s">
        <v>239</v>
      </c>
      <c r="K939" s="80">
        <v>3.2</v>
      </c>
      <c r="L939" s="80">
        <f t="shared" si="261"/>
        <v>0.12549019607843137</v>
      </c>
      <c r="M939" s="81">
        <f>prodnorm23</f>
        <v>0</v>
      </c>
      <c r="N939" s="82">
        <f>dagwerk23</f>
        <v>0</v>
      </c>
      <c r="O939" s="78" t="s">
        <v>103</v>
      </c>
      <c r="P939" s="15">
        <f>uurtarief23</f>
        <v>0</v>
      </c>
      <c r="Q939" s="80" t="e">
        <f t="shared" si="262"/>
        <v>#DIV/0!</v>
      </c>
      <c r="R939" s="80" t="e">
        <f t="shared" si="263"/>
        <v>#DIV/0!</v>
      </c>
      <c r="S939" s="15" t="e">
        <f t="shared" si="264"/>
        <v>#DIV/0!</v>
      </c>
      <c r="T939" s="80" t="e">
        <f t="shared" si="265"/>
        <v>#DIV/0!</v>
      </c>
      <c r="U939" s="16" t="e">
        <f t="shared" si="266"/>
        <v>#DIV/0!</v>
      </c>
    </row>
    <row r="940" spans="1:21" x14ac:dyDescent="0.3">
      <c r="A940" s="77" t="s">
        <v>1043</v>
      </c>
      <c r="B940" s="78" t="s">
        <v>40</v>
      </c>
      <c r="C940" s="78" t="s">
        <v>556</v>
      </c>
      <c r="D940" s="78" t="s">
        <v>565</v>
      </c>
      <c r="E940" s="79" t="s">
        <v>594</v>
      </c>
      <c r="F940" s="78" t="s">
        <v>509</v>
      </c>
      <c r="G940" s="78" t="s">
        <v>252</v>
      </c>
      <c r="H940" s="78" t="s">
        <v>11</v>
      </c>
      <c r="I940" s="78" t="s">
        <v>214</v>
      </c>
      <c r="J940" s="79" t="s">
        <v>253</v>
      </c>
      <c r="K940" s="80">
        <v>14.6</v>
      </c>
      <c r="L940" s="80">
        <f t="shared" si="261"/>
        <v>11.450980392156863</v>
      </c>
      <c r="M940" s="81">
        <f>prodnorm31</f>
        <v>0</v>
      </c>
      <c r="N940" s="82">
        <f>dagwerk31</f>
        <v>0</v>
      </c>
      <c r="O940" s="78" t="s">
        <v>103</v>
      </c>
      <c r="P940" s="15">
        <f>uurtarief31</f>
        <v>0</v>
      </c>
      <c r="Q940" s="80" t="e">
        <f t="shared" si="262"/>
        <v>#DIV/0!</v>
      </c>
      <c r="R940" s="80" t="e">
        <f t="shared" si="263"/>
        <v>#DIV/0!</v>
      </c>
      <c r="S940" s="15" t="e">
        <f t="shared" si="264"/>
        <v>#DIV/0!</v>
      </c>
      <c r="T940" s="80" t="e">
        <f t="shared" si="265"/>
        <v>#DIV/0!</v>
      </c>
      <c r="U940" s="16" t="e">
        <f t="shared" si="266"/>
        <v>#DIV/0!</v>
      </c>
    </row>
    <row r="941" spans="1:21" x14ac:dyDescent="0.3">
      <c r="A941" s="77" t="s">
        <v>1043</v>
      </c>
      <c r="B941" s="78" t="s">
        <v>40</v>
      </c>
      <c r="C941" s="78" t="s">
        <v>556</v>
      </c>
      <c r="D941" s="78" t="s">
        <v>566</v>
      </c>
      <c r="E941" s="79" t="s">
        <v>290</v>
      </c>
      <c r="F941" s="78" t="s">
        <v>509</v>
      </c>
      <c r="G941" s="78" t="s">
        <v>234</v>
      </c>
      <c r="H941" s="78" t="s">
        <v>11</v>
      </c>
      <c r="I941" s="78" t="s">
        <v>214</v>
      </c>
      <c r="J941" s="79" t="s">
        <v>235</v>
      </c>
      <c r="K941" s="80">
        <v>53</v>
      </c>
      <c r="L941" s="80">
        <f t="shared" si="261"/>
        <v>41.568627450980394</v>
      </c>
      <c r="M941" s="81">
        <f>prodnorm21</f>
        <v>0</v>
      </c>
      <c r="N941" s="82">
        <f>dagwerk21</f>
        <v>0</v>
      </c>
      <c r="O941" s="78" t="s">
        <v>103</v>
      </c>
      <c r="P941" s="15">
        <f>uurtarief21</f>
        <v>0</v>
      </c>
      <c r="Q941" s="80" t="e">
        <f t="shared" si="262"/>
        <v>#DIV/0!</v>
      </c>
      <c r="R941" s="80" t="e">
        <f t="shared" si="263"/>
        <v>#DIV/0!</v>
      </c>
      <c r="S941" s="15" t="e">
        <f t="shared" si="264"/>
        <v>#DIV/0!</v>
      </c>
      <c r="T941" s="80" t="e">
        <f t="shared" si="265"/>
        <v>#DIV/0!</v>
      </c>
      <c r="U941" s="16" t="e">
        <f t="shared" si="266"/>
        <v>#DIV/0!</v>
      </c>
    </row>
    <row r="942" spans="1:21" x14ac:dyDescent="0.3">
      <c r="A942" s="77" t="s">
        <v>1043</v>
      </c>
      <c r="B942" s="78" t="s">
        <v>40</v>
      </c>
      <c r="C942" s="78" t="s">
        <v>556</v>
      </c>
      <c r="D942" s="78" t="s">
        <v>567</v>
      </c>
      <c r="E942" s="79" t="s">
        <v>1103</v>
      </c>
      <c r="F942" s="78" t="s">
        <v>509</v>
      </c>
      <c r="G942" s="78" t="s">
        <v>216</v>
      </c>
      <c r="H942" s="78" t="s">
        <v>16</v>
      </c>
      <c r="I942" s="78" t="s">
        <v>214</v>
      </c>
      <c r="J942" s="79" t="s">
        <v>217</v>
      </c>
      <c r="K942" s="80">
        <v>25.5</v>
      </c>
      <c r="L942" s="80">
        <f t="shared" si="261"/>
        <v>8</v>
      </c>
      <c r="M942" s="81">
        <f>prodnorm8</f>
        <v>0</v>
      </c>
      <c r="N942" s="82">
        <f>dagwerk8</f>
        <v>0</v>
      </c>
      <c r="O942" s="78" t="s">
        <v>103</v>
      </c>
      <c r="P942" s="15">
        <f>uurtarief8</f>
        <v>0</v>
      </c>
      <c r="Q942" s="80" t="e">
        <f t="shared" si="262"/>
        <v>#DIV/0!</v>
      </c>
      <c r="R942" s="80" t="e">
        <f t="shared" si="263"/>
        <v>#DIV/0!</v>
      </c>
      <c r="S942" s="15" t="e">
        <f t="shared" si="264"/>
        <v>#DIV/0!</v>
      </c>
      <c r="T942" s="80" t="e">
        <f t="shared" si="265"/>
        <v>#DIV/0!</v>
      </c>
      <c r="U942" s="16" t="e">
        <f t="shared" si="266"/>
        <v>#DIV/0!</v>
      </c>
    </row>
    <row r="943" spans="1:21" x14ac:dyDescent="0.3">
      <c r="A943" s="77" t="s">
        <v>1043</v>
      </c>
      <c r="B943" s="78" t="s">
        <v>40</v>
      </c>
      <c r="C943" s="78" t="s">
        <v>556</v>
      </c>
      <c r="D943" s="78" t="s">
        <v>568</v>
      </c>
      <c r="E943" s="79" t="s">
        <v>290</v>
      </c>
      <c r="F943" s="78" t="s">
        <v>509</v>
      </c>
      <c r="G943" s="78" t="s">
        <v>234</v>
      </c>
      <c r="H943" s="78" t="s">
        <v>11</v>
      </c>
      <c r="I943" s="78" t="s">
        <v>214</v>
      </c>
      <c r="J943" s="79" t="s">
        <v>235</v>
      </c>
      <c r="K943" s="80">
        <v>97.5</v>
      </c>
      <c r="L943" s="80">
        <f t="shared" si="261"/>
        <v>76.470588235294116</v>
      </c>
      <c r="M943" s="81">
        <f>prodnorm21</f>
        <v>0</v>
      </c>
      <c r="N943" s="82">
        <f>dagwerk21</f>
        <v>0</v>
      </c>
      <c r="O943" s="78" t="s">
        <v>103</v>
      </c>
      <c r="P943" s="15">
        <f>uurtarief21</f>
        <v>0</v>
      </c>
      <c r="Q943" s="80" t="e">
        <f t="shared" si="262"/>
        <v>#DIV/0!</v>
      </c>
      <c r="R943" s="80" t="e">
        <f t="shared" si="263"/>
        <v>#DIV/0!</v>
      </c>
      <c r="S943" s="15" t="e">
        <f t="shared" si="264"/>
        <v>#DIV/0!</v>
      </c>
      <c r="T943" s="80" t="e">
        <f t="shared" si="265"/>
        <v>#DIV/0!</v>
      </c>
      <c r="U943" s="16" t="e">
        <f t="shared" si="266"/>
        <v>#DIV/0!</v>
      </c>
    </row>
    <row r="944" spans="1:21" x14ac:dyDescent="0.3">
      <c r="A944" s="77" t="s">
        <v>1043</v>
      </c>
      <c r="B944" s="78" t="s">
        <v>40</v>
      </c>
      <c r="C944" s="78" t="s">
        <v>556</v>
      </c>
      <c r="D944" s="78" t="s">
        <v>569</v>
      </c>
      <c r="E944" s="79" t="s">
        <v>419</v>
      </c>
      <c r="F944" s="78" t="s">
        <v>591</v>
      </c>
      <c r="G944" s="78" t="s">
        <v>250</v>
      </c>
      <c r="H944" s="78" t="s">
        <v>11</v>
      </c>
      <c r="I944" s="78" t="s">
        <v>214</v>
      </c>
      <c r="J944" s="79" t="s">
        <v>251</v>
      </c>
      <c r="K944" s="80">
        <v>11.8</v>
      </c>
      <c r="L944" s="80">
        <f t="shared" si="261"/>
        <v>9.2549019607843146</v>
      </c>
      <c r="M944" s="81">
        <f>prodnorm30</f>
        <v>0</v>
      </c>
      <c r="N944" s="82">
        <f>dagwerk30</f>
        <v>0</v>
      </c>
      <c r="O944" s="78" t="s">
        <v>103</v>
      </c>
      <c r="P944" s="15">
        <f>uurtarief30</f>
        <v>0</v>
      </c>
      <c r="Q944" s="80" t="e">
        <f t="shared" si="262"/>
        <v>#DIV/0!</v>
      </c>
      <c r="R944" s="80" t="e">
        <f t="shared" si="263"/>
        <v>#DIV/0!</v>
      </c>
      <c r="S944" s="15" t="e">
        <f t="shared" si="264"/>
        <v>#DIV/0!</v>
      </c>
      <c r="T944" s="80" t="e">
        <f t="shared" si="265"/>
        <v>#DIV/0!</v>
      </c>
      <c r="U944" s="16" t="e">
        <f t="shared" si="266"/>
        <v>#DIV/0!</v>
      </c>
    </row>
    <row r="945" spans="1:21" x14ac:dyDescent="0.3">
      <c r="A945" s="77" t="s">
        <v>1043</v>
      </c>
      <c r="B945" s="78" t="s">
        <v>40</v>
      </c>
      <c r="C945" s="78" t="s">
        <v>556</v>
      </c>
      <c r="D945" s="78" t="s">
        <v>571</v>
      </c>
      <c r="E945" s="79" t="s">
        <v>419</v>
      </c>
      <c r="F945" s="78" t="s">
        <v>591</v>
      </c>
      <c r="G945" s="78" t="s">
        <v>250</v>
      </c>
      <c r="H945" s="78" t="s">
        <v>11</v>
      </c>
      <c r="I945" s="78" t="s">
        <v>214</v>
      </c>
      <c r="J945" s="79" t="s">
        <v>251</v>
      </c>
      <c r="K945" s="80">
        <v>11.8</v>
      </c>
      <c r="L945" s="80">
        <f t="shared" si="261"/>
        <v>9.2549019607843146</v>
      </c>
      <c r="M945" s="81">
        <f>prodnorm30</f>
        <v>0</v>
      </c>
      <c r="N945" s="82">
        <f>dagwerk30</f>
        <v>0</v>
      </c>
      <c r="O945" s="78" t="s">
        <v>103</v>
      </c>
      <c r="P945" s="15">
        <f>uurtarief30</f>
        <v>0</v>
      </c>
      <c r="Q945" s="80" t="e">
        <f t="shared" si="262"/>
        <v>#DIV/0!</v>
      </c>
      <c r="R945" s="80" t="e">
        <f t="shared" si="263"/>
        <v>#DIV/0!</v>
      </c>
      <c r="S945" s="15" t="e">
        <f t="shared" si="264"/>
        <v>#DIV/0!</v>
      </c>
      <c r="T945" s="80" t="e">
        <f t="shared" si="265"/>
        <v>#DIV/0!</v>
      </c>
      <c r="U945" s="16" t="e">
        <f t="shared" si="266"/>
        <v>#DIV/0!</v>
      </c>
    </row>
    <row r="946" spans="1:21" ht="27" x14ac:dyDescent="0.3">
      <c r="A946" s="77" t="s">
        <v>1043</v>
      </c>
      <c r="B946" s="78" t="s">
        <v>40</v>
      </c>
      <c r="C946" s="78" t="s">
        <v>556</v>
      </c>
      <c r="D946" s="78" t="s">
        <v>572</v>
      </c>
      <c r="E946" s="79" t="s">
        <v>808</v>
      </c>
      <c r="F946" s="78" t="s">
        <v>509</v>
      </c>
      <c r="G946" s="78" t="s">
        <v>256</v>
      </c>
      <c r="H946" s="78" t="s">
        <v>11</v>
      </c>
      <c r="I946" s="78" t="s">
        <v>214</v>
      </c>
      <c r="J946" s="79" t="s">
        <v>257</v>
      </c>
      <c r="K946" s="80">
        <v>29.4</v>
      </c>
      <c r="L946" s="80">
        <f t="shared" si="261"/>
        <v>23.058823529411764</v>
      </c>
      <c r="M946" s="81">
        <f>prodnorm33</f>
        <v>0</v>
      </c>
      <c r="N946" s="82">
        <f>dagwerk33</f>
        <v>0</v>
      </c>
      <c r="O946" s="78" t="s">
        <v>103</v>
      </c>
      <c r="P946" s="15">
        <f>uurtarief33</f>
        <v>0</v>
      </c>
      <c r="Q946" s="80" t="e">
        <f t="shared" si="262"/>
        <v>#DIV/0!</v>
      </c>
      <c r="R946" s="80" t="e">
        <f t="shared" si="263"/>
        <v>#DIV/0!</v>
      </c>
      <c r="S946" s="15" t="e">
        <f t="shared" si="264"/>
        <v>#DIV/0!</v>
      </c>
      <c r="T946" s="80" t="e">
        <f t="shared" si="265"/>
        <v>#DIV/0!</v>
      </c>
      <c r="U946" s="16" t="e">
        <f t="shared" si="266"/>
        <v>#DIV/0!</v>
      </c>
    </row>
    <row r="947" spans="1:21" x14ac:dyDescent="0.3">
      <c r="A947" s="77" t="s">
        <v>1043</v>
      </c>
      <c r="B947" s="78" t="s">
        <v>40</v>
      </c>
      <c r="C947" s="78" t="s">
        <v>556</v>
      </c>
      <c r="D947" s="78" t="s">
        <v>573</v>
      </c>
      <c r="E947" s="79" t="s">
        <v>1062</v>
      </c>
      <c r="F947" s="78" t="s">
        <v>509</v>
      </c>
      <c r="G947" s="78" t="s">
        <v>234</v>
      </c>
      <c r="H947" s="78" t="s">
        <v>11</v>
      </c>
      <c r="I947" s="78" t="s">
        <v>214</v>
      </c>
      <c r="J947" s="79" t="s">
        <v>235</v>
      </c>
      <c r="K947" s="80">
        <v>86.1</v>
      </c>
      <c r="L947" s="80">
        <f t="shared" si="261"/>
        <v>67.529411764705884</v>
      </c>
      <c r="M947" s="81">
        <f>prodnorm21</f>
        <v>0</v>
      </c>
      <c r="N947" s="82">
        <f>dagwerk21</f>
        <v>0</v>
      </c>
      <c r="O947" s="78" t="s">
        <v>103</v>
      </c>
      <c r="P947" s="15">
        <f>uurtarief21</f>
        <v>0</v>
      </c>
      <c r="Q947" s="80" t="e">
        <f t="shared" si="262"/>
        <v>#DIV/0!</v>
      </c>
      <c r="R947" s="80" t="e">
        <f t="shared" si="263"/>
        <v>#DIV/0!</v>
      </c>
      <c r="S947" s="15" t="e">
        <f t="shared" si="264"/>
        <v>#DIV/0!</v>
      </c>
      <c r="T947" s="80" t="e">
        <f t="shared" si="265"/>
        <v>#DIV/0!</v>
      </c>
      <c r="U947" s="16" t="e">
        <f t="shared" si="266"/>
        <v>#DIV/0!</v>
      </c>
    </row>
    <row r="948" spans="1:21" x14ac:dyDescent="0.3">
      <c r="A948" s="77" t="s">
        <v>1043</v>
      </c>
      <c r="B948" s="78" t="s">
        <v>40</v>
      </c>
      <c r="C948" s="78" t="s">
        <v>556</v>
      </c>
      <c r="D948" s="78" t="s">
        <v>1104</v>
      </c>
      <c r="E948" s="79" t="s">
        <v>592</v>
      </c>
      <c r="F948" s="78" t="s">
        <v>509</v>
      </c>
      <c r="G948" s="78" t="s">
        <v>238</v>
      </c>
      <c r="H948" s="78" t="s">
        <v>21</v>
      </c>
      <c r="I948" s="78" t="s">
        <v>214</v>
      </c>
      <c r="J948" s="79" t="s">
        <v>239</v>
      </c>
      <c r="K948" s="80">
        <v>5.0999999999999996</v>
      </c>
      <c r="L948" s="80">
        <f t="shared" si="261"/>
        <v>0.19999999999999998</v>
      </c>
      <c r="M948" s="81">
        <f>prodnorm23</f>
        <v>0</v>
      </c>
      <c r="N948" s="82">
        <f>dagwerk23</f>
        <v>0</v>
      </c>
      <c r="O948" s="78" t="s">
        <v>103</v>
      </c>
      <c r="P948" s="15">
        <f>uurtarief23</f>
        <v>0</v>
      </c>
      <c r="Q948" s="80" t="e">
        <f t="shared" si="262"/>
        <v>#DIV/0!</v>
      </c>
      <c r="R948" s="80" t="e">
        <f t="shared" si="263"/>
        <v>#DIV/0!</v>
      </c>
      <c r="S948" s="15" t="e">
        <f t="shared" si="264"/>
        <v>#DIV/0!</v>
      </c>
      <c r="T948" s="80" t="e">
        <f t="shared" si="265"/>
        <v>#DIV/0!</v>
      </c>
      <c r="U948" s="16" t="e">
        <f t="shared" si="266"/>
        <v>#DIV/0!</v>
      </c>
    </row>
    <row r="949" spans="1:21" x14ac:dyDescent="0.3">
      <c r="A949" s="77" t="s">
        <v>1043</v>
      </c>
      <c r="B949" s="78" t="s">
        <v>40</v>
      </c>
      <c r="C949" s="78" t="s">
        <v>556</v>
      </c>
      <c r="D949" s="78" t="s">
        <v>1105</v>
      </c>
      <c r="E949" s="79" t="s">
        <v>1106</v>
      </c>
      <c r="F949" s="78" t="s">
        <v>509</v>
      </c>
      <c r="G949" s="78" t="s">
        <v>216</v>
      </c>
      <c r="H949" s="78" t="s">
        <v>16</v>
      </c>
      <c r="I949" s="78" t="s">
        <v>214</v>
      </c>
      <c r="J949" s="79" t="s">
        <v>217</v>
      </c>
      <c r="K949" s="80">
        <v>46.9</v>
      </c>
      <c r="L949" s="80">
        <f t="shared" si="261"/>
        <v>14.713725490196078</v>
      </c>
      <c r="M949" s="81">
        <f>prodnorm8</f>
        <v>0</v>
      </c>
      <c r="N949" s="82">
        <f>dagwerk8</f>
        <v>0</v>
      </c>
      <c r="O949" s="78" t="s">
        <v>103</v>
      </c>
      <c r="P949" s="15">
        <f>uurtarief8</f>
        <v>0</v>
      </c>
      <c r="Q949" s="80" t="e">
        <f t="shared" si="262"/>
        <v>#DIV/0!</v>
      </c>
      <c r="R949" s="80" t="e">
        <f t="shared" si="263"/>
        <v>#DIV/0!</v>
      </c>
      <c r="S949" s="15" t="e">
        <f t="shared" si="264"/>
        <v>#DIV/0!</v>
      </c>
      <c r="T949" s="80" t="e">
        <f t="shared" si="265"/>
        <v>#DIV/0!</v>
      </c>
      <c r="U949" s="16" t="e">
        <f t="shared" si="266"/>
        <v>#DIV/0!</v>
      </c>
    </row>
    <row r="950" spans="1:21" x14ac:dyDescent="0.3">
      <c r="A950" s="77" t="s">
        <v>1043</v>
      </c>
      <c r="B950" s="78" t="s">
        <v>40</v>
      </c>
      <c r="C950" s="78" t="s">
        <v>556</v>
      </c>
      <c r="D950" s="78" t="s">
        <v>1107</v>
      </c>
      <c r="E950" s="79" t="s">
        <v>1062</v>
      </c>
      <c r="F950" s="78" t="s">
        <v>509</v>
      </c>
      <c r="G950" s="78" t="s">
        <v>234</v>
      </c>
      <c r="H950" s="78" t="s">
        <v>11</v>
      </c>
      <c r="I950" s="78" t="s">
        <v>214</v>
      </c>
      <c r="J950" s="79" t="s">
        <v>235</v>
      </c>
      <c r="K950" s="80">
        <v>93.4</v>
      </c>
      <c r="L950" s="80">
        <f t="shared" si="261"/>
        <v>73.254901960784323</v>
      </c>
      <c r="M950" s="81">
        <f>prodnorm21</f>
        <v>0</v>
      </c>
      <c r="N950" s="82">
        <f>dagwerk21</f>
        <v>0</v>
      </c>
      <c r="O950" s="78" t="s">
        <v>103</v>
      </c>
      <c r="P950" s="15">
        <f>uurtarief21</f>
        <v>0</v>
      </c>
      <c r="Q950" s="80" t="e">
        <f t="shared" si="262"/>
        <v>#DIV/0!</v>
      </c>
      <c r="R950" s="80" t="e">
        <f t="shared" si="263"/>
        <v>#DIV/0!</v>
      </c>
      <c r="S950" s="15" t="e">
        <f t="shared" si="264"/>
        <v>#DIV/0!</v>
      </c>
      <c r="T950" s="80" t="e">
        <f t="shared" si="265"/>
        <v>#DIV/0!</v>
      </c>
      <c r="U950" s="16" t="e">
        <f t="shared" si="266"/>
        <v>#DIV/0!</v>
      </c>
    </row>
    <row r="951" spans="1:21" x14ac:dyDescent="0.3">
      <c r="A951" s="77" t="s">
        <v>1043</v>
      </c>
      <c r="B951" s="78" t="s">
        <v>40</v>
      </c>
      <c r="C951" s="78" t="s">
        <v>556</v>
      </c>
      <c r="D951" s="78" t="s">
        <v>1108</v>
      </c>
      <c r="E951" s="79" t="s">
        <v>511</v>
      </c>
      <c r="F951" s="78" t="s">
        <v>509</v>
      </c>
      <c r="G951" s="78" t="s">
        <v>216</v>
      </c>
      <c r="H951" s="78" t="s">
        <v>11</v>
      </c>
      <c r="I951" s="78" t="s">
        <v>214</v>
      </c>
      <c r="J951" s="79" t="s">
        <v>217</v>
      </c>
      <c r="K951" s="80">
        <v>29.4</v>
      </c>
      <c r="L951" s="80">
        <f t="shared" si="261"/>
        <v>23.058823529411764</v>
      </c>
      <c r="M951" s="81">
        <f>prodnorm6</f>
        <v>0</v>
      </c>
      <c r="N951" s="82">
        <f>dagwerk6</f>
        <v>0</v>
      </c>
      <c r="O951" s="78" t="s">
        <v>103</v>
      </c>
      <c r="P951" s="15">
        <f>uurtarief6</f>
        <v>0</v>
      </c>
      <c r="Q951" s="80" t="e">
        <f t="shared" si="262"/>
        <v>#DIV/0!</v>
      </c>
      <c r="R951" s="80" t="e">
        <f t="shared" si="263"/>
        <v>#DIV/0!</v>
      </c>
      <c r="S951" s="15" t="e">
        <f t="shared" si="264"/>
        <v>#DIV/0!</v>
      </c>
      <c r="T951" s="80" t="e">
        <f t="shared" si="265"/>
        <v>#DIV/0!</v>
      </c>
      <c r="U951" s="16" t="e">
        <f t="shared" si="266"/>
        <v>#DIV/0!</v>
      </c>
    </row>
    <row r="952" spans="1:21" ht="27" x14ac:dyDescent="0.3">
      <c r="A952" s="77" t="s">
        <v>1043</v>
      </c>
      <c r="B952" s="78" t="s">
        <v>40</v>
      </c>
      <c r="C952" s="78" t="s">
        <v>556</v>
      </c>
      <c r="D952" s="78" t="s">
        <v>1109</v>
      </c>
      <c r="E952" s="79" t="s">
        <v>808</v>
      </c>
      <c r="F952" s="78" t="s">
        <v>509</v>
      </c>
      <c r="G952" s="78" t="s">
        <v>256</v>
      </c>
      <c r="H952" s="78" t="s">
        <v>11</v>
      </c>
      <c r="I952" s="78" t="s">
        <v>214</v>
      </c>
      <c r="J952" s="79" t="s">
        <v>257</v>
      </c>
      <c r="K952" s="80">
        <v>141.9</v>
      </c>
      <c r="L952" s="80">
        <f t="shared" si="261"/>
        <v>111.29411764705883</v>
      </c>
      <c r="M952" s="81">
        <f>prodnorm33</f>
        <v>0</v>
      </c>
      <c r="N952" s="82">
        <f>dagwerk33</f>
        <v>0</v>
      </c>
      <c r="O952" s="78" t="s">
        <v>103</v>
      </c>
      <c r="P952" s="15">
        <f>uurtarief33</f>
        <v>0</v>
      </c>
      <c r="Q952" s="80" t="e">
        <f t="shared" si="262"/>
        <v>#DIV/0!</v>
      </c>
      <c r="R952" s="80" t="e">
        <f t="shared" si="263"/>
        <v>#DIV/0!</v>
      </c>
      <c r="S952" s="15" t="e">
        <f t="shared" si="264"/>
        <v>#DIV/0!</v>
      </c>
      <c r="T952" s="80" t="e">
        <f t="shared" si="265"/>
        <v>#DIV/0!</v>
      </c>
      <c r="U952" s="16" t="e">
        <f t="shared" si="266"/>
        <v>#DIV/0!</v>
      </c>
    </row>
    <row r="953" spans="1:21" x14ac:dyDescent="0.3">
      <c r="A953" s="77" t="s">
        <v>1043</v>
      </c>
      <c r="B953" s="78" t="s">
        <v>40</v>
      </c>
      <c r="C953" s="78" t="s">
        <v>556</v>
      </c>
      <c r="D953" s="78" t="s">
        <v>1110</v>
      </c>
      <c r="E953" s="79" t="s">
        <v>594</v>
      </c>
      <c r="F953" s="78" t="s">
        <v>509</v>
      </c>
      <c r="G953" s="78" t="s">
        <v>252</v>
      </c>
      <c r="H953" s="78" t="s">
        <v>11</v>
      </c>
      <c r="I953" s="78" t="s">
        <v>214</v>
      </c>
      <c r="J953" s="79" t="s">
        <v>253</v>
      </c>
      <c r="K953" s="80">
        <v>7.4</v>
      </c>
      <c r="L953" s="80">
        <f t="shared" si="261"/>
        <v>5.8039215686274508</v>
      </c>
      <c r="M953" s="81">
        <f>prodnorm31</f>
        <v>0</v>
      </c>
      <c r="N953" s="82">
        <f>dagwerk31</f>
        <v>0</v>
      </c>
      <c r="O953" s="78" t="s">
        <v>103</v>
      </c>
      <c r="P953" s="15">
        <f>uurtarief31</f>
        <v>0</v>
      </c>
      <c r="Q953" s="80" t="e">
        <f t="shared" si="262"/>
        <v>#DIV/0!</v>
      </c>
      <c r="R953" s="80" t="e">
        <f t="shared" si="263"/>
        <v>#DIV/0!</v>
      </c>
      <c r="S953" s="15" t="e">
        <f t="shared" si="264"/>
        <v>#DIV/0!</v>
      </c>
      <c r="T953" s="80" t="e">
        <f t="shared" si="265"/>
        <v>#DIV/0!</v>
      </c>
      <c r="U953" s="16" t="e">
        <f t="shared" si="266"/>
        <v>#DIV/0!</v>
      </c>
    </row>
    <row r="954" spans="1:21" x14ac:dyDescent="0.3">
      <c r="A954" s="77" t="s">
        <v>1043</v>
      </c>
      <c r="B954" s="78" t="s">
        <v>40</v>
      </c>
      <c r="C954" s="78" t="s">
        <v>556</v>
      </c>
      <c r="D954" s="78" t="s">
        <v>1111</v>
      </c>
      <c r="E954" s="79" t="s">
        <v>1112</v>
      </c>
      <c r="F954" s="78" t="s">
        <v>509</v>
      </c>
      <c r="G954" s="78" t="s">
        <v>248</v>
      </c>
      <c r="H954" s="78" t="s">
        <v>11</v>
      </c>
      <c r="I954" s="78" t="s">
        <v>214</v>
      </c>
      <c r="J954" s="79" t="s">
        <v>249</v>
      </c>
      <c r="K954" s="80">
        <v>51.8</v>
      </c>
      <c r="L954" s="80">
        <f t="shared" si="261"/>
        <v>40.627450980392155</v>
      </c>
      <c r="M954" s="81">
        <f>prodnorm29</f>
        <v>0</v>
      </c>
      <c r="N954" s="82">
        <f>dagwerk29</f>
        <v>0</v>
      </c>
      <c r="O954" s="78" t="s">
        <v>103</v>
      </c>
      <c r="P954" s="15">
        <f>uurtarief29</f>
        <v>0</v>
      </c>
      <c r="Q954" s="80" t="e">
        <f t="shared" si="262"/>
        <v>#DIV/0!</v>
      </c>
      <c r="R954" s="80" t="e">
        <f t="shared" si="263"/>
        <v>#DIV/0!</v>
      </c>
      <c r="S954" s="15" t="e">
        <f t="shared" si="264"/>
        <v>#DIV/0!</v>
      </c>
      <c r="T954" s="80" t="e">
        <f t="shared" si="265"/>
        <v>#DIV/0!</v>
      </c>
      <c r="U954" s="16" t="e">
        <f t="shared" si="266"/>
        <v>#DIV/0!</v>
      </c>
    </row>
    <row r="955" spans="1:21" x14ac:dyDescent="0.3">
      <c r="A955" s="77" t="s">
        <v>1043</v>
      </c>
      <c r="B955" s="78" t="s">
        <v>40</v>
      </c>
      <c r="C955" s="78" t="s">
        <v>556</v>
      </c>
      <c r="D955" s="78" t="s">
        <v>1113</v>
      </c>
      <c r="E955" s="79" t="s">
        <v>1062</v>
      </c>
      <c r="F955" s="78" t="s">
        <v>509</v>
      </c>
      <c r="G955" s="78" t="s">
        <v>234</v>
      </c>
      <c r="H955" s="78" t="s">
        <v>11</v>
      </c>
      <c r="I955" s="78" t="s">
        <v>214</v>
      </c>
      <c r="J955" s="79" t="s">
        <v>235</v>
      </c>
      <c r="K955" s="80">
        <v>86.7</v>
      </c>
      <c r="L955" s="80">
        <f t="shared" si="261"/>
        <v>68</v>
      </c>
      <c r="M955" s="81">
        <f>prodnorm21</f>
        <v>0</v>
      </c>
      <c r="N955" s="82">
        <f>dagwerk21</f>
        <v>0</v>
      </c>
      <c r="O955" s="78" t="s">
        <v>103</v>
      </c>
      <c r="P955" s="15">
        <f>uurtarief21</f>
        <v>0</v>
      </c>
      <c r="Q955" s="80" t="e">
        <f t="shared" si="262"/>
        <v>#DIV/0!</v>
      </c>
      <c r="R955" s="80" t="e">
        <f t="shared" si="263"/>
        <v>#DIV/0!</v>
      </c>
      <c r="S955" s="15" t="e">
        <f t="shared" si="264"/>
        <v>#DIV/0!</v>
      </c>
      <c r="T955" s="80" t="e">
        <f t="shared" si="265"/>
        <v>#DIV/0!</v>
      </c>
      <c r="U955" s="16" t="e">
        <f t="shared" si="266"/>
        <v>#DIV/0!</v>
      </c>
    </row>
    <row r="956" spans="1:21" x14ac:dyDescent="0.3">
      <c r="A956" s="77" t="s">
        <v>1043</v>
      </c>
      <c r="B956" s="78" t="s">
        <v>40</v>
      </c>
      <c r="C956" s="78" t="s">
        <v>556</v>
      </c>
      <c r="D956" s="78" t="s">
        <v>1114</v>
      </c>
      <c r="E956" s="79" t="s">
        <v>1062</v>
      </c>
      <c r="F956" s="78" t="s">
        <v>509</v>
      </c>
      <c r="G956" s="78" t="s">
        <v>234</v>
      </c>
      <c r="H956" s="78" t="s">
        <v>11</v>
      </c>
      <c r="I956" s="78" t="s">
        <v>214</v>
      </c>
      <c r="J956" s="79" t="s">
        <v>235</v>
      </c>
      <c r="K956" s="80">
        <v>79.7</v>
      </c>
      <c r="L956" s="80">
        <f t="shared" si="261"/>
        <v>62.509803921568626</v>
      </c>
      <c r="M956" s="81">
        <f>prodnorm21</f>
        <v>0</v>
      </c>
      <c r="N956" s="82">
        <f>dagwerk21</f>
        <v>0</v>
      </c>
      <c r="O956" s="78" t="s">
        <v>103</v>
      </c>
      <c r="P956" s="15">
        <f>uurtarief21</f>
        <v>0</v>
      </c>
      <c r="Q956" s="80" t="e">
        <f t="shared" si="262"/>
        <v>#DIV/0!</v>
      </c>
      <c r="R956" s="80" t="e">
        <f t="shared" si="263"/>
        <v>#DIV/0!</v>
      </c>
      <c r="S956" s="15" t="e">
        <f t="shared" si="264"/>
        <v>#DIV/0!</v>
      </c>
      <c r="T956" s="80" t="e">
        <f t="shared" si="265"/>
        <v>#DIV/0!</v>
      </c>
      <c r="U956" s="16" t="e">
        <f t="shared" si="266"/>
        <v>#DIV/0!</v>
      </c>
    </row>
    <row r="957" spans="1:21" x14ac:dyDescent="0.3">
      <c r="A957" s="77" t="s">
        <v>1043</v>
      </c>
      <c r="B957" s="78" t="s">
        <v>40</v>
      </c>
      <c r="C957" s="78" t="s">
        <v>556</v>
      </c>
      <c r="D957" s="78" t="s">
        <v>1115</v>
      </c>
      <c r="E957" s="79" t="s">
        <v>1116</v>
      </c>
      <c r="F957" s="78" t="s">
        <v>40</v>
      </c>
      <c r="G957" s="78" t="s">
        <v>300</v>
      </c>
      <c r="H957" s="78"/>
      <c r="I957" s="78"/>
      <c r="J957" s="78"/>
      <c r="K957" s="80">
        <v>22.3</v>
      </c>
      <c r="L957" s="80"/>
      <c r="M957" s="81"/>
      <c r="N957" s="82"/>
      <c r="O957" s="78"/>
      <c r="P957" s="15"/>
      <c r="Q957" s="80"/>
      <c r="R957" s="80"/>
      <c r="S957" s="15"/>
      <c r="T957" s="83"/>
      <c r="U957" s="16"/>
    </row>
    <row r="958" spans="1:21" x14ac:dyDescent="0.3">
      <c r="A958" s="77" t="s">
        <v>1043</v>
      </c>
      <c r="B958" s="78" t="s">
        <v>40</v>
      </c>
      <c r="C958" s="78" t="s">
        <v>556</v>
      </c>
      <c r="D958" s="78" t="s">
        <v>1117</v>
      </c>
      <c r="E958" s="79" t="s">
        <v>1118</v>
      </c>
      <c r="F958" s="78" t="s">
        <v>509</v>
      </c>
      <c r="G958" s="78" t="s">
        <v>248</v>
      </c>
      <c r="H958" s="78" t="s">
        <v>11</v>
      </c>
      <c r="I958" s="78" t="s">
        <v>214</v>
      </c>
      <c r="J958" s="79" t="s">
        <v>249</v>
      </c>
      <c r="K958" s="80">
        <v>82</v>
      </c>
      <c r="L958" s="80">
        <f t="shared" ref="L958:L978" si="267">K958*VLOOKUP(H958,dagsoorttabel1,2,FALSE)</f>
        <v>64.313725490196077</v>
      </c>
      <c r="M958" s="81">
        <f>prodnorm29</f>
        <v>0</v>
      </c>
      <c r="N958" s="82">
        <f>dagwerk29</f>
        <v>0</v>
      </c>
      <c r="O958" s="78" t="s">
        <v>103</v>
      </c>
      <c r="P958" s="15">
        <f>uurtarief29</f>
        <v>0</v>
      </c>
      <c r="Q958" s="80" t="e">
        <f t="shared" ref="Q958:Q978" si="268">IF(ISBLANK(M958),0,L958/ROUND(M958,4))</f>
        <v>#DIV/0!</v>
      </c>
      <c r="R958" s="80" t="e">
        <f t="shared" ref="R958:R978" si="269">IF(ISBLANK(M958),0,Q958*ROUND(N958,2))</f>
        <v>#DIV/0!</v>
      </c>
      <c r="S958" s="15" t="e">
        <f t="shared" ref="S958:S978" si="270">ROUND(P958,2)*Q958</f>
        <v>#DIV/0!</v>
      </c>
      <c r="T958" s="80" t="e">
        <f t="shared" ref="T958:T978" si="271">Q958*dagenperjaar1</f>
        <v>#DIV/0!</v>
      </c>
      <c r="U958" s="16" t="e">
        <f t="shared" ref="U958:U978" si="272">T958*ROUND(P958,2)</f>
        <v>#DIV/0!</v>
      </c>
    </row>
    <row r="959" spans="1:21" x14ac:dyDescent="0.3">
      <c r="A959" s="77" t="s">
        <v>1043</v>
      </c>
      <c r="B959" s="78" t="s">
        <v>40</v>
      </c>
      <c r="C959" s="78" t="s">
        <v>1119</v>
      </c>
      <c r="D959" s="78" t="s">
        <v>1120</v>
      </c>
      <c r="E959" s="79" t="s">
        <v>1062</v>
      </c>
      <c r="F959" s="78" t="s">
        <v>509</v>
      </c>
      <c r="G959" s="78" t="s">
        <v>234</v>
      </c>
      <c r="H959" s="78" t="s">
        <v>11</v>
      </c>
      <c r="I959" s="78" t="s">
        <v>214</v>
      </c>
      <c r="J959" s="79" t="s">
        <v>235</v>
      </c>
      <c r="K959" s="80">
        <v>66.900000000000006</v>
      </c>
      <c r="L959" s="80">
        <f t="shared" si="267"/>
        <v>52.470588235294123</v>
      </c>
      <c r="M959" s="81">
        <f>prodnorm21</f>
        <v>0</v>
      </c>
      <c r="N959" s="82">
        <f>dagwerk21</f>
        <v>0</v>
      </c>
      <c r="O959" s="78" t="s">
        <v>103</v>
      </c>
      <c r="P959" s="15">
        <f>uurtarief21</f>
        <v>0</v>
      </c>
      <c r="Q959" s="80" t="e">
        <f t="shared" si="268"/>
        <v>#DIV/0!</v>
      </c>
      <c r="R959" s="80" t="e">
        <f t="shared" si="269"/>
        <v>#DIV/0!</v>
      </c>
      <c r="S959" s="15" t="e">
        <f t="shared" si="270"/>
        <v>#DIV/0!</v>
      </c>
      <c r="T959" s="80" t="e">
        <f t="shared" si="271"/>
        <v>#DIV/0!</v>
      </c>
      <c r="U959" s="16" t="e">
        <f t="shared" si="272"/>
        <v>#DIV/0!</v>
      </c>
    </row>
    <row r="960" spans="1:21" x14ac:dyDescent="0.3">
      <c r="A960" s="77" t="s">
        <v>1043</v>
      </c>
      <c r="B960" s="78" t="s">
        <v>40</v>
      </c>
      <c r="C960" s="78" t="s">
        <v>1119</v>
      </c>
      <c r="D960" s="78" t="s">
        <v>1121</v>
      </c>
      <c r="E960" s="79" t="s">
        <v>1062</v>
      </c>
      <c r="F960" s="78" t="s">
        <v>509</v>
      </c>
      <c r="G960" s="78" t="s">
        <v>234</v>
      </c>
      <c r="H960" s="78" t="s">
        <v>11</v>
      </c>
      <c r="I960" s="78" t="s">
        <v>214</v>
      </c>
      <c r="J960" s="79" t="s">
        <v>235</v>
      </c>
      <c r="K960" s="80">
        <v>66.900000000000006</v>
      </c>
      <c r="L960" s="80">
        <f t="shared" si="267"/>
        <v>52.470588235294123</v>
      </c>
      <c r="M960" s="81">
        <f>prodnorm21</f>
        <v>0</v>
      </c>
      <c r="N960" s="82">
        <f>dagwerk21</f>
        <v>0</v>
      </c>
      <c r="O960" s="78" t="s">
        <v>103</v>
      </c>
      <c r="P960" s="15">
        <f>uurtarief21</f>
        <v>0</v>
      </c>
      <c r="Q960" s="80" t="e">
        <f t="shared" si="268"/>
        <v>#DIV/0!</v>
      </c>
      <c r="R960" s="80" t="e">
        <f t="shared" si="269"/>
        <v>#DIV/0!</v>
      </c>
      <c r="S960" s="15" t="e">
        <f t="shared" si="270"/>
        <v>#DIV/0!</v>
      </c>
      <c r="T960" s="80" t="e">
        <f t="shared" si="271"/>
        <v>#DIV/0!</v>
      </c>
      <c r="U960" s="16" t="e">
        <f t="shared" si="272"/>
        <v>#DIV/0!</v>
      </c>
    </row>
    <row r="961" spans="1:21" x14ac:dyDescent="0.3">
      <c r="A961" s="77" t="s">
        <v>1043</v>
      </c>
      <c r="B961" s="78" t="s">
        <v>40</v>
      </c>
      <c r="C961" s="78" t="s">
        <v>1119</v>
      </c>
      <c r="D961" s="78" t="s">
        <v>1122</v>
      </c>
      <c r="E961" s="79" t="s">
        <v>592</v>
      </c>
      <c r="F961" s="78" t="s">
        <v>509</v>
      </c>
      <c r="G961" s="78" t="s">
        <v>238</v>
      </c>
      <c r="H961" s="78" t="s">
        <v>21</v>
      </c>
      <c r="I961" s="78" t="s">
        <v>214</v>
      </c>
      <c r="J961" s="79" t="s">
        <v>239</v>
      </c>
      <c r="K961" s="80">
        <v>12.8</v>
      </c>
      <c r="L961" s="80">
        <f t="shared" si="267"/>
        <v>0.50196078431372548</v>
      </c>
      <c r="M961" s="81">
        <f>prodnorm23</f>
        <v>0</v>
      </c>
      <c r="N961" s="82">
        <f>dagwerk23</f>
        <v>0</v>
      </c>
      <c r="O961" s="78" t="s">
        <v>103</v>
      </c>
      <c r="P961" s="15">
        <f>uurtarief23</f>
        <v>0</v>
      </c>
      <c r="Q961" s="80" t="e">
        <f t="shared" si="268"/>
        <v>#DIV/0!</v>
      </c>
      <c r="R961" s="80" t="e">
        <f t="shared" si="269"/>
        <v>#DIV/0!</v>
      </c>
      <c r="S961" s="15" t="e">
        <f t="shared" si="270"/>
        <v>#DIV/0!</v>
      </c>
      <c r="T961" s="80" t="e">
        <f t="shared" si="271"/>
        <v>#DIV/0!</v>
      </c>
      <c r="U961" s="16" t="e">
        <f t="shared" si="272"/>
        <v>#DIV/0!</v>
      </c>
    </row>
    <row r="962" spans="1:21" x14ac:dyDescent="0.3">
      <c r="A962" s="77" t="s">
        <v>1043</v>
      </c>
      <c r="B962" s="78" t="s">
        <v>40</v>
      </c>
      <c r="C962" s="78" t="s">
        <v>1119</v>
      </c>
      <c r="D962" s="78" t="s">
        <v>1123</v>
      </c>
      <c r="E962" s="79" t="s">
        <v>1062</v>
      </c>
      <c r="F962" s="78" t="s">
        <v>509</v>
      </c>
      <c r="G962" s="78" t="s">
        <v>234</v>
      </c>
      <c r="H962" s="78" t="s">
        <v>11</v>
      </c>
      <c r="I962" s="78" t="s">
        <v>214</v>
      </c>
      <c r="J962" s="79" t="s">
        <v>235</v>
      </c>
      <c r="K962" s="80">
        <v>66.900000000000006</v>
      </c>
      <c r="L962" s="80">
        <f t="shared" si="267"/>
        <v>52.470588235294123</v>
      </c>
      <c r="M962" s="81">
        <f>prodnorm21</f>
        <v>0</v>
      </c>
      <c r="N962" s="82">
        <f>dagwerk21</f>
        <v>0</v>
      </c>
      <c r="O962" s="78" t="s">
        <v>103</v>
      </c>
      <c r="P962" s="15">
        <f>uurtarief21</f>
        <v>0</v>
      </c>
      <c r="Q962" s="80" t="e">
        <f t="shared" si="268"/>
        <v>#DIV/0!</v>
      </c>
      <c r="R962" s="80" t="e">
        <f t="shared" si="269"/>
        <v>#DIV/0!</v>
      </c>
      <c r="S962" s="15" t="e">
        <f t="shared" si="270"/>
        <v>#DIV/0!</v>
      </c>
      <c r="T962" s="80" t="e">
        <f t="shared" si="271"/>
        <v>#DIV/0!</v>
      </c>
      <c r="U962" s="16" t="e">
        <f t="shared" si="272"/>
        <v>#DIV/0!</v>
      </c>
    </row>
    <row r="963" spans="1:21" x14ac:dyDescent="0.3">
      <c r="A963" s="77" t="s">
        <v>1043</v>
      </c>
      <c r="B963" s="78" t="s">
        <v>40</v>
      </c>
      <c r="C963" s="78" t="s">
        <v>1119</v>
      </c>
      <c r="D963" s="78" t="s">
        <v>1124</v>
      </c>
      <c r="E963" s="79" t="s">
        <v>594</v>
      </c>
      <c r="F963" s="78" t="s">
        <v>509</v>
      </c>
      <c r="G963" s="78" t="s">
        <v>252</v>
      </c>
      <c r="H963" s="78" t="s">
        <v>11</v>
      </c>
      <c r="I963" s="78" t="s">
        <v>214</v>
      </c>
      <c r="J963" s="79" t="s">
        <v>253</v>
      </c>
      <c r="K963" s="80">
        <v>15</v>
      </c>
      <c r="L963" s="80">
        <f t="shared" si="267"/>
        <v>11.76470588235294</v>
      </c>
      <c r="M963" s="81">
        <f>prodnorm31</f>
        <v>0</v>
      </c>
      <c r="N963" s="82">
        <f>dagwerk31</f>
        <v>0</v>
      </c>
      <c r="O963" s="78" t="s">
        <v>103</v>
      </c>
      <c r="P963" s="15">
        <f>uurtarief31</f>
        <v>0</v>
      </c>
      <c r="Q963" s="80" t="e">
        <f t="shared" si="268"/>
        <v>#DIV/0!</v>
      </c>
      <c r="R963" s="80" t="e">
        <f t="shared" si="269"/>
        <v>#DIV/0!</v>
      </c>
      <c r="S963" s="15" t="e">
        <f t="shared" si="270"/>
        <v>#DIV/0!</v>
      </c>
      <c r="T963" s="80" t="e">
        <f t="shared" si="271"/>
        <v>#DIV/0!</v>
      </c>
      <c r="U963" s="16" t="e">
        <f t="shared" si="272"/>
        <v>#DIV/0!</v>
      </c>
    </row>
    <row r="964" spans="1:21" ht="27" x14ac:dyDescent="0.3">
      <c r="A964" s="77" t="s">
        <v>1043</v>
      </c>
      <c r="B964" s="78" t="s">
        <v>40</v>
      </c>
      <c r="C964" s="78" t="s">
        <v>1119</v>
      </c>
      <c r="D964" s="78" t="s">
        <v>1125</v>
      </c>
      <c r="E964" s="79" t="s">
        <v>808</v>
      </c>
      <c r="F964" s="78" t="s">
        <v>509</v>
      </c>
      <c r="G964" s="78" t="s">
        <v>256</v>
      </c>
      <c r="H964" s="78" t="s">
        <v>11</v>
      </c>
      <c r="I964" s="78" t="s">
        <v>214</v>
      </c>
      <c r="J964" s="79" t="s">
        <v>257</v>
      </c>
      <c r="K964" s="80">
        <v>152.30000000000001</v>
      </c>
      <c r="L964" s="80">
        <f t="shared" si="267"/>
        <v>119.45098039215686</v>
      </c>
      <c r="M964" s="81">
        <f>prodnorm33</f>
        <v>0</v>
      </c>
      <c r="N964" s="82">
        <f>dagwerk33</f>
        <v>0</v>
      </c>
      <c r="O964" s="78" t="s">
        <v>103</v>
      </c>
      <c r="P964" s="15">
        <f>uurtarief33</f>
        <v>0</v>
      </c>
      <c r="Q964" s="80" t="e">
        <f t="shared" si="268"/>
        <v>#DIV/0!</v>
      </c>
      <c r="R964" s="80" t="e">
        <f t="shared" si="269"/>
        <v>#DIV/0!</v>
      </c>
      <c r="S964" s="15" t="e">
        <f t="shared" si="270"/>
        <v>#DIV/0!</v>
      </c>
      <c r="T964" s="80" t="e">
        <f t="shared" si="271"/>
        <v>#DIV/0!</v>
      </c>
      <c r="U964" s="16" t="e">
        <f t="shared" si="272"/>
        <v>#DIV/0!</v>
      </c>
    </row>
    <row r="965" spans="1:21" x14ac:dyDescent="0.3">
      <c r="A965" s="77" t="s">
        <v>1043</v>
      </c>
      <c r="B965" s="78" t="s">
        <v>40</v>
      </c>
      <c r="C965" s="78" t="s">
        <v>1119</v>
      </c>
      <c r="D965" s="78" t="s">
        <v>1126</v>
      </c>
      <c r="E965" s="79" t="s">
        <v>592</v>
      </c>
      <c r="F965" s="78" t="s">
        <v>509</v>
      </c>
      <c r="G965" s="78" t="s">
        <v>238</v>
      </c>
      <c r="H965" s="78" t="s">
        <v>21</v>
      </c>
      <c r="I965" s="78" t="s">
        <v>214</v>
      </c>
      <c r="J965" s="79" t="s">
        <v>239</v>
      </c>
      <c r="K965" s="80">
        <v>1.6</v>
      </c>
      <c r="L965" s="80">
        <f t="shared" si="267"/>
        <v>6.2745098039215685E-2</v>
      </c>
      <c r="M965" s="81">
        <f>prodnorm23</f>
        <v>0</v>
      </c>
      <c r="N965" s="82">
        <f>dagwerk23</f>
        <v>0</v>
      </c>
      <c r="O965" s="78" t="s">
        <v>103</v>
      </c>
      <c r="P965" s="15">
        <f>uurtarief23</f>
        <v>0</v>
      </c>
      <c r="Q965" s="80" t="e">
        <f t="shared" si="268"/>
        <v>#DIV/0!</v>
      </c>
      <c r="R965" s="80" t="e">
        <f t="shared" si="269"/>
        <v>#DIV/0!</v>
      </c>
      <c r="S965" s="15" t="e">
        <f t="shared" si="270"/>
        <v>#DIV/0!</v>
      </c>
      <c r="T965" s="80" t="e">
        <f t="shared" si="271"/>
        <v>#DIV/0!</v>
      </c>
      <c r="U965" s="16" t="e">
        <f t="shared" si="272"/>
        <v>#DIV/0!</v>
      </c>
    </row>
    <row r="966" spans="1:21" x14ac:dyDescent="0.3">
      <c r="A966" s="77" t="s">
        <v>1043</v>
      </c>
      <c r="B966" s="78" t="s">
        <v>40</v>
      </c>
      <c r="C966" s="78" t="s">
        <v>1119</v>
      </c>
      <c r="D966" s="78" t="s">
        <v>1127</v>
      </c>
      <c r="E966" s="79" t="s">
        <v>592</v>
      </c>
      <c r="F966" s="78" t="s">
        <v>509</v>
      </c>
      <c r="G966" s="78" t="s">
        <v>238</v>
      </c>
      <c r="H966" s="78" t="s">
        <v>21</v>
      </c>
      <c r="I966" s="78" t="s">
        <v>214</v>
      </c>
      <c r="J966" s="79" t="s">
        <v>239</v>
      </c>
      <c r="K966" s="80">
        <v>1.9000000000000001</v>
      </c>
      <c r="L966" s="80">
        <f t="shared" si="267"/>
        <v>7.4509803921568626E-2</v>
      </c>
      <c r="M966" s="81">
        <f>prodnorm23</f>
        <v>0</v>
      </c>
      <c r="N966" s="82">
        <f>dagwerk23</f>
        <v>0</v>
      </c>
      <c r="O966" s="78" t="s">
        <v>103</v>
      </c>
      <c r="P966" s="15">
        <f>uurtarief23</f>
        <v>0</v>
      </c>
      <c r="Q966" s="80" t="e">
        <f t="shared" si="268"/>
        <v>#DIV/0!</v>
      </c>
      <c r="R966" s="80" t="e">
        <f t="shared" si="269"/>
        <v>#DIV/0!</v>
      </c>
      <c r="S966" s="15" t="e">
        <f t="shared" si="270"/>
        <v>#DIV/0!</v>
      </c>
      <c r="T966" s="80" t="e">
        <f t="shared" si="271"/>
        <v>#DIV/0!</v>
      </c>
      <c r="U966" s="16" t="e">
        <f t="shared" si="272"/>
        <v>#DIV/0!</v>
      </c>
    </row>
    <row r="967" spans="1:21" ht="27" x14ac:dyDescent="0.3">
      <c r="A967" s="77" t="s">
        <v>1043</v>
      </c>
      <c r="B967" s="78" t="s">
        <v>40</v>
      </c>
      <c r="C967" s="78" t="s">
        <v>1119</v>
      </c>
      <c r="D967" s="78" t="s">
        <v>1128</v>
      </c>
      <c r="E967" s="79" t="s">
        <v>808</v>
      </c>
      <c r="F967" s="78" t="s">
        <v>509</v>
      </c>
      <c r="G967" s="78" t="s">
        <v>256</v>
      </c>
      <c r="H967" s="78" t="s">
        <v>11</v>
      </c>
      <c r="I967" s="78" t="s">
        <v>214</v>
      </c>
      <c r="J967" s="79" t="s">
        <v>257</v>
      </c>
      <c r="K967" s="80">
        <v>29.2</v>
      </c>
      <c r="L967" s="80">
        <f t="shared" si="267"/>
        <v>22.901960784313726</v>
      </c>
      <c r="M967" s="81">
        <f>prodnorm33</f>
        <v>0</v>
      </c>
      <c r="N967" s="82">
        <f>dagwerk33</f>
        <v>0</v>
      </c>
      <c r="O967" s="78" t="s">
        <v>103</v>
      </c>
      <c r="P967" s="15">
        <f>uurtarief33</f>
        <v>0</v>
      </c>
      <c r="Q967" s="80" t="e">
        <f t="shared" si="268"/>
        <v>#DIV/0!</v>
      </c>
      <c r="R967" s="80" t="e">
        <f t="shared" si="269"/>
        <v>#DIV/0!</v>
      </c>
      <c r="S967" s="15" t="e">
        <f t="shared" si="270"/>
        <v>#DIV/0!</v>
      </c>
      <c r="T967" s="80" t="e">
        <f t="shared" si="271"/>
        <v>#DIV/0!</v>
      </c>
      <c r="U967" s="16" t="e">
        <f t="shared" si="272"/>
        <v>#DIV/0!</v>
      </c>
    </row>
    <row r="968" spans="1:21" x14ac:dyDescent="0.3">
      <c r="A968" s="77" t="s">
        <v>1043</v>
      </c>
      <c r="B968" s="78" t="s">
        <v>40</v>
      </c>
      <c r="C968" s="78" t="s">
        <v>1119</v>
      </c>
      <c r="D968" s="78" t="s">
        <v>1129</v>
      </c>
      <c r="E968" s="79" t="s">
        <v>511</v>
      </c>
      <c r="F968" s="78" t="s">
        <v>509</v>
      </c>
      <c r="G968" s="78" t="s">
        <v>216</v>
      </c>
      <c r="H968" s="78" t="s">
        <v>16</v>
      </c>
      <c r="I968" s="78" t="s">
        <v>214</v>
      </c>
      <c r="J968" s="79" t="s">
        <v>217</v>
      </c>
      <c r="K968" s="80">
        <v>20</v>
      </c>
      <c r="L968" s="80">
        <f t="shared" si="267"/>
        <v>6.2745098039215685</v>
      </c>
      <c r="M968" s="81">
        <f>prodnorm8</f>
        <v>0</v>
      </c>
      <c r="N968" s="82">
        <f>dagwerk8</f>
        <v>0</v>
      </c>
      <c r="O968" s="78" t="s">
        <v>103</v>
      </c>
      <c r="P968" s="15">
        <f>uurtarief8</f>
        <v>0</v>
      </c>
      <c r="Q968" s="80" t="e">
        <f t="shared" si="268"/>
        <v>#DIV/0!</v>
      </c>
      <c r="R968" s="80" t="e">
        <f t="shared" si="269"/>
        <v>#DIV/0!</v>
      </c>
      <c r="S968" s="15" t="e">
        <f t="shared" si="270"/>
        <v>#DIV/0!</v>
      </c>
      <c r="T968" s="80" t="e">
        <f t="shared" si="271"/>
        <v>#DIV/0!</v>
      </c>
      <c r="U968" s="16" t="e">
        <f t="shared" si="272"/>
        <v>#DIV/0!</v>
      </c>
    </row>
    <row r="969" spans="1:21" x14ac:dyDescent="0.3">
      <c r="A969" s="77" t="s">
        <v>1043</v>
      </c>
      <c r="B969" s="78" t="s">
        <v>40</v>
      </c>
      <c r="C969" s="78" t="s">
        <v>1119</v>
      </c>
      <c r="D969" s="78" t="s">
        <v>1130</v>
      </c>
      <c r="E969" s="79" t="s">
        <v>290</v>
      </c>
      <c r="F969" s="78" t="s">
        <v>509</v>
      </c>
      <c r="G969" s="78" t="s">
        <v>234</v>
      </c>
      <c r="H969" s="78" t="s">
        <v>11</v>
      </c>
      <c r="I969" s="78" t="s">
        <v>214</v>
      </c>
      <c r="J969" s="79" t="s">
        <v>235</v>
      </c>
      <c r="K969" s="80">
        <v>45</v>
      </c>
      <c r="L969" s="80">
        <f t="shared" si="267"/>
        <v>35.294117647058826</v>
      </c>
      <c r="M969" s="81">
        <f>prodnorm21</f>
        <v>0</v>
      </c>
      <c r="N969" s="82">
        <f>dagwerk21</f>
        <v>0</v>
      </c>
      <c r="O969" s="78" t="s">
        <v>103</v>
      </c>
      <c r="P969" s="15">
        <f>uurtarief21</f>
        <v>0</v>
      </c>
      <c r="Q969" s="80" t="e">
        <f t="shared" si="268"/>
        <v>#DIV/0!</v>
      </c>
      <c r="R969" s="80" t="e">
        <f t="shared" si="269"/>
        <v>#DIV/0!</v>
      </c>
      <c r="S969" s="15" t="e">
        <f t="shared" si="270"/>
        <v>#DIV/0!</v>
      </c>
      <c r="T969" s="80" t="e">
        <f t="shared" si="271"/>
        <v>#DIV/0!</v>
      </c>
      <c r="U969" s="16" t="e">
        <f t="shared" si="272"/>
        <v>#DIV/0!</v>
      </c>
    </row>
    <row r="970" spans="1:21" x14ac:dyDescent="0.3">
      <c r="A970" s="77" t="s">
        <v>1043</v>
      </c>
      <c r="B970" s="78" t="s">
        <v>40</v>
      </c>
      <c r="C970" s="78" t="s">
        <v>1119</v>
      </c>
      <c r="D970" s="78" t="s">
        <v>1131</v>
      </c>
      <c r="E970" s="79" t="s">
        <v>515</v>
      </c>
      <c r="F970" s="78" t="s">
        <v>509</v>
      </c>
      <c r="G970" s="78" t="s">
        <v>216</v>
      </c>
      <c r="H970" s="78" t="s">
        <v>16</v>
      </c>
      <c r="I970" s="78" t="s">
        <v>214</v>
      </c>
      <c r="J970" s="79" t="s">
        <v>217</v>
      </c>
      <c r="K970" s="80">
        <v>39</v>
      </c>
      <c r="L970" s="80">
        <f t="shared" si="267"/>
        <v>12.235294117647058</v>
      </c>
      <c r="M970" s="81">
        <f>prodnorm8</f>
        <v>0</v>
      </c>
      <c r="N970" s="82">
        <f>dagwerk8</f>
        <v>0</v>
      </c>
      <c r="O970" s="78" t="s">
        <v>103</v>
      </c>
      <c r="P970" s="15">
        <f>uurtarief8</f>
        <v>0</v>
      </c>
      <c r="Q970" s="80" t="e">
        <f t="shared" si="268"/>
        <v>#DIV/0!</v>
      </c>
      <c r="R970" s="80" t="e">
        <f t="shared" si="269"/>
        <v>#DIV/0!</v>
      </c>
      <c r="S970" s="15" t="e">
        <f t="shared" si="270"/>
        <v>#DIV/0!</v>
      </c>
      <c r="T970" s="80" t="e">
        <f t="shared" si="271"/>
        <v>#DIV/0!</v>
      </c>
      <c r="U970" s="16" t="e">
        <f t="shared" si="272"/>
        <v>#DIV/0!</v>
      </c>
    </row>
    <row r="971" spans="1:21" x14ac:dyDescent="0.3">
      <c r="A971" s="77" t="s">
        <v>1043</v>
      </c>
      <c r="B971" s="78" t="s">
        <v>40</v>
      </c>
      <c r="C971" s="78" t="s">
        <v>1119</v>
      </c>
      <c r="D971" s="78" t="s">
        <v>1132</v>
      </c>
      <c r="E971" s="79" t="s">
        <v>511</v>
      </c>
      <c r="F971" s="78" t="s">
        <v>509</v>
      </c>
      <c r="G971" s="78" t="s">
        <v>216</v>
      </c>
      <c r="H971" s="78" t="s">
        <v>16</v>
      </c>
      <c r="I971" s="78" t="s">
        <v>214</v>
      </c>
      <c r="J971" s="79" t="s">
        <v>217</v>
      </c>
      <c r="K971" s="80">
        <v>53</v>
      </c>
      <c r="L971" s="80">
        <f t="shared" si="267"/>
        <v>16.627450980392158</v>
      </c>
      <c r="M971" s="81">
        <f>prodnorm8</f>
        <v>0</v>
      </c>
      <c r="N971" s="82">
        <f>dagwerk8</f>
        <v>0</v>
      </c>
      <c r="O971" s="78" t="s">
        <v>103</v>
      </c>
      <c r="P971" s="15">
        <f>uurtarief8</f>
        <v>0</v>
      </c>
      <c r="Q971" s="80" t="e">
        <f t="shared" si="268"/>
        <v>#DIV/0!</v>
      </c>
      <c r="R971" s="80" t="e">
        <f t="shared" si="269"/>
        <v>#DIV/0!</v>
      </c>
      <c r="S971" s="15" t="e">
        <f t="shared" si="270"/>
        <v>#DIV/0!</v>
      </c>
      <c r="T971" s="80" t="e">
        <f t="shared" si="271"/>
        <v>#DIV/0!</v>
      </c>
      <c r="U971" s="16" t="e">
        <f t="shared" si="272"/>
        <v>#DIV/0!</v>
      </c>
    </row>
    <row r="972" spans="1:21" x14ac:dyDescent="0.3">
      <c r="A972" s="77" t="s">
        <v>1043</v>
      </c>
      <c r="B972" s="78" t="s">
        <v>40</v>
      </c>
      <c r="C972" s="78" t="s">
        <v>1119</v>
      </c>
      <c r="D972" s="78" t="s">
        <v>1133</v>
      </c>
      <c r="E972" s="79" t="s">
        <v>419</v>
      </c>
      <c r="F972" s="78" t="s">
        <v>591</v>
      </c>
      <c r="G972" s="78" t="s">
        <v>250</v>
      </c>
      <c r="H972" s="78" t="s">
        <v>11</v>
      </c>
      <c r="I972" s="78" t="s">
        <v>214</v>
      </c>
      <c r="J972" s="79" t="s">
        <v>251</v>
      </c>
      <c r="K972" s="80">
        <v>9.6</v>
      </c>
      <c r="L972" s="80">
        <f t="shared" si="267"/>
        <v>7.5294117647058822</v>
      </c>
      <c r="M972" s="81">
        <f>prodnorm30</f>
        <v>0</v>
      </c>
      <c r="N972" s="82">
        <f>dagwerk30</f>
        <v>0</v>
      </c>
      <c r="O972" s="78" t="s">
        <v>103</v>
      </c>
      <c r="P972" s="15">
        <f>uurtarief30</f>
        <v>0</v>
      </c>
      <c r="Q972" s="80" t="e">
        <f t="shared" si="268"/>
        <v>#DIV/0!</v>
      </c>
      <c r="R972" s="80" t="e">
        <f t="shared" si="269"/>
        <v>#DIV/0!</v>
      </c>
      <c r="S972" s="15" t="e">
        <f t="shared" si="270"/>
        <v>#DIV/0!</v>
      </c>
      <c r="T972" s="80" t="e">
        <f t="shared" si="271"/>
        <v>#DIV/0!</v>
      </c>
      <c r="U972" s="16" t="e">
        <f t="shared" si="272"/>
        <v>#DIV/0!</v>
      </c>
    </row>
    <row r="973" spans="1:21" x14ac:dyDescent="0.3">
      <c r="A973" s="77" t="s">
        <v>1043</v>
      </c>
      <c r="B973" s="78" t="s">
        <v>40</v>
      </c>
      <c r="C973" s="78" t="s">
        <v>1119</v>
      </c>
      <c r="D973" s="78" t="s">
        <v>1134</v>
      </c>
      <c r="E973" s="79" t="s">
        <v>419</v>
      </c>
      <c r="F973" s="78" t="s">
        <v>591</v>
      </c>
      <c r="G973" s="78" t="s">
        <v>250</v>
      </c>
      <c r="H973" s="78" t="s">
        <v>11</v>
      </c>
      <c r="I973" s="78" t="s">
        <v>214</v>
      </c>
      <c r="J973" s="79" t="s">
        <v>251</v>
      </c>
      <c r="K973" s="80">
        <v>9.6</v>
      </c>
      <c r="L973" s="80">
        <f t="shared" si="267"/>
        <v>7.5294117647058822</v>
      </c>
      <c r="M973" s="81">
        <f>prodnorm30</f>
        <v>0</v>
      </c>
      <c r="N973" s="82">
        <f>dagwerk30</f>
        <v>0</v>
      </c>
      <c r="O973" s="78" t="s">
        <v>103</v>
      </c>
      <c r="P973" s="15">
        <f>uurtarief30</f>
        <v>0</v>
      </c>
      <c r="Q973" s="80" t="e">
        <f t="shared" si="268"/>
        <v>#DIV/0!</v>
      </c>
      <c r="R973" s="80" t="e">
        <f t="shared" si="269"/>
        <v>#DIV/0!</v>
      </c>
      <c r="S973" s="15" t="e">
        <f t="shared" si="270"/>
        <v>#DIV/0!</v>
      </c>
      <c r="T973" s="80" t="e">
        <f t="shared" si="271"/>
        <v>#DIV/0!</v>
      </c>
      <c r="U973" s="16" t="e">
        <f t="shared" si="272"/>
        <v>#DIV/0!</v>
      </c>
    </row>
    <row r="974" spans="1:21" x14ac:dyDescent="0.3">
      <c r="A974" s="77" t="s">
        <v>1043</v>
      </c>
      <c r="B974" s="78" t="s">
        <v>40</v>
      </c>
      <c r="C974" s="78" t="s">
        <v>1119</v>
      </c>
      <c r="D974" s="78" t="s">
        <v>1135</v>
      </c>
      <c r="E974" s="79" t="s">
        <v>312</v>
      </c>
      <c r="F974" s="78" t="s">
        <v>509</v>
      </c>
      <c r="G974" s="78" t="s">
        <v>238</v>
      </c>
      <c r="H974" s="78" t="s">
        <v>21</v>
      </c>
      <c r="I974" s="78" t="s">
        <v>214</v>
      </c>
      <c r="J974" s="79" t="s">
        <v>239</v>
      </c>
      <c r="K974" s="80">
        <v>7.1</v>
      </c>
      <c r="L974" s="80">
        <f t="shared" si="267"/>
        <v>0.27843137254901956</v>
      </c>
      <c r="M974" s="81">
        <f>prodnorm23</f>
        <v>0</v>
      </c>
      <c r="N974" s="82">
        <f>dagwerk23</f>
        <v>0</v>
      </c>
      <c r="O974" s="78" t="s">
        <v>103</v>
      </c>
      <c r="P974" s="15">
        <f>uurtarief23</f>
        <v>0</v>
      </c>
      <c r="Q974" s="80" t="e">
        <f t="shared" si="268"/>
        <v>#DIV/0!</v>
      </c>
      <c r="R974" s="80" t="e">
        <f t="shared" si="269"/>
        <v>#DIV/0!</v>
      </c>
      <c r="S974" s="15" t="e">
        <f t="shared" si="270"/>
        <v>#DIV/0!</v>
      </c>
      <c r="T974" s="80" t="e">
        <f t="shared" si="271"/>
        <v>#DIV/0!</v>
      </c>
      <c r="U974" s="16" t="e">
        <f t="shared" si="272"/>
        <v>#DIV/0!</v>
      </c>
    </row>
    <row r="975" spans="1:21" x14ac:dyDescent="0.3">
      <c r="A975" s="77" t="s">
        <v>1043</v>
      </c>
      <c r="B975" s="78" t="s">
        <v>40</v>
      </c>
      <c r="C975" s="78" t="s">
        <v>1119</v>
      </c>
      <c r="D975" s="78" t="s">
        <v>1136</v>
      </c>
      <c r="E975" s="79" t="s">
        <v>1137</v>
      </c>
      <c r="F975" s="78" t="s">
        <v>509</v>
      </c>
      <c r="G975" s="78" t="s">
        <v>216</v>
      </c>
      <c r="H975" s="78" t="s">
        <v>16</v>
      </c>
      <c r="I975" s="78" t="s">
        <v>214</v>
      </c>
      <c r="J975" s="79" t="s">
        <v>217</v>
      </c>
      <c r="K975" s="80">
        <v>26.8</v>
      </c>
      <c r="L975" s="80">
        <f t="shared" si="267"/>
        <v>8.4078431372549023</v>
      </c>
      <c r="M975" s="81">
        <f>prodnorm8</f>
        <v>0</v>
      </c>
      <c r="N975" s="82">
        <f>dagwerk8</f>
        <v>0</v>
      </c>
      <c r="O975" s="78" t="s">
        <v>103</v>
      </c>
      <c r="P975" s="15">
        <f>uurtarief8</f>
        <v>0</v>
      </c>
      <c r="Q975" s="80" t="e">
        <f t="shared" si="268"/>
        <v>#DIV/0!</v>
      </c>
      <c r="R975" s="80" t="e">
        <f t="shared" si="269"/>
        <v>#DIV/0!</v>
      </c>
      <c r="S975" s="15" t="e">
        <f t="shared" si="270"/>
        <v>#DIV/0!</v>
      </c>
      <c r="T975" s="80" t="e">
        <f t="shared" si="271"/>
        <v>#DIV/0!</v>
      </c>
      <c r="U975" s="16" t="e">
        <f t="shared" si="272"/>
        <v>#DIV/0!</v>
      </c>
    </row>
    <row r="976" spans="1:21" x14ac:dyDescent="0.3">
      <c r="A976" s="77" t="s">
        <v>1043</v>
      </c>
      <c r="B976" s="78" t="s">
        <v>40</v>
      </c>
      <c r="C976" s="78" t="s">
        <v>1138</v>
      </c>
      <c r="D976" s="78" t="s">
        <v>1139</v>
      </c>
      <c r="E976" s="79" t="s">
        <v>1140</v>
      </c>
      <c r="F976" s="78" t="s">
        <v>850</v>
      </c>
      <c r="G976" s="78" t="s">
        <v>228</v>
      </c>
      <c r="H976" s="78" t="s">
        <v>11</v>
      </c>
      <c r="I976" s="78" t="s">
        <v>214</v>
      </c>
      <c r="J976" s="79" t="s">
        <v>229</v>
      </c>
      <c r="K976" s="80">
        <v>518</v>
      </c>
      <c r="L976" s="80">
        <f t="shared" si="267"/>
        <v>406.27450980392155</v>
      </c>
      <c r="M976" s="81">
        <f>prodnorm15</f>
        <v>0</v>
      </c>
      <c r="N976" s="82">
        <f>dagwerk15</f>
        <v>0</v>
      </c>
      <c r="O976" s="78" t="s">
        <v>103</v>
      </c>
      <c r="P976" s="15">
        <f>uurtarief15</f>
        <v>0</v>
      </c>
      <c r="Q976" s="80" t="e">
        <f t="shared" si="268"/>
        <v>#DIV/0!</v>
      </c>
      <c r="R976" s="80" t="e">
        <f t="shared" si="269"/>
        <v>#DIV/0!</v>
      </c>
      <c r="S976" s="15" t="e">
        <f t="shared" si="270"/>
        <v>#DIV/0!</v>
      </c>
      <c r="T976" s="80" t="e">
        <f t="shared" si="271"/>
        <v>#DIV/0!</v>
      </c>
      <c r="U976" s="16" t="e">
        <f t="shared" si="272"/>
        <v>#DIV/0!</v>
      </c>
    </row>
    <row r="977" spans="1:21" x14ac:dyDescent="0.3">
      <c r="A977" s="77" t="s">
        <v>1043</v>
      </c>
      <c r="B977" s="78" t="s">
        <v>40</v>
      </c>
      <c r="C977" s="78" t="s">
        <v>1138</v>
      </c>
      <c r="D977" s="78" t="s">
        <v>311</v>
      </c>
      <c r="E977" s="79" t="s">
        <v>610</v>
      </c>
      <c r="F977" s="78" t="s">
        <v>591</v>
      </c>
      <c r="G977" s="78" t="s">
        <v>250</v>
      </c>
      <c r="H977" s="78" t="s">
        <v>11</v>
      </c>
      <c r="I977" s="78" t="s">
        <v>214</v>
      </c>
      <c r="J977" s="79" t="s">
        <v>251</v>
      </c>
      <c r="K977" s="80">
        <v>1</v>
      </c>
      <c r="L977" s="80">
        <f t="shared" si="267"/>
        <v>0.78431372549019607</v>
      </c>
      <c r="M977" s="81">
        <f>prodnorm30</f>
        <v>0</v>
      </c>
      <c r="N977" s="82">
        <f>dagwerk30</f>
        <v>0</v>
      </c>
      <c r="O977" s="78" t="s">
        <v>103</v>
      </c>
      <c r="P977" s="15">
        <f>uurtarief30</f>
        <v>0</v>
      </c>
      <c r="Q977" s="80" t="e">
        <f t="shared" si="268"/>
        <v>#DIV/0!</v>
      </c>
      <c r="R977" s="80" t="e">
        <f t="shared" si="269"/>
        <v>#DIV/0!</v>
      </c>
      <c r="S977" s="15" t="e">
        <f t="shared" si="270"/>
        <v>#DIV/0!</v>
      </c>
      <c r="T977" s="80" t="e">
        <f t="shared" si="271"/>
        <v>#DIV/0!</v>
      </c>
      <c r="U977" s="16" t="e">
        <f t="shared" si="272"/>
        <v>#DIV/0!</v>
      </c>
    </row>
    <row r="978" spans="1:21" x14ac:dyDescent="0.3">
      <c r="A978" s="77" t="s">
        <v>1043</v>
      </c>
      <c r="B978" s="78" t="s">
        <v>40</v>
      </c>
      <c r="C978" s="78" t="s">
        <v>1138</v>
      </c>
      <c r="D978" s="78" t="s">
        <v>313</v>
      </c>
      <c r="E978" s="79" t="s">
        <v>610</v>
      </c>
      <c r="F978" s="78" t="s">
        <v>591</v>
      </c>
      <c r="G978" s="78" t="s">
        <v>250</v>
      </c>
      <c r="H978" s="78" t="s">
        <v>11</v>
      </c>
      <c r="I978" s="78" t="s">
        <v>214</v>
      </c>
      <c r="J978" s="79" t="s">
        <v>251</v>
      </c>
      <c r="K978" s="80">
        <v>1</v>
      </c>
      <c r="L978" s="80">
        <f t="shared" si="267"/>
        <v>0.78431372549019607</v>
      </c>
      <c r="M978" s="81">
        <f>prodnorm30</f>
        <v>0</v>
      </c>
      <c r="N978" s="82">
        <f>dagwerk30</f>
        <v>0</v>
      </c>
      <c r="O978" s="78" t="s">
        <v>103</v>
      </c>
      <c r="P978" s="15">
        <f>uurtarief30</f>
        <v>0</v>
      </c>
      <c r="Q978" s="80" t="e">
        <f t="shared" si="268"/>
        <v>#DIV/0!</v>
      </c>
      <c r="R978" s="80" t="e">
        <f t="shared" si="269"/>
        <v>#DIV/0!</v>
      </c>
      <c r="S978" s="15" t="e">
        <f t="shared" si="270"/>
        <v>#DIV/0!</v>
      </c>
      <c r="T978" s="80" t="e">
        <f t="shared" si="271"/>
        <v>#DIV/0!</v>
      </c>
      <c r="U978" s="16" t="e">
        <f t="shared" si="272"/>
        <v>#DIV/0!</v>
      </c>
    </row>
    <row r="979" spans="1:21" x14ac:dyDescent="0.3">
      <c r="A979" s="77" t="s">
        <v>1043</v>
      </c>
      <c r="B979" s="78" t="s">
        <v>40</v>
      </c>
      <c r="C979" s="78" t="s">
        <v>1138</v>
      </c>
      <c r="D979" s="78" t="s">
        <v>315</v>
      </c>
      <c r="E979" s="79" t="s">
        <v>308</v>
      </c>
      <c r="F979" s="78" t="s">
        <v>40</v>
      </c>
      <c r="G979" s="78" t="s">
        <v>300</v>
      </c>
      <c r="H979" s="78"/>
      <c r="I979" s="78"/>
      <c r="J979" s="78"/>
      <c r="K979" s="80">
        <v>10</v>
      </c>
      <c r="L979" s="80"/>
      <c r="M979" s="81"/>
      <c r="N979" s="82"/>
      <c r="O979" s="78"/>
      <c r="P979" s="15"/>
      <c r="Q979" s="80"/>
      <c r="R979" s="80"/>
      <c r="S979" s="15"/>
      <c r="T979" s="83"/>
      <c r="U979" s="16"/>
    </row>
    <row r="980" spans="1:21" x14ac:dyDescent="0.3">
      <c r="A980" s="77" t="s">
        <v>1043</v>
      </c>
      <c r="B980" s="78" t="s">
        <v>40</v>
      </c>
      <c r="C980" s="78" t="s">
        <v>1138</v>
      </c>
      <c r="D980" s="78" t="s">
        <v>317</v>
      </c>
      <c r="E980" s="79" t="s">
        <v>823</v>
      </c>
      <c r="F980" s="78" t="s">
        <v>591</v>
      </c>
      <c r="G980" s="78" t="s">
        <v>250</v>
      </c>
      <c r="H980" s="78" t="s">
        <v>11</v>
      </c>
      <c r="I980" s="78" t="s">
        <v>214</v>
      </c>
      <c r="J980" s="79" t="s">
        <v>251</v>
      </c>
      <c r="K980" s="80">
        <v>2.4</v>
      </c>
      <c r="L980" s="80">
        <f t="shared" ref="L980:L987" si="273">K980*VLOOKUP(H980,dagsoorttabel1,2,FALSE)</f>
        <v>1.8823529411764706</v>
      </c>
      <c r="M980" s="81">
        <f>prodnorm30</f>
        <v>0</v>
      </c>
      <c r="N980" s="82">
        <f>dagwerk30</f>
        <v>0</v>
      </c>
      <c r="O980" s="78" t="s">
        <v>103</v>
      </c>
      <c r="P980" s="15">
        <f>uurtarief30</f>
        <v>0</v>
      </c>
      <c r="Q980" s="80" t="e">
        <f t="shared" ref="Q980:Q987" si="274">IF(ISBLANK(M980),0,L980/ROUND(M980,4))</f>
        <v>#DIV/0!</v>
      </c>
      <c r="R980" s="80" t="e">
        <f t="shared" ref="R980:R987" si="275">IF(ISBLANK(M980),0,Q980*ROUND(N980,2))</f>
        <v>#DIV/0!</v>
      </c>
      <c r="S980" s="15" t="e">
        <f t="shared" ref="S980:S987" si="276">ROUND(P980,2)*Q980</f>
        <v>#DIV/0!</v>
      </c>
      <c r="T980" s="80" t="e">
        <f t="shared" ref="T980:T987" si="277">Q980*dagenperjaar1</f>
        <v>#DIV/0!</v>
      </c>
      <c r="U980" s="16" t="e">
        <f t="shared" ref="U980:U987" si="278">T980*ROUND(P980,2)</f>
        <v>#DIV/0!</v>
      </c>
    </row>
    <row r="981" spans="1:21" ht="27" x14ac:dyDescent="0.3">
      <c r="A981" s="77" t="s">
        <v>1043</v>
      </c>
      <c r="B981" s="78" t="s">
        <v>40</v>
      </c>
      <c r="C981" s="78" t="s">
        <v>1138</v>
      </c>
      <c r="D981" s="78" t="s">
        <v>1141</v>
      </c>
      <c r="E981" s="79" t="s">
        <v>808</v>
      </c>
      <c r="F981" s="78" t="s">
        <v>509</v>
      </c>
      <c r="G981" s="78" t="s">
        <v>256</v>
      </c>
      <c r="H981" s="78" t="s">
        <v>16</v>
      </c>
      <c r="I981" s="78" t="s">
        <v>214</v>
      </c>
      <c r="J981" s="79" t="s">
        <v>257</v>
      </c>
      <c r="K981" s="80">
        <v>25</v>
      </c>
      <c r="L981" s="80">
        <f t="shared" si="273"/>
        <v>7.8431372549019605</v>
      </c>
      <c r="M981" s="81">
        <f>prodnorm34</f>
        <v>0</v>
      </c>
      <c r="N981" s="82">
        <f>dagwerk34</f>
        <v>0</v>
      </c>
      <c r="O981" s="78" t="s">
        <v>103</v>
      </c>
      <c r="P981" s="15">
        <f>uurtarief34</f>
        <v>0</v>
      </c>
      <c r="Q981" s="80" t="e">
        <f t="shared" si="274"/>
        <v>#DIV/0!</v>
      </c>
      <c r="R981" s="80" t="e">
        <f t="shared" si="275"/>
        <v>#DIV/0!</v>
      </c>
      <c r="S981" s="15" t="e">
        <f t="shared" si="276"/>
        <v>#DIV/0!</v>
      </c>
      <c r="T981" s="80" t="e">
        <f t="shared" si="277"/>
        <v>#DIV/0!</v>
      </c>
      <c r="U981" s="16" t="e">
        <f t="shared" si="278"/>
        <v>#DIV/0!</v>
      </c>
    </row>
    <row r="982" spans="1:21" x14ac:dyDescent="0.3">
      <c r="A982" s="77" t="s">
        <v>1043</v>
      </c>
      <c r="B982" s="78" t="s">
        <v>40</v>
      </c>
      <c r="C982" s="78" t="s">
        <v>1138</v>
      </c>
      <c r="D982" s="78" t="s">
        <v>1142</v>
      </c>
      <c r="E982" s="79" t="s">
        <v>1143</v>
      </c>
      <c r="F982" s="78" t="s">
        <v>509</v>
      </c>
      <c r="G982" s="78" t="s">
        <v>216</v>
      </c>
      <c r="H982" s="78" t="s">
        <v>16</v>
      </c>
      <c r="I982" s="78" t="s">
        <v>214</v>
      </c>
      <c r="J982" s="79" t="s">
        <v>217</v>
      </c>
      <c r="K982" s="80">
        <v>6</v>
      </c>
      <c r="L982" s="80">
        <f t="shared" si="273"/>
        <v>1.8823529411764706</v>
      </c>
      <c r="M982" s="81">
        <f>prodnorm8</f>
        <v>0</v>
      </c>
      <c r="N982" s="82">
        <f>dagwerk8</f>
        <v>0</v>
      </c>
      <c r="O982" s="78" t="s">
        <v>103</v>
      </c>
      <c r="P982" s="15">
        <f>uurtarief8</f>
        <v>0</v>
      </c>
      <c r="Q982" s="80" t="e">
        <f t="shared" si="274"/>
        <v>#DIV/0!</v>
      </c>
      <c r="R982" s="80" t="e">
        <f t="shared" si="275"/>
        <v>#DIV/0!</v>
      </c>
      <c r="S982" s="15" t="e">
        <f t="shared" si="276"/>
        <v>#DIV/0!</v>
      </c>
      <c r="T982" s="80" t="e">
        <f t="shared" si="277"/>
        <v>#DIV/0!</v>
      </c>
      <c r="U982" s="16" t="e">
        <f t="shared" si="278"/>
        <v>#DIV/0!</v>
      </c>
    </row>
    <row r="983" spans="1:21" x14ac:dyDescent="0.3">
      <c r="A983" s="77" t="s">
        <v>1043</v>
      </c>
      <c r="B983" s="78" t="s">
        <v>40</v>
      </c>
      <c r="C983" s="78" t="s">
        <v>1138</v>
      </c>
      <c r="D983" s="78" t="s">
        <v>1144</v>
      </c>
      <c r="E983" s="79" t="s">
        <v>1145</v>
      </c>
      <c r="F983" s="78" t="s">
        <v>591</v>
      </c>
      <c r="G983" s="78" t="s">
        <v>232</v>
      </c>
      <c r="H983" s="78" t="s">
        <v>11</v>
      </c>
      <c r="I983" s="78" t="s">
        <v>214</v>
      </c>
      <c r="J983" s="79" t="s">
        <v>233</v>
      </c>
      <c r="K983" s="80">
        <v>7.2</v>
      </c>
      <c r="L983" s="80">
        <f t="shared" si="273"/>
        <v>5.6470588235294121</v>
      </c>
      <c r="M983" s="81">
        <f>prodnorm19</f>
        <v>0</v>
      </c>
      <c r="N983" s="82">
        <f>dagwerk19</f>
        <v>0</v>
      </c>
      <c r="O983" s="78" t="s">
        <v>103</v>
      </c>
      <c r="P983" s="15">
        <f>uurtarief19</f>
        <v>0</v>
      </c>
      <c r="Q983" s="80" t="e">
        <f t="shared" si="274"/>
        <v>#DIV/0!</v>
      </c>
      <c r="R983" s="80" t="e">
        <f t="shared" si="275"/>
        <v>#DIV/0!</v>
      </c>
      <c r="S983" s="15" t="e">
        <f t="shared" si="276"/>
        <v>#DIV/0!</v>
      </c>
      <c r="T983" s="80" t="e">
        <f t="shared" si="277"/>
        <v>#DIV/0!</v>
      </c>
      <c r="U983" s="16" t="e">
        <f t="shared" si="278"/>
        <v>#DIV/0!</v>
      </c>
    </row>
    <row r="984" spans="1:21" x14ac:dyDescent="0.3">
      <c r="A984" s="77" t="s">
        <v>1043</v>
      </c>
      <c r="B984" s="78" t="s">
        <v>40</v>
      </c>
      <c r="C984" s="78" t="s">
        <v>1138</v>
      </c>
      <c r="D984" s="78" t="s">
        <v>1146</v>
      </c>
      <c r="E984" s="79" t="s">
        <v>1145</v>
      </c>
      <c r="F984" s="78" t="s">
        <v>591</v>
      </c>
      <c r="G984" s="78" t="s">
        <v>232</v>
      </c>
      <c r="H984" s="78" t="s">
        <v>11</v>
      </c>
      <c r="I984" s="78" t="s">
        <v>214</v>
      </c>
      <c r="J984" s="79" t="s">
        <v>233</v>
      </c>
      <c r="K984" s="80">
        <v>9.7199999999999989</v>
      </c>
      <c r="L984" s="80">
        <f t="shared" si="273"/>
        <v>7.6235294117647046</v>
      </c>
      <c r="M984" s="81">
        <f>prodnorm19</f>
        <v>0</v>
      </c>
      <c r="N984" s="82">
        <f>dagwerk19</f>
        <v>0</v>
      </c>
      <c r="O984" s="78" t="s">
        <v>103</v>
      </c>
      <c r="P984" s="15">
        <f>uurtarief19</f>
        <v>0</v>
      </c>
      <c r="Q984" s="80" t="e">
        <f t="shared" si="274"/>
        <v>#DIV/0!</v>
      </c>
      <c r="R984" s="80" t="e">
        <f t="shared" si="275"/>
        <v>#DIV/0!</v>
      </c>
      <c r="S984" s="15" t="e">
        <f t="shared" si="276"/>
        <v>#DIV/0!</v>
      </c>
      <c r="T984" s="80" t="e">
        <f t="shared" si="277"/>
        <v>#DIV/0!</v>
      </c>
      <c r="U984" s="16" t="e">
        <f t="shared" si="278"/>
        <v>#DIV/0!</v>
      </c>
    </row>
    <row r="985" spans="1:21" x14ac:dyDescent="0.3">
      <c r="A985" s="77" t="s">
        <v>1043</v>
      </c>
      <c r="B985" s="78" t="s">
        <v>40</v>
      </c>
      <c r="C985" s="78" t="s">
        <v>1138</v>
      </c>
      <c r="D985" s="78" t="s">
        <v>1147</v>
      </c>
      <c r="E985" s="79" t="s">
        <v>493</v>
      </c>
      <c r="F985" s="78" t="s">
        <v>850</v>
      </c>
      <c r="G985" s="78" t="s">
        <v>228</v>
      </c>
      <c r="H985" s="78" t="s">
        <v>11</v>
      </c>
      <c r="I985" s="78" t="s">
        <v>214</v>
      </c>
      <c r="J985" s="79" t="s">
        <v>229</v>
      </c>
      <c r="K985" s="80">
        <v>33</v>
      </c>
      <c r="L985" s="80">
        <f t="shared" si="273"/>
        <v>25.882352941176471</v>
      </c>
      <c r="M985" s="81">
        <f>prodnorm15</f>
        <v>0</v>
      </c>
      <c r="N985" s="82">
        <f>dagwerk15</f>
        <v>0</v>
      </c>
      <c r="O985" s="78" t="s">
        <v>103</v>
      </c>
      <c r="P985" s="15">
        <f>uurtarief15</f>
        <v>0</v>
      </c>
      <c r="Q985" s="80" t="e">
        <f t="shared" si="274"/>
        <v>#DIV/0!</v>
      </c>
      <c r="R985" s="80" t="e">
        <f t="shared" si="275"/>
        <v>#DIV/0!</v>
      </c>
      <c r="S985" s="15" t="e">
        <f t="shared" si="276"/>
        <v>#DIV/0!</v>
      </c>
      <c r="T985" s="80" t="e">
        <f t="shared" si="277"/>
        <v>#DIV/0!</v>
      </c>
      <c r="U985" s="16" t="e">
        <f t="shared" si="278"/>
        <v>#DIV/0!</v>
      </c>
    </row>
    <row r="986" spans="1:21" x14ac:dyDescent="0.3">
      <c r="A986" s="77" t="s">
        <v>1043</v>
      </c>
      <c r="B986" s="78" t="s">
        <v>40</v>
      </c>
      <c r="C986" s="78" t="s">
        <v>1138</v>
      </c>
      <c r="D986" s="78" t="s">
        <v>1148</v>
      </c>
      <c r="E986" s="79" t="s">
        <v>1149</v>
      </c>
      <c r="F986" s="78" t="s">
        <v>591</v>
      </c>
      <c r="G986" s="78" t="s">
        <v>220</v>
      </c>
      <c r="H986" s="78" t="s">
        <v>11</v>
      </c>
      <c r="I986" s="78" t="s">
        <v>214</v>
      </c>
      <c r="J986" s="79" t="s">
        <v>221</v>
      </c>
      <c r="K986" s="80">
        <v>3.6</v>
      </c>
      <c r="L986" s="80">
        <f t="shared" si="273"/>
        <v>2.8235294117647061</v>
      </c>
      <c r="M986" s="81">
        <f>prodnorm11</f>
        <v>0</v>
      </c>
      <c r="N986" s="82">
        <f>dagwerk11</f>
        <v>0</v>
      </c>
      <c r="O986" s="78" t="s">
        <v>103</v>
      </c>
      <c r="P986" s="15">
        <f>uurtarief11</f>
        <v>0</v>
      </c>
      <c r="Q986" s="80" t="e">
        <f t="shared" si="274"/>
        <v>#DIV/0!</v>
      </c>
      <c r="R986" s="80" t="e">
        <f t="shared" si="275"/>
        <v>#DIV/0!</v>
      </c>
      <c r="S986" s="15" t="e">
        <f t="shared" si="276"/>
        <v>#DIV/0!</v>
      </c>
      <c r="T986" s="80" t="e">
        <f t="shared" si="277"/>
        <v>#DIV/0!</v>
      </c>
      <c r="U986" s="16" t="e">
        <f t="shared" si="278"/>
        <v>#DIV/0!</v>
      </c>
    </row>
    <row r="987" spans="1:21" x14ac:dyDescent="0.3">
      <c r="A987" s="84" t="s">
        <v>1043</v>
      </c>
      <c r="B987" s="85" t="s">
        <v>40</v>
      </c>
      <c r="C987" s="85" t="s">
        <v>1138</v>
      </c>
      <c r="D987" s="85" t="s">
        <v>1150</v>
      </c>
      <c r="E987" s="86" t="s">
        <v>1149</v>
      </c>
      <c r="F987" s="85" t="s">
        <v>591</v>
      </c>
      <c r="G987" s="85" t="s">
        <v>220</v>
      </c>
      <c r="H987" s="85" t="s">
        <v>11</v>
      </c>
      <c r="I987" s="85" t="s">
        <v>214</v>
      </c>
      <c r="J987" s="86" t="s">
        <v>221</v>
      </c>
      <c r="K987" s="87">
        <v>3.6</v>
      </c>
      <c r="L987" s="87">
        <f t="shared" si="273"/>
        <v>2.8235294117647061</v>
      </c>
      <c r="M987" s="88">
        <f>prodnorm11</f>
        <v>0</v>
      </c>
      <c r="N987" s="89">
        <f>dagwerk11</f>
        <v>0</v>
      </c>
      <c r="O987" s="85" t="s">
        <v>103</v>
      </c>
      <c r="P987" s="24">
        <f>uurtarief11</f>
        <v>0</v>
      </c>
      <c r="Q987" s="87" t="e">
        <f t="shared" si="274"/>
        <v>#DIV/0!</v>
      </c>
      <c r="R987" s="87" t="e">
        <f t="shared" si="275"/>
        <v>#DIV/0!</v>
      </c>
      <c r="S987" s="24" t="e">
        <f t="shared" si="276"/>
        <v>#DIV/0!</v>
      </c>
      <c r="T987" s="87" t="e">
        <f t="shared" si="277"/>
        <v>#DIV/0!</v>
      </c>
      <c r="U987" s="25" t="e">
        <f t="shared" si="278"/>
        <v>#DIV/0!</v>
      </c>
    </row>
    <row r="988" spans="1:21" x14ac:dyDescent="0.3">
      <c r="A988" s="90" t="s">
        <v>506</v>
      </c>
      <c r="B988" s="60"/>
      <c r="C988" s="60"/>
      <c r="D988" s="60"/>
      <c r="E988" s="60"/>
      <c r="F988" s="60"/>
      <c r="G988" s="60"/>
      <c r="H988" s="60"/>
      <c r="I988" s="60"/>
      <c r="J988" s="60"/>
      <c r="K988" s="60"/>
      <c r="L988" s="60"/>
      <c r="M988" s="60"/>
      <c r="N988" s="60"/>
      <c r="O988" s="60"/>
      <c r="P988" s="62" t="e">
        <f>IF(_xlfn.SINGLE(object6_urenjaar1)&gt;0,_xlfn.SINGLE(object6_prijsjaar1)/_xlfn.SINGLE(object6_urenjaar1),0)</f>
        <v>#DIV/0!</v>
      </c>
      <c r="Q988" s="61" t="e">
        <f>SUM(Q804:Q987)</f>
        <v>#DIV/0!</v>
      </c>
      <c r="R988" s="61" t="e">
        <f>SUM(R804:R987)</f>
        <v>#DIV/0!</v>
      </c>
      <c r="S988" s="62" t="e">
        <f>SUM(S804:S987)</f>
        <v>#DIV/0!</v>
      </c>
      <c r="T988" s="61" t="e">
        <f>SUM(T804:T987)</f>
        <v>#DIV/0!</v>
      </c>
      <c r="U988" s="63" t="e">
        <f>SUM(U804:U987)</f>
        <v>#DIV/0!</v>
      </c>
    </row>
    <row r="989" spans="1:21" x14ac:dyDescent="0.3">
      <c r="A989" s="68" t="s">
        <v>1151</v>
      </c>
      <c r="B989" s="32"/>
      <c r="C989" s="32"/>
      <c r="D989" s="32"/>
      <c r="E989" s="32"/>
      <c r="F989" s="32"/>
      <c r="G989" s="32"/>
      <c r="H989" s="32"/>
      <c r="I989" s="32"/>
      <c r="J989" s="32"/>
      <c r="K989" s="32"/>
      <c r="L989" s="32"/>
      <c r="M989" s="32"/>
      <c r="N989" s="32"/>
      <c r="O989" s="32"/>
      <c r="P989" s="32"/>
      <c r="Q989" s="32"/>
      <c r="R989" s="32"/>
      <c r="S989" s="32"/>
      <c r="T989" s="32"/>
      <c r="U989" s="58"/>
    </row>
    <row r="990" spans="1:21" x14ac:dyDescent="0.3">
      <c r="A990" s="69" t="s">
        <v>1152</v>
      </c>
      <c r="B990" s="70" t="s">
        <v>40</v>
      </c>
      <c r="C990" s="70" t="s">
        <v>280</v>
      </c>
      <c r="D990" s="70" t="s">
        <v>1153</v>
      </c>
      <c r="E990" s="71" t="s">
        <v>456</v>
      </c>
      <c r="F990" s="70" t="s">
        <v>1154</v>
      </c>
      <c r="G990" s="70" t="s">
        <v>300</v>
      </c>
      <c r="H990" s="70"/>
      <c r="I990" s="70"/>
      <c r="J990" s="70"/>
      <c r="K990" s="72">
        <v>5</v>
      </c>
      <c r="L990" s="72"/>
      <c r="M990" s="73"/>
      <c r="N990" s="74"/>
      <c r="O990" s="70"/>
      <c r="P990" s="75"/>
      <c r="Q990" s="72"/>
      <c r="R990" s="72"/>
      <c r="S990" s="75"/>
      <c r="T990" s="91"/>
      <c r="U990" s="76"/>
    </row>
    <row r="991" spans="1:21" x14ac:dyDescent="0.3">
      <c r="A991" s="77" t="s">
        <v>1152</v>
      </c>
      <c r="B991" s="78" t="s">
        <v>40</v>
      </c>
      <c r="C991" s="78" t="s">
        <v>280</v>
      </c>
      <c r="D991" s="78" t="s">
        <v>1155</v>
      </c>
      <c r="E991" s="79" t="s">
        <v>596</v>
      </c>
      <c r="F991" s="78" t="s">
        <v>1154</v>
      </c>
      <c r="G991" s="78" t="s">
        <v>300</v>
      </c>
      <c r="H991" s="78"/>
      <c r="I991" s="78"/>
      <c r="J991" s="78"/>
      <c r="K991" s="80">
        <v>3</v>
      </c>
      <c r="L991" s="80"/>
      <c r="M991" s="81"/>
      <c r="N991" s="82"/>
      <c r="O991" s="78"/>
      <c r="P991" s="15"/>
      <c r="Q991" s="80"/>
      <c r="R991" s="80"/>
      <c r="S991" s="15"/>
      <c r="T991" s="83"/>
      <c r="U991" s="16"/>
    </row>
    <row r="992" spans="1:21" x14ac:dyDescent="0.3">
      <c r="A992" s="77" t="s">
        <v>1152</v>
      </c>
      <c r="B992" s="78" t="s">
        <v>40</v>
      </c>
      <c r="C992" s="78" t="s">
        <v>280</v>
      </c>
      <c r="D992" s="78" t="s">
        <v>1156</v>
      </c>
      <c r="E992" s="79" t="s">
        <v>1157</v>
      </c>
      <c r="F992" s="78" t="s">
        <v>1154</v>
      </c>
      <c r="G992" s="78" t="s">
        <v>300</v>
      </c>
      <c r="H992" s="78"/>
      <c r="I992" s="78"/>
      <c r="J992" s="78"/>
      <c r="K992" s="80">
        <v>10</v>
      </c>
      <c r="L992" s="80"/>
      <c r="M992" s="81"/>
      <c r="N992" s="82"/>
      <c r="O992" s="78"/>
      <c r="P992" s="15"/>
      <c r="Q992" s="80"/>
      <c r="R992" s="80"/>
      <c r="S992" s="15"/>
      <c r="T992" s="83"/>
      <c r="U992" s="16"/>
    </row>
    <row r="993" spans="1:21" x14ac:dyDescent="0.3">
      <c r="A993" s="77" t="s">
        <v>1152</v>
      </c>
      <c r="B993" s="78" t="s">
        <v>40</v>
      </c>
      <c r="C993" s="78" t="s">
        <v>280</v>
      </c>
      <c r="D993" s="78" t="s">
        <v>1158</v>
      </c>
      <c r="E993" s="79" t="s">
        <v>1159</v>
      </c>
      <c r="F993" s="78" t="s">
        <v>1154</v>
      </c>
      <c r="G993" s="78" t="s">
        <v>300</v>
      </c>
      <c r="H993" s="78"/>
      <c r="I993" s="78"/>
      <c r="J993" s="78"/>
      <c r="K993" s="80">
        <v>7</v>
      </c>
      <c r="L993" s="80"/>
      <c r="M993" s="81"/>
      <c r="N993" s="82"/>
      <c r="O993" s="78"/>
      <c r="P993" s="15"/>
      <c r="Q993" s="80"/>
      <c r="R993" s="80"/>
      <c r="S993" s="15"/>
      <c r="T993" s="83"/>
      <c r="U993" s="16"/>
    </row>
    <row r="994" spans="1:21" x14ac:dyDescent="0.3">
      <c r="A994" s="77" t="s">
        <v>1152</v>
      </c>
      <c r="B994" s="78" t="s">
        <v>40</v>
      </c>
      <c r="C994" s="78" t="s">
        <v>280</v>
      </c>
      <c r="D994" s="78" t="s">
        <v>1160</v>
      </c>
      <c r="E994" s="79" t="s">
        <v>299</v>
      </c>
      <c r="F994" s="78" t="s">
        <v>1154</v>
      </c>
      <c r="G994" s="78" t="s">
        <v>300</v>
      </c>
      <c r="H994" s="78"/>
      <c r="I994" s="78"/>
      <c r="J994" s="78"/>
      <c r="K994" s="80">
        <v>4</v>
      </c>
      <c r="L994" s="80"/>
      <c r="M994" s="81"/>
      <c r="N994" s="82"/>
      <c r="O994" s="78"/>
      <c r="P994" s="15"/>
      <c r="Q994" s="80"/>
      <c r="R994" s="80"/>
      <c r="S994" s="15"/>
      <c r="T994" s="83"/>
      <c r="U994" s="16"/>
    </row>
    <row r="995" spans="1:21" x14ac:dyDescent="0.3">
      <c r="A995" s="77" t="s">
        <v>1152</v>
      </c>
      <c r="B995" s="78" t="s">
        <v>40</v>
      </c>
      <c r="C995" s="78" t="s">
        <v>280</v>
      </c>
      <c r="D995" s="78" t="s">
        <v>1161</v>
      </c>
      <c r="E995" s="79" t="s">
        <v>312</v>
      </c>
      <c r="F995" s="78" t="s">
        <v>768</v>
      </c>
      <c r="G995" s="78" t="s">
        <v>300</v>
      </c>
      <c r="H995" s="78"/>
      <c r="I995" s="78"/>
      <c r="J995" s="78"/>
      <c r="K995" s="80">
        <v>7</v>
      </c>
      <c r="L995" s="80"/>
      <c r="M995" s="81"/>
      <c r="N995" s="82"/>
      <c r="O995" s="78"/>
      <c r="P995" s="15"/>
      <c r="Q995" s="80"/>
      <c r="R995" s="80"/>
      <c r="S995" s="15"/>
      <c r="T995" s="83"/>
      <c r="U995" s="16"/>
    </row>
    <row r="996" spans="1:21" ht="27" x14ac:dyDescent="0.3">
      <c r="A996" s="77" t="s">
        <v>1152</v>
      </c>
      <c r="B996" s="78" t="s">
        <v>40</v>
      </c>
      <c r="C996" s="78" t="s">
        <v>280</v>
      </c>
      <c r="D996" s="78" t="s">
        <v>1162</v>
      </c>
      <c r="E996" s="79" t="s">
        <v>1163</v>
      </c>
      <c r="F996" s="78" t="s">
        <v>768</v>
      </c>
      <c r="G996" s="78" t="s">
        <v>256</v>
      </c>
      <c r="H996" s="78" t="s">
        <v>11</v>
      </c>
      <c r="I996" s="78" t="s">
        <v>214</v>
      </c>
      <c r="J996" s="79" t="s">
        <v>257</v>
      </c>
      <c r="K996" s="80">
        <v>24</v>
      </c>
      <c r="L996" s="80">
        <f t="shared" ref="L996:L1003" si="279">K996*VLOOKUP(H996,dagsoorttabel1,2,FALSE)</f>
        <v>18.823529411764707</v>
      </c>
      <c r="M996" s="81">
        <f>prodnorm33</f>
        <v>0</v>
      </c>
      <c r="N996" s="82">
        <f>dagwerk33</f>
        <v>0</v>
      </c>
      <c r="O996" s="78" t="s">
        <v>103</v>
      </c>
      <c r="P996" s="15">
        <f>uurtarief33</f>
        <v>0</v>
      </c>
      <c r="Q996" s="80" t="e">
        <f t="shared" ref="Q996:Q1003" si="280">IF(ISBLANK(M996),0,L996/ROUND(M996,4))</f>
        <v>#DIV/0!</v>
      </c>
      <c r="R996" s="80" t="e">
        <f t="shared" ref="R996:R1003" si="281">IF(ISBLANK(M996),0,Q996*ROUND(N996,2))</f>
        <v>#DIV/0!</v>
      </c>
      <c r="S996" s="15" t="e">
        <f t="shared" ref="S996:S1003" si="282">ROUND(P996,2)*Q996</f>
        <v>#DIV/0!</v>
      </c>
      <c r="T996" s="80" t="e">
        <f t="shared" ref="T996:T1003" si="283">Q996*dagenperjaar1</f>
        <v>#DIV/0!</v>
      </c>
      <c r="U996" s="16" t="e">
        <f t="shared" ref="U996:U1003" si="284">T996*ROUND(P996,2)</f>
        <v>#DIV/0!</v>
      </c>
    </row>
    <row r="997" spans="1:21" ht="27" x14ac:dyDescent="0.3">
      <c r="A997" s="77" t="s">
        <v>1152</v>
      </c>
      <c r="B997" s="78" t="s">
        <v>40</v>
      </c>
      <c r="C997" s="78" t="s">
        <v>280</v>
      </c>
      <c r="D997" s="78" t="s">
        <v>1164</v>
      </c>
      <c r="E997" s="79" t="s">
        <v>1163</v>
      </c>
      <c r="F997" s="78" t="s">
        <v>768</v>
      </c>
      <c r="G997" s="78" t="s">
        <v>256</v>
      </c>
      <c r="H997" s="78" t="s">
        <v>11</v>
      </c>
      <c r="I997" s="78" t="s">
        <v>214</v>
      </c>
      <c r="J997" s="79" t="s">
        <v>257</v>
      </c>
      <c r="K997" s="80">
        <v>48</v>
      </c>
      <c r="L997" s="80">
        <f t="shared" si="279"/>
        <v>37.647058823529413</v>
      </c>
      <c r="M997" s="81">
        <f>prodnorm33</f>
        <v>0</v>
      </c>
      <c r="N997" s="82">
        <f>dagwerk33</f>
        <v>0</v>
      </c>
      <c r="O997" s="78" t="s">
        <v>103</v>
      </c>
      <c r="P997" s="15">
        <f>uurtarief33</f>
        <v>0</v>
      </c>
      <c r="Q997" s="80" t="e">
        <f t="shared" si="280"/>
        <v>#DIV/0!</v>
      </c>
      <c r="R997" s="80" t="e">
        <f t="shared" si="281"/>
        <v>#DIV/0!</v>
      </c>
      <c r="S997" s="15" t="e">
        <f t="shared" si="282"/>
        <v>#DIV/0!</v>
      </c>
      <c r="T997" s="80" t="e">
        <f t="shared" si="283"/>
        <v>#DIV/0!</v>
      </c>
      <c r="U997" s="16" t="e">
        <f t="shared" si="284"/>
        <v>#DIV/0!</v>
      </c>
    </row>
    <row r="998" spans="1:21" x14ac:dyDescent="0.3">
      <c r="A998" s="77" t="s">
        <v>1152</v>
      </c>
      <c r="B998" s="78" t="s">
        <v>40</v>
      </c>
      <c r="C998" s="78" t="s">
        <v>280</v>
      </c>
      <c r="D998" s="78" t="s">
        <v>1165</v>
      </c>
      <c r="E998" s="79" t="s">
        <v>411</v>
      </c>
      <c r="F998" s="78" t="s">
        <v>404</v>
      </c>
      <c r="G998" s="78" t="s">
        <v>252</v>
      </c>
      <c r="H998" s="78" t="s">
        <v>11</v>
      </c>
      <c r="I998" s="78" t="s">
        <v>214</v>
      </c>
      <c r="J998" s="79" t="s">
        <v>253</v>
      </c>
      <c r="K998" s="80">
        <v>11</v>
      </c>
      <c r="L998" s="80">
        <f t="shared" si="279"/>
        <v>8.6274509803921564</v>
      </c>
      <c r="M998" s="81">
        <f>prodnorm31</f>
        <v>0</v>
      </c>
      <c r="N998" s="82">
        <f>dagwerk31</f>
        <v>0</v>
      </c>
      <c r="O998" s="78" t="s">
        <v>103</v>
      </c>
      <c r="P998" s="15">
        <f>uurtarief31</f>
        <v>0</v>
      </c>
      <c r="Q998" s="80" t="e">
        <f t="shared" si="280"/>
        <v>#DIV/0!</v>
      </c>
      <c r="R998" s="80" t="e">
        <f t="shared" si="281"/>
        <v>#DIV/0!</v>
      </c>
      <c r="S998" s="15" t="e">
        <f t="shared" si="282"/>
        <v>#DIV/0!</v>
      </c>
      <c r="T998" s="80" t="e">
        <f t="shared" si="283"/>
        <v>#DIV/0!</v>
      </c>
      <c r="U998" s="16" t="e">
        <f t="shared" si="284"/>
        <v>#DIV/0!</v>
      </c>
    </row>
    <row r="999" spans="1:21" x14ac:dyDescent="0.3">
      <c r="A999" s="77" t="s">
        <v>1152</v>
      </c>
      <c r="B999" s="78" t="s">
        <v>40</v>
      </c>
      <c r="C999" s="78" t="s">
        <v>280</v>
      </c>
      <c r="D999" s="78" t="s">
        <v>1166</v>
      </c>
      <c r="E999" s="79" t="s">
        <v>1167</v>
      </c>
      <c r="F999" s="78" t="s">
        <v>1168</v>
      </c>
      <c r="G999" s="78" t="s">
        <v>252</v>
      </c>
      <c r="H999" s="78" t="s">
        <v>11</v>
      </c>
      <c r="I999" s="78" t="s">
        <v>214</v>
      </c>
      <c r="J999" s="79" t="s">
        <v>253</v>
      </c>
      <c r="K999" s="80">
        <v>23</v>
      </c>
      <c r="L999" s="80">
        <f t="shared" si="279"/>
        <v>18.03921568627451</v>
      </c>
      <c r="M999" s="81">
        <f>prodnorm31</f>
        <v>0</v>
      </c>
      <c r="N999" s="82">
        <f>dagwerk31</f>
        <v>0</v>
      </c>
      <c r="O999" s="78" t="s">
        <v>103</v>
      </c>
      <c r="P999" s="15">
        <f>uurtarief31</f>
        <v>0</v>
      </c>
      <c r="Q999" s="80" t="e">
        <f t="shared" si="280"/>
        <v>#DIV/0!</v>
      </c>
      <c r="R999" s="80" t="e">
        <f t="shared" si="281"/>
        <v>#DIV/0!</v>
      </c>
      <c r="S999" s="15" t="e">
        <f t="shared" si="282"/>
        <v>#DIV/0!</v>
      </c>
      <c r="T999" s="80" t="e">
        <f t="shared" si="283"/>
        <v>#DIV/0!</v>
      </c>
      <c r="U999" s="16" t="e">
        <f t="shared" si="284"/>
        <v>#DIV/0!</v>
      </c>
    </row>
    <row r="1000" spans="1:21" x14ac:dyDescent="0.3">
      <c r="A1000" s="77" t="s">
        <v>1152</v>
      </c>
      <c r="B1000" s="78" t="s">
        <v>40</v>
      </c>
      <c r="C1000" s="78" t="s">
        <v>280</v>
      </c>
      <c r="D1000" s="78" t="s">
        <v>1169</v>
      </c>
      <c r="E1000" s="79" t="s">
        <v>1170</v>
      </c>
      <c r="F1000" s="78" t="s">
        <v>1171</v>
      </c>
      <c r="G1000" s="78" t="s">
        <v>230</v>
      </c>
      <c r="H1000" s="78" t="s">
        <v>11</v>
      </c>
      <c r="I1000" s="78" t="s">
        <v>214</v>
      </c>
      <c r="J1000" s="79" t="s">
        <v>231</v>
      </c>
      <c r="K1000" s="80">
        <v>4</v>
      </c>
      <c r="L1000" s="80">
        <f t="shared" si="279"/>
        <v>3.1372549019607843</v>
      </c>
      <c r="M1000" s="81">
        <f>prodnorm17</f>
        <v>0</v>
      </c>
      <c r="N1000" s="82">
        <f>dagwerk17</f>
        <v>0</v>
      </c>
      <c r="O1000" s="78" t="s">
        <v>103</v>
      </c>
      <c r="P1000" s="15">
        <f>uurtarief17</f>
        <v>0</v>
      </c>
      <c r="Q1000" s="80" t="e">
        <f t="shared" si="280"/>
        <v>#DIV/0!</v>
      </c>
      <c r="R1000" s="80" t="e">
        <f t="shared" si="281"/>
        <v>#DIV/0!</v>
      </c>
      <c r="S1000" s="15" t="e">
        <f t="shared" si="282"/>
        <v>#DIV/0!</v>
      </c>
      <c r="T1000" s="80" t="e">
        <f t="shared" si="283"/>
        <v>#DIV/0!</v>
      </c>
      <c r="U1000" s="16" t="e">
        <f t="shared" si="284"/>
        <v>#DIV/0!</v>
      </c>
    </row>
    <row r="1001" spans="1:21" ht="27" x14ac:dyDescent="0.3">
      <c r="A1001" s="77" t="s">
        <v>1152</v>
      </c>
      <c r="B1001" s="78" t="s">
        <v>40</v>
      </c>
      <c r="C1001" s="78" t="s">
        <v>280</v>
      </c>
      <c r="D1001" s="78" t="s">
        <v>1172</v>
      </c>
      <c r="E1001" s="79" t="s">
        <v>1163</v>
      </c>
      <c r="F1001" s="78" t="s">
        <v>768</v>
      </c>
      <c r="G1001" s="78" t="s">
        <v>256</v>
      </c>
      <c r="H1001" s="78" t="s">
        <v>11</v>
      </c>
      <c r="I1001" s="78" t="s">
        <v>214</v>
      </c>
      <c r="J1001" s="79" t="s">
        <v>257</v>
      </c>
      <c r="K1001" s="80">
        <v>36</v>
      </c>
      <c r="L1001" s="80">
        <f t="shared" si="279"/>
        <v>28.235294117647058</v>
      </c>
      <c r="M1001" s="81">
        <f>prodnorm33</f>
        <v>0</v>
      </c>
      <c r="N1001" s="82">
        <f>dagwerk33</f>
        <v>0</v>
      </c>
      <c r="O1001" s="78" t="s">
        <v>103</v>
      </c>
      <c r="P1001" s="15">
        <f>uurtarief33</f>
        <v>0</v>
      </c>
      <c r="Q1001" s="80" t="e">
        <f t="shared" si="280"/>
        <v>#DIV/0!</v>
      </c>
      <c r="R1001" s="80" t="e">
        <f t="shared" si="281"/>
        <v>#DIV/0!</v>
      </c>
      <c r="S1001" s="15" t="e">
        <f t="shared" si="282"/>
        <v>#DIV/0!</v>
      </c>
      <c r="T1001" s="80" t="e">
        <f t="shared" si="283"/>
        <v>#DIV/0!</v>
      </c>
      <c r="U1001" s="16" t="e">
        <f t="shared" si="284"/>
        <v>#DIV/0!</v>
      </c>
    </row>
    <row r="1002" spans="1:21" x14ac:dyDescent="0.3">
      <c r="A1002" s="77" t="s">
        <v>1152</v>
      </c>
      <c r="B1002" s="78" t="s">
        <v>40</v>
      </c>
      <c r="C1002" s="78" t="s">
        <v>280</v>
      </c>
      <c r="D1002" s="78" t="s">
        <v>1173</v>
      </c>
      <c r="E1002" s="79" t="s">
        <v>1174</v>
      </c>
      <c r="F1002" s="78" t="s">
        <v>591</v>
      </c>
      <c r="G1002" s="78" t="s">
        <v>250</v>
      </c>
      <c r="H1002" s="78" t="s">
        <v>11</v>
      </c>
      <c r="I1002" s="78" t="s">
        <v>214</v>
      </c>
      <c r="J1002" s="79" t="s">
        <v>251</v>
      </c>
      <c r="K1002" s="80">
        <v>10</v>
      </c>
      <c r="L1002" s="80">
        <f t="shared" si="279"/>
        <v>7.8431372549019605</v>
      </c>
      <c r="M1002" s="81">
        <f>prodnorm30</f>
        <v>0</v>
      </c>
      <c r="N1002" s="82">
        <f>dagwerk30</f>
        <v>0</v>
      </c>
      <c r="O1002" s="78" t="s">
        <v>103</v>
      </c>
      <c r="P1002" s="15">
        <f>uurtarief30</f>
        <v>0</v>
      </c>
      <c r="Q1002" s="80" t="e">
        <f t="shared" si="280"/>
        <v>#DIV/0!</v>
      </c>
      <c r="R1002" s="80" t="e">
        <f t="shared" si="281"/>
        <v>#DIV/0!</v>
      </c>
      <c r="S1002" s="15" t="e">
        <f t="shared" si="282"/>
        <v>#DIV/0!</v>
      </c>
      <c r="T1002" s="80" t="e">
        <f t="shared" si="283"/>
        <v>#DIV/0!</v>
      </c>
      <c r="U1002" s="16" t="e">
        <f t="shared" si="284"/>
        <v>#DIV/0!</v>
      </c>
    </row>
    <row r="1003" spans="1:21" x14ac:dyDescent="0.3">
      <c r="A1003" s="77" t="s">
        <v>1152</v>
      </c>
      <c r="B1003" s="78" t="s">
        <v>40</v>
      </c>
      <c r="C1003" s="78" t="s">
        <v>280</v>
      </c>
      <c r="D1003" s="78" t="s">
        <v>1175</v>
      </c>
      <c r="E1003" s="79" t="s">
        <v>1176</v>
      </c>
      <c r="F1003" s="78" t="s">
        <v>850</v>
      </c>
      <c r="G1003" s="78" t="s">
        <v>228</v>
      </c>
      <c r="H1003" s="78" t="s">
        <v>18</v>
      </c>
      <c r="I1003" s="78" t="s">
        <v>214</v>
      </c>
      <c r="J1003" s="79" t="s">
        <v>229</v>
      </c>
      <c r="K1003" s="80">
        <v>45</v>
      </c>
      <c r="L1003" s="80">
        <f t="shared" si="279"/>
        <v>7.0588235294117645</v>
      </c>
      <c r="M1003" s="81">
        <f>prodnorm16</f>
        <v>0</v>
      </c>
      <c r="N1003" s="82">
        <f>dagwerk16</f>
        <v>0</v>
      </c>
      <c r="O1003" s="78" t="s">
        <v>103</v>
      </c>
      <c r="P1003" s="15">
        <f>uurtarief16</f>
        <v>0</v>
      </c>
      <c r="Q1003" s="80" t="e">
        <f t="shared" si="280"/>
        <v>#DIV/0!</v>
      </c>
      <c r="R1003" s="80" t="e">
        <f t="shared" si="281"/>
        <v>#DIV/0!</v>
      </c>
      <c r="S1003" s="15" t="e">
        <f t="shared" si="282"/>
        <v>#DIV/0!</v>
      </c>
      <c r="T1003" s="80" t="e">
        <f t="shared" si="283"/>
        <v>#DIV/0!</v>
      </c>
      <c r="U1003" s="16" t="e">
        <f t="shared" si="284"/>
        <v>#DIV/0!</v>
      </c>
    </row>
    <row r="1004" spans="1:21" x14ac:dyDescent="0.3">
      <c r="A1004" s="77" t="s">
        <v>1152</v>
      </c>
      <c r="B1004" s="78" t="s">
        <v>40</v>
      </c>
      <c r="C1004" s="78" t="s">
        <v>280</v>
      </c>
      <c r="D1004" s="78" t="s">
        <v>1177</v>
      </c>
      <c r="E1004" s="79" t="s">
        <v>1178</v>
      </c>
      <c r="F1004" s="78" t="s">
        <v>1179</v>
      </c>
      <c r="G1004" s="78" t="s">
        <v>300</v>
      </c>
      <c r="H1004" s="78"/>
      <c r="I1004" s="78"/>
      <c r="J1004" s="78"/>
      <c r="K1004" s="80">
        <v>4</v>
      </c>
      <c r="L1004" s="80"/>
      <c r="M1004" s="81"/>
      <c r="N1004" s="82"/>
      <c r="O1004" s="78"/>
      <c r="P1004" s="15"/>
      <c r="Q1004" s="80"/>
      <c r="R1004" s="80"/>
      <c r="S1004" s="15"/>
      <c r="T1004" s="83"/>
      <c r="U1004" s="16"/>
    </row>
    <row r="1005" spans="1:21" x14ac:dyDescent="0.3">
      <c r="A1005" s="77" t="s">
        <v>1152</v>
      </c>
      <c r="B1005" s="78" t="s">
        <v>40</v>
      </c>
      <c r="C1005" s="78" t="s">
        <v>280</v>
      </c>
      <c r="D1005" s="78" t="s">
        <v>1180</v>
      </c>
      <c r="E1005" s="79" t="s">
        <v>1181</v>
      </c>
      <c r="F1005" s="78" t="s">
        <v>591</v>
      </c>
      <c r="G1005" s="78" t="s">
        <v>250</v>
      </c>
      <c r="H1005" s="78" t="s">
        <v>11</v>
      </c>
      <c r="I1005" s="78" t="s">
        <v>214</v>
      </c>
      <c r="J1005" s="79" t="s">
        <v>251</v>
      </c>
      <c r="K1005" s="80">
        <v>4</v>
      </c>
      <c r="L1005" s="80">
        <f>K1005*VLOOKUP(H1005,dagsoorttabel1,2,FALSE)</f>
        <v>3.1372549019607843</v>
      </c>
      <c r="M1005" s="81">
        <f>prodnorm30</f>
        <v>0</v>
      </c>
      <c r="N1005" s="82">
        <f>dagwerk30</f>
        <v>0</v>
      </c>
      <c r="O1005" s="78" t="s">
        <v>103</v>
      </c>
      <c r="P1005" s="15">
        <f>uurtarief30</f>
        <v>0</v>
      </c>
      <c r="Q1005" s="80" t="e">
        <f>IF(ISBLANK(M1005),0,L1005/ROUND(M1005,4))</f>
        <v>#DIV/0!</v>
      </c>
      <c r="R1005" s="80" t="e">
        <f>IF(ISBLANK(M1005),0,Q1005*ROUND(N1005,2))</f>
        <v>#DIV/0!</v>
      </c>
      <c r="S1005" s="15" t="e">
        <f>ROUND(P1005,2)*Q1005</f>
        <v>#DIV/0!</v>
      </c>
      <c r="T1005" s="80" t="e">
        <f>Q1005*dagenperjaar1</f>
        <v>#DIV/0!</v>
      </c>
      <c r="U1005" s="16" t="e">
        <f>T1005*ROUND(P1005,2)</f>
        <v>#DIV/0!</v>
      </c>
    </row>
    <row r="1006" spans="1:21" x14ac:dyDescent="0.3">
      <c r="A1006" s="77" t="s">
        <v>1152</v>
      </c>
      <c r="B1006" s="78" t="s">
        <v>40</v>
      </c>
      <c r="C1006" s="78" t="s">
        <v>280</v>
      </c>
      <c r="D1006" s="78" t="s">
        <v>1182</v>
      </c>
      <c r="E1006" s="79" t="s">
        <v>1183</v>
      </c>
      <c r="F1006" s="78" t="s">
        <v>288</v>
      </c>
      <c r="G1006" s="78" t="s">
        <v>300</v>
      </c>
      <c r="H1006" s="78"/>
      <c r="I1006" s="78"/>
      <c r="J1006" s="78"/>
      <c r="K1006" s="80">
        <v>28</v>
      </c>
      <c r="L1006" s="80"/>
      <c r="M1006" s="81"/>
      <c r="N1006" s="82"/>
      <c r="O1006" s="78"/>
      <c r="P1006" s="15"/>
      <c r="Q1006" s="80"/>
      <c r="R1006" s="80"/>
      <c r="S1006" s="15"/>
      <c r="T1006" s="83"/>
      <c r="U1006" s="16"/>
    </row>
    <row r="1007" spans="1:21" x14ac:dyDescent="0.3">
      <c r="A1007" s="77" t="s">
        <v>1152</v>
      </c>
      <c r="B1007" s="78" t="s">
        <v>40</v>
      </c>
      <c r="C1007" s="78" t="s">
        <v>280</v>
      </c>
      <c r="D1007" s="78" t="s">
        <v>1184</v>
      </c>
      <c r="E1007" s="79" t="s">
        <v>1185</v>
      </c>
      <c r="F1007" s="78" t="s">
        <v>591</v>
      </c>
      <c r="G1007" s="78" t="s">
        <v>250</v>
      </c>
      <c r="H1007" s="78" t="s">
        <v>11</v>
      </c>
      <c r="I1007" s="78" t="s">
        <v>214</v>
      </c>
      <c r="J1007" s="79" t="s">
        <v>251</v>
      </c>
      <c r="K1007" s="80">
        <v>10</v>
      </c>
      <c r="L1007" s="80">
        <f t="shared" ref="L1007:L1025" si="285">K1007*VLOOKUP(H1007,dagsoorttabel1,2,FALSE)</f>
        <v>7.8431372549019605</v>
      </c>
      <c r="M1007" s="81">
        <f>prodnorm30</f>
        <v>0</v>
      </c>
      <c r="N1007" s="82">
        <f>dagwerk30</f>
        <v>0</v>
      </c>
      <c r="O1007" s="78" t="s">
        <v>103</v>
      </c>
      <c r="P1007" s="15">
        <f>uurtarief30</f>
        <v>0</v>
      </c>
      <c r="Q1007" s="80" t="e">
        <f t="shared" ref="Q1007:Q1025" si="286">IF(ISBLANK(M1007),0,L1007/ROUND(M1007,4))</f>
        <v>#DIV/0!</v>
      </c>
      <c r="R1007" s="80" t="e">
        <f t="shared" ref="R1007:R1025" si="287">IF(ISBLANK(M1007),0,Q1007*ROUND(N1007,2))</f>
        <v>#DIV/0!</v>
      </c>
      <c r="S1007" s="15" t="e">
        <f t="shared" ref="S1007:S1025" si="288">ROUND(P1007,2)*Q1007</f>
        <v>#DIV/0!</v>
      </c>
      <c r="T1007" s="80" t="e">
        <f t="shared" ref="T1007:T1025" si="289">Q1007*dagenperjaar1</f>
        <v>#DIV/0!</v>
      </c>
      <c r="U1007" s="16" t="e">
        <f t="shared" ref="U1007:U1025" si="290">T1007*ROUND(P1007,2)</f>
        <v>#DIV/0!</v>
      </c>
    </row>
    <row r="1008" spans="1:21" x14ac:dyDescent="0.3">
      <c r="A1008" s="77" t="s">
        <v>1152</v>
      </c>
      <c r="B1008" s="78" t="s">
        <v>40</v>
      </c>
      <c r="C1008" s="78" t="s">
        <v>280</v>
      </c>
      <c r="D1008" s="78" t="s">
        <v>1186</v>
      </c>
      <c r="E1008" s="79" t="s">
        <v>1187</v>
      </c>
      <c r="F1008" s="78" t="s">
        <v>591</v>
      </c>
      <c r="G1008" s="78" t="s">
        <v>232</v>
      </c>
      <c r="H1008" s="78" t="s">
        <v>11</v>
      </c>
      <c r="I1008" s="78" t="s">
        <v>214</v>
      </c>
      <c r="J1008" s="79" t="s">
        <v>233</v>
      </c>
      <c r="K1008" s="80">
        <v>31</v>
      </c>
      <c r="L1008" s="80">
        <f t="shared" si="285"/>
        <v>24.313725490196077</v>
      </c>
      <c r="M1008" s="81">
        <f>prodnorm19</f>
        <v>0</v>
      </c>
      <c r="N1008" s="82">
        <f>dagwerk19</f>
        <v>0</v>
      </c>
      <c r="O1008" s="78" t="s">
        <v>103</v>
      </c>
      <c r="P1008" s="15">
        <f>uurtarief19</f>
        <v>0</v>
      </c>
      <c r="Q1008" s="80" t="e">
        <f t="shared" si="286"/>
        <v>#DIV/0!</v>
      </c>
      <c r="R1008" s="80" t="e">
        <f t="shared" si="287"/>
        <v>#DIV/0!</v>
      </c>
      <c r="S1008" s="15" t="e">
        <f t="shared" si="288"/>
        <v>#DIV/0!</v>
      </c>
      <c r="T1008" s="80" t="e">
        <f t="shared" si="289"/>
        <v>#DIV/0!</v>
      </c>
      <c r="U1008" s="16" t="e">
        <f t="shared" si="290"/>
        <v>#DIV/0!</v>
      </c>
    </row>
    <row r="1009" spans="1:21" x14ac:dyDescent="0.3">
      <c r="A1009" s="77" t="s">
        <v>1152</v>
      </c>
      <c r="B1009" s="78" t="s">
        <v>40</v>
      </c>
      <c r="C1009" s="78" t="s">
        <v>280</v>
      </c>
      <c r="D1009" s="78" t="s">
        <v>1188</v>
      </c>
      <c r="E1009" s="79" t="s">
        <v>1189</v>
      </c>
      <c r="F1009" s="78" t="s">
        <v>591</v>
      </c>
      <c r="G1009" s="78" t="s">
        <v>232</v>
      </c>
      <c r="H1009" s="78" t="s">
        <v>11</v>
      </c>
      <c r="I1009" s="78" t="s">
        <v>214</v>
      </c>
      <c r="J1009" s="79" t="s">
        <v>233</v>
      </c>
      <c r="K1009" s="80">
        <v>31</v>
      </c>
      <c r="L1009" s="80">
        <f t="shared" si="285"/>
        <v>24.313725490196077</v>
      </c>
      <c r="M1009" s="81">
        <f>prodnorm19</f>
        <v>0</v>
      </c>
      <c r="N1009" s="82">
        <f>dagwerk19</f>
        <v>0</v>
      </c>
      <c r="O1009" s="78" t="s">
        <v>103</v>
      </c>
      <c r="P1009" s="15">
        <f>uurtarief19</f>
        <v>0</v>
      </c>
      <c r="Q1009" s="80" t="e">
        <f t="shared" si="286"/>
        <v>#DIV/0!</v>
      </c>
      <c r="R1009" s="80" t="e">
        <f t="shared" si="287"/>
        <v>#DIV/0!</v>
      </c>
      <c r="S1009" s="15" t="e">
        <f t="shared" si="288"/>
        <v>#DIV/0!</v>
      </c>
      <c r="T1009" s="80" t="e">
        <f t="shared" si="289"/>
        <v>#DIV/0!</v>
      </c>
      <c r="U1009" s="16" t="e">
        <f t="shared" si="290"/>
        <v>#DIV/0!</v>
      </c>
    </row>
    <row r="1010" spans="1:21" x14ac:dyDescent="0.3">
      <c r="A1010" s="77" t="s">
        <v>1152</v>
      </c>
      <c r="B1010" s="78" t="s">
        <v>40</v>
      </c>
      <c r="C1010" s="78" t="s">
        <v>280</v>
      </c>
      <c r="D1010" s="78" t="s">
        <v>1190</v>
      </c>
      <c r="E1010" s="79" t="s">
        <v>1191</v>
      </c>
      <c r="F1010" s="78" t="s">
        <v>591</v>
      </c>
      <c r="G1010" s="78" t="s">
        <v>250</v>
      </c>
      <c r="H1010" s="78" t="s">
        <v>11</v>
      </c>
      <c r="I1010" s="78" t="s">
        <v>214</v>
      </c>
      <c r="J1010" s="79" t="s">
        <v>251</v>
      </c>
      <c r="K1010" s="80">
        <v>5</v>
      </c>
      <c r="L1010" s="80">
        <f t="shared" si="285"/>
        <v>3.9215686274509802</v>
      </c>
      <c r="M1010" s="81">
        <f>prodnorm30</f>
        <v>0</v>
      </c>
      <c r="N1010" s="82">
        <f>dagwerk30</f>
        <v>0</v>
      </c>
      <c r="O1010" s="78" t="s">
        <v>103</v>
      </c>
      <c r="P1010" s="15">
        <f>uurtarief30</f>
        <v>0</v>
      </c>
      <c r="Q1010" s="80" t="e">
        <f t="shared" si="286"/>
        <v>#DIV/0!</v>
      </c>
      <c r="R1010" s="80" t="e">
        <f t="shared" si="287"/>
        <v>#DIV/0!</v>
      </c>
      <c r="S1010" s="15" t="e">
        <f t="shared" si="288"/>
        <v>#DIV/0!</v>
      </c>
      <c r="T1010" s="80" t="e">
        <f t="shared" si="289"/>
        <v>#DIV/0!</v>
      </c>
      <c r="U1010" s="16" t="e">
        <f t="shared" si="290"/>
        <v>#DIV/0!</v>
      </c>
    </row>
    <row r="1011" spans="1:21" x14ac:dyDescent="0.3">
      <c r="A1011" s="77" t="s">
        <v>1152</v>
      </c>
      <c r="B1011" s="78" t="s">
        <v>40</v>
      </c>
      <c r="C1011" s="78" t="s">
        <v>280</v>
      </c>
      <c r="D1011" s="78" t="s">
        <v>1192</v>
      </c>
      <c r="E1011" s="79" t="s">
        <v>1193</v>
      </c>
      <c r="F1011" s="78" t="s">
        <v>850</v>
      </c>
      <c r="G1011" s="78" t="s">
        <v>228</v>
      </c>
      <c r="H1011" s="78" t="s">
        <v>11</v>
      </c>
      <c r="I1011" s="78" t="s">
        <v>214</v>
      </c>
      <c r="J1011" s="79" t="s">
        <v>229</v>
      </c>
      <c r="K1011" s="80">
        <v>73</v>
      </c>
      <c r="L1011" s="80">
        <f t="shared" si="285"/>
        <v>57.254901960784316</v>
      </c>
      <c r="M1011" s="81">
        <f>prodnorm15</f>
        <v>0</v>
      </c>
      <c r="N1011" s="82">
        <f>dagwerk15</f>
        <v>0</v>
      </c>
      <c r="O1011" s="78" t="s">
        <v>103</v>
      </c>
      <c r="P1011" s="15">
        <f>uurtarief15</f>
        <v>0</v>
      </c>
      <c r="Q1011" s="80" t="e">
        <f t="shared" si="286"/>
        <v>#DIV/0!</v>
      </c>
      <c r="R1011" s="80" t="e">
        <f t="shared" si="287"/>
        <v>#DIV/0!</v>
      </c>
      <c r="S1011" s="15" t="e">
        <f t="shared" si="288"/>
        <v>#DIV/0!</v>
      </c>
      <c r="T1011" s="80" t="e">
        <f t="shared" si="289"/>
        <v>#DIV/0!</v>
      </c>
      <c r="U1011" s="16" t="e">
        <f t="shared" si="290"/>
        <v>#DIV/0!</v>
      </c>
    </row>
    <row r="1012" spans="1:21" x14ac:dyDescent="0.3">
      <c r="A1012" s="77" t="s">
        <v>1152</v>
      </c>
      <c r="B1012" s="78" t="s">
        <v>40</v>
      </c>
      <c r="C1012" s="78" t="s">
        <v>280</v>
      </c>
      <c r="D1012" s="78" t="s">
        <v>1194</v>
      </c>
      <c r="E1012" s="79" t="s">
        <v>1195</v>
      </c>
      <c r="F1012" s="78" t="s">
        <v>850</v>
      </c>
      <c r="G1012" s="78" t="s">
        <v>228</v>
      </c>
      <c r="H1012" s="78" t="s">
        <v>11</v>
      </c>
      <c r="I1012" s="78" t="s">
        <v>214</v>
      </c>
      <c r="J1012" s="79" t="s">
        <v>229</v>
      </c>
      <c r="K1012" s="80">
        <v>311</v>
      </c>
      <c r="L1012" s="80">
        <f t="shared" si="285"/>
        <v>243.92156862745097</v>
      </c>
      <c r="M1012" s="81">
        <f>prodnorm15</f>
        <v>0</v>
      </c>
      <c r="N1012" s="82">
        <f>dagwerk15</f>
        <v>0</v>
      </c>
      <c r="O1012" s="78" t="s">
        <v>103</v>
      </c>
      <c r="P1012" s="15">
        <f>uurtarief15</f>
        <v>0</v>
      </c>
      <c r="Q1012" s="80" t="e">
        <f t="shared" si="286"/>
        <v>#DIV/0!</v>
      </c>
      <c r="R1012" s="80" t="e">
        <f t="shared" si="287"/>
        <v>#DIV/0!</v>
      </c>
      <c r="S1012" s="15" t="e">
        <f t="shared" si="288"/>
        <v>#DIV/0!</v>
      </c>
      <c r="T1012" s="80" t="e">
        <f t="shared" si="289"/>
        <v>#DIV/0!</v>
      </c>
      <c r="U1012" s="16" t="e">
        <f t="shared" si="290"/>
        <v>#DIV/0!</v>
      </c>
    </row>
    <row r="1013" spans="1:21" x14ac:dyDescent="0.3">
      <c r="A1013" s="77" t="s">
        <v>1152</v>
      </c>
      <c r="B1013" s="78" t="s">
        <v>40</v>
      </c>
      <c r="C1013" s="78" t="s">
        <v>280</v>
      </c>
      <c r="D1013" s="78" t="s">
        <v>1196</v>
      </c>
      <c r="E1013" s="79" t="s">
        <v>1197</v>
      </c>
      <c r="F1013" s="78" t="s">
        <v>768</v>
      </c>
      <c r="G1013" s="78" t="s">
        <v>216</v>
      </c>
      <c r="H1013" s="78" t="s">
        <v>11</v>
      </c>
      <c r="I1013" s="78" t="s">
        <v>214</v>
      </c>
      <c r="J1013" s="79" t="s">
        <v>217</v>
      </c>
      <c r="K1013" s="80">
        <v>22</v>
      </c>
      <c r="L1013" s="80">
        <f t="shared" si="285"/>
        <v>17.254901960784313</v>
      </c>
      <c r="M1013" s="81">
        <f>prodnorm6</f>
        <v>0</v>
      </c>
      <c r="N1013" s="82">
        <f>dagwerk6</f>
        <v>0</v>
      </c>
      <c r="O1013" s="78" t="s">
        <v>103</v>
      </c>
      <c r="P1013" s="15">
        <f>uurtarief6</f>
        <v>0</v>
      </c>
      <c r="Q1013" s="80" t="e">
        <f t="shared" si="286"/>
        <v>#DIV/0!</v>
      </c>
      <c r="R1013" s="80" t="e">
        <f t="shared" si="287"/>
        <v>#DIV/0!</v>
      </c>
      <c r="S1013" s="15" t="e">
        <f t="shared" si="288"/>
        <v>#DIV/0!</v>
      </c>
      <c r="T1013" s="80" t="e">
        <f t="shared" si="289"/>
        <v>#DIV/0!</v>
      </c>
      <c r="U1013" s="16" t="e">
        <f t="shared" si="290"/>
        <v>#DIV/0!</v>
      </c>
    </row>
    <row r="1014" spans="1:21" x14ac:dyDescent="0.3">
      <c r="A1014" s="77" t="s">
        <v>1152</v>
      </c>
      <c r="B1014" s="78" t="s">
        <v>40</v>
      </c>
      <c r="C1014" s="78" t="s">
        <v>280</v>
      </c>
      <c r="D1014" s="78" t="s">
        <v>1198</v>
      </c>
      <c r="E1014" s="79" t="s">
        <v>1199</v>
      </c>
      <c r="F1014" s="78" t="s">
        <v>768</v>
      </c>
      <c r="G1014" s="78" t="s">
        <v>213</v>
      </c>
      <c r="H1014" s="78" t="s">
        <v>11</v>
      </c>
      <c r="I1014" s="78" t="s">
        <v>214</v>
      </c>
      <c r="J1014" s="79" t="s">
        <v>215</v>
      </c>
      <c r="K1014" s="80">
        <v>290</v>
      </c>
      <c r="L1014" s="80">
        <f t="shared" si="285"/>
        <v>227.45098039215685</v>
      </c>
      <c r="M1014" s="81">
        <f>prodnorm5</f>
        <v>0</v>
      </c>
      <c r="N1014" s="82">
        <f>dagwerk5</f>
        <v>0</v>
      </c>
      <c r="O1014" s="78" t="s">
        <v>103</v>
      </c>
      <c r="P1014" s="15">
        <f>uurtarief5</f>
        <v>0</v>
      </c>
      <c r="Q1014" s="80" t="e">
        <f t="shared" si="286"/>
        <v>#DIV/0!</v>
      </c>
      <c r="R1014" s="80" t="e">
        <f t="shared" si="287"/>
        <v>#DIV/0!</v>
      </c>
      <c r="S1014" s="15" t="e">
        <f t="shared" si="288"/>
        <v>#DIV/0!</v>
      </c>
      <c r="T1014" s="80" t="e">
        <f t="shared" si="289"/>
        <v>#DIV/0!</v>
      </c>
      <c r="U1014" s="16" t="e">
        <f t="shared" si="290"/>
        <v>#DIV/0!</v>
      </c>
    </row>
    <row r="1015" spans="1:21" ht="27" x14ac:dyDescent="0.3">
      <c r="A1015" s="77" t="s">
        <v>1152</v>
      </c>
      <c r="B1015" s="78" t="s">
        <v>40</v>
      </c>
      <c r="C1015" s="78" t="s">
        <v>280</v>
      </c>
      <c r="D1015" s="78" t="s">
        <v>1200</v>
      </c>
      <c r="E1015" s="79" t="s">
        <v>1201</v>
      </c>
      <c r="F1015" s="78" t="s">
        <v>768</v>
      </c>
      <c r="G1015" s="78" t="s">
        <v>256</v>
      </c>
      <c r="H1015" s="78" t="s">
        <v>11</v>
      </c>
      <c r="I1015" s="78" t="s">
        <v>214</v>
      </c>
      <c r="J1015" s="79" t="s">
        <v>257</v>
      </c>
      <c r="K1015" s="80">
        <v>20</v>
      </c>
      <c r="L1015" s="80">
        <f t="shared" si="285"/>
        <v>15.686274509803921</v>
      </c>
      <c r="M1015" s="81">
        <f>prodnorm33</f>
        <v>0</v>
      </c>
      <c r="N1015" s="82">
        <f>dagwerk33</f>
        <v>0</v>
      </c>
      <c r="O1015" s="78" t="s">
        <v>103</v>
      </c>
      <c r="P1015" s="15">
        <f>uurtarief33</f>
        <v>0</v>
      </c>
      <c r="Q1015" s="80" t="e">
        <f t="shared" si="286"/>
        <v>#DIV/0!</v>
      </c>
      <c r="R1015" s="80" t="e">
        <f t="shared" si="287"/>
        <v>#DIV/0!</v>
      </c>
      <c r="S1015" s="15" t="e">
        <f t="shared" si="288"/>
        <v>#DIV/0!</v>
      </c>
      <c r="T1015" s="80" t="e">
        <f t="shared" si="289"/>
        <v>#DIV/0!</v>
      </c>
      <c r="U1015" s="16" t="e">
        <f t="shared" si="290"/>
        <v>#DIV/0!</v>
      </c>
    </row>
    <row r="1016" spans="1:21" ht="27" x14ac:dyDescent="0.3">
      <c r="A1016" s="77" t="s">
        <v>1152</v>
      </c>
      <c r="B1016" s="78" t="s">
        <v>40</v>
      </c>
      <c r="C1016" s="78" t="s">
        <v>280</v>
      </c>
      <c r="D1016" s="78" t="s">
        <v>1202</v>
      </c>
      <c r="E1016" s="79" t="s">
        <v>1203</v>
      </c>
      <c r="F1016" s="78" t="s">
        <v>768</v>
      </c>
      <c r="G1016" s="78" t="s">
        <v>256</v>
      </c>
      <c r="H1016" s="78" t="s">
        <v>11</v>
      </c>
      <c r="I1016" s="78" t="s">
        <v>214</v>
      </c>
      <c r="J1016" s="79" t="s">
        <v>257</v>
      </c>
      <c r="K1016" s="80">
        <v>12</v>
      </c>
      <c r="L1016" s="80">
        <f t="shared" si="285"/>
        <v>9.4117647058823533</v>
      </c>
      <c r="M1016" s="81">
        <f>prodnorm33</f>
        <v>0</v>
      </c>
      <c r="N1016" s="82">
        <f>dagwerk33</f>
        <v>0</v>
      </c>
      <c r="O1016" s="78" t="s">
        <v>103</v>
      </c>
      <c r="P1016" s="15">
        <f>uurtarief33</f>
        <v>0</v>
      </c>
      <c r="Q1016" s="80" t="e">
        <f t="shared" si="286"/>
        <v>#DIV/0!</v>
      </c>
      <c r="R1016" s="80" t="e">
        <f t="shared" si="287"/>
        <v>#DIV/0!</v>
      </c>
      <c r="S1016" s="15" t="e">
        <f t="shared" si="288"/>
        <v>#DIV/0!</v>
      </c>
      <c r="T1016" s="80" t="e">
        <f t="shared" si="289"/>
        <v>#DIV/0!</v>
      </c>
      <c r="U1016" s="16" t="e">
        <f t="shared" si="290"/>
        <v>#DIV/0!</v>
      </c>
    </row>
    <row r="1017" spans="1:21" x14ac:dyDescent="0.3">
      <c r="A1017" s="77" t="s">
        <v>1152</v>
      </c>
      <c r="B1017" s="78" t="s">
        <v>40</v>
      </c>
      <c r="C1017" s="78" t="s">
        <v>280</v>
      </c>
      <c r="D1017" s="78" t="s">
        <v>1204</v>
      </c>
      <c r="E1017" s="79" t="s">
        <v>699</v>
      </c>
      <c r="F1017" s="78" t="s">
        <v>591</v>
      </c>
      <c r="G1017" s="78" t="s">
        <v>250</v>
      </c>
      <c r="H1017" s="78" t="s">
        <v>11</v>
      </c>
      <c r="I1017" s="78" t="s">
        <v>214</v>
      </c>
      <c r="J1017" s="79" t="s">
        <v>251</v>
      </c>
      <c r="K1017" s="80">
        <v>6</v>
      </c>
      <c r="L1017" s="80">
        <f t="shared" si="285"/>
        <v>4.7058823529411766</v>
      </c>
      <c r="M1017" s="81">
        <f>prodnorm30</f>
        <v>0</v>
      </c>
      <c r="N1017" s="82">
        <f>dagwerk30</f>
        <v>0</v>
      </c>
      <c r="O1017" s="78" t="s">
        <v>103</v>
      </c>
      <c r="P1017" s="15">
        <f>uurtarief30</f>
        <v>0</v>
      </c>
      <c r="Q1017" s="80" t="e">
        <f t="shared" si="286"/>
        <v>#DIV/0!</v>
      </c>
      <c r="R1017" s="80" t="e">
        <f t="shared" si="287"/>
        <v>#DIV/0!</v>
      </c>
      <c r="S1017" s="15" t="e">
        <f t="shared" si="288"/>
        <v>#DIV/0!</v>
      </c>
      <c r="T1017" s="80" t="e">
        <f t="shared" si="289"/>
        <v>#DIV/0!</v>
      </c>
      <c r="U1017" s="16" t="e">
        <f t="shared" si="290"/>
        <v>#DIV/0!</v>
      </c>
    </row>
    <row r="1018" spans="1:21" ht="27" x14ac:dyDescent="0.3">
      <c r="A1018" s="77" t="s">
        <v>1152</v>
      </c>
      <c r="B1018" s="78" t="s">
        <v>40</v>
      </c>
      <c r="C1018" s="78" t="s">
        <v>280</v>
      </c>
      <c r="D1018" s="78" t="s">
        <v>1205</v>
      </c>
      <c r="E1018" s="79" t="s">
        <v>1206</v>
      </c>
      <c r="F1018" s="78" t="s">
        <v>768</v>
      </c>
      <c r="G1018" s="78" t="s">
        <v>216</v>
      </c>
      <c r="H1018" s="78" t="s">
        <v>11</v>
      </c>
      <c r="I1018" s="78" t="s">
        <v>214</v>
      </c>
      <c r="J1018" s="79" t="s">
        <v>217</v>
      </c>
      <c r="K1018" s="80">
        <v>18</v>
      </c>
      <c r="L1018" s="80">
        <f t="shared" si="285"/>
        <v>14.117647058823529</v>
      </c>
      <c r="M1018" s="81">
        <f>prodnorm6</f>
        <v>0</v>
      </c>
      <c r="N1018" s="82">
        <f>dagwerk6</f>
        <v>0</v>
      </c>
      <c r="O1018" s="78" t="s">
        <v>103</v>
      </c>
      <c r="P1018" s="15">
        <f>uurtarief6</f>
        <v>0</v>
      </c>
      <c r="Q1018" s="80" t="e">
        <f t="shared" si="286"/>
        <v>#DIV/0!</v>
      </c>
      <c r="R1018" s="80" t="e">
        <f t="shared" si="287"/>
        <v>#DIV/0!</v>
      </c>
      <c r="S1018" s="15" t="e">
        <f t="shared" si="288"/>
        <v>#DIV/0!</v>
      </c>
      <c r="T1018" s="80" t="e">
        <f t="shared" si="289"/>
        <v>#DIV/0!</v>
      </c>
      <c r="U1018" s="16" t="e">
        <f t="shared" si="290"/>
        <v>#DIV/0!</v>
      </c>
    </row>
    <row r="1019" spans="1:21" x14ac:dyDescent="0.3">
      <c r="A1019" s="77" t="s">
        <v>1152</v>
      </c>
      <c r="B1019" s="78" t="s">
        <v>40</v>
      </c>
      <c r="C1019" s="78" t="s">
        <v>280</v>
      </c>
      <c r="D1019" s="78" t="s">
        <v>1207</v>
      </c>
      <c r="E1019" s="79" t="s">
        <v>1208</v>
      </c>
      <c r="F1019" s="78" t="s">
        <v>768</v>
      </c>
      <c r="G1019" s="78" t="s">
        <v>216</v>
      </c>
      <c r="H1019" s="78" t="s">
        <v>11</v>
      </c>
      <c r="I1019" s="78" t="s">
        <v>214</v>
      </c>
      <c r="J1019" s="79" t="s">
        <v>217</v>
      </c>
      <c r="K1019" s="80">
        <v>17</v>
      </c>
      <c r="L1019" s="80">
        <f t="shared" si="285"/>
        <v>13.333333333333334</v>
      </c>
      <c r="M1019" s="81">
        <f>prodnorm6</f>
        <v>0</v>
      </c>
      <c r="N1019" s="82">
        <f>dagwerk6</f>
        <v>0</v>
      </c>
      <c r="O1019" s="78" t="s">
        <v>103</v>
      </c>
      <c r="P1019" s="15">
        <f>uurtarief6</f>
        <v>0</v>
      </c>
      <c r="Q1019" s="80" t="e">
        <f t="shared" si="286"/>
        <v>#DIV/0!</v>
      </c>
      <c r="R1019" s="80" t="e">
        <f t="shared" si="287"/>
        <v>#DIV/0!</v>
      </c>
      <c r="S1019" s="15" t="e">
        <f t="shared" si="288"/>
        <v>#DIV/0!</v>
      </c>
      <c r="T1019" s="80" t="e">
        <f t="shared" si="289"/>
        <v>#DIV/0!</v>
      </c>
      <c r="U1019" s="16" t="e">
        <f t="shared" si="290"/>
        <v>#DIV/0!</v>
      </c>
    </row>
    <row r="1020" spans="1:21" x14ac:dyDescent="0.3">
      <c r="A1020" s="77" t="s">
        <v>1152</v>
      </c>
      <c r="B1020" s="78" t="s">
        <v>40</v>
      </c>
      <c r="C1020" s="78" t="s">
        <v>280</v>
      </c>
      <c r="D1020" s="78" t="s">
        <v>1209</v>
      </c>
      <c r="E1020" s="79" t="s">
        <v>1210</v>
      </c>
      <c r="F1020" s="78" t="s">
        <v>768</v>
      </c>
      <c r="G1020" s="78" t="s">
        <v>216</v>
      </c>
      <c r="H1020" s="78" t="s">
        <v>11</v>
      </c>
      <c r="I1020" s="78" t="s">
        <v>214</v>
      </c>
      <c r="J1020" s="79" t="s">
        <v>217</v>
      </c>
      <c r="K1020" s="80">
        <v>17</v>
      </c>
      <c r="L1020" s="80">
        <f t="shared" si="285"/>
        <v>13.333333333333334</v>
      </c>
      <c r="M1020" s="81">
        <f>prodnorm6</f>
        <v>0</v>
      </c>
      <c r="N1020" s="82">
        <f>dagwerk6</f>
        <v>0</v>
      </c>
      <c r="O1020" s="78" t="s">
        <v>103</v>
      </c>
      <c r="P1020" s="15">
        <f>uurtarief6</f>
        <v>0</v>
      </c>
      <c r="Q1020" s="80" t="e">
        <f t="shared" si="286"/>
        <v>#DIV/0!</v>
      </c>
      <c r="R1020" s="80" t="e">
        <f t="shared" si="287"/>
        <v>#DIV/0!</v>
      </c>
      <c r="S1020" s="15" t="e">
        <f t="shared" si="288"/>
        <v>#DIV/0!</v>
      </c>
      <c r="T1020" s="80" t="e">
        <f t="shared" si="289"/>
        <v>#DIV/0!</v>
      </c>
      <c r="U1020" s="16" t="e">
        <f t="shared" si="290"/>
        <v>#DIV/0!</v>
      </c>
    </row>
    <row r="1021" spans="1:21" x14ac:dyDescent="0.3">
      <c r="A1021" s="77" t="s">
        <v>1152</v>
      </c>
      <c r="B1021" s="78" t="s">
        <v>40</v>
      </c>
      <c r="C1021" s="78" t="s">
        <v>280</v>
      </c>
      <c r="D1021" s="78" t="s">
        <v>1211</v>
      </c>
      <c r="E1021" s="79" t="s">
        <v>1191</v>
      </c>
      <c r="F1021" s="78" t="s">
        <v>591</v>
      </c>
      <c r="G1021" s="78" t="s">
        <v>250</v>
      </c>
      <c r="H1021" s="78" t="s">
        <v>11</v>
      </c>
      <c r="I1021" s="78" t="s">
        <v>214</v>
      </c>
      <c r="J1021" s="79" t="s">
        <v>251</v>
      </c>
      <c r="K1021" s="80">
        <v>6</v>
      </c>
      <c r="L1021" s="80">
        <f t="shared" si="285"/>
        <v>4.7058823529411766</v>
      </c>
      <c r="M1021" s="81">
        <f>prodnorm30</f>
        <v>0</v>
      </c>
      <c r="N1021" s="82">
        <f>dagwerk30</f>
        <v>0</v>
      </c>
      <c r="O1021" s="78" t="s">
        <v>103</v>
      </c>
      <c r="P1021" s="15">
        <f>uurtarief30</f>
        <v>0</v>
      </c>
      <c r="Q1021" s="80" t="e">
        <f t="shared" si="286"/>
        <v>#DIV/0!</v>
      </c>
      <c r="R1021" s="80" t="e">
        <f t="shared" si="287"/>
        <v>#DIV/0!</v>
      </c>
      <c r="S1021" s="15" t="e">
        <f t="shared" si="288"/>
        <v>#DIV/0!</v>
      </c>
      <c r="T1021" s="80" t="e">
        <f t="shared" si="289"/>
        <v>#DIV/0!</v>
      </c>
      <c r="U1021" s="16" t="e">
        <f t="shared" si="290"/>
        <v>#DIV/0!</v>
      </c>
    </row>
    <row r="1022" spans="1:21" x14ac:dyDescent="0.3">
      <c r="A1022" s="77" t="s">
        <v>1152</v>
      </c>
      <c r="B1022" s="78" t="s">
        <v>40</v>
      </c>
      <c r="C1022" s="78" t="s">
        <v>280</v>
      </c>
      <c r="D1022" s="78" t="s">
        <v>1212</v>
      </c>
      <c r="E1022" s="79" t="s">
        <v>1213</v>
      </c>
      <c r="F1022" s="78" t="s">
        <v>768</v>
      </c>
      <c r="G1022" s="78" t="s">
        <v>216</v>
      </c>
      <c r="H1022" s="78" t="s">
        <v>11</v>
      </c>
      <c r="I1022" s="78" t="s">
        <v>214</v>
      </c>
      <c r="J1022" s="79" t="s">
        <v>217</v>
      </c>
      <c r="K1022" s="80">
        <v>13</v>
      </c>
      <c r="L1022" s="80">
        <f t="shared" si="285"/>
        <v>10.196078431372548</v>
      </c>
      <c r="M1022" s="81">
        <f>prodnorm6</f>
        <v>0</v>
      </c>
      <c r="N1022" s="82">
        <f>dagwerk6</f>
        <v>0</v>
      </c>
      <c r="O1022" s="78" t="s">
        <v>103</v>
      </c>
      <c r="P1022" s="15">
        <f>uurtarief6</f>
        <v>0</v>
      </c>
      <c r="Q1022" s="80" t="e">
        <f t="shared" si="286"/>
        <v>#DIV/0!</v>
      </c>
      <c r="R1022" s="80" t="e">
        <f t="shared" si="287"/>
        <v>#DIV/0!</v>
      </c>
      <c r="S1022" s="15" t="e">
        <f t="shared" si="288"/>
        <v>#DIV/0!</v>
      </c>
      <c r="T1022" s="80" t="e">
        <f t="shared" si="289"/>
        <v>#DIV/0!</v>
      </c>
      <c r="U1022" s="16" t="e">
        <f t="shared" si="290"/>
        <v>#DIV/0!</v>
      </c>
    </row>
    <row r="1023" spans="1:21" x14ac:dyDescent="0.3">
      <c r="A1023" s="77" t="s">
        <v>1152</v>
      </c>
      <c r="B1023" s="78" t="s">
        <v>40</v>
      </c>
      <c r="C1023" s="78" t="s">
        <v>280</v>
      </c>
      <c r="D1023" s="78" t="s">
        <v>1214</v>
      </c>
      <c r="E1023" s="79" t="s">
        <v>1215</v>
      </c>
      <c r="F1023" s="78" t="s">
        <v>768</v>
      </c>
      <c r="G1023" s="78" t="s">
        <v>216</v>
      </c>
      <c r="H1023" s="78" t="s">
        <v>11</v>
      </c>
      <c r="I1023" s="78" t="s">
        <v>214</v>
      </c>
      <c r="J1023" s="79" t="s">
        <v>217</v>
      </c>
      <c r="K1023" s="80">
        <v>10</v>
      </c>
      <c r="L1023" s="80">
        <f t="shared" si="285"/>
        <v>7.8431372549019605</v>
      </c>
      <c r="M1023" s="81">
        <f>prodnorm6</f>
        <v>0</v>
      </c>
      <c r="N1023" s="82">
        <f>dagwerk6</f>
        <v>0</v>
      </c>
      <c r="O1023" s="78" t="s">
        <v>103</v>
      </c>
      <c r="P1023" s="15">
        <f>uurtarief6</f>
        <v>0</v>
      </c>
      <c r="Q1023" s="80" t="e">
        <f t="shared" si="286"/>
        <v>#DIV/0!</v>
      </c>
      <c r="R1023" s="80" t="e">
        <f t="shared" si="287"/>
        <v>#DIV/0!</v>
      </c>
      <c r="S1023" s="15" t="e">
        <f t="shared" si="288"/>
        <v>#DIV/0!</v>
      </c>
      <c r="T1023" s="80" t="e">
        <f t="shared" si="289"/>
        <v>#DIV/0!</v>
      </c>
      <c r="U1023" s="16" t="e">
        <f t="shared" si="290"/>
        <v>#DIV/0!</v>
      </c>
    </row>
    <row r="1024" spans="1:21" x14ac:dyDescent="0.3">
      <c r="A1024" s="77" t="s">
        <v>1152</v>
      </c>
      <c r="B1024" s="78" t="s">
        <v>40</v>
      </c>
      <c r="C1024" s="78" t="s">
        <v>280</v>
      </c>
      <c r="D1024" s="78" t="s">
        <v>1216</v>
      </c>
      <c r="E1024" s="79" t="s">
        <v>1208</v>
      </c>
      <c r="F1024" s="78" t="s">
        <v>768</v>
      </c>
      <c r="G1024" s="78" t="s">
        <v>216</v>
      </c>
      <c r="H1024" s="78" t="s">
        <v>11</v>
      </c>
      <c r="I1024" s="78" t="s">
        <v>214</v>
      </c>
      <c r="J1024" s="79" t="s">
        <v>217</v>
      </c>
      <c r="K1024" s="80">
        <v>17</v>
      </c>
      <c r="L1024" s="80">
        <f t="shared" si="285"/>
        <v>13.333333333333334</v>
      </c>
      <c r="M1024" s="81">
        <f>prodnorm6</f>
        <v>0</v>
      </c>
      <c r="N1024" s="82">
        <f>dagwerk6</f>
        <v>0</v>
      </c>
      <c r="O1024" s="78" t="s">
        <v>103</v>
      </c>
      <c r="P1024" s="15">
        <f>uurtarief6</f>
        <v>0</v>
      </c>
      <c r="Q1024" s="80" t="e">
        <f t="shared" si="286"/>
        <v>#DIV/0!</v>
      </c>
      <c r="R1024" s="80" t="e">
        <f t="shared" si="287"/>
        <v>#DIV/0!</v>
      </c>
      <c r="S1024" s="15" t="e">
        <f t="shared" si="288"/>
        <v>#DIV/0!</v>
      </c>
      <c r="T1024" s="80" t="e">
        <f t="shared" si="289"/>
        <v>#DIV/0!</v>
      </c>
      <c r="U1024" s="16" t="e">
        <f t="shared" si="290"/>
        <v>#DIV/0!</v>
      </c>
    </row>
    <row r="1025" spans="1:21" x14ac:dyDescent="0.3">
      <c r="A1025" s="77" t="s">
        <v>1152</v>
      </c>
      <c r="B1025" s="78" t="s">
        <v>40</v>
      </c>
      <c r="C1025" s="78" t="s">
        <v>280</v>
      </c>
      <c r="D1025" s="78" t="s">
        <v>1217</v>
      </c>
      <c r="E1025" s="79" t="s">
        <v>491</v>
      </c>
      <c r="F1025" s="78" t="s">
        <v>768</v>
      </c>
      <c r="G1025" s="78" t="s">
        <v>216</v>
      </c>
      <c r="H1025" s="78" t="s">
        <v>11</v>
      </c>
      <c r="I1025" s="78" t="s">
        <v>214</v>
      </c>
      <c r="J1025" s="79" t="s">
        <v>217</v>
      </c>
      <c r="K1025" s="80">
        <v>17</v>
      </c>
      <c r="L1025" s="80">
        <f t="shared" si="285"/>
        <v>13.333333333333334</v>
      </c>
      <c r="M1025" s="81">
        <f>prodnorm6</f>
        <v>0</v>
      </c>
      <c r="N1025" s="82">
        <f>dagwerk6</f>
        <v>0</v>
      </c>
      <c r="O1025" s="78" t="s">
        <v>103</v>
      </c>
      <c r="P1025" s="15">
        <f>uurtarief6</f>
        <v>0</v>
      </c>
      <c r="Q1025" s="80" t="e">
        <f t="shared" si="286"/>
        <v>#DIV/0!</v>
      </c>
      <c r="R1025" s="80" t="e">
        <f t="shared" si="287"/>
        <v>#DIV/0!</v>
      </c>
      <c r="S1025" s="15" t="e">
        <f t="shared" si="288"/>
        <v>#DIV/0!</v>
      </c>
      <c r="T1025" s="80" t="e">
        <f t="shared" si="289"/>
        <v>#DIV/0!</v>
      </c>
      <c r="U1025" s="16" t="e">
        <f t="shared" si="290"/>
        <v>#DIV/0!</v>
      </c>
    </row>
    <row r="1026" spans="1:21" x14ac:dyDescent="0.3">
      <c r="A1026" s="77" t="s">
        <v>1152</v>
      </c>
      <c r="B1026" s="78" t="s">
        <v>40</v>
      </c>
      <c r="C1026" s="78" t="s">
        <v>280</v>
      </c>
      <c r="D1026" s="78" t="s">
        <v>1218</v>
      </c>
      <c r="E1026" s="79" t="s">
        <v>1219</v>
      </c>
      <c r="F1026" s="78" t="s">
        <v>768</v>
      </c>
      <c r="G1026" s="78" t="s">
        <v>300</v>
      </c>
      <c r="H1026" s="78"/>
      <c r="I1026" s="78"/>
      <c r="J1026" s="78"/>
      <c r="K1026" s="80">
        <v>22</v>
      </c>
      <c r="L1026" s="80"/>
      <c r="M1026" s="81"/>
      <c r="N1026" s="82"/>
      <c r="O1026" s="78"/>
      <c r="P1026" s="15"/>
      <c r="Q1026" s="80"/>
      <c r="R1026" s="80"/>
      <c r="S1026" s="15"/>
      <c r="T1026" s="83"/>
      <c r="U1026" s="16"/>
    </row>
    <row r="1027" spans="1:21" x14ac:dyDescent="0.3">
      <c r="A1027" s="77" t="s">
        <v>1152</v>
      </c>
      <c r="B1027" s="78" t="s">
        <v>40</v>
      </c>
      <c r="C1027" s="78" t="s">
        <v>280</v>
      </c>
      <c r="D1027" s="78" t="s">
        <v>1218</v>
      </c>
      <c r="E1027" s="79" t="s">
        <v>1220</v>
      </c>
      <c r="F1027" s="78" t="s">
        <v>768</v>
      </c>
      <c r="G1027" s="78" t="s">
        <v>300</v>
      </c>
      <c r="H1027" s="78"/>
      <c r="I1027" s="78"/>
      <c r="J1027" s="78"/>
      <c r="K1027" s="80">
        <v>17</v>
      </c>
      <c r="L1027" s="80"/>
      <c r="M1027" s="81"/>
      <c r="N1027" s="82"/>
      <c r="O1027" s="78"/>
      <c r="P1027" s="15"/>
      <c r="Q1027" s="80"/>
      <c r="R1027" s="80"/>
      <c r="S1027" s="15"/>
      <c r="T1027" s="83"/>
      <c r="U1027" s="16"/>
    </row>
    <row r="1028" spans="1:21" x14ac:dyDescent="0.3">
      <c r="A1028" s="77" t="s">
        <v>1152</v>
      </c>
      <c r="B1028" s="78" t="s">
        <v>40</v>
      </c>
      <c r="C1028" s="78" t="s">
        <v>280</v>
      </c>
      <c r="D1028" s="78" t="s">
        <v>1221</v>
      </c>
      <c r="E1028" s="79" t="s">
        <v>1191</v>
      </c>
      <c r="F1028" s="78" t="s">
        <v>591</v>
      </c>
      <c r="G1028" s="78" t="s">
        <v>250</v>
      </c>
      <c r="H1028" s="78" t="s">
        <v>11</v>
      </c>
      <c r="I1028" s="78" t="s">
        <v>214</v>
      </c>
      <c r="J1028" s="79" t="s">
        <v>251</v>
      </c>
      <c r="K1028" s="80">
        <v>10</v>
      </c>
      <c r="L1028" s="80">
        <f t="shared" ref="L1028:L1033" si="291">K1028*VLOOKUP(H1028,dagsoorttabel1,2,FALSE)</f>
        <v>7.8431372549019605</v>
      </c>
      <c r="M1028" s="81">
        <f>prodnorm30</f>
        <v>0</v>
      </c>
      <c r="N1028" s="82">
        <f>dagwerk30</f>
        <v>0</v>
      </c>
      <c r="O1028" s="78" t="s">
        <v>103</v>
      </c>
      <c r="P1028" s="15">
        <f>uurtarief30</f>
        <v>0</v>
      </c>
      <c r="Q1028" s="80" t="e">
        <f t="shared" ref="Q1028:Q1033" si="292">IF(ISBLANK(M1028),0,L1028/ROUND(M1028,4))</f>
        <v>#DIV/0!</v>
      </c>
      <c r="R1028" s="80" t="e">
        <f t="shared" ref="R1028:R1033" si="293">IF(ISBLANK(M1028),0,Q1028*ROUND(N1028,2))</f>
        <v>#DIV/0!</v>
      </c>
      <c r="S1028" s="15" t="e">
        <f t="shared" ref="S1028:S1033" si="294">ROUND(P1028,2)*Q1028</f>
        <v>#DIV/0!</v>
      </c>
      <c r="T1028" s="80" t="e">
        <f t="shared" ref="T1028:T1033" si="295">Q1028*dagenperjaar1</f>
        <v>#DIV/0!</v>
      </c>
      <c r="U1028" s="16" t="e">
        <f t="shared" ref="U1028:U1033" si="296">T1028*ROUND(P1028,2)</f>
        <v>#DIV/0!</v>
      </c>
    </row>
    <row r="1029" spans="1:21" x14ac:dyDescent="0.3">
      <c r="A1029" s="77" t="s">
        <v>1152</v>
      </c>
      <c r="B1029" s="78" t="s">
        <v>40</v>
      </c>
      <c r="C1029" s="78" t="s">
        <v>280</v>
      </c>
      <c r="D1029" s="78" t="s">
        <v>1222</v>
      </c>
      <c r="E1029" s="79" t="s">
        <v>1191</v>
      </c>
      <c r="F1029" s="78" t="s">
        <v>591</v>
      </c>
      <c r="G1029" s="78" t="s">
        <v>250</v>
      </c>
      <c r="H1029" s="78" t="s">
        <v>11</v>
      </c>
      <c r="I1029" s="78" t="s">
        <v>214</v>
      </c>
      <c r="J1029" s="79" t="s">
        <v>251</v>
      </c>
      <c r="K1029" s="80">
        <v>10</v>
      </c>
      <c r="L1029" s="80">
        <f t="shared" si="291"/>
        <v>7.8431372549019605</v>
      </c>
      <c r="M1029" s="81">
        <f>prodnorm30</f>
        <v>0</v>
      </c>
      <c r="N1029" s="82">
        <f>dagwerk30</f>
        <v>0</v>
      </c>
      <c r="O1029" s="78" t="s">
        <v>103</v>
      </c>
      <c r="P1029" s="15">
        <f>uurtarief30</f>
        <v>0</v>
      </c>
      <c r="Q1029" s="80" t="e">
        <f t="shared" si="292"/>
        <v>#DIV/0!</v>
      </c>
      <c r="R1029" s="80" t="e">
        <f t="shared" si="293"/>
        <v>#DIV/0!</v>
      </c>
      <c r="S1029" s="15" t="e">
        <f t="shared" si="294"/>
        <v>#DIV/0!</v>
      </c>
      <c r="T1029" s="80" t="e">
        <f t="shared" si="295"/>
        <v>#DIV/0!</v>
      </c>
      <c r="U1029" s="16" t="e">
        <f t="shared" si="296"/>
        <v>#DIV/0!</v>
      </c>
    </row>
    <row r="1030" spans="1:21" x14ac:dyDescent="0.3">
      <c r="A1030" s="77" t="s">
        <v>1152</v>
      </c>
      <c r="B1030" s="78" t="s">
        <v>40</v>
      </c>
      <c r="C1030" s="78" t="s">
        <v>280</v>
      </c>
      <c r="D1030" s="78" t="s">
        <v>1223</v>
      </c>
      <c r="E1030" s="79" t="s">
        <v>1224</v>
      </c>
      <c r="F1030" s="78" t="s">
        <v>768</v>
      </c>
      <c r="G1030" s="78" t="s">
        <v>216</v>
      </c>
      <c r="H1030" s="78" t="s">
        <v>11</v>
      </c>
      <c r="I1030" s="78" t="s">
        <v>214</v>
      </c>
      <c r="J1030" s="79" t="s">
        <v>217</v>
      </c>
      <c r="K1030" s="80">
        <v>112</v>
      </c>
      <c r="L1030" s="80">
        <f t="shared" si="291"/>
        <v>87.843137254901961</v>
      </c>
      <c r="M1030" s="81">
        <f>prodnorm6</f>
        <v>0</v>
      </c>
      <c r="N1030" s="82">
        <f>dagwerk6</f>
        <v>0</v>
      </c>
      <c r="O1030" s="78" t="s">
        <v>103</v>
      </c>
      <c r="P1030" s="15">
        <f>uurtarief6</f>
        <v>0</v>
      </c>
      <c r="Q1030" s="80" t="e">
        <f t="shared" si="292"/>
        <v>#DIV/0!</v>
      </c>
      <c r="R1030" s="80" t="e">
        <f t="shared" si="293"/>
        <v>#DIV/0!</v>
      </c>
      <c r="S1030" s="15" t="e">
        <f t="shared" si="294"/>
        <v>#DIV/0!</v>
      </c>
      <c r="T1030" s="80" t="e">
        <f t="shared" si="295"/>
        <v>#DIV/0!</v>
      </c>
      <c r="U1030" s="16" t="e">
        <f t="shared" si="296"/>
        <v>#DIV/0!</v>
      </c>
    </row>
    <row r="1031" spans="1:21" x14ac:dyDescent="0.3">
      <c r="A1031" s="77" t="s">
        <v>1152</v>
      </c>
      <c r="B1031" s="78" t="s">
        <v>40</v>
      </c>
      <c r="C1031" s="78" t="s">
        <v>280</v>
      </c>
      <c r="D1031" s="78" t="s">
        <v>1225</v>
      </c>
      <c r="E1031" s="79" t="s">
        <v>1226</v>
      </c>
      <c r="F1031" s="78" t="s">
        <v>768</v>
      </c>
      <c r="G1031" s="78" t="s">
        <v>234</v>
      </c>
      <c r="H1031" s="78" t="s">
        <v>11</v>
      </c>
      <c r="I1031" s="78" t="s">
        <v>214</v>
      </c>
      <c r="J1031" s="79" t="s">
        <v>235</v>
      </c>
      <c r="K1031" s="80">
        <v>14</v>
      </c>
      <c r="L1031" s="80">
        <f t="shared" si="291"/>
        <v>10.980392156862745</v>
      </c>
      <c r="M1031" s="81">
        <f>prodnorm21</f>
        <v>0</v>
      </c>
      <c r="N1031" s="82">
        <f>dagwerk21</f>
        <v>0</v>
      </c>
      <c r="O1031" s="78" t="s">
        <v>103</v>
      </c>
      <c r="P1031" s="15">
        <f>uurtarief21</f>
        <v>0</v>
      </c>
      <c r="Q1031" s="80" t="e">
        <f t="shared" si="292"/>
        <v>#DIV/0!</v>
      </c>
      <c r="R1031" s="80" t="e">
        <f t="shared" si="293"/>
        <v>#DIV/0!</v>
      </c>
      <c r="S1031" s="15" t="e">
        <f t="shared" si="294"/>
        <v>#DIV/0!</v>
      </c>
      <c r="T1031" s="80" t="e">
        <f t="shared" si="295"/>
        <v>#DIV/0!</v>
      </c>
      <c r="U1031" s="16" t="e">
        <f t="shared" si="296"/>
        <v>#DIV/0!</v>
      </c>
    </row>
    <row r="1032" spans="1:21" x14ac:dyDescent="0.3">
      <c r="A1032" s="77" t="s">
        <v>1152</v>
      </c>
      <c r="B1032" s="78" t="s">
        <v>40</v>
      </c>
      <c r="C1032" s="78" t="s">
        <v>280</v>
      </c>
      <c r="D1032" s="78" t="s">
        <v>1227</v>
      </c>
      <c r="E1032" s="79" t="s">
        <v>1226</v>
      </c>
      <c r="F1032" s="78" t="s">
        <v>768</v>
      </c>
      <c r="G1032" s="78" t="s">
        <v>234</v>
      </c>
      <c r="H1032" s="78" t="s">
        <v>11</v>
      </c>
      <c r="I1032" s="78" t="s">
        <v>214</v>
      </c>
      <c r="J1032" s="79" t="s">
        <v>235</v>
      </c>
      <c r="K1032" s="80">
        <v>13</v>
      </c>
      <c r="L1032" s="80">
        <f t="shared" si="291"/>
        <v>10.196078431372548</v>
      </c>
      <c r="M1032" s="81">
        <f>prodnorm21</f>
        <v>0</v>
      </c>
      <c r="N1032" s="82">
        <f>dagwerk21</f>
        <v>0</v>
      </c>
      <c r="O1032" s="78" t="s">
        <v>103</v>
      </c>
      <c r="P1032" s="15">
        <f>uurtarief21</f>
        <v>0</v>
      </c>
      <c r="Q1032" s="80" t="e">
        <f t="shared" si="292"/>
        <v>#DIV/0!</v>
      </c>
      <c r="R1032" s="80" t="e">
        <f t="shared" si="293"/>
        <v>#DIV/0!</v>
      </c>
      <c r="S1032" s="15" t="e">
        <f t="shared" si="294"/>
        <v>#DIV/0!</v>
      </c>
      <c r="T1032" s="80" t="e">
        <f t="shared" si="295"/>
        <v>#DIV/0!</v>
      </c>
      <c r="U1032" s="16" t="e">
        <f t="shared" si="296"/>
        <v>#DIV/0!</v>
      </c>
    </row>
    <row r="1033" spans="1:21" x14ac:dyDescent="0.3">
      <c r="A1033" s="77" t="s">
        <v>1152</v>
      </c>
      <c r="B1033" s="78" t="s">
        <v>40</v>
      </c>
      <c r="C1033" s="78" t="s">
        <v>280</v>
      </c>
      <c r="D1033" s="78" t="s">
        <v>1228</v>
      </c>
      <c r="E1033" s="79" t="s">
        <v>1229</v>
      </c>
      <c r="F1033" s="78" t="s">
        <v>591</v>
      </c>
      <c r="G1033" s="78" t="s">
        <v>246</v>
      </c>
      <c r="H1033" s="78" t="s">
        <v>11</v>
      </c>
      <c r="I1033" s="78" t="s">
        <v>214</v>
      </c>
      <c r="J1033" s="79" t="s">
        <v>247</v>
      </c>
      <c r="K1033" s="80">
        <v>66</v>
      </c>
      <c r="L1033" s="80">
        <f t="shared" si="291"/>
        <v>51.764705882352942</v>
      </c>
      <c r="M1033" s="81">
        <f>prodnorm28</f>
        <v>0</v>
      </c>
      <c r="N1033" s="82">
        <f>dagwerk28</f>
        <v>0</v>
      </c>
      <c r="O1033" s="78" t="s">
        <v>103</v>
      </c>
      <c r="P1033" s="15">
        <f>uurtarief28</f>
        <v>0</v>
      </c>
      <c r="Q1033" s="80" t="e">
        <f t="shared" si="292"/>
        <v>#DIV/0!</v>
      </c>
      <c r="R1033" s="80" t="e">
        <f t="shared" si="293"/>
        <v>#DIV/0!</v>
      </c>
      <c r="S1033" s="15" t="e">
        <f t="shared" si="294"/>
        <v>#DIV/0!</v>
      </c>
      <c r="T1033" s="80" t="e">
        <f t="shared" si="295"/>
        <v>#DIV/0!</v>
      </c>
      <c r="U1033" s="16" t="e">
        <f t="shared" si="296"/>
        <v>#DIV/0!</v>
      </c>
    </row>
    <row r="1034" spans="1:21" x14ac:dyDescent="0.3">
      <c r="A1034" s="77" t="s">
        <v>1152</v>
      </c>
      <c r="B1034" s="78" t="s">
        <v>40</v>
      </c>
      <c r="C1034" s="78" t="s">
        <v>280</v>
      </c>
      <c r="D1034" s="78" t="s">
        <v>1230</v>
      </c>
      <c r="E1034" s="79" t="s">
        <v>1231</v>
      </c>
      <c r="F1034" s="78" t="s">
        <v>768</v>
      </c>
      <c r="G1034" s="78" t="s">
        <v>300</v>
      </c>
      <c r="H1034" s="78"/>
      <c r="I1034" s="78"/>
      <c r="J1034" s="78"/>
      <c r="K1034" s="80">
        <v>19</v>
      </c>
      <c r="L1034" s="80"/>
      <c r="M1034" s="81"/>
      <c r="N1034" s="82"/>
      <c r="O1034" s="78"/>
      <c r="P1034" s="15"/>
      <c r="Q1034" s="80"/>
      <c r="R1034" s="80"/>
      <c r="S1034" s="15"/>
      <c r="T1034" s="83"/>
      <c r="U1034" s="16"/>
    </row>
    <row r="1035" spans="1:21" x14ac:dyDescent="0.3">
      <c r="A1035" s="77" t="s">
        <v>1152</v>
      </c>
      <c r="B1035" s="78" t="s">
        <v>40</v>
      </c>
      <c r="C1035" s="78" t="s">
        <v>280</v>
      </c>
      <c r="D1035" s="78" t="s">
        <v>1232</v>
      </c>
      <c r="E1035" s="79" t="s">
        <v>1233</v>
      </c>
      <c r="F1035" s="78" t="s">
        <v>768</v>
      </c>
      <c r="G1035" s="78" t="s">
        <v>246</v>
      </c>
      <c r="H1035" s="78" t="s">
        <v>11</v>
      </c>
      <c r="I1035" s="78" t="s">
        <v>214</v>
      </c>
      <c r="J1035" s="79" t="s">
        <v>247</v>
      </c>
      <c r="K1035" s="80">
        <v>11</v>
      </c>
      <c r="L1035" s="80">
        <f>K1035*VLOOKUP(H1035,dagsoorttabel1,2,FALSE)</f>
        <v>8.6274509803921564</v>
      </c>
      <c r="M1035" s="81">
        <f>prodnorm28</f>
        <v>0</v>
      </c>
      <c r="N1035" s="82">
        <f>dagwerk28</f>
        <v>0</v>
      </c>
      <c r="O1035" s="78" t="s">
        <v>103</v>
      </c>
      <c r="P1035" s="15">
        <f>uurtarief28</f>
        <v>0</v>
      </c>
      <c r="Q1035" s="80" t="e">
        <f>IF(ISBLANK(M1035),0,L1035/ROUND(M1035,4))</f>
        <v>#DIV/0!</v>
      </c>
      <c r="R1035" s="80" t="e">
        <f>IF(ISBLANK(M1035),0,Q1035*ROUND(N1035,2))</f>
        <v>#DIV/0!</v>
      </c>
      <c r="S1035" s="15" t="e">
        <f>ROUND(P1035,2)*Q1035</f>
        <v>#DIV/0!</v>
      </c>
      <c r="T1035" s="80" t="e">
        <f>Q1035*dagenperjaar1</f>
        <v>#DIV/0!</v>
      </c>
      <c r="U1035" s="16" t="e">
        <f>T1035*ROUND(P1035,2)</f>
        <v>#DIV/0!</v>
      </c>
    </row>
    <row r="1036" spans="1:21" x14ac:dyDescent="0.3">
      <c r="A1036" s="77" t="s">
        <v>1152</v>
      </c>
      <c r="B1036" s="78" t="s">
        <v>40</v>
      </c>
      <c r="C1036" s="78" t="s">
        <v>280</v>
      </c>
      <c r="D1036" s="78" t="s">
        <v>1234</v>
      </c>
      <c r="E1036" s="79" t="s">
        <v>1235</v>
      </c>
      <c r="F1036" s="78" t="s">
        <v>768</v>
      </c>
      <c r="G1036" s="78" t="s">
        <v>300</v>
      </c>
      <c r="H1036" s="78"/>
      <c r="I1036" s="78"/>
      <c r="J1036" s="78"/>
      <c r="K1036" s="80">
        <v>9</v>
      </c>
      <c r="L1036" s="80"/>
      <c r="M1036" s="81"/>
      <c r="N1036" s="82"/>
      <c r="O1036" s="78"/>
      <c r="P1036" s="15"/>
      <c r="Q1036" s="80"/>
      <c r="R1036" s="80"/>
      <c r="S1036" s="15"/>
      <c r="T1036" s="83"/>
      <c r="U1036" s="16"/>
    </row>
    <row r="1037" spans="1:21" x14ac:dyDescent="0.3">
      <c r="A1037" s="77" t="s">
        <v>1152</v>
      </c>
      <c r="B1037" s="78" t="s">
        <v>40</v>
      </c>
      <c r="C1037" s="78" t="s">
        <v>280</v>
      </c>
      <c r="D1037" s="78" t="s">
        <v>1236</v>
      </c>
      <c r="E1037" s="79" t="s">
        <v>1237</v>
      </c>
      <c r="F1037" s="78" t="s">
        <v>768</v>
      </c>
      <c r="G1037" s="78" t="s">
        <v>216</v>
      </c>
      <c r="H1037" s="78" t="s">
        <v>11</v>
      </c>
      <c r="I1037" s="78" t="s">
        <v>214</v>
      </c>
      <c r="J1037" s="79" t="s">
        <v>217</v>
      </c>
      <c r="K1037" s="80">
        <v>179</v>
      </c>
      <c r="L1037" s="80">
        <f>K1037*VLOOKUP(H1037,dagsoorttabel1,2,FALSE)</f>
        <v>140.39215686274508</v>
      </c>
      <c r="M1037" s="81">
        <f>prodnorm6</f>
        <v>0</v>
      </c>
      <c r="N1037" s="82">
        <f>dagwerk6</f>
        <v>0</v>
      </c>
      <c r="O1037" s="78" t="s">
        <v>103</v>
      </c>
      <c r="P1037" s="15">
        <f>uurtarief6</f>
        <v>0</v>
      </c>
      <c r="Q1037" s="80" t="e">
        <f>IF(ISBLANK(M1037),0,L1037/ROUND(M1037,4))</f>
        <v>#DIV/0!</v>
      </c>
      <c r="R1037" s="80" t="e">
        <f>IF(ISBLANK(M1037),0,Q1037*ROUND(N1037,2))</f>
        <v>#DIV/0!</v>
      </c>
      <c r="S1037" s="15" t="e">
        <f>ROUND(P1037,2)*Q1037</f>
        <v>#DIV/0!</v>
      </c>
      <c r="T1037" s="80" t="e">
        <f>Q1037*dagenperjaar1</f>
        <v>#DIV/0!</v>
      </c>
      <c r="U1037" s="16" t="e">
        <f>T1037*ROUND(P1037,2)</f>
        <v>#DIV/0!</v>
      </c>
    </row>
    <row r="1038" spans="1:21" ht="27" x14ac:dyDescent="0.3">
      <c r="A1038" s="77" t="s">
        <v>1152</v>
      </c>
      <c r="B1038" s="78" t="s">
        <v>40</v>
      </c>
      <c r="C1038" s="78" t="s">
        <v>280</v>
      </c>
      <c r="D1038" s="78" t="s">
        <v>1238</v>
      </c>
      <c r="E1038" s="79" t="s">
        <v>1239</v>
      </c>
      <c r="F1038" s="78" t="s">
        <v>768</v>
      </c>
      <c r="G1038" s="78" t="s">
        <v>256</v>
      </c>
      <c r="H1038" s="78" t="s">
        <v>11</v>
      </c>
      <c r="I1038" s="78" t="s">
        <v>214</v>
      </c>
      <c r="J1038" s="79" t="s">
        <v>257</v>
      </c>
      <c r="K1038" s="80">
        <v>10</v>
      </c>
      <c r="L1038" s="80">
        <f>K1038*VLOOKUP(H1038,dagsoorttabel1,2,FALSE)</f>
        <v>7.8431372549019605</v>
      </c>
      <c r="M1038" s="81">
        <f>prodnorm33</f>
        <v>0</v>
      </c>
      <c r="N1038" s="82">
        <f>dagwerk33</f>
        <v>0</v>
      </c>
      <c r="O1038" s="78" t="s">
        <v>103</v>
      </c>
      <c r="P1038" s="15">
        <f>uurtarief33</f>
        <v>0</v>
      </c>
      <c r="Q1038" s="80" t="e">
        <f>IF(ISBLANK(M1038),0,L1038/ROUND(M1038,4))</f>
        <v>#DIV/0!</v>
      </c>
      <c r="R1038" s="80" t="e">
        <f>IF(ISBLANK(M1038),0,Q1038*ROUND(N1038,2))</f>
        <v>#DIV/0!</v>
      </c>
      <c r="S1038" s="15" t="e">
        <f>ROUND(P1038,2)*Q1038</f>
        <v>#DIV/0!</v>
      </c>
      <c r="T1038" s="80" t="e">
        <f>Q1038*dagenperjaar1</f>
        <v>#DIV/0!</v>
      </c>
      <c r="U1038" s="16" t="e">
        <f>T1038*ROUND(P1038,2)</f>
        <v>#DIV/0!</v>
      </c>
    </row>
    <row r="1039" spans="1:21" x14ac:dyDescent="0.3">
      <c r="A1039" s="77" t="s">
        <v>1152</v>
      </c>
      <c r="B1039" s="78" t="s">
        <v>40</v>
      </c>
      <c r="C1039" s="78" t="s">
        <v>280</v>
      </c>
      <c r="D1039" s="78" t="s">
        <v>1240</v>
      </c>
      <c r="E1039" s="79" t="s">
        <v>1241</v>
      </c>
      <c r="F1039" s="78" t="s">
        <v>768</v>
      </c>
      <c r="G1039" s="78" t="s">
        <v>216</v>
      </c>
      <c r="H1039" s="78" t="s">
        <v>11</v>
      </c>
      <c r="I1039" s="78" t="s">
        <v>214</v>
      </c>
      <c r="J1039" s="79" t="s">
        <v>217</v>
      </c>
      <c r="K1039" s="80">
        <v>12</v>
      </c>
      <c r="L1039" s="80">
        <f>K1039*VLOOKUP(H1039,dagsoorttabel1,2,FALSE)</f>
        <v>9.4117647058823533</v>
      </c>
      <c r="M1039" s="81">
        <f>prodnorm6</f>
        <v>0</v>
      </c>
      <c r="N1039" s="82">
        <f>dagwerk6</f>
        <v>0</v>
      </c>
      <c r="O1039" s="78" t="s">
        <v>103</v>
      </c>
      <c r="P1039" s="15">
        <f>uurtarief6</f>
        <v>0</v>
      </c>
      <c r="Q1039" s="80" t="e">
        <f>IF(ISBLANK(M1039),0,L1039/ROUND(M1039,4))</f>
        <v>#DIV/0!</v>
      </c>
      <c r="R1039" s="80" t="e">
        <f>IF(ISBLANK(M1039),0,Q1039*ROUND(N1039,2))</f>
        <v>#DIV/0!</v>
      </c>
      <c r="S1039" s="15" t="e">
        <f>ROUND(P1039,2)*Q1039</f>
        <v>#DIV/0!</v>
      </c>
      <c r="T1039" s="80" t="e">
        <f>Q1039*dagenperjaar1</f>
        <v>#DIV/0!</v>
      </c>
      <c r="U1039" s="16" t="e">
        <f>T1039*ROUND(P1039,2)</f>
        <v>#DIV/0!</v>
      </c>
    </row>
    <row r="1040" spans="1:21" x14ac:dyDescent="0.3">
      <c r="A1040" s="77" t="s">
        <v>1152</v>
      </c>
      <c r="B1040" s="78" t="s">
        <v>40</v>
      </c>
      <c r="C1040" s="78" t="s">
        <v>280</v>
      </c>
      <c r="D1040" s="78" t="s">
        <v>1242</v>
      </c>
      <c r="E1040" s="79" t="s">
        <v>1241</v>
      </c>
      <c r="F1040" s="78" t="s">
        <v>768</v>
      </c>
      <c r="G1040" s="78" t="s">
        <v>216</v>
      </c>
      <c r="H1040" s="78" t="s">
        <v>11</v>
      </c>
      <c r="I1040" s="78" t="s">
        <v>214</v>
      </c>
      <c r="J1040" s="79" t="s">
        <v>217</v>
      </c>
      <c r="K1040" s="80">
        <v>12</v>
      </c>
      <c r="L1040" s="80">
        <f>K1040*VLOOKUP(H1040,dagsoorttabel1,2,FALSE)</f>
        <v>9.4117647058823533</v>
      </c>
      <c r="M1040" s="81">
        <f>prodnorm6</f>
        <v>0</v>
      </c>
      <c r="N1040" s="82">
        <f>dagwerk6</f>
        <v>0</v>
      </c>
      <c r="O1040" s="78" t="s">
        <v>103</v>
      </c>
      <c r="P1040" s="15">
        <f>uurtarief6</f>
        <v>0</v>
      </c>
      <c r="Q1040" s="80" t="e">
        <f>IF(ISBLANK(M1040),0,L1040/ROUND(M1040,4))</f>
        <v>#DIV/0!</v>
      </c>
      <c r="R1040" s="80" t="e">
        <f>IF(ISBLANK(M1040),0,Q1040*ROUND(N1040,2))</f>
        <v>#DIV/0!</v>
      </c>
      <c r="S1040" s="15" t="e">
        <f>ROUND(P1040,2)*Q1040</f>
        <v>#DIV/0!</v>
      </c>
      <c r="T1040" s="80" t="e">
        <f>Q1040*dagenperjaar1</f>
        <v>#DIV/0!</v>
      </c>
      <c r="U1040" s="16" t="e">
        <f>T1040*ROUND(P1040,2)</f>
        <v>#DIV/0!</v>
      </c>
    </row>
    <row r="1041" spans="1:21" x14ac:dyDescent="0.3">
      <c r="A1041" s="77" t="s">
        <v>1152</v>
      </c>
      <c r="B1041" s="78" t="s">
        <v>40</v>
      </c>
      <c r="C1041" s="78" t="s">
        <v>280</v>
      </c>
      <c r="D1041" s="78" t="s">
        <v>1243</v>
      </c>
      <c r="E1041" s="79" t="s">
        <v>1244</v>
      </c>
      <c r="F1041" s="78" t="s">
        <v>768</v>
      </c>
      <c r="G1041" s="78" t="s">
        <v>300</v>
      </c>
      <c r="H1041" s="78"/>
      <c r="I1041" s="78"/>
      <c r="J1041" s="78"/>
      <c r="K1041" s="80">
        <v>10</v>
      </c>
      <c r="L1041" s="80"/>
      <c r="M1041" s="81"/>
      <c r="N1041" s="82"/>
      <c r="O1041" s="78"/>
      <c r="P1041" s="15"/>
      <c r="Q1041" s="80"/>
      <c r="R1041" s="80"/>
      <c r="S1041" s="15"/>
      <c r="T1041" s="83"/>
      <c r="U1041" s="16"/>
    </row>
    <row r="1042" spans="1:21" x14ac:dyDescent="0.3">
      <c r="A1042" s="77" t="s">
        <v>1152</v>
      </c>
      <c r="B1042" s="78" t="s">
        <v>40</v>
      </c>
      <c r="C1042" s="78" t="s">
        <v>280</v>
      </c>
      <c r="D1042" s="78" t="s">
        <v>1245</v>
      </c>
      <c r="E1042" s="79" t="s">
        <v>1246</v>
      </c>
      <c r="F1042" s="78" t="s">
        <v>768</v>
      </c>
      <c r="G1042" s="78" t="s">
        <v>216</v>
      </c>
      <c r="H1042" s="78" t="s">
        <v>11</v>
      </c>
      <c r="I1042" s="78" t="s">
        <v>214</v>
      </c>
      <c r="J1042" s="79" t="s">
        <v>217</v>
      </c>
      <c r="K1042" s="80">
        <v>89</v>
      </c>
      <c r="L1042" s="80">
        <f>K1042*VLOOKUP(H1042,dagsoorttabel1,2,FALSE)</f>
        <v>69.803921568627445</v>
      </c>
      <c r="M1042" s="81">
        <f>prodnorm6</f>
        <v>0</v>
      </c>
      <c r="N1042" s="82">
        <f>dagwerk6</f>
        <v>0</v>
      </c>
      <c r="O1042" s="78" t="s">
        <v>103</v>
      </c>
      <c r="P1042" s="15">
        <f>uurtarief6</f>
        <v>0</v>
      </c>
      <c r="Q1042" s="80" t="e">
        <f>IF(ISBLANK(M1042),0,L1042/ROUND(M1042,4))</f>
        <v>#DIV/0!</v>
      </c>
      <c r="R1042" s="80" t="e">
        <f>IF(ISBLANK(M1042),0,Q1042*ROUND(N1042,2))</f>
        <v>#DIV/0!</v>
      </c>
      <c r="S1042" s="15" t="e">
        <f>ROUND(P1042,2)*Q1042</f>
        <v>#DIV/0!</v>
      </c>
      <c r="T1042" s="80" t="e">
        <f>Q1042*dagenperjaar1</f>
        <v>#DIV/0!</v>
      </c>
      <c r="U1042" s="16" t="e">
        <f>T1042*ROUND(P1042,2)</f>
        <v>#DIV/0!</v>
      </c>
    </row>
    <row r="1043" spans="1:21" x14ac:dyDescent="0.3">
      <c r="A1043" s="77" t="s">
        <v>1152</v>
      </c>
      <c r="B1043" s="78" t="s">
        <v>40</v>
      </c>
      <c r="C1043" s="78" t="s">
        <v>280</v>
      </c>
      <c r="D1043" s="78" t="s">
        <v>1247</v>
      </c>
      <c r="E1043" s="79" t="s">
        <v>1248</v>
      </c>
      <c r="F1043" s="78" t="s">
        <v>768</v>
      </c>
      <c r="G1043" s="78" t="s">
        <v>244</v>
      </c>
      <c r="H1043" s="78" t="s">
        <v>11</v>
      </c>
      <c r="I1043" s="78" t="s">
        <v>214</v>
      </c>
      <c r="J1043" s="79" t="s">
        <v>245</v>
      </c>
      <c r="K1043" s="80">
        <v>32</v>
      </c>
      <c r="L1043" s="80">
        <f>K1043*VLOOKUP(H1043,dagsoorttabel1,2,FALSE)</f>
        <v>25.098039215686274</v>
      </c>
      <c r="M1043" s="81">
        <f>prodnorm27</f>
        <v>0</v>
      </c>
      <c r="N1043" s="82">
        <f>dagwerk27</f>
        <v>0</v>
      </c>
      <c r="O1043" s="78" t="s">
        <v>103</v>
      </c>
      <c r="P1043" s="15">
        <f>uurtarief27</f>
        <v>0</v>
      </c>
      <c r="Q1043" s="80" t="e">
        <f>IF(ISBLANK(M1043),0,L1043/ROUND(M1043,4))</f>
        <v>#DIV/0!</v>
      </c>
      <c r="R1043" s="80" t="e">
        <f>IF(ISBLANK(M1043),0,Q1043*ROUND(N1043,2))</f>
        <v>#DIV/0!</v>
      </c>
      <c r="S1043" s="15" t="e">
        <f>ROUND(P1043,2)*Q1043</f>
        <v>#DIV/0!</v>
      </c>
      <c r="T1043" s="80" t="e">
        <f>Q1043*dagenperjaar1</f>
        <v>#DIV/0!</v>
      </c>
      <c r="U1043" s="16" t="e">
        <f>T1043*ROUND(P1043,2)</f>
        <v>#DIV/0!</v>
      </c>
    </row>
    <row r="1044" spans="1:21" x14ac:dyDescent="0.3">
      <c r="A1044" s="77" t="s">
        <v>1152</v>
      </c>
      <c r="B1044" s="78" t="s">
        <v>40</v>
      </c>
      <c r="C1044" s="78" t="s">
        <v>280</v>
      </c>
      <c r="D1044" s="78" t="s">
        <v>1249</v>
      </c>
      <c r="E1044" s="79" t="s">
        <v>1250</v>
      </c>
      <c r="F1044" s="78" t="s">
        <v>768</v>
      </c>
      <c r="G1044" s="78" t="s">
        <v>248</v>
      </c>
      <c r="H1044" s="78" t="s">
        <v>11</v>
      </c>
      <c r="I1044" s="78" t="s">
        <v>214</v>
      </c>
      <c r="J1044" s="79" t="s">
        <v>249</v>
      </c>
      <c r="K1044" s="80">
        <v>73</v>
      </c>
      <c r="L1044" s="80">
        <f>K1044*VLOOKUP(H1044,dagsoorttabel1,2,FALSE)</f>
        <v>57.254901960784316</v>
      </c>
      <c r="M1044" s="81">
        <f>prodnorm29</f>
        <v>0</v>
      </c>
      <c r="N1044" s="82">
        <f>dagwerk29</f>
        <v>0</v>
      </c>
      <c r="O1044" s="78" t="s">
        <v>103</v>
      </c>
      <c r="P1044" s="15">
        <f>uurtarief29</f>
        <v>0</v>
      </c>
      <c r="Q1044" s="80" t="e">
        <f>IF(ISBLANK(M1044),0,L1044/ROUND(M1044,4))</f>
        <v>#DIV/0!</v>
      </c>
      <c r="R1044" s="80" t="e">
        <f>IF(ISBLANK(M1044),0,Q1044*ROUND(N1044,2))</f>
        <v>#DIV/0!</v>
      </c>
      <c r="S1044" s="15" t="e">
        <f>ROUND(P1044,2)*Q1044</f>
        <v>#DIV/0!</v>
      </c>
      <c r="T1044" s="80" t="e">
        <f>Q1044*dagenperjaar1</f>
        <v>#DIV/0!</v>
      </c>
      <c r="U1044" s="16" t="e">
        <f>T1044*ROUND(P1044,2)</f>
        <v>#DIV/0!</v>
      </c>
    </row>
    <row r="1045" spans="1:21" x14ac:dyDescent="0.3">
      <c r="A1045" s="77" t="s">
        <v>1152</v>
      </c>
      <c r="B1045" s="78" t="s">
        <v>40</v>
      </c>
      <c r="C1045" s="78" t="s">
        <v>280</v>
      </c>
      <c r="D1045" s="78" t="s">
        <v>1251</v>
      </c>
      <c r="E1045" s="79" t="s">
        <v>1252</v>
      </c>
      <c r="F1045" s="78" t="s">
        <v>768</v>
      </c>
      <c r="G1045" s="78" t="s">
        <v>234</v>
      </c>
      <c r="H1045" s="78" t="s">
        <v>11</v>
      </c>
      <c r="I1045" s="78" t="s">
        <v>214</v>
      </c>
      <c r="J1045" s="79" t="s">
        <v>235</v>
      </c>
      <c r="K1045" s="80">
        <v>13</v>
      </c>
      <c r="L1045" s="80">
        <f>K1045*VLOOKUP(H1045,dagsoorttabel1,2,FALSE)</f>
        <v>10.196078431372548</v>
      </c>
      <c r="M1045" s="81">
        <f>prodnorm21</f>
        <v>0</v>
      </c>
      <c r="N1045" s="82">
        <f>dagwerk21</f>
        <v>0</v>
      </c>
      <c r="O1045" s="78" t="s">
        <v>103</v>
      </c>
      <c r="P1045" s="15">
        <f>uurtarief21</f>
        <v>0</v>
      </c>
      <c r="Q1045" s="80" t="e">
        <f>IF(ISBLANK(M1045),0,L1045/ROUND(M1045,4))</f>
        <v>#DIV/0!</v>
      </c>
      <c r="R1045" s="80" t="e">
        <f>IF(ISBLANK(M1045),0,Q1045*ROUND(N1045,2))</f>
        <v>#DIV/0!</v>
      </c>
      <c r="S1045" s="15" t="e">
        <f>ROUND(P1045,2)*Q1045</f>
        <v>#DIV/0!</v>
      </c>
      <c r="T1045" s="80" t="e">
        <f>Q1045*dagenperjaar1</f>
        <v>#DIV/0!</v>
      </c>
      <c r="U1045" s="16" t="e">
        <f>T1045*ROUND(P1045,2)</f>
        <v>#DIV/0!</v>
      </c>
    </row>
    <row r="1046" spans="1:21" x14ac:dyDescent="0.3">
      <c r="A1046" s="77" t="s">
        <v>1152</v>
      </c>
      <c r="B1046" s="78" t="s">
        <v>40</v>
      </c>
      <c r="C1046" s="78" t="s">
        <v>280</v>
      </c>
      <c r="D1046" s="78" t="s">
        <v>1253</v>
      </c>
      <c r="E1046" s="79" t="s">
        <v>1254</v>
      </c>
      <c r="F1046" s="78" t="s">
        <v>768</v>
      </c>
      <c r="G1046" s="78" t="s">
        <v>248</v>
      </c>
      <c r="H1046" s="78" t="s">
        <v>11</v>
      </c>
      <c r="I1046" s="78" t="s">
        <v>214</v>
      </c>
      <c r="J1046" s="79" t="s">
        <v>249</v>
      </c>
      <c r="K1046" s="80">
        <v>12</v>
      </c>
      <c r="L1046" s="80">
        <f>K1046*VLOOKUP(H1046,dagsoorttabel1,2,FALSE)</f>
        <v>9.4117647058823533</v>
      </c>
      <c r="M1046" s="81">
        <f>prodnorm29</f>
        <v>0</v>
      </c>
      <c r="N1046" s="82">
        <f>dagwerk29</f>
        <v>0</v>
      </c>
      <c r="O1046" s="78" t="s">
        <v>103</v>
      </c>
      <c r="P1046" s="15">
        <f>uurtarief29</f>
        <v>0</v>
      </c>
      <c r="Q1046" s="80" t="e">
        <f>IF(ISBLANK(M1046),0,L1046/ROUND(M1046,4))</f>
        <v>#DIV/0!</v>
      </c>
      <c r="R1046" s="80" t="e">
        <f>IF(ISBLANK(M1046),0,Q1046*ROUND(N1046,2))</f>
        <v>#DIV/0!</v>
      </c>
      <c r="S1046" s="15" t="e">
        <f>ROUND(P1046,2)*Q1046</f>
        <v>#DIV/0!</v>
      </c>
      <c r="T1046" s="80" t="e">
        <f>Q1046*dagenperjaar1</f>
        <v>#DIV/0!</v>
      </c>
      <c r="U1046" s="16" t="e">
        <f>T1046*ROUND(P1046,2)</f>
        <v>#DIV/0!</v>
      </c>
    </row>
    <row r="1047" spans="1:21" x14ac:dyDescent="0.3">
      <c r="A1047" s="77" t="s">
        <v>1152</v>
      </c>
      <c r="B1047" s="78" t="s">
        <v>40</v>
      </c>
      <c r="C1047" s="78" t="s">
        <v>280</v>
      </c>
      <c r="D1047" s="78" t="s">
        <v>1255</v>
      </c>
      <c r="E1047" s="79" t="s">
        <v>1256</v>
      </c>
      <c r="F1047" s="78" t="s">
        <v>768</v>
      </c>
      <c r="G1047" s="78" t="s">
        <v>300</v>
      </c>
      <c r="H1047" s="78"/>
      <c r="I1047" s="78"/>
      <c r="J1047" s="78"/>
      <c r="K1047" s="80">
        <v>18</v>
      </c>
      <c r="L1047" s="80"/>
      <c r="M1047" s="81"/>
      <c r="N1047" s="82"/>
      <c r="O1047" s="78"/>
      <c r="P1047" s="15"/>
      <c r="Q1047" s="80"/>
      <c r="R1047" s="80"/>
      <c r="S1047" s="15"/>
      <c r="T1047" s="83"/>
      <c r="U1047" s="16"/>
    </row>
    <row r="1048" spans="1:21" x14ac:dyDescent="0.3">
      <c r="A1048" s="77" t="s">
        <v>1152</v>
      </c>
      <c r="B1048" s="78" t="s">
        <v>40</v>
      </c>
      <c r="C1048" s="78" t="s">
        <v>280</v>
      </c>
      <c r="D1048" s="78" t="s">
        <v>1257</v>
      </c>
      <c r="E1048" s="79" t="s">
        <v>1258</v>
      </c>
      <c r="F1048" s="78" t="s">
        <v>768</v>
      </c>
      <c r="G1048" s="78" t="s">
        <v>216</v>
      </c>
      <c r="H1048" s="78" t="s">
        <v>11</v>
      </c>
      <c r="I1048" s="78" t="s">
        <v>214</v>
      </c>
      <c r="J1048" s="79" t="s">
        <v>217</v>
      </c>
      <c r="K1048" s="80">
        <v>112</v>
      </c>
      <c r="L1048" s="80">
        <f t="shared" ref="L1048:L1053" si="297">K1048*VLOOKUP(H1048,dagsoorttabel1,2,FALSE)</f>
        <v>87.843137254901961</v>
      </c>
      <c r="M1048" s="81">
        <f>prodnorm6</f>
        <v>0</v>
      </c>
      <c r="N1048" s="82">
        <f>dagwerk6</f>
        <v>0</v>
      </c>
      <c r="O1048" s="78" t="s">
        <v>103</v>
      </c>
      <c r="P1048" s="15">
        <f>uurtarief6</f>
        <v>0</v>
      </c>
      <c r="Q1048" s="80" t="e">
        <f t="shared" ref="Q1048:Q1053" si="298">IF(ISBLANK(M1048),0,L1048/ROUND(M1048,4))</f>
        <v>#DIV/0!</v>
      </c>
      <c r="R1048" s="80" t="e">
        <f t="shared" ref="R1048:R1053" si="299">IF(ISBLANK(M1048),0,Q1048*ROUND(N1048,2))</f>
        <v>#DIV/0!</v>
      </c>
      <c r="S1048" s="15" t="e">
        <f t="shared" ref="S1048:S1053" si="300">ROUND(P1048,2)*Q1048</f>
        <v>#DIV/0!</v>
      </c>
      <c r="T1048" s="80" t="e">
        <f t="shared" ref="T1048:T1053" si="301">Q1048*dagenperjaar1</f>
        <v>#DIV/0!</v>
      </c>
      <c r="U1048" s="16" t="e">
        <f t="shared" ref="U1048:U1053" si="302">T1048*ROUND(P1048,2)</f>
        <v>#DIV/0!</v>
      </c>
    </row>
    <row r="1049" spans="1:21" x14ac:dyDescent="0.3">
      <c r="A1049" s="77" t="s">
        <v>1152</v>
      </c>
      <c r="B1049" s="78" t="s">
        <v>40</v>
      </c>
      <c r="C1049" s="78" t="s">
        <v>280</v>
      </c>
      <c r="D1049" s="78" t="s">
        <v>1259</v>
      </c>
      <c r="E1049" s="79" t="s">
        <v>1260</v>
      </c>
      <c r="F1049" s="78" t="s">
        <v>768</v>
      </c>
      <c r="G1049" s="78" t="s">
        <v>248</v>
      </c>
      <c r="H1049" s="78" t="s">
        <v>11</v>
      </c>
      <c r="I1049" s="78" t="s">
        <v>214</v>
      </c>
      <c r="J1049" s="79" t="s">
        <v>249</v>
      </c>
      <c r="K1049" s="80">
        <v>67</v>
      </c>
      <c r="L1049" s="80">
        <f t="shared" si="297"/>
        <v>52.549019607843135</v>
      </c>
      <c r="M1049" s="81">
        <f>prodnorm29</f>
        <v>0</v>
      </c>
      <c r="N1049" s="82">
        <f>dagwerk29</f>
        <v>0</v>
      </c>
      <c r="O1049" s="78" t="s">
        <v>103</v>
      </c>
      <c r="P1049" s="15">
        <f>uurtarief29</f>
        <v>0</v>
      </c>
      <c r="Q1049" s="80" t="e">
        <f t="shared" si="298"/>
        <v>#DIV/0!</v>
      </c>
      <c r="R1049" s="80" t="e">
        <f t="shared" si="299"/>
        <v>#DIV/0!</v>
      </c>
      <c r="S1049" s="15" t="e">
        <f t="shared" si="300"/>
        <v>#DIV/0!</v>
      </c>
      <c r="T1049" s="80" t="e">
        <f t="shared" si="301"/>
        <v>#DIV/0!</v>
      </c>
      <c r="U1049" s="16" t="e">
        <f t="shared" si="302"/>
        <v>#DIV/0!</v>
      </c>
    </row>
    <row r="1050" spans="1:21" x14ac:dyDescent="0.3">
      <c r="A1050" s="77" t="s">
        <v>1152</v>
      </c>
      <c r="B1050" s="78" t="s">
        <v>40</v>
      </c>
      <c r="C1050" s="78" t="s">
        <v>280</v>
      </c>
      <c r="D1050" s="78" t="s">
        <v>1261</v>
      </c>
      <c r="E1050" s="79" t="s">
        <v>1262</v>
      </c>
      <c r="F1050" s="78" t="s">
        <v>768</v>
      </c>
      <c r="G1050" s="78" t="s">
        <v>248</v>
      </c>
      <c r="H1050" s="78" t="s">
        <v>11</v>
      </c>
      <c r="I1050" s="78" t="s">
        <v>214</v>
      </c>
      <c r="J1050" s="79" t="s">
        <v>249</v>
      </c>
      <c r="K1050" s="80">
        <v>24</v>
      </c>
      <c r="L1050" s="80">
        <f t="shared" si="297"/>
        <v>18.823529411764707</v>
      </c>
      <c r="M1050" s="81">
        <f>prodnorm29</f>
        <v>0</v>
      </c>
      <c r="N1050" s="82">
        <f>dagwerk29</f>
        <v>0</v>
      </c>
      <c r="O1050" s="78" t="s">
        <v>103</v>
      </c>
      <c r="P1050" s="15">
        <f>uurtarief29</f>
        <v>0</v>
      </c>
      <c r="Q1050" s="80" t="e">
        <f t="shared" si="298"/>
        <v>#DIV/0!</v>
      </c>
      <c r="R1050" s="80" t="e">
        <f t="shared" si="299"/>
        <v>#DIV/0!</v>
      </c>
      <c r="S1050" s="15" t="e">
        <f t="shared" si="300"/>
        <v>#DIV/0!</v>
      </c>
      <c r="T1050" s="80" t="e">
        <f t="shared" si="301"/>
        <v>#DIV/0!</v>
      </c>
      <c r="U1050" s="16" t="e">
        <f t="shared" si="302"/>
        <v>#DIV/0!</v>
      </c>
    </row>
    <row r="1051" spans="1:21" x14ac:dyDescent="0.3">
      <c r="A1051" s="77" t="s">
        <v>1152</v>
      </c>
      <c r="B1051" s="78" t="s">
        <v>40</v>
      </c>
      <c r="C1051" s="78" t="s">
        <v>280</v>
      </c>
      <c r="D1051" s="78" t="s">
        <v>1263</v>
      </c>
      <c r="E1051" s="79" t="s">
        <v>1264</v>
      </c>
      <c r="F1051" s="78" t="s">
        <v>768</v>
      </c>
      <c r="G1051" s="78" t="s">
        <v>244</v>
      </c>
      <c r="H1051" s="78" t="s">
        <v>11</v>
      </c>
      <c r="I1051" s="78" t="s">
        <v>214</v>
      </c>
      <c r="J1051" s="79" t="s">
        <v>245</v>
      </c>
      <c r="K1051" s="80">
        <v>110</v>
      </c>
      <c r="L1051" s="80">
        <f t="shared" si="297"/>
        <v>86.274509803921561</v>
      </c>
      <c r="M1051" s="81">
        <f>prodnorm27</f>
        <v>0</v>
      </c>
      <c r="N1051" s="82">
        <f>dagwerk27</f>
        <v>0</v>
      </c>
      <c r="O1051" s="78" t="s">
        <v>103</v>
      </c>
      <c r="P1051" s="15">
        <f>uurtarief27</f>
        <v>0</v>
      </c>
      <c r="Q1051" s="80" t="e">
        <f t="shared" si="298"/>
        <v>#DIV/0!</v>
      </c>
      <c r="R1051" s="80" t="e">
        <f t="shared" si="299"/>
        <v>#DIV/0!</v>
      </c>
      <c r="S1051" s="15" t="e">
        <f t="shared" si="300"/>
        <v>#DIV/0!</v>
      </c>
      <c r="T1051" s="80" t="e">
        <f t="shared" si="301"/>
        <v>#DIV/0!</v>
      </c>
      <c r="U1051" s="16" t="e">
        <f t="shared" si="302"/>
        <v>#DIV/0!</v>
      </c>
    </row>
    <row r="1052" spans="1:21" x14ac:dyDescent="0.3">
      <c r="A1052" s="77" t="s">
        <v>1152</v>
      </c>
      <c r="B1052" s="78" t="s">
        <v>40</v>
      </c>
      <c r="C1052" s="78" t="s">
        <v>280</v>
      </c>
      <c r="D1052" s="78" t="s">
        <v>1265</v>
      </c>
      <c r="E1052" s="79" t="s">
        <v>1266</v>
      </c>
      <c r="F1052" s="78" t="s">
        <v>768</v>
      </c>
      <c r="G1052" s="78" t="s">
        <v>244</v>
      </c>
      <c r="H1052" s="78" t="s">
        <v>11</v>
      </c>
      <c r="I1052" s="78" t="s">
        <v>214</v>
      </c>
      <c r="J1052" s="79" t="s">
        <v>245</v>
      </c>
      <c r="K1052" s="80">
        <v>36</v>
      </c>
      <c r="L1052" s="80">
        <f t="shared" si="297"/>
        <v>28.235294117647058</v>
      </c>
      <c r="M1052" s="81">
        <f>prodnorm27</f>
        <v>0</v>
      </c>
      <c r="N1052" s="82">
        <f>dagwerk27</f>
        <v>0</v>
      </c>
      <c r="O1052" s="78" t="s">
        <v>103</v>
      </c>
      <c r="P1052" s="15">
        <f>uurtarief27</f>
        <v>0</v>
      </c>
      <c r="Q1052" s="80" t="e">
        <f t="shared" si="298"/>
        <v>#DIV/0!</v>
      </c>
      <c r="R1052" s="80" t="e">
        <f t="shared" si="299"/>
        <v>#DIV/0!</v>
      </c>
      <c r="S1052" s="15" t="e">
        <f t="shared" si="300"/>
        <v>#DIV/0!</v>
      </c>
      <c r="T1052" s="80" t="e">
        <f t="shared" si="301"/>
        <v>#DIV/0!</v>
      </c>
      <c r="U1052" s="16" t="e">
        <f t="shared" si="302"/>
        <v>#DIV/0!</v>
      </c>
    </row>
    <row r="1053" spans="1:21" x14ac:dyDescent="0.3">
      <c r="A1053" s="77" t="s">
        <v>1152</v>
      </c>
      <c r="B1053" s="78" t="s">
        <v>40</v>
      </c>
      <c r="C1053" s="78" t="s">
        <v>280</v>
      </c>
      <c r="D1053" s="78" t="s">
        <v>1267</v>
      </c>
      <c r="E1053" s="79" t="s">
        <v>1268</v>
      </c>
      <c r="F1053" s="78" t="s">
        <v>768</v>
      </c>
      <c r="G1053" s="78" t="s">
        <v>244</v>
      </c>
      <c r="H1053" s="78" t="s">
        <v>11</v>
      </c>
      <c r="I1053" s="78" t="s">
        <v>214</v>
      </c>
      <c r="J1053" s="79" t="s">
        <v>245</v>
      </c>
      <c r="K1053" s="80">
        <v>37</v>
      </c>
      <c r="L1053" s="80">
        <f t="shared" si="297"/>
        <v>29.019607843137255</v>
      </c>
      <c r="M1053" s="81">
        <f>prodnorm27</f>
        <v>0</v>
      </c>
      <c r="N1053" s="82">
        <f>dagwerk27</f>
        <v>0</v>
      </c>
      <c r="O1053" s="78" t="s">
        <v>103</v>
      </c>
      <c r="P1053" s="15">
        <f>uurtarief27</f>
        <v>0</v>
      </c>
      <c r="Q1053" s="80" t="e">
        <f t="shared" si="298"/>
        <v>#DIV/0!</v>
      </c>
      <c r="R1053" s="80" t="e">
        <f t="shared" si="299"/>
        <v>#DIV/0!</v>
      </c>
      <c r="S1053" s="15" t="e">
        <f t="shared" si="300"/>
        <v>#DIV/0!</v>
      </c>
      <c r="T1053" s="80" t="e">
        <f t="shared" si="301"/>
        <v>#DIV/0!</v>
      </c>
      <c r="U1053" s="16" t="e">
        <f t="shared" si="302"/>
        <v>#DIV/0!</v>
      </c>
    </row>
    <row r="1054" spans="1:21" x14ac:dyDescent="0.3">
      <c r="A1054" s="77" t="s">
        <v>1152</v>
      </c>
      <c r="B1054" s="78" t="s">
        <v>40</v>
      </c>
      <c r="C1054" s="78" t="s">
        <v>280</v>
      </c>
      <c r="D1054" s="78" t="s">
        <v>1269</v>
      </c>
      <c r="E1054" s="79" t="s">
        <v>1270</v>
      </c>
      <c r="F1054" s="78" t="s">
        <v>768</v>
      </c>
      <c r="G1054" s="78" t="s">
        <v>300</v>
      </c>
      <c r="H1054" s="78"/>
      <c r="I1054" s="78"/>
      <c r="J1054" s="78"/>
      <c r="K1054" s="80">
        <v>12</v>
      </c>
      <c r="L1054" s="80"/>
      <c r="M1054" s="81"/>
      <c r="N1054" s="82"/>
      <c r="O1054" s="78"/>
      <c r="P1054" s="15"/>
      <c r="Q1054" s="80"/>
      <c r="R1054" s="80"/>
      <c r="S1054" s="15"/>
      <c r="T1054" s="83"/>
      <c r="U1054" s="16"/>
    </row>
    <row r="1055" spans="1:21" x14ac:dyDescent="0.3">
      <c r="A1055" s="77" t="s">
        <v>1152</v>
      </c>
      <c r="B1055" s="78" t="s">
        <v>40</v>
      </c>
      <c r="C1055" s="78" t="s">
        <v>280</v>
      </c>
      <c r="D1055" s="78" t="s">
        <v>1271</v>
      </c>
      <c r="E1055" s="79" t="s">
        <v>1272</v>
      </c>
      <c r="F1055" s="78" t="s">
        <v>768</v>
      </c>
      <c r="G1055" s="78" t="s">
        <v>216</v>
      </c>
      <c r="H1055" s="78" t="s">
        <v>11</v>
      </c>
      <c r="I1055" s="78" t="s">
        <v>214</v>
      </c>
      <c r="J1055" s="79" t="s">
        <v>217</v>
      </c>
      <c r="K1055" s="80">
        <v>17</v>
      </c>
      <c r="L1055" s="80">
        <f>K1055*VLOOKUP(H1055,dagsoorttabel1,2,FALSE)</f>
        <v>13.333333333333334</v>
      </c>
      <c r="M1055" s="81">
        <f>prodnorm6</f>
        <v>0</v>
      </c>
      <c r="N1055" s="82">
        <f>dagwerk6</f>
        <v>0</v>
      </c>
      <c r="O1055" s="78" t="s">
        <v>103</v>
      </c>
      <c r="P1055" s="15">
        <f>uurtarief6</f>
        <v>0</v>
      </c>
      <c r="Q1055" s="80" t="e">
        <f>IF(ISBLANK(M1055),0,L1055/ROUND(M1055,4))</f>
        <v>#DIV/0!</v>
      </c>
      <c r="R1055" s="80" t="e">
        <f>IF(ISBLANK(M1055),0,Q1055*ROUND(N1055,2))</f>
        <v>#DIV/0!</v>
      </c>
      <c r="S1055" s="15" t="e">
        <f>ROUND(P1055,2)*Q1055</f>
        <v>#DIV/0!</v>
      </c>
      <c r="T1055" s="80" t="e">
        <f>Q1055*dagenperjaar1</f>
        <v>#DIV/0!</v>
      </c>
      <c r="U1055" s="16" t="e">
        <f>T1055*ROUND(P1055,2)</f>
        <v>#DIV/0!</v>
      </c>
    </row>
    <row r="1056" spans="1:21" x14ac:dyDescent="0.3">
      <c r="A1056" s="77" t="s">
        <v>1152</v>
      </c>
      <c r="B1056" s="78" t="s">
        <v>40</v>
      </c>
      <c r="C1056" s="78" t="s">
        <v>280</v>
      </c>
      <c r="D1056" s="78" t="s">
        <v>1273</v>
      </c>
      <c r="E1056" s="79" t="s">
        <v>1272</v>
      </c>
      <c r="F1056" s="78" t="s">
        <v>768</v>
      </c>
      <c r="G1056" s="78" t="s">
        <v>216</v>
      </c>
      <c r="H1056" s="78" t="s">
        <v>11</v>
      </c>
      <c r="I1056" s="78" t="s">
        <v>214</v>
      </c>
      <c r="J1056" s="79" t="s">
        <v>217</v>
      </c>
      <c r="K1056" s="80">
        <v>16</v>
      </c>
      <c r="L1056" s="80">
        <f>K1056*VLOOKUP(H1056,dagsoorttabel1,2,FALSE)</f>
        <v>12.549019607843137</v>
      </c>
      <c r="M1056" s="81">
        <f>prodnorm6</f>
        <v>0</v>
      </c>
      <c r="N1056" s="82">
        <f>dagwerk6</f>
        <v>0</v>
      </c>
      <c r="O1056" s="78" t="s">
        <v>103</v>
      </c>
      <c r="P1056" s="15">
        <f>uurtarief6</f>
        <v>0</v>
      </c>
      <c r="Q1056" s="80" t="e">
        <f>IF(ISBLANK(M1056),0,L1056/ROUND(M1056,4))</f>
        <v>#DIV/0!</v>
      </c>
      <c r="R1056" s="80" t="e">
        <f>IF(ISBLANK(M1056),0,Q1056*ROUND(N1056,2))</f>
        <v>#DIV/0!</v>
      </c>
      <c r="S1056" s="15" t="e">
        <f>ROUND(P1056,2)*Q1056</f>
        <v>#DIV/0!</v>
      </c>
      <c r="T1056" s="80" t="e">
        <f>Q1056*dagenperjaar1</f>
        <v>#DIV/0!</v>
      </c>
      <c r="U1056" s="16" t="e">
        <f>T1056*ROUND(P1056,2)</f>
        <v>#DIV/0!</v>
      </c>
    </row>
    <row r="1057" spans="1:21" x14ac:dyDescent="0.3">
      <c r="A1057" s="77" t="s">
        <v>1152</v>
      </c>
      <c r="B1057" s="78" t="s">
        <v>40</v>
      </c>
      <c r="C1057" s="78" t="s">
        <v>280</v>
      </c>
      <c r="D1057" s="78" t="s">
        <v>1274</v>
      </c>
      <c r="E1057" s="79" t="s">
        <v>1275</v>
      </c>
      <c r="F1057" s="78" t="s">
        <v>768</v>
      </c>
      <c r="G1057" s="78" t="s">
        <v>300</v>
      </c>
      <c r="H1057" s="78"/>
      <c r="I1057" s="78"/>
      <c r="J1057" s="78"/>
      <c r="K1057" s="80">
        <v>13</v>
      </c>
      <c r="L1057" s="80"/>
      <c r="M1057" s="81"/>
      <c r="N1057" s="82"/>
      <c r="O1057" s="78"/>
      <c r="P1057" s="15"/>
      <c r="Q1057" s="80"/>
      <c r="R1057" s="80"/>
      <c r="S1057" s="15"/>
      <c r="T1057" s="83"/>
      <c r="U1057" s="16"/>
    </row>
    <row r="1058" spans="1:21" x14ac:dyDescent="0.3">
      <c r="A1058" s="77" t="s">
        <v>1152</v>
      </c>
      <c r="B1058" s="78" t="s">
        <v>40</v>
      </c>
      <c r="C1058" s="78" t="s">
        <v>280</v>
      </c>
      <c r="D1058" s="78" t="s">
        <v>1276</v>
      </c>
      <c r="E1058" s="79" t="s">
        <v>1277</v>
      </c>
      <c r="F1058" s="78" t="s">
        <v>768</v>
      </c>
      <c r="G1058" s="78" t="s">
        <v>300</v>
      </c>
      <c r="H1058" s="78"/>
      <c r="I1058" s="78"/>
      <c r="J1058" s="78"/>
      <c r="K1058" s="80">
        <v>4</v>
      </c>
      <c r="L1058" s="80"/>
      <c r="M1058" s="81"/>
      <c r="N1058" s="82"/>
      <c r="O1058" s="78"/>
      <c r="P1058" s="15"/>
      <c r="Q1058" s="80"/>
      <c r="R1058" s="80"/>
      <c r="S1058" s="15"/>
      <c r="T1058" s="83"/>
      <c r="U1058" s="16"/>
    </row>
    <row r="1059" spans="1:21" x14ac:dyDescent="0.3">
      <c r="A1059" s="77" t="s">
        <v>1152</v>
      </c>
      <c r="B1059" s="78" t="s">
        <v>40</v>
      </c>
      <c r="C1059" s="78" t="s">
        <v>338</v>
      </c>
      <c r="D1059" s="78" t="s">
        <v>1278</v>
      </c>
      <c r="E1059" s="79" t="s">
        <v>456</v>
      </c>
      <c r="F1059" s="78" t="s">
        <v>1154</v>
      </c>
      <c r="G1059" s="78" t="s">
        <v>300</v>
      </c>
      <c r="H1059" s="78"/>
      <c r="I1059" s="78"/>
      <c r="J1059" s="78"/>
      <c r="K1059" s="80">
        <v>18</v>
      </c>
      <c r="L1059" s="80"/>
      <c r="M1059" s="81"/>
      <c r="N1059" s="82"/>
      <c r="O1059" s="78"/>
      <c r="P1059" s="15"/>
      <c r="Q1059" s="80"/>
      <c r="R1059" s="80"/>
      <c r="S1059" s="15"/>
      <c r="T1059" s="83"/>
      <c r="U1059" s="16"/>
    </row>
    <row r="1060" spans="1:21" x14ac:dyDescent="0.3">
      <c r="A1060" s="77" t="s">
        <v>1152</v>
      </c>
      <c r="B1060" s="78" t="s">
        <v>40</v>
      </c>
      <c r="C1060" s="78" t="s">
        <v>338</v>
      </c>
      <c r="D1060" s="78" t="s">
        <v>1279</v>
      </c>
      <c r="E1060" s="79" t="s">
        <v>456</v>
      </c>
      <c r="F1060" s="78" t="s">
        <v>1154</v>
      </c>
      <c r="G1060" s="78" t="s">
        <v>300</v>
      </c>
      <c r="H1060" s="78"/>
      <c r="I1060" s="78"/>
      <c r="J1060" s="78"/>
      <c r="K1060" s="80">
        <v>7</v>
      </c>
      <c r="L1060" s="80"/>
      <c r="M1060" s="81"/>
      <c r="N1060" s="82"/>
      <c r="O1060" s="78"/>
      <c r="P1060" s="15"/>
      <c r="Q1060" s="80"/>
      <c r="R1060" s="80"/>
      <c r="S1060" s="15"/>
      <c r="T1060" s="83"/>
      <c r="U1060" s="16"/>
    </row>
    <row r="1061" spans="1:21" x14ac:dyDescent="0.3">
      <c r="A1061" s="77" t="s">
        <v>1152</v>
      </c>
      <c r="B1061" s="78" t="s">
        <v>40</v>
      </c>
      <c r="C1061" s="78" t="s">
        <v>338</v>
      </c>
      <c r="D1061" s="78" t="s">
        <v>1280</v>
      </c>
      <c r="E1061" s="79" t="s">
        <v>1281</v>
      </c>
      <c r="F1061" s="78" t="s">
        <v>768</v>
      </c>
      <c r="G1061" s="78" t="s">
        <v>300</v>
      </c>
      <c r="H1061" s="78"/>
      <c r="I1061" s="78"/>
      <c r="J1061" s="78"/>
      <c r="K1061" s="80">
        <v>10</v>
      </c>
      <c r="L1061" s="80"/>
      <c r="M1061" s="81"/>
      <c r="N1061" s="82"/>
      <c r="O1061" s="78"/>
      <c r="P1061" s="15"/>
      <c r="Q1061" s="80"/>
      <c r="R1061" s="80"/>
      <c r="S1061" s="15"/>
      <c r="T1061" s="83"/>
      <c r="U1061" s="16"/>
    </row>
    <row r="1062" spans="1:21" x14ac:dyDescent="0.3">
      <c r="A1062" s="77" t="s">
        <v>1152</v>
      </c>
      <c r="B1062" s="78" t="s">
        <v>40</v>
      </c>
      <c r="C1062" s="78" t="s">
        <v>338</v>
      </c>
      <c r="D1062" s="78" t="s">
        <v>1280</v>
      </c>
      <c r="E1062" s="79" t="s">
        <v>456</v>
      </c>
      <c r="F1062" s="78" t="s">
        <v>1154</v>
      </c>
      <c r="G1062" s="78" t="s">
        <v>300</v>
      </c>
      <c r="H1062" s="78"/>
      <c r="I1062" s="78"/>
      <c r="J1062" s="78"/>
      <c r="K1062" s="80">
        <v>15</v>
      </c>
      <c r="L1062" s="80"/>
      <c r="M1062" s="81"/>
      <c r="N1062" s="82"/>
      <c r="O1062" s="78"/>
      <c r="P1062" s="15"/>
      <c r="Q1062" s="80"/>
      <c r="R1062" s="80"/>
      <c r="S1062" s="15"/>
      <c r="T1062" s="83"/>
      <c r="U1062" s="16"/>
    </row>
    <row r="1063" spans="1:21" x14ac:dyDescent="0.3">
      <c r="A1063" s="77" t="s">
        <v>1152</v>
      </c>
      <c r="B1063" s="78" t="s">
        <v>40</v>
      </c>
      <c r="C1063" s="78" t="s">
        <v>338</v>
      </c>
      <c r="D1063" s="78" t="s">
        <v>1282</v>
      </c>
      <c r="E1063" s="79" t="s">
        <v>456</v>
      </c>
      <c r="F1063" s="78" t="s">
        <v>1154</v>
      </c>
      <c r="G1063" s="78" t="s">
        <v>300</v>
      </c>
      <c r="H1063" s="78"/>
      <c r="I1063" s="78"/>
      <c r="J1063" s="78"/>
      <c r="K1063" s="80">
        <v>9</v>
      </c>
      <c r="L1063" s="80"/>
      <c r="M1063" s="81"/>
      <c r="N1063" s="82"/>
      <c r="O1063" s="78"/>
      <c r="P1063" s="15"/>
      <c r="Q1063" s="80"/>
      <c r="R1063" s="80"/>
      <c r="S1063" s="15"/>
      <c r="T1063" s="83"/>
      <c r="U1063" s="16"/>
    </row>
    <row r="1064" spans="1:21" x14ac:dyDescent="0.3">
      <c r="A1064" s="77" t="s">
        <v>1152</v>
      </c>
      <c r="B1064" s="78" t="s">
        <v>40</v>
      </c>
      <c r="C1064" s="78" t="s">
        <v>338</v>
      </c>
      <c r="D1064" s="78" t="s">
        <v>1283</v>
      </c>
      <c r="E1064" s="79" t="s">
        <v>456</v>
      </c>
      <c r="F1064" s="78" t="s">
        <v>1154</v>
      </c>
      <c r="G1064" s="78" t="s">
        <v>300</v>
      </c>
      <c r="H1064" s="78"/>
      <c r="I1064" s="78"/>
      <c r="J1064" s="78"/>
      <c r="K1064" s="80">
        <v>3</v>
      </c>
      <c r="L1064" s="80"/>
      <c r="M1064" s="81"/>
      <c r="N1064" s="82"/>
      <c r="O1064" s="78"/>
      <c r="P1064" s="15"/>
      <c r="Q1064" s="80"/>
      <c r="R1064" s="80"/>
      <c r="S1064" s="15"/>
      <c r="T1064" s="83"/>
      <c r="U1064" s="16"/>
    </row>
    <row r="1065" spans="1:21" x14ac:dyDescent="0.3">
      <c r="A1065" s="77" t="s">
        <v>1152</v>
      </c>
      <c r="B1065" s="78" t="s">
        <v>40</v>
      </c>
      <c r="C1065" s="78" t="s">
        <v>338</v>
      </c>
      <c r="D1065" s="78" t="s">
        <v>1284</v>
      </c>
      <c r="E1065" s="79" t="s">
        <v>456</v>
      </c>
      <c r="F1065" s="78" t="s">
        <v>1154</v>
      </c>
      <c r="G1065" s="78" t="s">
        <v>300</v>
      </c>
      <c r="H1065" s="78"/>
      <c r="I1065" s="78"/>
      <c r="J1065" s="78"/>
      <c r="K1065" s="80">
        <v>2</v>
      </c>
      <c r="L1065" s="80"/>
      <c r="M1065" s="81"/>
      <c r="N1065" s="82"/>
      <c r="O1065" s="78"/>
      <c r="P1065" s="15"/>
      <c r="Q1065" s="80"/>
      <c r="R1065" s="80"/>
      <c r="S1065" s="15"/>
      <c r="T1065" s="83"/>
      <c r="U1065" s="16"/>
    </row>
    <row r="1066" spans="1:21" ht="27" x14ac:dyDescent="0.3">
      <c r="A1066" s="77" t="s">
        <v>1152</v>
      </c>
      <c r="B1066" s="78" t="s">
        <v>40</v>
      </c>
      <c r="C1066" s="78" t="s">
        <v>338</v>
      </c>
      <c r="D1066" s="78" t="s">
        <v>1285</v>
      </c>
      <c r="E1066" s="79" t="s">
        <v>1286</v>
      </c>
      <c r="F1066" s="78" t="s">
        <v>768</v>
      </c>
      <c r="G1066" s="78" t="s">
        <v>256</v>
      </c>
      <c r="H1066" s="78" t="s">
        <v>11</v>
      </c>
      <c r="I1066" s="78" t="s">
        <v>214</v>
      </c>
      <c r="J1066" s="79" t="s">
        <v>257</v>
      </c>
      <c r="K1066" s="80">
        <v>177</v>
      </c>
      <c r="L1066" s="80">
        <f>K1066*VLOOKUP(H1066,dagsoorttabel1,2,FALSE)</f>
        <v>138.8235294117647</v>
      </c>
      <c r="M1066" s="81">
        <f>prodnorm33</f>
        <v>0</v>
      </c>
      <c r="N1066" s="82">
        <f>dagwerk33</f>
        <v>0</v>
      </c>
      <c r="O1066" s="78" t="s">
        <v>103</v>
      </c>
      <c r="P1066" s="15">
        <f>uurtarief33</f>
        <v>0</v>
      </c>
      <c r="Q1066" s="80" t="e">
        <f>IF(ISBLANK(M1066),0,L1066/ROUND(M1066,4))</f>
        <v>#DIV/0!</v>
      </c>
      <c r="R1066" s="80" t="e">
        <f>IF(ISBLANK(M1066),0,Q1066*ROUND(N1066,2))</f>
        <v>#DIV/0!</v>
      </c>
      <c r="S1066" s="15" t="e">
        <f>ROUND(P1066,2)*Q1066</f>
        <v>#DIV/0!</v>
      </c>
      <c r="T1066" s="80" t="e">
        <f>Q1066*dagenperjaar1</f>
        <v>#DIV/0!</v>
      </c>
      <c r="U1066" s="16" t="e">
        <f>T1066*ROUND(P1066,2)</f>
        <v>#DIV/0!</v>
      </c>
    </row>
    <row r="1067" spans="1:21" ht="27" x14ac:dyDescent="0.3">
      <c r="A1067" s="77" t="s">
        <v>1152</v>
      </c>
      <c r="B1067" s="78" t="s">
        <v>40</v>
      </c>
      <c r="C1067" s="78" t="s">
        <v>338</v>
      </c>
      <c r="D1067" s="78" t="s">
        <v>1287</v>
      </c>
      <c r="E1067" s="79" t="s">
        <v>1288</v>
      </c>
      <c r="F1067" s="78" t="s">
        <v>1168</v>
      </c>
      <c r="G1067" s="78" t="s">
        <v>256</v>
      </c>
      <c r="H1067" s="78" t="s">
        <v>11</v>
      </c>
      <c r="I1067" s="78" t="s">
        <v>214</v>
      </c>
      <c r="J1067" s="79" t="s">
        <v>257</v>
      </c>
      <c r="K1067" s="80">
        <v>79</v>
      </c>
      <c r="L1067" s="80">
        <f>K1067*VLOOKUP(H1067,dagsoorttabel1,2,FALSE)</f>
        <v>61.96078431372549</v>
      </c>
      <c r="M1067" s="81">
        <f>prodnorm33</f>
        <v>0</v>
      </c>
      <c r="N1067" s="82">
        <f>dagwerk33</f>
        <v>0</v>
      </c>
      <c r="O1067" s="78" t="s">
        <v>103</v>
      </c>
      <c r="P1067" s="15">
        <f>uurtarief33</f>
        <v>0</v>
      </c>
      <c r="Q1067" s="80" t="e">
        <f>IF(ISBLANK(M1067),0,L1067/ROUND(M1067,4))</f>
        <v>#DIV/0!</v>
      </c>
      <c r="R1067" s="80" t="e">
        <f>IF(ISBLANK(M1067),0,Q1067*ROUND(N1067,2))</f>
        <v>#DIV/0!</v>
      </c>
      <c r="S1067" s="15" t="e">
        <f>ROUND(P1067,2)*Q1067</f>
        <v>#DIV/0!</v>
      </c>
      <c r="T1067" s="80" t="e">
        <f>Q1067*dagenperjaar1</f>
        <v>#DIV/0!</v>
      </c>
      <c r="U1067" s="16" t="e">
        <f>T1067*ROUND(P1067,2)</f>
        <v>#DIV/0!</v>
      </c>
    </row>
    <row r="1068" spans="1:21" x14ac:dyDescent="0.3">
      <c r="A1068" s="77" t="s">
        <v>1152</v>
      </c>
      <c r="B1068" s="78" t="s">
        <v>40</v>
      </c>
      <c r="C1068" s="78" t="s">
        <v>338</v>
      </c>
      <c r="D1068" s="78" t="s">
        <v>1289</v>
      </c>
      <c r="E1068" s="79" t="s">
        <v>411</v>
      </c>
      <c r="F1068" s="78" t="s">
        <v>404</v>
      </c>
      <c r="G1068" s="78" t="s">
        <v>252</v>
      </c>
      <c r="H1068" s="78" t="s">
        <v>11</v>
      </c>
      <c r="I1068" s="78" t="s">
        <v>214</v>
      </c>
      <c r="J1068" s="79" t="s">
        <v>253</v>
      </c>
      <c r="K1068" s="80">
        <v>16</v>
      </c>
      <c r="L1068" s="80">
        <f>K1068*VLOOKUP(H1068,dagsoorttabel1,2,FALSE)</f>
        <v>12.549019607843137</v>
      </c>
      <c r="M1068" s="81">
        <f>prodnorm31</f>
        <v>0</v>
      </c>
      <c r="N1068" s="82">
        <f>dagwerk31</f>
        <v>0</v>
      </c>
      <c r="O1068" s="78" t="s">
        <v>103</v>
      </c>
      <c r="P1068" s="15">
        <f>uurtarief31</f>
        <v>0</v>
      </c>
      <c r="Q1068" s="80" t="e">
        <f>IF(ISBLANK(M1068),0,L1068/ROUND(M1068,4))</f>
        <v>#DIV/0!</v>
      </c>
      <c r="R1068" s="80" t="e">
        <f>IF(ISBLANK(M1068),0,Q1068*ROUND(N1068,2))</f>
        <v>#DIV/0!</v>
      </c>
      <c r="S1068" s="15" t="e">
        <f>ROUND(P1068,2)*Q1068</f>
        <v>#DIV/0!</v>
      </c>
      <c r="T1068" s="80" t="e">
        <f>Q1068*dagenperjaar1</f>
        <v>#DIV/0!</v>
      </c>
      <c r="U1068" s="16" t="e">
        <f>T1068*ROUND(P1068,2)</f>
        <v>#DIV/0!</v>
      </c>
    </row>
    <row r="1069" spans="1:21" x14ac:dyDescent="0.3">
      <c r="A1069" s="77" t="s">
        <v>1152</v>
      </c>
      <c r="B1069" s="78" t="s">
        <v>40</v>
      </c>
      <c r="C1069" s="78" t="s">
        <v>338</v>
      </c>
      <c r="D1069" s="78" t="s">
        <v>1290</v>
      </c>
      <c r="E1069" s="79" t="s">
        <v>1170</v>
      </c>
      <c r="F1069" s="78" t="s">
        <v>1171</v>
      </c>
      <c r="G1069" s="78" t="s">
        <v>300</v>
      </c>
      <c r="H1069" s="78"/>
      <c r="I1069" s="78"/>
      <c r="J1069" s="78"/>
      <c r="K1069" s="80">
        <v>4</v>
      </c>
      <c r="L1069" s="80"/>
      <c r="M1069" s="81"/>
      <c r="N1069" s="82"/>
      <c r="O1069" s="78"/>
      <c r="P1069" s="15"/>
      <c r="Q1069" s="80"/>
      <c r="R1069" s="80"/>
      <c r="S1069" s="15"/>
      <c r="T1069" s="83"/>
      <c r="U1069" s="16"/>
    </row>
    <row r="1070" spans="1:21" ht="27" x14ac:dyDescent="0.3">
      <c r="A1070" s="77" t="s">
        <v>1152</v>
      </c>
      <c r="B1070" s="78" t="s">
        <v>40</v>
      </c>
      <c r="C1070" s="78" t="s">
        <v>338</v>
      </c>
      <c r="D1070" s="78" t="s">
        <v>1291</v>
      </c>
      <c r="E1070" s="79" t="s">
        <v>1292</v>
      </c>
      <c r="F1070" s="78" t="s">
        <v>1168</v>
      </c>
      <c r="G1070" s="78" t="s">
        <v>256</v>
      </c>
      <c r="H1070" s="78" t="s">
        <v>11</v>
      </c>
      <c r="I1070" s="78" t="s">
        <v>214</v>
      </c>
      <c r="J1070" s="79" t="s">
        <v>257</v>
      </c>
      <c r="K1070" s="80">
        <v>59</v>
      </c>
      <c r="L1070" s="80">
        <f t="shared" ref="L1070:L1088" si="303">K1070*VLOOKUP(H1070,dagsoorttabel1,2,FALSE)</f>
        <v>46.274509803921568</v>
      </c>
      <c r="M1070" s="81">
        <f>prodnorm33</f>
        <v>0</v>
      </c>
      <c r="N1070" s="82">
        <f>dagwerk33</f>
        <v>0</v>
      </c>
      <c r="O1070" s="78" t="s">
        <v>103</v>
      </c>
      <c r="P1070" s="15">
        <f>uurtarief33</f>
        <v>0</v>
      </c>
      <c r="Q1070" s="80" t="e">
        <f t="shared" ref="Q1070:Q1088" si="304">IF(ISBLANK(M1070),0,L1070/ROUND(M1070,4))</f>
        <v>#DIV/0!</v>
      </c>
      <c r="R1070" s="80" t="e">
        <f t="shared" ref="R1070:R1088" si="305">IF(ISBLANK(M1070),0,Q1070*ROUND(N1070,2))</f>
        <v>#DIV/0!</v>
      </c>
      <c r="S1070" s="15" t="e">
        <f t="shared" ref="S1070:S1088" si="306">ROUND(P1070,2)*Q1070</f>
        <v>#DIV/0!</v>
      </c>
      <c r="T1070" s="80" t="e">
        <f t="shared" ref="T1070:T1088" si="307">Q1070*dagenperjaar1</f>
        <v>#DIV/0!</v>
      </c>
      <c r="U1070" s="16" t="e">
        <f t="shared" ref="U1070:U1088" si="308">T1070*ROUND(P1070,2)</f>
        <v>#DIV/0!</v>
      </c>
    </row>
    <row r="1071" spans="1:21" ht="27" x14ac:dyDescent="0.3">
      <c r="A1071" s="77" t="s">
        <v>1152</v>
      </c>
      <c r="B1071" s="78" t="s">
        <v>40</v>
      </c>
      <c r="C1071" s="78" t="s">
        <v>338</v>
      </c>
      <c r="D1071" s="78" t="s">
        <v>1293</v>
      </c>
      <c r="E1071" s="79" t="s">
        <v>1294</v>
      </c>
      <c r="F1071" s="78" t="s">
        <v>40</v>
      </c>
      <c r="G1071" s="78" t="s">
        <v>256</v>
      </c>
      <c r="H1071" s="78" t="s">
        <v>11</v>
      </c>
      <c r="I1071" s="78" t="s">
        <v>214</v>
      </c>
      <c r="J1071" s="79" t="s">
        <v>257</v>
      </c>
      <c r="K1071" s="80">
        <v>46</v>
      </c>
      <c r="L1071" s="80">
        <f t="shared" si="303"/>
        <v>36.078431372549019</v>
      </c>
      <c r="M1071" s="81">
        <f>prodnorm33</f>
        <v>0</v>
      </c>
      <c r="N1071" s="82">
        <f>dagwerk33</f>
        <v>0</v>
      </c>
      <c r="O1071" s="78" t="s">
        <v>103</v>
      </c>
      <c r="P1071" s="15">
        <f>uurtarief33</f>
        <v>0</v>
      </c>
      <c r="Q1071" s="80" t="e">
        <f t="shared" si="304"/>
        <v>#DIV/0!</v>
      </c>
      <c r="R1071" s="80" t="e">
        <f t="shared" si="305"/>
        <v>#DIV/0!</v>
      </c>
      <c r="S1071" s="15" t="e">
        <f t="shared" si="306"/>
        <v>#DIV/0!</v>
      </c>
      <c r="T1071" s="80" t="e">
        <f t="shared" si="307"/>
        <v>#DIV/0!</v>
      </c>
      <c r="U1071" s="16" t="e">
        <f t="shared" si="308"/>
        <v>#DIV/0!</v>
      </c>
    </row>
    <row r="1072" spans="1:21" x14ac:dyDescent="0.3">
      <c r="A1072" s="77" t="s">
        <v>1152</v>
      </c>
      <c r="B1072" s="78" t="s">
        <v>40</v>
      </c>
      <c r="C1072" s="78" t="s">
        <v>338</v>
      </c>
      <c r="D1072" s="78" t="s">
        <v>1295</v>
      </c>
      <c r="E1072" s="79" t="s">
        <v>1296</v>
      </c>
      <c r="F1072" s="78" t="s">
        <v>768</v>
      </c>
      <c r="G1072" s="78" t="s">
        <v>213</v>
      </c>
      <c r="H1072" s="78" t="s">
        <v>11</v>
      </c>
      <c r="I1072" s="78" t="s">
        <v>214</v>
      </c>
      <c r="J1072" s="79" t="s">
        <v>215</v>
      </c>
      <c r="K1072" s="80">
        <v>4</v>
      </c>
      <c r="L1072" s="80">
        <f t="shared" si="303"/>
        <v>3.1372549019607843</v>
      </c>
      <c r="M1072" s="81">
        <f t="shared" ref="M1072:M1077" si="309">prodnorm5</f>
        <v>0</v>
      </c>
      <c r="N1072" s="82">
        <f t="shared" ref="N1072:N1077" si="310">dagwerk5</f>
        <v>0</v>
      </c>
      <c r="O1072" s="78" t="s">
        <v>103</v>
      </c>
      <c r="P1072" s="15">
        <f t="shared" ref="P1072:P1077" si="311">uurtarief5</f>
        <v>0</v>
      </c>
      <c r="Q1072" s="80" t="e">
        <f t="shared" si="304"/>
        <v>#DIV/0!</v>
      </c>
      <c r="R1072" s="80" t="e">
        <f t="shared" si="305"/>
        <v>#DIV/0!</v>
      </c>
      <c r="S1072" s="15" t="e">
        <f t="shared" si="306"/>
        <v>#DIV/0!</v>
      </c>
      <c r="T1072" s="80" t="e">
        <f t="shared" si="307"/>
        <v>#DIV/0!</v>
      </c>
      <c r="U1072" s="16" t="e">
        <f t="shared" si="308"/>
        <v>#DIV/0!</v>
      </c>
    </row>
    <row r="1073" spans="1:21" x14ac:dyDescent="0.3">
      <c r="A1073" s="77" t="s">
        <v>1152</v>
      </c>
      <c r="B1073" s="78" t="s">
        <v>40</v>
      </c>
      <c r="C1073" s="78" t="s">
        <v>338</v>
      </c>
      <c r="D1073" s="78" t="s">
        <v>1297</v>
      </c>
      <c r="E1073" s="79" t="s">
        <v>1296</v>
      </c>
      <c r="F1073" s="78" t="s">
        <v>768</v>
      </c>
      <c r="G1073" s="78" t="s">
        <v>213</v>
      </c>
      <c r="H1073" s="78" t="s">
        <v>11</v>
      </c>
      <c r="I1073" s="78" t="s">
        <v>214</v>
      </c>
      <c r="J1073" s="79" t="s">
        <v>215</v>
      </c>
      <c r="K1073" s="80">
        <v>4</v>
      </c>
      <c r="L1073" s="80">
        <f t="shared" si="303"/>
        <v>3.1372549019607843</v>
      </c>
      <c r="M1073" s="81">
        <f t="shared" si="309"/>
        <v>0</v>
      </c>
      <c r="N1073" s="82">
        <f t="shared" si="310"/>
        <v>0</v>
      </c>
      <c r="O1073" s="78" t="s">
        <v>103</v>
      </c>
      <c r="P1073" s="15">
        <f t="shared" si="311"/>
        <v>0</v>
      </c>
      <c r="Q1073" s="80" t="e">
        <f t="shared" si="304"/>
        <v>#DIV/0!</v>
      </c>
      <c r="R1073" s="80" t="e">
        <f t="shared" si="305"/>
        <v>#DIV/0!</v>
      </c>
      <c r="S1073" s="15" t="e">
        <f t="shared" si="306"/>
        <v>#DIV/0!</v>
      </c>
      <c r="T1073" s="80" t="e">
        <f t="shared" si="307"/>
        <v>#DIV/0!</v>
      </c>
      <c r="U1073" s="16" t="e">
        <f t="shared" si="308"/>
        <v>#DIV/0!</v>
      </c>
    </row>
    <row r="1074" spans="1:21" x14ac:dyDescent="0.3">
      <c r="A1074" s="77" t="s">
        <v>1152</v>
      </c>
      <c r="B1074" s="78" t="s">
        <v>40</v>
      </c>
      <c r="C1074" s="78" t="s">
        <v>338</v>
      </c>
      <c r="D1074" s="78" t="s">
        <v>1298</v>
      </c>
      <c r="E1074" s="79" t="s">
        <v>1296</v>
      </c>
      <c r="F1074" s="78" t="s">
        <v>768</v>
      </c>
      <c r="G1074" s="78" t="s">
        <v>213</v>
      </c>
      <c r="H1074" s="78" t="s">
        <v>11</v>
      </c>
      <c r="I1074" s="78" t="s">
        <v>214</v>
      </c>
      <c r="J1074" s="79" t="s">
        <v>215</v>
      </c>
      <c r="K1074" s="80">
        <v>3</v>
      </c>
      <c r="L1074" s="80">
        <f t="shared" si="303"/>
        <v>2.3529411764705883</v>
      </c>
      <c r="M1074" s="81">
        <f t="shared" si="309"/>
        <v>0</v>
      </c>
      <c r="N1074" s="82">
        <f t="shared" si="310"/>
        <v>0</v>
      </c>
      <c r="O1074" s="78" t="s">
        <v>103</v>
      </c>
      <c r="P1074" s="15">
        <f t="shared" si="311"/>
        <v>0</v>
      </c>
      <c r="Q1074" s="80" t="e">
        <f t="shared" si="304"/>
        <v>#DIV/0!</v>
      </c>
      <c r="R1074" s="80" t="e">
        <f t="shared" si="305"/>
        <v>#DIV/0!</v>
      </c>
      <c r="S1074" s="15" t="e">
        <f t="shared" si="306"/>
        <v>#DIV/0!</v>
      </c>
      <c r="T1074" s="80" t="e">
        <f t="shared" si="307"/>
        <v>#DIV/0!</v>
      </c>
      <c r="U1074" s="16" t="e">
        <f t="shared" si="308"/>
        <v>#DIV/0!</v>
      </c>
    </row>
    <row r="1075" spans="1:21" x14ac:dyDescent="0.3">
      <c r="A1075" s="77" t="s">
        <v>1152</v>
      </c>
      <c r="B1075" s="78" t="s">
        <v>40</v>
      </c>
      <c r="C1075" s="78" t="s">
        <v>338</v>
      </c>
      <c r="D1075" s="78" t="s">
        <v>1299</v>
      </c>
      <c r="E1075" s="79" t="s">
        <v>1296</v>
      </c>
      <c r="F1075" s="78" t="s">
        <v>768</v>
      </c>
      <c r="G1075" s="78" t="s">
        <v>213</v>
      </c>
      <c r="H1075" s="78" t="s">
        <v>11</v>
      </c>
      <c r="I1075" s="78" t="s">
        <v>214</v>
      </c>
      <c r="J1075" s="79" t="s">
        <v>215</v>
      </c>
      <c r="K1075" s="80">
        <v>14</v>
      </c>
      <c r="L1075" s="80">
        <f t="shared" si="303"/>
        <v>10.980392156862745</v>
      </c>
      <c r="M1075" s="81">
        <f t="shared" si="309"/>
        <v>0</v>
      </c>
      <c r="N1075" s="82">
        <f t="shared" si="310"/>
        <v>0</v>
      </c>
      <c r="O1075" s="78" t="s">
        <v>103</v>
      </c>
      <c r="P1075" s="15">
        <f t="shared" si="311"/>
        <v>0</v>
      </c>
      <c r="Q1075" s="80" t="e">
        <f t="shared" si="304"/>
        <v>#DIV/0!</v>
      </c>
      <c r="R1075" s="80" t="e">
        <f t="shared" si="305"/>
        <v>#DIV/0!</v>
      </c>
      <c r="S1075" s="15" t="e">
        <f t="shared" si="306"/>
        <v>#DIV/0!</v>
      </c>
      <c r="T1075" s="80" t="e">
        <f t="shared" si="307"/>
        <v>#DIV/0!</v>
      </c>
      <c r="U1075" s="16" t="e">
        <f t="shared" si="308"/>
        <v>#DIV/0!</v>
      </c>
    </row>
    <row r="1076" spans="1:21" x14ac:dyDescent="0.3">
      <c r="A1076" s="77" t="s">
        <v>1152</v>
      </c>
      <c r="B1076" s="78" t="s">
        <v>40</v>
      </c>
      <c r="C1076" s="78" t="s">
        <v>338</v>
      </c>
      <c r="D1076" s="78" t="s">
        <v>1300</v>
      </c>
      <c r="E1076" s="79" t="s">
        <v>1296</v>
      </c>
      <c r="F1076" s="78" t="s">
        <v>768</v>
      </c>
      <c r="G1076" s="78" t="s">
        <v>213</v>
      </c>
      <c r="H1076" s="78" t="s">
        <v>11</v>
      </c>
      <c r="I1076" s="78" t="s">
        <v>214</v>
      </c>
      <c r="J1076" s="79" t="s">
        <v>215</v>
      </c>
      <c r="K1076" s="80">
        <v>2</v>
      </c>
      <c r="L1076" s="80">
        <f t="shared" si="303"/>
        <v>1.5686274509803921</v>
      </c>
      <c r="M1076" s="81">
        <f t="shared" si="309"/>
        <v>0</v>
      </c>
      <c r="N1076" s="82">
        <f t="shared" si="310"/>
        <v>0</v>
      </c>
      <c r="O1076" s="78" t="s">
        <v>103</v>
      </c>
      <c r="P1076" s="15">
        <f t="shared" si="311"/>
        <v>0</v>
      </c>
      <c r="Q1076" s="80" t="e">
        <f t="shared" si="304"/>
        <v>#DIV/0!</v>
      </c>
      <c r="R1076" s="80" t="e">
        <f t="shared" si="305"/>
        <v>#DIV/0!</v>
      </c>
      <c r="S1076" s="15" t="e">
        <f t="shared" si="306"/>
        <v>#DIV/0!</v>
      </c>
      <c r="T1076" s="80" t="e">
        <f t="shared" si="307"/>
        <v>#DIV/0!</v>
      </c>
      <c r="U1076" s="16" t="e">
        <f t="shared" si="308"/>
        <v>#DIV/0!</v>
      </c>
    </row>
    <row r="1077" spans="1:21" x14ac:dyDescent="0.3">
      <c r="A1077" s="77" t="s">
        <v>1152</v>
      </c>
      <c r="B1077" s="78" t="s">
        <v>40</v>
      </c>
      <c r="C1077" s="78" t="s">
        <v>338</v>
      </c>
      <c r="D1077" s="78" t="s">
        <v>1301</v>
      </c>
      <c r="E1077" s="79" t="s">
        <v>1302</v>
      </c>
      <c r="F1077" s="78" t="s">
        <v>768</v>
      </c>
      <c r="G1077" s="78" t="s">
        <v>213</v>
      </c>
      <c r="H1077" s="78" t="s">
        <v>11</v>
      </c>
      <c r="I1077" s="78" t="s">
        <v>214</v>
      </c>
      <c r="J1077" s="79" t="s">
        <v>215</v>
      </c>
      <c r="K1077" s="80">
        <v>180</v>
      </c>
      <c r="L1077" s="80">
        <f t="shared" si="303"/>
        <v>141.1764705882353</v>
      </c>
      <c r="M1077" s="81">
        <f t="shared" si="309"/>
        <v>0</v>
      </c>
      <c r="N1077" s="82">
        <f t="shared" si="310"/>
        <v>0</v>
      </c>
      <c r="O1077" s="78" t="s">
        <v>103</v>
      </c>
      <c r="P1077" s="15">
        <f t="shared" si="311"/>
        <v>0</v>
      </c>
      <c r="Q1077" s="80" t="e">
        <f t="shared" si="304"/>
        <v>#DIV/0!</v>
      </c>
      <c r="R1077" s="80" t="e">
        <f t="shared" si="305"/>
        <v>#DIV/0!</v>
      </c>
      <c r="S1077" s="15" t="e">
        <f t="shared" si="306"/>
        <v>#DIV/0!</v>
      </c>
      <c r="T1077" s="80" t="e">
        <f t="shared" si="307"/>
        <v>#DIV/0!</v>
      </c>
      <c r="U1077" s="16" t="e">
        <f t="shared" si="308"/>
        <v>#DIV/0!</v>
      </c>
    </row>
    <row r="1078" spans="1:21" x14ac:dyDescent="0.3">
      <c r="A1078" s="77" t="s">
        <v>1152</v>
      </c>
      <c r="B1078" s="78" t="s">
        <v>40</v>
      </c>
      <c r="C1078" s="78" t="s">
        <v>338</v>
      </c>
      <c r="D1078" s="78" t="s">
        <v>1303</v>
      </c>
      <c r="E1078" s="79" t="s">
        <v>1304</v>
      </c>
      <c r="F1078" s="78" t="s">
        <v>768</v>
      </c>
      <c r="G1078" s="78" t="s">
        <v>216</v>
      </c>
      <c r="H1078" s="78" t="s">
        <v>11</v>
      </c>
      <c r="I1078" s="78" t="s">
        <v>214</v>
      </c>
      <c r="J1078" s="79" t="s">
        <v>217</v>
      </c>
      <c r="K1078" s="80">
        <v>18</v>
      </c>
      <c r="L1078" s="80">
        <f t="shared" si="303"/>
        <v>14.117647058823529</v>
      </c>
      <c r="M1078" s="81">
        <f>prodnorm6</f>
        <v>0</v>
      </c>
      <c r="N1078" s="82">
        <f>dagwerk6</f>
        <v>0</v>
      </c>
      <c r="O1078" s="78" t="s">
        <v>103</v>
      </c>
      <c r="P1078" s="15">
        <f>uurtarief6</f>
        <v>0</v>
      </c>
      <c r="Q1078" s="80" t="e">
        <f t="shared" si="304"/>
        <v>#DIV/0!</v>
      </c>
      <c r="R1078" s="80" t="e">
        <f t="shared" si="305"/>
        <v>#DIV/0!</v>
      </c>
      <c r="S1078" s="15" t="e">
        <f t="shared" si="306"/>
        <v>#DIV/0!</v>
      </c>
      <c r="T1078" s="80" t="e">
        <f t="shared" si="307"/>
        <v>#DIV/0!</v>
      </c>
      <c r="U1078" s="16" t="e">
        <f t="shared" si="308"/>
        <v>#DIV/0!</v>
      </c>
    </row>
    <row r="1079" spans="1:21" x14ac:dyDescent="0.3">
      <c r="A1079" s="77" t="s">
        <v>1152</v>
      </c>
      <c r="B1079" s="78" t="s">
        <v>40</v>
      </c>
      <c r="C1079" s="78" t="s">
        <v>338</v>
      </c>
      <c r="D1079" s="78" t="s">
        <v>1305</v>
      </c>
      <c r="E1079" s="79" t="s">
        <v>1306</v>
      </c>
      <c r="F1079" s="78" t="s">
        <v>768</v>
      </c>
      <c r="G1079" s="78" t="s">
        <v>216</v>
      </c>
      <c r="H1079" s="78" t="s">
        <v>11</v>
      </c>
      <c r="I1079" s="78" t="s">
        <v>214</v>
      </c>
      <c r="J1079" s="79" t="s">
        <v>217</v>
      </c>
      <c r="K1079" s="80">
        <v>42</v>
      </c>
      <c r="L1079" s="80">
        <f t="shared" si="303"/>
        <v>32.941176470588232</v>
      </c>
      <c r="M1079" s="81">
        <f>prodnorm6</f>
        <v>0</v>
      </c>
      <c r="N1079" s="82">
        <f>dagwerk6</f>
        <v>0</v>
      </c>
      <c r="O1079" s="78" t="s">
        <v>103</v>
      </c>
      <c r="P1079" s="15">
        <f>uurtarief6</f>
        <v>0</v>
      </c>
      <c r="Q1079" s="80" t="e">
        <f t="shared" si="304"/>
        <v>#DIV/0!</v>
      </c>
      <c r="R1079" s="80" t="e">
        <f t="shared" si="305"/>
        <v>#DIV/0!</v>
      </c>
      <c r="S1079" s="15" t="e">
        <f t="shared" si="306"/>
        <v>#DIV/0!</v>
      </c>
      <c r="T1079" s="80" t="e">
        <f t="shared" si="307"/>
        <v>#DIV/0!</v>
      </c>
      <c r="U1079" s="16" t="e">
        <f t="shared" si="308"/>
        <v>#DIV/0!</v>
      </c>
    </row>
    <row r="1080" spans="1:21" x14ac:dyDescent="0.3">
      <c r="A1080" s="77" t="s">
        <v>1152</v>
      </c>
      <c r="B1080" s="78" t="s">
        <v>40</v>
      </c>
      <c r="C1080" s="78" t="s">
        <v>338</v>
      </c>
      <c r="D1080" s="78" t="s">
        <v>1307</v>
      </c>
      <c r="E1080" s="79" t="s">
        <v>318</v>
      </c>
      <c r="F1080" s="78" t="s">
        <v>768</v>
      </c>
      <c r="G1080" s="78" t="s">
        <v>242</v>
      </c>
      <c r="H1080" s="78" t="s">
        <v>11</v>
      </c>
      <c r="I1080" s="78" t="s">
        <v>214</v>
      </c>
      <c r="J1080" s="79" t="s">
        <v>243</v>
      </c>
      <c r="K1080" s="80">
        <v>4</v>
      </c>
      <c r="L1080" s="80">
        <f t="shared" si="303"/>
        <v>3.1372549019607843</v>
      </c>
      <c r="M1080" s="81">
        <f>prodnorm26</f>
        <v>0</v>
      </c>
      <c r="N1080" s="82">
        <f>dagwerk26</f>
        <v>0</v>
      </c>
      <c r="O1080" s="78" t="s">
        <v>103</v>
      </c>
      <c r="P1080" s="15">
        <f>uurtarief26</f>
        <v>0</v>
      </c>
      <c r="Q1080" s="80" t="e">
        <f t="shared" si="304"/>
        <v>#DIV/0!</v>
      </c>
      <c r="R1080" s="80" t="e">
        <f t="shared" si="305"/>
        <v>#DIV/0!</v>
      </c>
      <c r="S1080" s="15" t="e">
        <f t="shared" si="306"/>
        <v>#DIV/0!</v>
      </c>
      <c r="T1080" s="80" t="e">
        <f t="shared" si="307"/>
        <v>#DIV/0!</v>
      </c>
      <c r="U1080" s="16" t="e">
        <f t="shared" si="308"/>
        <v>#DIV/0!</v>
      </c>
    </row>
    <row r="1081" spans="1:21" ht="27" x14ac:dyDescent="0.3">
      <c r="A1081" s="77" t="s">
        <v>1152</v>
      </c>
      <c r="B1081" s="78" t="s">
        <v>40</v>
      </c>
      <c r="C1081" s="78" t="s">
        <v>338</v>
      </c>
      <c r="D1081" s="78" t="s">
        <v>1308</v>
      </c>
      <c r="E1081" s="79" t="s">
        <v>1239</v>
      </c>
      <c r="F1081" s="78" t="s">
        <v>768</v>
      </c>
      <c r="G1081" s="78" t="s">
        <v>256</v>
      </c>
      <c r="H1081" s="78" t="s">
        <v>11</v>
      </c>
      <c r="I1081" s="78" t="s">
        <v>214</v>
      </c>
      <c r="J1081" s="79" t="s">
        <v>257</v>
      </c>
      <c r="K1081" s="80">
        <v>2</v>
      </c>
      <c r="L1081" s="80">
        <f t="shared" si="303"/>
        <v>1.5686274509803921</v>
      </c>
      <c r="M1081" s="81">
        <f>prodnorm33</f>
        <v>0</v>
      </c>
      <c r="N1081" s="82">
        <f>dagwerk33</f>
        <v>0</v>
      </c>
      <c r="O1081" s="78" t="s">
        <v>103</v>
      </c>
      <c r="P1081" s="15">
        <f>uurtarief33</f>
        <v>0</v>
      </c>
      <c r="Q1081" s="80" t="e">
        <f t="shared" si="304"/>
        <v>#DIV/0!</v>
      </c>
      <c r="R1081" s="80" t="e">
        <f t="shared" si="305"/>
        <v>#DIV/0!</v>
      </c>
      <c r="S1081" s="15" t="e">
        <f t="shared" si="306"/>
        <v>#DIV/0!</v>
      </c>
      <c r="T1081" s="80" t="e">
        <f t="shared" si="307"/>
        <v>#DIV/0!</v>
      </c>
      <c r="U1081" s="16" t="e">
        <f t="shared" si="308"/>
        <v>#DIV/0!</v>
      </c>
    </row>
    <row r="1082" spans="1:21" x14ac:dyDescent="0.3">
      <c r="A1082" s="77" t="s">
        <v>1152</v>
      </c>
      <c r="B1082" s="78" t="s">
        <v>40</v>
      </c>
      <c r="C1082" s="78" t="s">
        <v>338</v>
      </c>
      <c r="D1082" s="78" t="s">
        <v>1309</v>
      </c>
      <c r="E1082" s="79" t="s">
        <v>1191</v>
      </c>
      <c r="F1082" s="78" t="s">
        <v>591</v>
      </c>
      <c r="G1082" s="78" t="s">
        <v>250</v>
      </c>
      <c r="H1082" s="78" t="s">
        <v>11</v>
      </c>
      <c r="I1082" s="78" t="s">
        <v>214</v>
      </c>
      <c r="J1082" s="79" t="s">
        <v>251</v>
      </c>
      <c r="K1082" s="80">
        <v>8</v>
      </c>
      <c r="L1082" s="80">
        <f t="shared" si="303"/>
        <v>6.2745098039215685</v>
      </c>
      <c r="M1082" s="81">
        <f>prodnorm30</f>
        <v>0</v>
      </c>
      <c r="N1082" s="82">
        <f>dagwerk30</f>
        <v>0</v>
      </c>
      <c r="O1082" s="78" t="s">
        <v>103</v>
      </c>
      <c r="P1082" s="15">
        <f>uurtarief30</f>
        <v>0</v>
      </c>
      <c r="Q1082" s="80" t="e">
        <f t="shared" si="304"/>
        <v>#DIV/0!</v>
      </c>
      <c r="R1082" s="80" t="e">
        <f t="shared" si="305"/>
        <v>#DIV/0!</v>
      </c>
      <c r="S1082" s="15" t="e">
        <f t="shared" si="306"/>
        <v>#DIV/0!</v>
      </c>
      <c r="T1082" s="80" t="e">
        <f t="shared" si="307"/>
        <v>#DIV/0!</v>
      </c>
      <c r="U1082" s="16" t="e">
        <f t="shared" si="308"/>
        <v>#DIV/0!</v>
      </c>
    </row>
    <row r="1083" spans="1:21" x14ac:dyDescent="0.3">
      <c r="A1083" s="77" t="s">
        <v>1152</v>
      </c>
      <c r="B1083" s="78" t="s">
        <v>40</v>
      </c>
      <c r="C1083" s="78" t="s">
        <v>338</v>
      </c>
      <c r="D1083" s="78" t="s">
        <v>1310</v>
      </c>
      <c r="E1083" s="79" t="s">
        <v>1311</v>
      </c>
      <c r="F1083" s="78" t="s">
        <v>768</v>
      </c>
      <c r="G1083" s="78" t="s">
        <v>216</v>
      </c>
      <c r="H1083" s="78" t="s">
        <v>11</v>
      </c>
      <c r="I1083" s="78" t="s">
        <v>214</v>
      </c>
      <c r="J1083" s="79" t="s">
        <v>217</v>
      </c>
      <c r="K1083" s="80">
        <v>11</v>
      </c>
      <c r="L1083" s="80">
        <f t="shared" si="303"/>
        <v>8.6274509803921564</v>
      </c>
      <c r="M1083" s="81">
        <f t="shared" ref="M1083:M1088" si="312">prodnorm6</f>
        <v>0</v>
      </c>
      <c r="N1083" s="82">
        <f t="shared" ref="N1083:N1088" si="313">dagwerk6</f>
        <v>0</v>
      </c>
      <c r="O1083" s="78" t="s">
        <v>103</v>
      </c>
      <c r="P1083" s="15">
        <f t="shared" ref="P1083:P1088" si="314">uurtarief6</f>
        <v>0</v>
      </c>
      <c r="Q1083" s="80" t="e">
        <f t="shared" si="304"/>
        <v>#DIV/0!</v>
      </c>
      <c r="R1083" s="80" t="e">
        <f t="shared" si="305"/>
        <v>#DIV/0!</v>
      </c>
      <c r="S1083" s="15" t="e">
        <f t="shared" si="306"/>
        <v>#DIV/0!</v>
      </c>
      <c r="T1083" s="80" t="e">
        <f t="shared" si="307"/>
        <v>#DIV/0!</v>
      </c>
      <c r="U1083" s="16" t="e">
        <f t="shared" si="308"/>
        <v>#DIV/0!</v>
      </c>
    </row>
    <row r="1084" spans="1:21" ht="27" x14ac:dyDescent="0.3">
      <c r="A1084" s="77" t="s">
        <v>1152</v>
      </c>
      <c r="B1084" s="78" t="s">
        <v>40</v>
      </c>
      <c r="C1084" s="78" t="s">
        <v>338</v>
      </c>
      <c r="D1084" s="78" t="s">
        <v>1312</v>
      </c>
      <c r="E1084" s="79" t="s">
        <v>1313</v>
      </c>
      <c r="F1084" s="78" t="s">
        <v>768</v>
      </c>
      <c r="G1084" s="78" t="s">
        <v>216</v>
      </c>
      <c r="H1084" s="78" t="s">
        <v>11</v>
      </c>
      <c r="I1084" s="78" t="s">
        <v>214</v>
      </c>
      <c r="J1084" s="79" t="s">
        <v>217</v>
      </c>
      <c r="K1084" s="80">
        <v>16</v>
      </c>
      <c r="L1084" s="80">
        <f t="shared" si="303"/>
        <v>12.549019607843137</v>
      </c>
      <c r="M1084" s="81">
        <f t="shared" si="312"/>
        <v>0</v>
      </c>
      <c r="N1084" s="82">
        <f t="shared" si="313"/>
        <v>0</v>
      </c>
      <c r="O1084" s="78" t="s">
        <v>103</v>
      </c>
      <c r="P1084" s="15">
        <f t="shared" si="314"/>
        <v>0</v>
      </c>
      <c r="Q1084" s="80" t="e">
        <f t="shared" si="304"/>
        <v>#DIV/0!</v>
      </c>
      <c r="R1084" s="80" t="e">
        <f t="shared" si="305"/>
        <v>#DIV/0!</v>
      </c>
      <c r="S1084" s="15" t="e">
        <f t="shared" si="306"/>
        <v>#DIV/0!</v>
      </c>
      <c r="T1084" s="80" t="e">
        <f t="shared" si="307"/>
        <v>#DIV/0!</v>
      </c>
      <c r="U1084" s="16" t="e">
        <f t="shared" si="308"/>
        <v>#DIV/0!</v>
      </c>
    </row>
    <row r="1085" spans="1:21" ht="27" x14ac:dyDescent="0.3">
      <c r="A1085" s="77" t="s">
        <v>1152</v>
      </c>
      <c r="B1085" s="78" t="s">
        <v>40</v>
      </c>
      <c r="C1085" s="78" t="s">
        <v>338</v>
      </c>
      <c r="D1085" s="78" t="s">
        <v>1314</v>
      </c>
      <c r="E1085" s="79" t="s">
        <v>1315</v>
      </c>
      <c r="F1085" s="78" t="s">
        <v>768</v>
      </c>
      <c r="G1085" s="78" t="s">
        <v>216</v>
      </c>
      <c r="H1085" s="78" t="s">
        <v>11</v>
      </c>
      <c r="I1085" s="78" t="s">
        <v>214</v>
      </c>
      <c r="J1085" s="79" t="s">
        <v>217</v>
      </c>
      <c r="K1085" s="80">
        <v>16</v>
      </c>
      <c r="L1085" s="80">
        <f t="shared" si="303"/>
        <v>12.549019607843137</v>
      </c>
      <c r="M1085" s="81">
        <f t="shared" si="312"/>
        <v>0</v>
      </c>
      <c r="N1085" s="82">
        <f t="shared" si="313"/>
        <v>0</v>
      </c>
      <c r="O1085" s="78" t="s">
        <v>103</v>
      </c>
      <c r="P1085" s="15">
        <f t="shared" si="314"/>
        <v>0</v>
      </c>
      <c r="Q1085" s="80" t="e">
        <f t="shared" si="304"/>
        <v>#DIV/0!</v>
      </c>
      <c r="R1085" s="80" t="e">
        <f t="shared" si="305"/>
        <v>#DIV/0!</v>
      </c>
      <c r="S1085" s="15" t="e">
        <f t="shared" si="306"/>
        <v>#DIV/0!</v>
      </c>
      <c r="T1085" s="80" t="e">
        <f t="shared" si="307"/>
        <v>#DIV/0!</v>
      </c>
      <c r="U1085" s="16" t="e">
        <f t="shared" si="308"/>
        <v>#DIV/0!</v>
      </c>
    </row>
    <row r="1086" spans="1:21" x14ac:dyDescent="0.3">
      <c r="A1086" s="77" t="s">
        <v>1152</v>
      </c>
      <c r="B1086" s="78" t="s">
        <v>40</v>
      </c>
      <c r="C1086" s="78" t="s">
        <v>338</v>
      </c>
      <c r="D1086" s="78" t="s">
        <v>1316</v>
      </c>
      <c r="E1086" s="79" t="s">
        <v>1208</v>
      </c>
      <c r="F1086" s="78" t="s">
        <v>768</v>
      </c>
      <c r="G1086" s="78" t="s">
        <v>216</v>
      </c>
      <c r="H1086" s="78" t="s">
        <v>11</v>
      </c>
      <c r="I1086" s="78" t="s">
        <v>214</v>
      </c>
      <c r="J1086" s="79" t="s">
        <v>217</v>
      </c>
      <c r="K1086" s="80">
        <v>18</v>
      </c>
      <c r="L1086" s="80">
        <f t="shared" si="303"/>
        <v>14.117647058823529</v>
      </c>
      <c r="M1086" s="81">
        <f t="shared" si="312"/>
        <v>0</v>
      </c>
      <c r="N1086" s="82">
        <f t="shared" si="313"/>
        <v>0</v>
      </c>
      <c r="O1086" s="78" t="s">
        <v>103</v>
      </c>
      <c r="P1086" s="15">
        <f t="shared" si="314"/>
        <v>0</v>
      </c>
      <c r="Q1086" s="80" t="e">
        <f t="shared" si="304"/>
        <v>#DIV/0!</v>
      </c>
      <c r="R1086" s="80" t="e">
        <f t="shared" si="305"/>
        <v>#DIV/0!</v>
      </c>
      <c r="S1086" s="15" t="e">
        <f t="shared" si="306"/>
        <v>#DIV/0!</v>
      </c>
      <c r="T1086" s="80" t="e">
        <f t="shared" si="307"/>
        <v>#DIV/0!</v>
      </c>
      <c r="U1086" s="16" t="e">
        <f t="shared" si="308"/>
        <v>#DIV/0!</v>
      </c>
    </row>
    <row r="1087" spans="1:21" ht="27" x14ac:dyDescent="0.3">
      <c r="A1087" s="77" t="s">
        <v>1152</v>
      </c>
      <c r="B1087" s="78" t="s">
        <v>40</v>
      </c>
      <c r="C1087" s="78" t="s">
        <v>338</v>
      </c>
      <c r="D1087" s="78" t="s">
        <v>1317</v>
      </c>
      <c r="E1087" s="79" t="s">
        <v>1318</v>
      </c>
      <c r="F1087" s="78" t="s">
        <v>768</v>
      </c>
      <c r="G1087" s="78" t="s">
        <v>216</v>
      </c>
      <c r="H1087" s="78" t="s">
        <v>11</v>
      </c>
      <c r="I1087" s="78" t="s">
        <v>214</v>
      </c>
      <c r="J1087" s="79" t="s">
        <v>217</v>
      </c>
      <c r="K1087" s="80">
        <v>15</v>
      </c>
      <c r="L1087" s="80">
        <f t="shared" si="303"/>
        <v>11.76470588235294</v>
      </c>
      <c r="M1087" s="81">
        <f t="shared" si="312"/>
        <v>0</v>
      </c>
      <c r="N1087" s="82">
        <f t="shared" si="313"/>
        <v>0</v>
      </c>
      <c r="O1087" s="78" t="s">
        <v>103</v>
      </c>
      <c r="P1087" s="15">
        <f t="shared" si="314"/>
        <v>0</v>
      </c>
      <c r="Q1087" s="80" t="e">
        <f t="shared" si="304"/>
        <v>#DIV/0!</v>
      </c>
      <c r="R1087" s="80" t="e">
        <f t="shared" si="305"/>
        <v>#DIV/0!</v>
      </c>
      <c r="S1087" s="15" t="e">
        <f t="shared" si="306"/>
        <v>#DIV/0!</v>
      </c>
      <c r="T1087" s="80" t="e">
        <f t="shared" si="307"/>
        <v>#DIV/0!</v>
      </c>
      <c r="U1087" s="16" t="e">
        <f t="shared" si="308"/>
        <v>#DIV/0!</v>
      </c>
    </row>
    <row r="1088" spans="1:21" x14ac:dyDescent="0.3">
      <c r="A1088" s="77" t="s">
        <v>1152</v>
      </c>
      <c r="B1088" s="78" t="s">
        <v>40</v>
      </c>
      <c r="C1088" s="78" t="s">
        <v>338</v>
      </c>
      <c r="D1088" s="78" t="s">
        <v>1319</v>
      </c>
      <c r="E1088" s="79" t="s">
        <v>1320</v>
      </c>
      <c r="F1088" s="78" t="s">
        <v>768</v>
      </c>
      <c r="G1088" s="78" t="s">
        <v>216</v>
      </c>
      <c r="H1088" s="78" t="s">
        <v>11</v>
      </c>
      <c r="I1088" s="78" t="s">
        <v>214</v>
      </c>
      <c r="J1088" s="79" t="s">
        <v>217</v>
      </c>
      <c r="K1088" s="80">
        <v>18</v>
      </c>
      <c r="L1088" s="80">
        <f t="shared" si="303"/>
        <v>14.117647058823529</v>
      </c>
      <c r="M1088" s="81">
        <f t="shared" si="312"/>
        <v>0</v>
      </c>
      <c r="N1088" s="82">
        <f t="shared" si="313"/>
        <v>0</v>
      </c>
      <c r="O1088" s="78" t="s">
        <v>103</v>
      </c>
      <c r="P1088" s="15">
        <f t="shared" si="314"/>
        <v>0</v>
      </c>
      <c r="Q1088" s="80" t="e">
        <f t="shared" si="304"/>
        <v>#DIV/0!</v>
      </c>
      <c r="R1088" s="80" t="e">
        <f t="shared" si="305"/>
        <v>#DIV/0!</v>
      </c>
      <c r="S1088" s="15" t="e">
        <f t="shared" si="306"/>
        <v>#DIV/0!</v>
      </c>
      <c r="T1088" s="80" t="e">
        <f t="shared" si="307"/>
        <v>#DIV/0!</v>
      </c>
      <c r="U1088" s="16" t="e">
        <f t="shared" si="308"/>
        <v>#DIV/0!</v>
      </c>
    </row>
    <row r="1089" spans="1:21" x14ac:dyDescent="0.3">
      <c r="A1089" s="77" t="s">
        <v>1152</v>
      </c>
      <c r="B1089" s="78" t="s">
        <v>40</v>
      </c>
      <c r="C1089" s="78" t="s">
        <v>338</v>
      </c>
      <c r="D1089" s="78" t="s">
        <v>1321</v>
      </c>
      <c r="E1089" s="79" t="s">
        <v>1281</v>
      </c>
      <c r="F1089" s="78" t="s">
        <v>768</v>
      </c>
      <c r="G1089" s="78" t="s">
        <v>300</v>
      </c>
      <c r="H1089" s="78"/>
      <c r="I1089" s="78"/>
      <c r="J1089" s="78"/>
      <c r="K1089" s="80">
        <v>10</v>
      </c>
      <c r="L1089" s="80"/>
      <c r="M1089" s="81"/>
      <c r="N1089" s="82"/>
      <c r="O1089" s="78"/>
      <c r="P1089" s="15"/>
      <c r="Q1089" s="80"/>
      <c r="R1089" s="80"/>
      <c r="S1089" s="15"/>
      <c r="T1089" s="83"/>
      <c r="U1089" s="16"/>
    </row>
    <row r="1090" spans="1:21" x14ac:dyDescent="0.3">
      <c r="A1090" s="77" t="s">
        <v>1152</v>
      </c>
      <c r="B1090" s="78" t="s">
        <v>40</v>
      </c>
      <c r="C1090" s="78" t="s">
        <v>338</v>
      </c>
      <c r="D1090" s="78" t="s">
        <v>1322</v>
      </c>
      <c r="E1090" s="79" t="s">
        <v>1191</v>
      </c>
      <c r="F1090" s="78" t="s">
        <v>591</v>
      </c>
      <c r="G1090" s="78" t="s">
        <v>250</v>
      </c>
      <c r="H1090" s="78" t="s">
        <v>11</v>
      </c>
      <c r="I1090" s="78" t="s">
        <v>214</v>
      </c>
      <c r="J1090" s="79" t="s">
        <v>251</v>
      </c>
      <c r="K1090" s="80">
        <v>9</v>
      </c>
      <c r="L1090" s="80">
        <f t="shared" ref="L1090:L1102" si="315">K1090*VLOOKUP(H1090,dagsoorttabel1,2,FALSE)</f>
        <v>7.0588235294117645</v>
      </c>
      <c r="M1090" s="81">
        <f>prodnorm30</f>
        <v>0</v>
      </c>
      <c r="N1090" s="82">
        <f>dagwerk30</f>
        <v>0</v>
      </c>
      <c r="O1090" s="78" t="s">
        <v>103</v>
      </c>
      <c r="P1090" s="15">
        <f>uurtarief30</f>
        <v>0</v>
      </c>
      <c r="Q1090" s="80" t="e">
        <f t="shared" ref="Q1090:Q1102" si="316">IF(ISBLANK(M1090),0,L1090/ROUND(M1090,4))</f>
        <v>#DIV/0!</v>
      </c>
      <c r="R1090" s="80" t="e">
        <f t="shared" ref="R1090:R1102" si="317">IF(ISBLANK(M1090),0,Q1090*ROUND(N1090,2))</f>
        <v>#DIV/0!</v>
      </c>
      <c r="S1090" s="15" t="e">
        <f t="shared" ref="S1090:S1102" si="318">ROUND(P1090,2)*Q1090</f>
        <v>#DIV/0!</v>
      </c>
      <c r="T1090" s="80" t="e">
        <f t="shared" ref="T1090:T1102" si="319">Q1090*dagenperjaar1</f>
        <v>#DIV/0!</v>
      </c>
      <c r="U1090" s="16" t="e">
        <f t="shared" ref="U1090:U1102" si="320">T1090*ROUND(P1090,2)</f>
        <v>#DIV/0!</v>
      </c>
    </row>
    <row r="1091" spans="1:21" x14ac:dyDescent="0.3">
      <c r="A1091" s="77" t="s">
        <v>1152</v>
      </c>
      <c r="B1091" s="78" t="s">
        <v>40</v>
      </c>
      <c r="C1091" s="78" t="s">
        <v>338</v>
      </c>
      <c r="D1091" s="78" t="s">
        <v>1323</v>
      </c>
      <c r="E1091" s="79" t="s">
        <v>1191</v>
      </c>
      <c r="F1091" s="78" t="s">
        <v>591</v>
      </c>
      <c r="G1091" s="78" t="s">
        <v>250</v>
      </c>
      <c r="H1091" s="78" t="s">
        <v>11</v>
      </c>
      <c r="I1091" s="78" t="s">
        <v>214</v>
      </c>
      <c r="J1091" s="79" t="s">
        <v>251</v>
      </c>
      <c r="K1091" s="80">
        <v>9</v>
      </c>
      <c r="L1091" s="80">
        <f t="shared" si="315"/>
        <v>7.0588235294117645</v>
      </c>
      <c r="M1091" s="81">
        <f>prodnorm30</f>
        <v>0</v>
      </c>
      <c r="N1091" s="82">
        <f>dagwerk30</f>
        <v>0</v>
      </c>
      <c r="O1091" s="78" t="s">
        <v>103</v>
      </c>
      <c r="P1091" s="15">
        <f>uurtarief30</f>
        <v>0</v>
      </c>
      <c r="Q1091" s="80" t="e">
        <f t="shared" si="316"/>
        <v>#DIV/0!</v>
      </c>
      <c r="R1091" s="80" t="e">
        <f t="shared" si="317"/>
        <v>#DIV/0!</v>
      </c>
      <c r="S1091" s="15" t="e">
        <f t="shared" si="318"/>
        <v>#DIV/0!</v>
      </c>
      <c r="T1091" s="80" t="e">
        <f t="shared" si="319"/>
        <v>#DIV/0!</v>
      </c>
      <c r="U1091" s="16" t="e">
        <f t="shared" si="320"/>
        <v>#DIV/0!</v>
      </c>
    </row>
    <row r="1092" spans="1:21" x14ac:dyDescent="0.3">
      <c r="A1092" s="77" t="s">
        <v>1152</v>
      </c>
      <c r="B1092" s="78" t="s">
        <v>40</v>
      </c>
      <c r="C1092" s="78" t="s">
        <v>338</v>
      </c>
      <c r="D1092" s="78" t="s">
        <v>1324</v>
      </c>
      <c r="E1092" s="79" t="s">
        <v>1325</v>
      </c>
      <c r="F1092" s="78" t="s">
        <v>768</v>
      </c>
      <c r="G1092" s="78" t="s">
        <v>234</v>
      </c>
      <c r="H1092" s="78" t="s">
        <v>11</v>
      </c>
      <c r="I1092" s="78" t="s">
        <v>214</v>
      </c>
      <c r="J1092" s="79" t="s">
        <v>235</v>
      </c>
      <c r="K1092" s="80">
        <v>238</v>
      </c>
      <c r="L1092" s="80">
        <f t="shared" si="315"/>
        <v>186.66666666666666</v>
      </c>
      <c r="M1092" s="81">
        <f>prodnorm21</f>
        <v>0</v>
      </c>
      <c r="N1092" s="82">
        <f>dagwerk21</f>
        <v>0</v>
      </c>
      <c r="O1092" s="78" t="s">
        <v>103</v>
      </c>
      <c r="P1092" s="15">
        <f>uurtarief21</f>
        <v>0</v>
      </c>
      <c r="Q1092" s="80" t="e">
        <f t="shared" si="316"/>
        <v>#DIV/0!</v>
      </c>
      <c r="R1092" s="80" t="e">
        <f t="shared" si="317"/>
        <v>#DIV/0!</v>
      </c>
      <c r="S1092" s="15" t="e">
        <f t="shared" si="318"/>
        <v>#DIV/0!</v>
      </c>
      <c r="T1092" s="80" t="e">
        <f t="shared" si="319"/>
        <v>#DIV/0!</v>
      </c>
      <c r="U1092" s="16" t="e">
        <f t="shared" si="320"/>
        <v>#DIV/0!</v>
      </c>
    </row>
    <row r="1093" spans="1:21" x14ac:dyDescent="0.3">
      <c r="A1093" s="77" t="s">
        <v>1152</v>
      </c>
      <c r="B1093" s="78" t="s">
        <v>40</v>
      </c>
      <c r="C1093" s="78" t="s">
        <v>338</v>
      </c>
      <c r="D1093" s="78" t="s">
        <v>1326</v>
      </c>
      <c r="E1093" s="79" t="s">
        <v>1325</v>
      </c>
      <c r="F1093" s="78" t="s">
        <v>768</v>
      </c>
      <c r="G1093" s="78" t="s">
        <v>234</v>
      </c>
      <c r="H1093" s="78" t="s">
        <v>11</v>
      </c>
      <c r="I1093" s="78" t="s">
        <v>214</v>
      </c>
      <c r="J1093" s="79" t="s">
        <v>235</v>
      </c>
      <c r="K1093" s="80">
        <v>237</v>
      </c>
      <c r="L1093" s="80">
        <f t="shared" si="315"/>
        <v>185.88235294117646</v>
      </c>
      <c r="M1093" s="81">
        <f>prodnorm21</f>
        <v>0</v>
      </c>
      <c r="N1093" s="82">
        <f>dagwerk21</f>
        <v>0</v>
      </c>
      <c r="O1093" s="78" t="s">
        <v>103</v>
      </c>
      <c r="P1093" s="15">
        <f>uurtarief21</f>
        <v>0</v>
      </c>
      <c r="Q1093" s="80" t="e">
        <f t="shared" si="316"/>
        <v>#DIV/0!</v>
      </c>
      <c r="R1093" s="80" t="e">
        <f t="shared" si="317"/>
        <v>#DIV/0!</v>
      </c>
      <c r="S1093" s="15" t="e">
        <f t="shared" si="318"/>
        <v>#DIV/0!</v>
      </c>
      <c r="T1093" s="80" t="e">
        <f t="shared" si="319"/>
        <v>#DIV/0!</v>
      </c>
      <c r="U1093" s="16" t="e">
        <f t="shared" si="320"/>
        <v>#DIV/0!</v>
      </c>
    </row>
    <row r="1094" spans="1:21" x14ac:dyDescent="0.3">
      <c r="A1094" s="77" t="s">
        <v>1152</v>
      </c>
      <c r="B1094" s="78" t="s">
        <v>40</v>
      </c>
      <c r="C1094" s="78" t="s">
        <v>338</v>
      </c>
      <c r="D1094" s="78" t="s">
        <v>1327</v>
      </c>
      <c r="E1094" s="79" t="s">
        <v>1328</v>
      </c>
      <c r="F1094" s="78" t="s">
        <v>768</v>
      </c>
      <c r="G1094" s="78" t="s">
        <v>234</v>
      </c>
      <c r="H1094" s="78" t="s">
        <v>11</v>
      </c>
      <c r="I1094" s="78" t="s">
        <v>214</v>
      </c>
      <c r="J1094" s="79" t="s">
        <v>235</v>
      </c>
      <c r="K1094" s="80">
        <v>34</v>
      </c>
      <c r="L1094" s="80">
        <f t="shared" si="315"/>
        <v>26.666666666666668</v>
      </c>
      <c r="M1094" s="81">
        <f>prodnorm21</f>
        <v>0</v>
      </c>
      <c r="N1094" s="82">
        <f>dagwerk21</f>
        <v>0</v>
      </c>
      <c r="O1094" s="78" t="s">
        <v>103</v>
      </c>
      <c r="P1094" s="15">
        <f>uurtarief21</f>
        <v>0</v>
      </c>
      <c r="Q1094" s="80" t="e">
        <f t="shared" si="316"/>
        <v>#DIV/0!</v>
      </c>
      <c r="R1094" s="80" t="e">
        <f t="shared" si="317"/>
        <v>#DIV/0!</v>
      </c>
      <c r="S1094" s="15" t="e">
        <f t="shared" si="318"/>
        <v>#DIV/0!</v>
      </c>
      <c r="T1094" s="80" t="e">
        <f t="shared" si="319"/>
        <v>#DIV/0!</v>
      </c>
      <c r="U1094" s="16" t="e">
        <f t="shared" si="320"/>
        <v>#DIV/0!</v>
      </c>
    </row>
    <row r="1095" spans="1:21" x14ac:dyDescent="0.3">
      <c r="A1095" s="77" t="s">
        <v>1152</v>
      </c>
      <c r="B1095" s="78" t="s">
        <v>40</v>
      </c>
      <c r="C1095" s="78" t="s">
        <v>338</v>
      </c>
      <c r="D1095" s="78" t="s">
        <v>1329</v>
      </c>
      <c r="E1095" s="79" t="s">
        <v>1328</v>
      </c>
      <c r="F1095" s="78" t="s">
        <v>768</v>
      </c>
      <c r="G1095" s="78" t="s">
        <v>234</v>
      </c>
      <c r="H1095" s="78" t="s">
        <v>11</v>
      </c>
      <c r="I1095" s="78" t="s">
        <v>214</v>
      </c>
      <c r="J1095" s="79" t="s">
        <v>235</v>
      </c>
      <c r="K1095" s="80">
        <v>35</v>
      </c>
      <c r="L1095" s="80">
        <f t="shared" si="315"/>
        <v>27.450980392156861</v>
      </c>
      <c r="M1095" s="81">
        <f>prodnorm21</f>
        <v>0</v>
      </c>
      <c r="N1095" s="82">
        <f>dagwerk21</f>
        <v>0</v>
      </c>
      <c r="O1095" s="78" t="s">
        <v>103</v>
      </c>
      <c r="P1095" s="15">
        <f>uurtarief21</f>
        <v>0</v>
      </c>
      <c r="Q1095" s="80" t="e">
        <f t="shared" si="316"/>
        <v>#DIV/0!</v>
      </c>
      <c r="R1095" s="80" t="e">
        <f t="shared" si="317"/>
        <v>#DIV/0!</v>
      </c>
      <c r="S1095" s="15" t="e">
        <f t="shared" si="318"/>
        <v>#DIV/0!</v>
      </c>
      <c r="T1095" s="80" t="e">
        <f t="shared" si="319"/>
        <v>#DIV/0!</v>
      </c>
      <c r="U1095" s="16" t="e">
        <f t="shared" si="320"/>
        <v>#DIV/0!</v>
      </c>
    </row>
    <row r="1096" spans="1:21" x14ac:dyDescent="0.3">
      <c r="A1096" s="77" t="s">
        <v>1152</v>
      </c>
      <c r="B1096" s="78" t="s">
        <v>40</v>
      </c>
      <c r="C1096" s="78" t="s">
        <v>338</v>
      </c>
      <c r="D1096" s="78" t="s">
        <v>1330</v>
      </c>
      <c r="E1096" s="79" t="s">
        <v>1328</v>
      </c>
      <c r="F1096" s="78" t="s">
        <v>768</v>
      </c>
      <c r="G1096" s="78" t="s">
        <v>234</v>
      </c>
      <c r="H1096" s="78" t="s">
        <v>11</v>
      </c>
      <c r="I1096" s="78" t="s">
        <v>214</v>
      </c>
      <c r="J1096" s="79" t="s">
        <v>235</v>
      </c>
      <c r="K1096" s="80">
        <v>34</v>
      </c>
      <c r="L1096" s="80">
        <f t="shared" si="315"/>
        <v>26.666666666666668</v>
      </c>
      <c r="M1096" s="81">
        <f>prodnorm21</f>
        <v>0</v>
      </c>
      <c r="N1096" s="82">
        <f>dagwerk21</f>
        <v>0</v>
      </c>
      <c r="O1096" s="78" t="s">
        <v>103</v>
      </c>
      <c r="P1096" s="15">
        <f>uurtarief21</f>
        <v>0</v>
      </c>
      <c r="Q1096" s="80" t="e">
        <f t="shared" si="316"/>
        <v>#DIV/0!</v>
      </c>
      <c r="R1096" s="80" t="e">
        <f t="shared" si="317"/>
        <v>#DIV/0!</v>
      </c>
      <c r="S1096" s="15" t="e">
        <f t="shared" si="318"/>
        <v>#DIV/0!</v>
      </c>
      <c r="T1096" s="80" t="e">
        <f t="shared" si="319"/>
        <v>#DIV/0!</v>
      </c>
      <c r="U1096" s="16" t="e">
        <f t="shared" si="320"/>
        <v>#DIV/0!</v>
      </c>
    </row>
    <row r="1097" spans="1:21" ht="27" x14ac:dyDescent="0.3">
      <c r="A1097" s="77" t="s">
        <v>1152</v>
      </c>
      <c r="B1097" s="78" t="s">
        <v>40</v>
      </c>
      <c r="C1097" s="78" t="s">
        <v>338</v>
      </c>
      <c r="D1097" s="78" t="s">
        <v>1331</v>
      </c>
      <c r="E1097" s="79" t="s">
        <v>1332</v>
      </c>
      <c r="F1097" s="78" t="s">
        <v>768</v>
      </c>
      <c r="G1097" s="78" t="s">
        <v>256</v>
      </c>
      <c r="H1097" s="78" t="s">
        <v>11</v>
      </c>
      <c r="I1097" s="78" t="s">
        <v>214</v>
      </c>
      <c r="J1097" s="79" t="s">
        <v>257</v>
      </c>
      <c r="K1097" s="80">
        <v>26</v>
      </c>
      <c r="L1097" s="80">
        <f t="shared" si="315"/>
        <v>20.392156862745097</v>
      </c>
      <c r="M1097" s="81">
        <f>prodnorm33</f>
        <v>0</v>
      </c>
      <c r="N1097" s="82">
        <f>dagwerk33</f>
        <v>0</v>
      </c>
      <c r="O1097" s="78" t="s">
        <v>103</v>
      </c>
      <c r="P1097" s="15">
        <f>uurtarief33</f>
        <v>0</v>
      </c>
      <c r="Q1097" s="80" t="e">
        <f t="shared" si="316"/>
        <v>#DIV/0!</v>
      </c>
      <c r="R1097" s="80" t="e">
        <f t="shared" si="317"/>
        <v>#DIV/0!</v>
      </c>
      <c r="S1097" s="15" t="e">
        <f t="shared" si="318"/>
        <v>#DIV/0!</v>
      </c>
      <c r="T1097" s="80" t="e">
        <f t="shared" si="319"/>
        <v>#DIV/0!</v>
      </c>
      <c r="U1097" s="16" t="e">
        <f t="shared" si="320"/>
        <v>#DIV/0!</v>
      </c>
    </row>
    <row r="1098" spans="1:21" x14ac:dyDescent="0.3">
      <c r="A1098" s="77" t="s">
        <v>1152</v>
      </c>
      <c r="B1098" s="78" t="s">
        <v>40</v>
      </c>
      <c r="C1098" s="78" t="s">
        <v>338</v>
      </c>
      <c r="D1098" s="78" t="s">
        <v>1333</v>
      </c>
      <c r="E1098" s="79" t="s">
        <v>1334</v>
      </c>
      <c r="F1098" s="78" t="s">
        <v>768</v>
      </c>
      <c r="G1098" s="78" t="s">
        <v>234</v>
      </c>
      <c r="H1098" s="78" t="s">
        <v>11</v>
      </c>
      <c r="I1098" s="78" t="s">
        <v>214</v>
      </c>
      <c r="J1098" s="79" t="s">
        <v>235</v>
      </c>
      <c r="K1098" s="80">
        <v>222</v>
      </c>
      <c r="L1098" s="80">
        <f t="shared" si="315"/>
        <v>174.11764705882354</v>
      </c>
      <c r="M1098" s="81">
        <f>prodnorm21</f>
        <v>0</v>
      </c>
      <c r="N1098" s="82">
        <f>dagwerk21</f>
        <v>0</v>
      </c>
      <c r="O1098" s="78" t="s">
        <v>103</v>
      </c>
      <c r="P1098" s="15">
        <f>uurtarief21</f>
        <v>0</v>
      </c>
      <c r="Q1098" s="80" t="e">
        <f t="shared" si="316"/>
        <v>#DIV/0!</v>
      </c>
      <c r="R1098" s="80" t="e">
        <f t="shared" si="317"/>
        <v>#DIV/0!</v>
      </c>
      <c r="S1098" s="15" t="e">
        <f t="shared" si="318"/>
        <v>#DIV/0!</v>
      </c>
      <c r="T1098" s="80" t="e">
        <f t="shared" si="319"/>
        <v>#DIV/0!</v>
      </c>
      <c r="U1098" s="16" t="e">
        <f t="shared" si="320"/>
        <v>#DIV/0!</v>
      </c>
    </row>
    <row r="1099" spans="1:21" x14ac:dyDescent="0.3">
      <c r="A1099" s="77" t="s">
        <v>1152</v>
      </c>
      <c r="B1099" s="78" t="s">
        <v>40</v>
      </c>
      <c r="C1099" s="78" t="s">
        <v>338</v>
      </c>
      <c r="D1099" s="78" t="s">
        <v>1335</v>
      </c>
      <c r="E1099" s="79" t="s">
        <v>1334</v>
      </c>
      <c r="F1099" s="78" t="s">
        <v>768</v>
      </c>
      <c r="G1099" s="78" t="s">
        <v>234</v>
      </c>
      <c r="H1099" s="78" t="s">
        <v>11</v>
      </c>
      <c r="I1099" s="78" t="s">
        <v>214</v>
      </c>
      <c r="J1099" s="79" t="s">
        <v>235</v>
      </c>
      <c r="K1099" s="80">
        <v>213</v>
      </c>
      <c r="L1099" s="80">
        <f t="shared" si="315"/>
        <v>167.05882352941177</v>
      </c>
      <c r="M1099" s="81">
        <f>prodnorm21</f>
        <v>0</v>
      </c>
      <c r="N1099" s="82">
        <f>dagwerk21</f>
        <v>0</v>
      </c>
      <c r="O1099" s="78" t="s">
        <v>103</v>
      </c>
      <c r="P1099" s="15">
        <f>uurtarief21</f>
        <v>0</v>
      </c>
      <c r="Q1099" s="80" t="e">
        <f t="shared" si="316"/>
        <v>#DIV/0!</v>
      </c>
      <c r="R1099" s="80" t="e">
        <f t="shared" si="317"/>
        <v>#DIV/0!</v>
      </c>
      <c r="S1099" s="15" t="e">
        <f t="shared" si="318"/>
        <v>#DIV/0!</v>
      </c>
      <c r="T1099" s="80" t="e">
        <f t="shared" si="319"/>
        <v>#DIV/0!</v>
      </c>
      <c r="U1099" s="16" t="e">
        <f t="shared" si="320"/>
        <v>#DIV/0!</v>
      </c>
    </row>
    <row r="1100" spans="1:21" x14ac:dyDescent="0.3">
      <c r="A1100" s="77" t="s">
        <v>1152</v>
      </c>
      <c r="B1100" s="78" t="s">
        <v>40</v>
      </c>
      <c r="C1100" s="78" t="s">
        <v>338</v>
      </c>
      <c r="D1100" s="78" t="s">
        <v>1336</v>
      </c>
      <c r="E1100" s="79" t="s">
        <v>1337</v>
      </c>
      <c r="F1100" s="78" t="s">
        <v>768</v>
      </c>
      <c r="G1100" s="78" t="s">
        <v>234</v>
      </c>
      <c r="H1100" s="78" t="s">
        <v>11</v>
      </c>
      <c r="I1100" s="78" t="s">
        <v>214</v>
      </c>
      <c r="J1100" s="79" t="s">
        <v>235</v>
      </c>
      <c r="K1100" s="80">
        <v>34</v>
      </c>
      <c r="L1100" s="80">
        <f t="shared" si="315"/>
        <v>26.666666666666668</v>
      </c>
      <c r="M1100" s="81">
        <f>prodnorm21</f>
        <v>0</v>
      </c>
      <c r="N1100" s="82">
        <f>dagwerk21</f>
        <v>0</v>
      </c>
      <c r="O1100" s="78" t="s">
        <v>103</v>
      </c>
      <c r="P1100" s="15">
        <f>uurtarief21</f>
        <v>0</v>
      </c>
      <c r="Q1100" s="80" t="e">
        <f t="shared" si="316"/>
        <v>#DIV/0!</v>
      </c>
      <c r="R1100" s="80" t="e">
        <f t="shared" si="317"/>
        <v>#DIV/0!</v>
      </c>
      <c r="S1100" s="15" t="e">
        <f t="shared" si="318"/>
        <v>#DIV/0!</v>
      </c>
      <c r="T1100" s="80" t="e">
        <f t="shared" si="319"/>
        <v>#DIV/0!</v>
      </c>
      <c r="U1100" s="16" t="e">
        <f t="shared" si="320"/>
        <v>#DIV/0!</v>
      </c>
    </row>
    <row r="1101" spans="1:21" x14ac:dyDescent="0.3">
      <c r="A1101" s="77" t="s">
        <v>1152</v>
      </c>
      <c r="B1101" s="78" t="s">
        <v>40</v>
      </c>
      <c r="C1101" s="78" t="s">
        <v>338</v>
      </c>
      <c r="D1101" s="78" t="s">
        <v>1338</v>
      </c>
      <c r="E1101" s="79" t="s">
        <v>1337</v>
      </c>
      <c r="F1101" s="78" t="s">
        <v>768</v>
      </c>
      <c r="G1101" s="78" t="s">
        <v>234</v>
      </c>
      <c r="H1101" s="78" t="s">
        <v>11</v>
      </c>
      <c r="I1101" s="78" t="s">
        <v>214</v>
      </c>
      <c r="J1101" s="79" t="s">
        <v>235</v>
      </c>
      <c r="K1101" s="80">
        <v>32</v>
      </c>
      <c r="L1101" s="80">
        <f t="shared" si="315"/>
        <v>25.098039215686274</v>
      </c>
      <c r="M1101" s="81">
        <f>prodnorm21</f>
        <v>0</v>
      </c>
      <c r="N1101" s="82">
        <f>dagwerk21</f>
        <v>0</v>
      </c>
      <c r="O1101" s="78" t="s">
        <v>103</v>
      </c>
      <c r="P1101" s="15">
        <f>uurtarief21</f>
        <v>0</v>
      </c>
      <c r="Q1101" s="80" t="e">
        <f t="shared" si="316"/>
        <v>#DIV/0!</v>
      </c>
      <c r="R1101" s="80" t="e">
        <f t="shared" si="317"/>
        <v>#DIV/0!</v>
      </c>
      <c r="S1101" s="15" t="e">
        <f t="shared" si="318"/>
        <v>#DIV/0!</v>
      </c>
      <c r="T1101" s="80" t="e">
        <f t="shared" si="319"/>
        <v>#DIV/0!</v>
      </c>
      <c r="U1101" s="16" t="e">
        <f t="shared" si="320"/>
        <v>#DIV/0!</v>
      </c>
    </row>
    <row r="1102" spans="1:21" ht="27" x14ac:dyDescent="0.3">
      <c r="A1102" s="77" t="s">
        <v>1152</v>
      </c>
      <c r="B1102" s="78" t="s">
        <v>40</v>
      </c>
      <c r="C1102" s="78" t="s">
        <v>338</v>
      </c>
      <c r="D1102" s="78" t="s">
        <v>1339</v>
      </c>
      <c r="E1102" s="79" t="s">
        <v>1340</v>
      </c>
      <c r="F1102" s="78" t="s">
        <v>768</v>
      </c>
      <c r="G1102" s="78" t="s">
        <v>256</v>
      </c>
      <c r="H1102" s="78" t="s">
        <v>11</v>
      </c>
      <c r="I1102" s="78" t="s">
        <v>214</v>
      </c>
      <c r="J1102" s="79" t="s">
        <v>257</v>
      </c>
      <c r="K1102" s="80">
        <v>28</v>
      </c>
      <c r="L1102" s="80">
        <f t="shared" si="315"/>
        <v>21.96078431372549</v>
      </c>
      <c r="M1102" s="81">
        <f>prodnorm33</f>
        <v>0</v>
      </c>
      <c r="N1102" s="82">
        <f>dagwerk33</f>
        <v>0</v>
      </c>
      <c r="O1102" s="78" t="s">
        <v>103</v>
      </c>
      <c r="P1102" s="15">
        <f>uurtarief33</f>
        <v>0</v>
      </c>
      <c r="Q1102" s="80" t="e">
        <f t="shared" si="316"/>
        <v>#DIV/0!</v>
      </c>
      <c r="R1102" s="80" t="e">
        <f t="shared" si="317"/>
        <v>#DIV/0!</v>
      </c>
      <c r="S1102" s="15" t="e">
        <f t="shared" si="318"/>
        <v>#DIV/0!</v>
      </c>
      <c r="T1102" s="80" t="e">
        <f t="shared" si="319"/>
        <v>#DIV/0!</v>
      </c>
      <c r="U1102" s="16" t="e">
        <f t="shared" si="320"/>
        <v>#DIV/0!</v>
      </c>
    </row>
    <row r="1103" spans="1:21" x14ac:dyDescent="0.3">
      <c r="A1103" s="77" t="s">
        <v>1152</v>
      </c>
      <c r="B1103" s="78" t="s">
        <v>40</v>
      </c>
      <c r="C1103" s="78" t="s">
        <v>338</v>
      </c>
      <c r="D1103" s="78" t="s">
        <v>1341</v>
      </c>
      <c r="E1103" s="79" t="s">
        <v>1342</v>
      </c>
      <c r="F1103" s="78" t="s">
        <v>768</v>
      </c>
      <c r="G1103" s="78" t="s">
        <v>300</v>
      </c>
      <c r="H1103" s="78"/>
      <c r="I1103" s="78"/>
      <c r="J1103" s="78"/>
      <c r="K1103" s="80">
        <v>12</v>
      </c>
      <c r="L1103" s="80"/>
      <c r="M1103" s="81"/>
      <c r="N1103" s="82"/>
      <c r="O1103" s="78"/>
      <c r="P1103" s="15"/>
      <c r="Q1103" s="80"/>
      <c r="R1103" s="80"/>
      <c r="S1103" s="15"/>
      <c r="T1103" s="83"/>
      <c r="U1103" s="16"/>
    </row>
    <row r="1104" spans="1:21" x14ac:dyDescent="0.3">
      <c r="A1104" s="84" t="s">
        <v>1152</v>
      </c>
      <c r="B1104" s="85" t="s">
        <v>40</v>
      </c>
      <c r="C1104" s="85" t="s">
        <v>338</v>
      </c>
      <c r="D1104" s="85" t="s">
        <v>1343</v>
      </c>
      <c r="E1104" s="86" t="s">
        <v>1342</v>
      </c>
      <c r="F1104" s="85" t="s">
        <v>768</v>
      </c>
      <c r="G1104" s="85" t="s">
        <v>300</v>
      </c>
      <c r="H1104" s="85"/>
      <c r="I1104" s="85"/>
      <c r="J1104" s="85"/>
      <c r="K1104" s="87">
        <v>12</v>
      </c>
      <c r="L1104" s="87"/>
      <c r="M1104" s="88"/>
      <c r="N1104" s="89"/>
      <c r="O1104" s="85"/>
      <c r="P1104" s="24"/>
      <c r="Q1104" s="87"/>
      <c r="R1104" s="87"/>
      <c r="S1104" s="24"/>
      <c r="T1104" s="92"/>
      <c r="U1104" s="25"/>
    </row>
    <row r="1105" spans="1:21" x14ac:dyDescent="0.3">
      <c r="A1105" s="59" t="s">
        <v>506</v>
      </c>
      <c r="B1105" s="60"/>
      <c r="C1105" s="60"/>
      <c r="D1105" s="60"/>
      <c r="E1105" s="60"/>
      <c r="F1105" s="60"/>
      <c r="G1105" s="60"/>
      <c r="H1105" s="60"/>
      <c r="I1105" s="60"/>
      <c r="J1105" s="60"/>
      <c r="K1105" s="60"/>
      <c r="L1105" s="60"/>
      <c r="M1105" s="60"/>
      <c r="N1105" s="60"/>
      <c r="O1105" s="60"/>
      <c r="P1105" s="62" t="e">
        <f>IF(_xlfn.SINGLE(object7_urenjaar1)&gt;0,_xlfn.SINGLE(object7_prijsjaar1)/_xlfn.SINGLE(object7_urenjaar1),0)</f>
        <v>#DIV/0!</v>
      </c>
      <c r="Q1105" s="61" t="e">
        <f>SUM(Q990:Q1104)</f>
        <v>#DIV/0!</v>
      </c>
      <c r="R1105" s="61" t="e">
        <f>SUM(R990:R1104)</f>
        <v>#DIV/0!</v>
      </c>
      <c r="S1105" s="62" t="e">
        <f>SUM(S990:S1104)</f>
        <v>#DIV/0!</v>
      </c>
      <c r="T1105" s="61" t="e">
        <f>SUM(T990:T1104)</f>
        <v>#DIV/0!</v>
      </c>
      <c r="U1105" s="62" t="e">
        <f>SUM(U990:U1104)</f>
        <v>#DIV/0!</v>
      </c>
    </row>
  </sheetData>
  <sheetProtection algorithmName="SHA-512" hashValue="5TodazyaRj99HraQ2RBg1dH1Wey+VhRMHuMs/1QQF7l7Xz2KgF8Thh5cABHblhEis7tqDeTYu5qdBe7QJqR6Dg==" saltValue="xu1a9/+oRp82/q0y8u4Rcg==" spinCount="100000" sheet="1" objects="1" scenarios="1" autoFilter="0"/>
  <autoFilter ref="A3:U1105" xr:uid="{CADD97F9-A0B7-420B-9112-2731912AAF72}"/>
  <pageMargins left="0.7" right="0.7" top="0.75" bottom="0.75" header="0.3" footer="0.3"/>
  <pageSetup scale="61" orientation="landscape" r:id="rId1"/>
  <headerFooter>
    <oddFooter>&amp;LStichting Onderwijsgroep Amersfoort                         &amp;ROpmaakdatum: 07-07-2025
Intexso - Plantageweg 23E - Leusden
+31 (33) 2778485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8AA39-8856-4A0F-B987-EA9E0225754B}">
  <dimension ref="A1:U40"/>
  <sheetViews>
    <sheetView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4" sqref="E4"/>
    </sheetView>
  </sheetViews>
  <sheetFormatPr defaultRowHeight="13.5" x14ac:dyDescent="0.3"/>
  <cols>
    <col min="1" max="1" width="8.61328125" customWidth="1"/>
    <col min="2" max="3" width="7.61328125" customWidth="1"/>
    <col min="4" max="4" width="10.61328125" customWidth="1"/>
    <col min="5" max="5" width="25.61328125" customWidth="1"/>
    <col min="6" max="6" width="11.61328125" customWidth="1"/>
    <col min="7" max="7" width="7.61328125" customWidth="1"/>
    <col min="8" max="8" width="6.61328125" customWidth="1"/>
    <col min="9" max="9" width="8.61328125" customWidth="1"/>
    <col min="10" max="10" width="40.61328125" customWidth="1"/>
    <col min="11" max="12" width="10.61328125" customWidth="1"/>
    <col min="13" max="14" width="11.61328125" customWidth="1"/>
    <col min="15" max="15" width="9.61328125" customWidth="1"/>
    <col min="16" max="19" width="11.61328125" customWidth="1"/>
    <col min="20" max="20" width="12.61328125" customWidth="1"/>
    <col min="21" max="21" width="14.61328125" customWidth="1"/>
  </cols>
  <sheetData>
    <row r="1" spans="1:21" x14ac:dyDescent="0.3">
      <c r="A1" s="1" t="str">
        <f>CONCATENATE("Bijlage I.4: ",tabeltype," ruimten werkdag vakantie")</f>
        <v>Bijlage I.4: Invultabel ruimten werkdag vakantie</v>
      </c>
    </row>
    <row r="3" spans="1:21" ht="40.5" x14ac:dyDescent="0.3">
      <c r="A3" s="66" t="s">
        <v>268</v>
      </c>
      <c r="B3" s="27" t="s">
        <v>269</v>
      </c>
      <c r="C3" s="27" t="s">
        <v>270</v>
      </c>
      <c r="D3" s="27" t="s">
        <v>271</v>
      </c>
      <c r="E3" s="27" t="s">
        <v>272</v>
      </c>
      <c r="F3" s="27" t="s">
        <v>273</v>
      </c>
      <c r="G3" s="27" t="s">
        <v>205</v>
      </c>
      <c r="H3" s="27" t="s">
        <v>7</v>
      </c>
      <c r="I3" s="27" t="s">
        <v>274</v>
      </c>
      <c r="J3" s="27" t="s">
        <v>275</v>
      </c>
      <c r="K3" s="27" t="s">
        <v>207</v>
      </c>
      <c r="L3" s="27" t="s">
        <v>208</v>
      </c>
      <c r="M3" s="27" t="s">
        <v>95</v>
      </c>
      <c r="N3" s="27" t="s">
        <v>96</v>
      </c>
      <c r="O3" s="27" t="s">
        <v>97</v>
      </c>
      <c r="P3" s="27" t="s">
        <v>98</v>
      </c>
      <c r="Q3" s="27" t="s">
        <v>209</v>
      </c>
      <c r="R3" s="27" t="s">
        <v>276</v>
      </c>
      <c r="S3" s="27" t="s">
        <v>210</v>
      </c>
      <c r="T3" s="27" t="s">
        <v>211</v>
      </c>
      <c r="U3" s="67" t="s">
        <v>212</v>
      </c>
    </row>
    <row r="4" spans="1:21" x14ac:dyDescent="0.3">
      <c r="A4" s="68" t="s">
        <v>843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58"/>
    </row>
    <row r="5" spans="1:21" x14ac:dyDescent="0.3">
      <c r="A5" s="69" t="s">
        <v>844</v>
      </c>
      <c r="B5" s="70" t="s">
        <v>40</v>
      </c>
      <c r="C5" s="70" t="s">
        <v>280</v>
      </c>
      <c r="D5" s="70" t="s">
        <v>887</v>
      </c>
      <c r="E5" s="71" t="s">
        <v>511</v>
      </c>
      <c r="F5" s="70" t="s">
        <v>848</v>
      </c>
      <c r="G5" s="70" t="s">
        <v>262</v>
      </c>
      <c r="H5" s="70" t="s">
        <v>21</v>
      </c>
      <c r="I5" s="70" t="s">
        <v>214</v>
      </c>
      <c r="J5" s="71" t="s">
        <v>217</v>
      </c>
      <c r="K5" s="72">
        <v>27.36</v>
      </c>
      <c r="L5" s="72">
        <f t="shared" ref="L5:L15" si="0">K5*VLOOKUP(H5,dagsoorttabel1,2,FALSE)</f>
        <v>1.0729411764705883</v>
      </c>
      <c r="M5" s="73">
        <f>prodnorm36</f>
        <v>0</v>
      </c>
      <c r="N5" s="74">
        <f>dagwerk36</f>
        <v>0</v>
      </c>
      <c r="O5" s="70" t="s">
        <v>103</v>
      </c>
      <c r="P5" s="75">
        <f>uurtarief36</f>
        <v>0</v>
      </c>
      <c r="Q5" s="72" t="e">
        <f t="shared" ref="Q5:Q15" si="1">IF(ISBLANK(M5),0,L5/ROUND(M5,4))</f>
        <v>#DIV/0!</v>
      </c>
      <c r="R5" s="72" t="e">
        <f t="shared" ref="R5:R15" si="2">IF(ISBLANK(M5),0,Q5*ROUND(N5,2))</f>
        <v>#DIV/0!</v>
      </c>
      <c r="S5" s="75" t="e">
        <f t="shared" ref="S5:S15" si="3">ROUND(P5,2)*Q5</f>
        <v>#DIV/0!</v>
      </c>
      <c r="T5" s="72" t="e">
        <f t="shared" ref="T5:T15" si="4">Q5*dagenperjaar1</f>
        <v>#DIV/0!</v>
      </c>
      <c r="U5" s="76" t="e">
        <f t="shared" ref="U5:U15" si="5">T5*ROUND(P5,2)</f>
        <v>#DIV/0!</v>
      </c>
    </row>
    <row r="6" spans="1:21" x14ac:dyDescent="0.3">
      <c r="A6" s="77" t="s">
        <v>844</v>
      </c>
      <c r="B6" s="78" t="s">
        <v>40</v>
      </c>
      <c r="C6" s="78" t="s">
        <v>280</v>
      </c>
      <c r="D6" s="78" t="s">
        <v>888</v>
      </c>
      <c r="E6" s="79" t="s">
        <v>889</v>
      </c>
      <c r="F6" s="78" t="s">
        <v>591</v>
      </c>
      <c r="G6" s="78" t="s">
        <v>263</v>
      </c>
      <c r="H6" s="78" t="s">
        <v>21</v>
      </c>
      <c r="I6" s="78" t="s">
        <v>214</v>
      </c>
      <c r="J6" s="79" t="s">
        <v>251</v>
      </c>
      <c r="K6" s="80">
        <v>15.97</v>
      </c>
      <c r="L6" s="80">
        <f t="shared" si="0"/>
        <v>0.62627450980392163</v>
      </c>
      <c r="M6" s="81">
        <f>prodnorm38</f>
        <v>0</v>
      </c>
      <c r="N6" s="82">
        <f>dagwerk38</f>
        <v>0</v>
      </c>
      <c r="O6" s="78" t="s">
        <v>103</v>
      </c>
      <c r="P6" s="15">
        <f>uurtarief38</f>
        <v>0</v>
      </c>
      <c r="Q6" s="80" t="e">
        <f t="shared" si="1"/>
        <v>#DIV/0!</v>
      </c>
      <c r="R6" s="80" t="e">
        <f t="shared" si="2"/>
        <v>#DIV/0!</v>
      </c>
      <c r="S6" s="15" t="e">
        <f t="shared" si="3"/>
        <v>#DIV/0!</v>
      </c>
      <c r="T6" s="80" t="e">
        <f t="shared" si="4"/>
        <v>#DIV/0!</v>
      </c>
      <c r="U6" s="16" t="e">
        <f t="shared" si="5"/>
        <v>#DIV/0!</v>
      </c>
    </row>
    <row r="7" spans="1:21" x14ac:dyDescent="0.3">
      <c r="A7" s="77" t="s">
        <v>844</v>
      </c>
      <c r="B7" s="78" t="s">
        <v>40</v>
      </c>
      <c r="C7" s="78" t="s">
        <v>280</v>
      </c>
      <c r="D7" s="78" t="s">
        <v>890</v>
      </c>
      <c r="E7" s="79" t="s">
        <v>511</v>
      </c>
      <c r="F7" s="78" t="s">
        <v>848</v>
      </c>
      <c r="G7" s="78" t="s">
        <v>262</v>
      </c>
      <c r="H7" s="78" t="s">
        <v>21</v>
      </c>
      <c r="I7" s="78" t="s">
        <v>214</v>
      </c>
      <c r="J7" s="79" t="s">
        <v>217</v>
      </c>
      <c r="K7" s="80">
        <v>27.36</v>
      </c>
      <c r="L7" s="80">
        <f t="shared" si="0"/>
        <v>1.0729411764705883</v>
      </c>
      <c r="M7" s="81">
        <f>prodnorm36</f>
        <v>0</v>
      </c>
      <c r="N7" s="82">
        <f>dagwerk36</f>
        <v>0</v>
      </c>
      <c r="O7" s="78" t="s">
        <v>103</v>
      </c>
      <c r="P7" s="15">
        <f>uurtarief36</f>
        <v>0</v>
      </c>
      <c r="Q7" s="80" t="e">
        <f t="shared" si="1"/>
        <v>#DIV/0!</v>
      </c>
      <c r="R7" s="80" t="e">
        <f t="shared" si="2"/>
        <v>#DIV/0!</v>
      </c>
      <c r="S7" s="15" t="e">
        <f t="shared" si="3"/>
        <v>#DIV/0!</v>
      </c>
      <c r="T7" s="80" t="e">
        <f t="shared" si="4"/>
        <v>#DIV/0!</v>
      </c>
      <c r="U7" s="16" t="e">
        <f t="shared" si="5"/>
        <v>#DIV/0!</v>
      </c>
    </row>
    <row r="8" spans="1:21" ht="27" x14ac:dyDescent="0.3">
      <c r="A8" s="77" t="s">
        <v>844</v>
      </c>
      <c r="B8" s="78" t="s">
        <v>40</v>
      </c>
      <c r="C8" s="78" t="s">
        <v>280</v>
      </c>
      <c r="D8" s="78" t="s">
        <v>891</v>
      </c>
      <c r="E8" s="79" t="s">
        <v>892</v>
      </c>
      <c r="F8" s="78" t="s">
        <v>848</v>
      </c>
      <c r="G8" s="78" t="s">
        <v>264</v>
      </c>
      <c r="H8" s="78" t="s">
        <v>21</v>
      </c>
      <c r="I8" s="78" t="s">
        <v>214</v>
      </c>
      <c r="J8" s="79" t="s">
        <v>257</v>
      </c>
      <c r="K8" s="80">
        <v>14.51</v>
      </c>
      <c r="L8" s="80">
        <f t="shared" si="0"/>
        <v>0.56901960784313721</v>
      </c>
      <c r="M8" s="81">
        <f>prodnorm39</f>
        <v>0</v>
      </c>
      <c r="N8" s="82">
        <f>dagwerk39</f>
        <v>0</v>
      </c>
      <c r="O8" s="78" t="s">
        <v>103</v>
      </c>
      <c r="P8" s="15">
        <f>uurtarief39</f>
        <v>0</v>
      </c>
      <c r="Q8" s="80" t="e">
        <f t="shared" si="1"/>
        <v>#DIV/0!</v>
      </c>
      <c r="R8" s="80" t="e">
        <f t="shared" si="2"/>
        <v>#DIV/0!</v>
      </c>
      <c r="S8" s="15" t="e">
        <f t="shared" si="3"/>
        <v>#DIV/0!</v>
      </c>
      <c r="T8" s="80" t="e">
        <f t="shared" si="4"/>
        <v>#DIV/0!</v>
      </c>
      <c r="U8" s="16" t="e">
        <f t="shared" si="5"/>
        <v>#DIV/0!</v>
      </c>
    </row>
    <row r="9" spans="1:21" x14ac:dyDescent="0.3">
      <c r="A9" s="77" t="s">
        <v>844</v>
      </c>
      <c r="B9" s="78" t="s">
        <v>40</v>
      </c>
      <c r="C9" s="78" t="s">
        <v>280</v>
      </c>
      <c r="D9" s="78" t="s">
        <v>893</v>
      </c>
      <c r="E9" s="79" t="s">
        <v>511</v>
      </c>
      <c r="F9" s="78" t="s">
        <v>848</v>
      </c>
      <c r="G9" s="78" t="s">
        <v>262</v>
      </c>
      <c r="H9" s="78" t="s">
        <v>21</v>
      </c>
      <c r="I9" s="78" t="s">
        <v>214</v>
      </c>
      <c r="J9" s="79" t="s">
        <v>217</v>
      </c>
      <c r="K9" s="80">
        <v>45.4</v>
      </c>
      <c r="L9" s="80">
        <f t="shared" si="0"/>
        <v>1.780392156862745</v>
      </c>
      <c r="M9" s="81">
        <f>prodnorm36</f>
        <v>0</v>
      </c>
      <c r="N9" s="82">
        <f>dagwerk36</f>
        <v>0</v>
      </c>
      <c r="O9" s="78" t="s">
        <v>103</v>
      </c>
      <c r="P9" s="15">
        <f>uurtarief36</f>
        <v>0</v>
      </c>
      <c r="Q9" s="80" t="e">
        <f t="shared" si="1"/>
        <v>#DIV/0!</v>
      </c>
      <c r="R9" s="80" t="e">
        <f t="shared" si="2"/>
        <v>#DIV/0!</v>
      </c>
      <c r="S9" s="15" t="e">
        <f t="shared" si="3"/>
        <v>#DIV/0!</v>
      </c>
      <c r="T9" s="80" t="e">
        <f t="shared" si="4"/>
        <v>#DIV/0!</v>
      </c>
      <c r="U9" s="16" t="e">
        <f t="shared" si="5"/>
        <v>#DIV/0!</v>
      </c>
    </row>
    <row r="10" spans="1:21" x14ac:dyDescent="0.3">
      <c r="A10" s="77" t="s">
        <v>844</v>
      </c>
      <c r="B10" s="78" t="s">
        <v>40</v>
      </c>
      <c r="C10" s="78" t="s">
        <v>280</v>
      </c>
      <c r="D10" s="78" t="s">
        <v>894</v>
      </c>
      <c r="E10" s="79" t="s">
        <v>895</v>
      </c>
      <c r="F10" s="78" t="s">
        <v>848</v>
      </c>
      <c r="G10" s="78" t="s">
        <v>262</v>
      </c>
      <c r="H10" s="78" t="s">
        <v>21</v>
      </c>
      <c r="I10" s="78" t="s">
        <v>214</v>
      </c>
      <c r="J10" s="79" t="s">
        <v>217</v>
      </c>
      <c r="K10" s="80">
        <v>13.97</v>
      </c>
      <c r="L10" s="80">
        <f t="shared" si="0"/>
        <v>0.54784313725490197</v>
      </c>
      <c r="M10" s="81">
        <f>prodnorm36</f>
        <v>0</v>
      </c>
      <c r="N10" s="82">
        <f>dagwerk36</f>
        <v>0</v>
      </c>
      <c r="O10" s="78" t="s">
        <v>103</v>
      </c>
      <c r="P10" s="15">
        <f>uurtarief36</f>
        <v>0</v>
      </c>
      <c r="Q10" s="80" t="e">
        <f t="shared" si="1"/>
        <v>#DIV/0!</v>
      </c>
      <c r="R10" s="80" t="e">
        <f t="shared" si="2"/>
        <v>#DIV/0!</v>
      </c>
      <c r="S10" s="15" t="e">
        <f t="shared" si="3"/>
        <v>#DIV/0!</v>
      </c>
      <c r="T10" s="80" t="e">
        <f t="shared" si="4"/>
        <v>#DIV/0!</v>
      </c>
      <c r="U10" s="16" t="e">
        <f t="shared" si="5"/>
        <v>#DIV/0!</v>
      </c>
    </row>
    <row r="11" spans="1:21" x14ac:dyDescent="0.3">
      <c r="A11" s="77" t="s">
        <v>844</v>
      </c>
      <c r="B11" s="78" t="s">
        <v>40</v>
      </c>
      <c r="C11" s="78" t="s">
        <v>280</v>
      </c>
      <c r="D11" s="78" t="s">
        <v>894</v>
      </c>
      <c r="E11" s="79" t="s">
        <v>895</v>
      </c>
      <c r="F11" s="78" t="s">
        <v>848</v>
      </c>
      <c r="G11" s="78" t="s">
        <v>262</v>
      </c>
      <c r="H11" s="78" t="s">
        <v>21</v>
      </c>
      <c r="I11" s="78" t="s">
        <v>214</v>
      </c>
      <c r="J11" s="79" t="s">
        <v>217</v>
      </c>
      <c r="K11" s="80">
        <v>64.760000000000005</v>
      </c>
      <c r="L11" s="80">
        <f t="shared" si="0"/>
        <v>2.5396078431372549</v>
      </c>
      <c r="M11" s="81">
        <f>prodnorm36</f>
        <v>0</v>
      </c>
      <c r="N11" s="82">
        <f>dagwerk36</f>
        <v>0</v>
      </c>
      <c r="O11" s="78" t="s">
        <v>103</v>
      </c>
      <c r="P11" s="15">
        <f>uurtarief36</f>
        <v>0</v>
      </c>
      <c r="Q11" s="80" t="e">
        <f t="shared" si="1"/>
        <v>#DIV/0!</v>
      </c>
      <c r="R11" s="80" t="e">
        <f t="shared" si="2"/>
        <v>#DIV/0!</v>
      </c>
      <c r="S11" s="15" t="e">
        <f t="shared" si="3"/>
        <v>#DIV/0!</v>
      </c>
      <c r="T11" s="80" t="e">
        <f t="shared" si="4"/>
        <v>#DIV/0!</v>
      </c>
      <c r="U11" s="16" t="e">
        <f t="shared" si="5"/>
        <v>#DIV/0!</v>
      </c>
    </row>
    <row r="12" spans="1:21" x14ac:dyDescent="0.3">
      <c r="A12" s="77" t="s">
        <v>844</v>
      </c>
      <c r="B12" s="78" t="s">
        <v>40</v>
      </c>
      <c r="C12" s="78" t="s">
        <v>280</v>
      </c>
      <c r="D12" s="78" t="s">
        <v>896</v>
      </c>
      <c r="E12" s="79" t="s">
        <v>511</v>
      </c>
      <c r="F12" s="78" t="s">
        <v>848</v>
      </c>
      <c r="G12" s="78" t="s">
        <v>262</v>
      </c>
      <c r="H12" s="78" t="s">
        <v>21</v>
      </c>
      <c r="I12" s="78" t="s">
        <v>214</v>
      </c>
      <c r="J12" s="79" t="s">
        <v>217</v>
      </c>
      <c r="K12" s="80">
        <v>27.39</v>
      </c>
      <c r="L12" s="80">
        <f t="shared" si="0"/>
        <v>1.0741176470588236</v>
      </c>
      <c r="M12" s="81">
        <f>prodnorm36</f>
        <v>0</v>
      </c>
      <c r="N12" s="82">
        <f>dagwerk36</f>
        <v>0</v>
      </c>
      <c r="O12" s="78" t="s">
        <v>103</v>
      </c>
      <c r="P12" s="15">
        <f>uurtarief36</f>
        <v>0</v>
      </c>
      <c r="Q12" s="80" t="e">
        <f t="shared" si="1"/>
        <v>#DIV/0!</v>
      </c>
      <c r="R12" s="80" t="e">
        <f t="shared" si="2"/>
        <v>#DIV/0!</v>
      </c>
      <c r="S12" s="15" t="e">
        <f t="shared" si="3"/>
        <v>#DIV/0!</v>
      </c>
      <c r="T12" s="80" t="e">
        <f t="shared" si="4"/>
        <v>#DIV/0!</v>
      </c>
      <c r="U12" s="16" t="e">
        <f t="shared" si="5"/>
        <v>#DIV/0!</v>
      </c>
    </row>
    <row r="13" spans="1:21" x14ac:dyDescent="0.3">
      <c r="A13" s="77" t="s">
        <v>844</v>
      </c>
      <c r="B13" s="78" t="s">
        <v>40</v>
      </c>
      <c r="C13" s="78" t="s">
        <v>280</v>
      </c>
      <c r="D13" s="78" t="s">
        <v>915</v>
      </c>
      <c r="E13" s="79" t="s">
        <v>419</v>
      </c>
      <c r="F13" s="78" t="s">
        <v>591</v>
      </c>
      <c r="G13" s="78" t="s">
        <v>263</v>
      </c>
      <c r="H13" s="78" t="s">
        <v>21</v>
      </c>
      <c r="I13" s="78" t="s">
        <v>214</v>
      </c>
      <c r="J13" s="79" t="s">
        <v>251</v>
      </c>
      <c r="K13" s="80">
        <v>1.41</v>
      </c>
      <c r="L13" s="80">
        <f t="shared" si="0"/>
        <v>5.529411764705882E-2</v>
      </c>
      <c r="M13" s="81">
        <f>prodnorm38</f>
        <v>0</v>
      </c>
      <c r="N13" s="82">
        <f>dagwerk38</f>
        <v>0</v>
      </c>
      <c r="O13" s="78" t="s">
        <v>103</v>
      </c>
      <c r="P13" s="15">
        <f>uurtarief38</f>
        <v>0</v>
      </c>
      <c r="Q13" s="80" t="e">
        <f t="shared" si="1"/>
        <v>#DIV/0!</v>
      </c>
      <c r="R13" s="80" t="e">
        <f t="shared" si="2"/>
        <v>#DIV/0!</v>
      </c>
      <c r="S13" s="15" t="e">
        <f t="shared" si="3"/>
        <v>#DIV/0!</v>
      </c>
      <c r="T13" s="80" t="e">
        <f t="shared" si="4"/>
        <v>#DIV/0!</v>
      </c>
      <c r="U13" s="16" t="e">
        <f t="shared" si="5"/>
        <v>#DIV/0!</v>
      </c>
    </row>
    <row r="14" spans="1:21" x14ac:dyDescent="0.3">
      <c r="A14" s="77" t="s">
        <v>844</v>
      </c>
      <c r="B14" s="78" t="s">
        <v>40</v>
      </c>
      <c r="C14" s="78" t="s">
        <v>280</v>
      </c>
      <c r="D14" s="78" t="s">
        <v>916</v>
      </c>
      <c r="E14" s="79" t="s">
        <v>917</v>
      </c>
      <c r="F14" s="78" t="s">
        <v>591</v>
      </c>
      <c r="G14" s="78" t="s">
        <v>263</v>
      </c>
      <c r="H14" s="78" t="s">
        <v>21</v>
      </c>
      <c r="I14" s="78" t="s">
        <v>214</v>
      </c>
      <c r="J14" s="79" t="s">
        <v>251</v>
      </c>
      <c r="K14" s="80">
        <v>13.5</v>
      </c>
      <c r="L14" s="80">
        <f t="shared" si="0"/>
        <v>0.52941176470588236</v>
      </c>
      <c r="M14" s="81">
        <f>prodnorm38</f>
        <v>0</v>
      </c>
      <c r="N14" s="82">
        <f>dagwerk38</f>
        <v>0</v>
      </c>
      <c r="O14" s="78" t="s">
        <v>103</v>
      </c>
      <c r="P14" s="15">
        <f>uurtarief38</f>
        <v>0</v>
      </c>
      <c r="Q14" s="80" t="e">
        <f t="shared" si="1"/>
        <v>#DIV/0!</v>
      </c>
      <c r="R14" s="80" t="e">
        <f t="shared" si="2"/>
        <v>#DIV/0!</v>
      </c>
      <c r="S14" s="15" t="e">
        <f t="shared" si="3"/>
        <v>#DIV/0!</v>
      </c>
      <c r="T14" s="80" t="e">
        <f t="shared" si="4"/>
        <v>#DIV/0!</v>
      </c>
      <c r="U14" s="16" t="e">
        <f t="shared" si="5"/>
        <v>#DIV/0!</v>
      </c>
    </row>
    <row r="15" spans="1:21" x14ac:dyDescent="0.3">
      <c r="A15" s="84" t="s">
        <v>844</v>
      </c>
      <c r="B15" s="85" t="s">
        <v>40</v>
      </c>
      <c r="C15" s="85" t="s">
        <v>556</v>
      </c>
      <c r="D15" s="85" t="s">
        <v>1024</v>
      </c>
      <c r="E15" s="86" t="s">
        <v>511</v>
      </c>
      <c r="F15" s="85" t="s">
        <v>848</v>
      </c>
      <c r="G15" s="85" t="s">
        <v>262</v>
      </c>
      <c r="H15" s="85" t="s">
        <v>21</v>
      </c>
      <c r="I15" s="85" t="s">
        <v>214</v>
      </c>
      <c r="J15" s="86" t="s">
        <v>217</v>
      </c>
      <c r="K15" s="87">
        <v>28.34</v>
      </c>
      <c r="L15" s="87">
        <f t="shared" si="0"/>
        <v>1.1113725490196078</v>
      </c>
      <c r="M15" s="88">
        <f>prodnorm36</f>
        <v>0</v>
      </c>
      <c r="N15" s="89">
        <f>dagwerk36</f>
        <v>0</v>
      </c>
      <c r="O15" s="85" t="s">
        <v>103</v>
      </c>
      <c r="P15" s="24">
        <f>uurtarief36</f>
        <v>0</v>
      </c>
      <c r="Q15" s="87" t="e">
        <f t="shared" si="1"/>
        <v>#DIV/0!</v>
      </c>
      <c r="R15" s="87" t="e">
        <f t="shared" si="2"/>
        <v>#DIV/0!</v>
      </c>
      <c r="S15" s="24" t="e">
        <f t="shared" si="3"/>
        <v>#DIV/0!</v>
      </c>
      <c r="T15" s="87" t="e">
        <f t="shared" si="4"/>
        <v>#DIV/0!</v>
      </c>
      <c r="U15" s="25" t="e">
        <f t="shared" si="5"/>
        <v>#DIV/0!</v>
      </c>
    </row>
    <row r="16" spans="1:21" x14ac:dyDescent="0.3">
      <c r="A16" s="90" t="s">
        <v>1344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2" t="e">
        <f>IF(_xlfn.SINGLE(object5_urenjaar2)&gt;0,_xlfn.SINGLE(object5_prijsjaar2)/_xlfn.SINGLE(object5_urenjaar2),0)</f>
        <v>#DIV/0!</v>
      </c>
      <c r="Q16" s="61" t="e">
        <f>SUM(Q5:Q15)</f>
        <v>#DIV/0!</v>
      </c>
      <c r="R16" s="61" t="e">
        <f>SUM(R5:R15)</f>
        <v>#DIV/0!</v>
      </c>
      <c r="S16" s="62" t="e">
        <f>SUM(S5:S15)</f>
        <v>#DIV/0!</v>
      </c>
      <c r="T16" s="61" t="e">
        <f>SUM(T5:T15)</f>
        <v>#DIV/0!</v>
      </c>
      <c r="U16" s="63" t="e">
        <f>SUM(U5:U15)</f>
        <v>#DIV/0!</v>
      </c>
    </row>
    <row r="17" spans="1:21" x14ac:dyDescent="0.3">
      <c r="A17" s="68" t="s">
        <v>1042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58"/>
    </row>
    <row r="18" spans="1:21" ht="27" x14ac:dyDescent="0.3">
      <c r="A18" s="69" t="s">
        <v>1043</v>
      </c>
      <c r="B18" s="70" t="s">
        <v>40</v>
      </c>
      <c r="C18" s="70" t="s">
        <v>280</v>
      </c>
      <c r="D18" s="70" t="s">
        <v>301</v>
      </c>
      <c r="E18" s="71" t="s">
        <v>1048</v>
      </c>
      <c r="F18" s="70" t="s">
        <v>509</v>
      </c>
      <c r="G18" s="70" t="s">
        <v>264</v>
      </c>
      <c r="H18" s="70" t="s">
        <v>23</v>
      </c>
      <c r="I18" s="70" t="s">
        <v>214</v>
      </c>
      <c r="J18" s="71" t="s">
        <v>257</v>
      </c>
      <c r="K18" s="72">
        <v>38.200000000000003</v>
      </c>
      <c r="L18" s="72">
        <f t="shared" ref="L18:L39" si="6">K18*VLOOKUP(H18,dagsoorttabel1,2,FALSE)</f>
        <v>0.59921568627450983</v>
      </c>
      <c r="M18" s="73">
        <f>prodnorm40</f>
        <v>0</v>
      </c>
      <c r="N18" s="74">
        <f>dagwerk40</f>
        <v>0</v>
      </c>
      <c r="O18" s="70" t="s">
        <v>103</v>
      </c>
      <c r="P18" s="75">
        <f>uurtarief40</f>
        <v>0</v>
      </c>
      <c r="Q18" s="72" t="e">
        <f t="shared" ref="Q18:Q39" si="7">IF(ISBLANK(M18),0,L18/ROUND(M18,4))</f>
        <v>#DIV/0!</v>
      </c>
      <c r="R18" s="72" t="e">
        <f t="shared" ref="R18:R39" si="8">IF(ISBLANK(M18),0,Q18*ROUND(N18,2))</f>
        <v>#DIV/0!</v>
      </c>
      <c r="S18" s="75" t="e">
        <f t="shared" ref="S18:S39" si="9">ROUND(P18,2)*Q18</f>
        <v>#DIV/0!</v>
      </c>
      <c r="T18" s="72" t="e">
        <f t="shared" ref="T18:T39" si="10">Q18*dagenperjaar1</f>
        <v>#DIV/0!</v>
      </c>
      <c r="U18" s="76" t="e">
        <f t="shared" ref="U18:U39" si="11">T18*ROUND(P18,2)</f>
        <v>#DIV/0!</v>
      </c>
    </row>
    <row r="19" spans="1:21" x14ac:dyDescent="0.3">
      <c r="A19" s="77" t="s">
        <v>1043</v>
      </c>
      <c r="B19" s="78" t="s">
        <v>40</v>
      </c>
      <c r="C19" s="78" t="s">
        <v>280</v>
      </c>
      <c r="D19" s="78" t="s">
        <v>322</v>
      </c>
      <c r="E19" s="79" t="s">
        <v>490</v>
      </c>
      <c r="F19" s="78" t="s">
        <v>768</v>
      </c>
      <c r="G19" s="78" t="s">
        <v>262</v>
      </c>
      <c r="H19" s="78" t="s">
        <v>23</v>
      </c>
      <c r="I19" s="78" t="s">
        <v>214</v>
      </c>
      <c r="J19" s="79" t="s">
        <v>217</v>
      </c>
      <c r="K19" s="80">
        <v>8</v>
      </c>
      <c r="L19" s="80">
        <f t="shared" si="6"/>
        <v>0.12549019607843137</v>
      </c>
      <c r="M19" s="81">
        <f t="shared" ref="M19:M24" si="12">prodnorm37</f>
        <v>0</v>
      </c>
      <c r="N19" s="82">
        <f t="shared" ref="N19:N24" si="13">dagwerk37</f>
        <v>0</v>
      </c>
      <c r="O19" s="78" t="s">
        <v>103</v>
      </c>
      <c r="P19" s="15">
        <f t="shared" ref="P19:P24" si="14">uurtarief37</f>
        <v>0</v>
      </c>
      <c r="Q19" s="80" t="e">
        <f t="shared" si="7"/>
        <v>#DIV/0!</v>
      </c>
      <c r="R19" s="80" t="e">
        <f t="shared" si="8"/>
        <v>#DIV/0!</v>
      </c>
      <c r="S19" s="15" t="e">
        <f t="shared" si="9"/>
        <v>#DIV/0!</v>
      </c>
      <c r="T19" s="80" t="e">
        <f t="shared" si="10"/>
        <v>#DIV/0!</v>
      </c>
      <c r="U19" s="16" t="e">
        <f t="shared" si="11"/>
        <v>#DIV/0!</v>
      </c>
    </row>
    <row r="20" spans="1:21" x14ac:dyDescent="0.3">
      <c r="A20" s="77" t="s">
        <v>1043</v>
      </c>
      <c r="B20" s="78" t="s">
        <v>40</v>
      </c>
      <c r="C20" s="78" t="s">
        <v>280</v>
      </c>
      <c r="D20" s="78" t="s">
        <v>545</v>
      </c>
      <c r="E20" s="79" t="s">
        <v>1061</v>
      </c>
      <c r="F20" s="78" t="s">
        <v>768</v>
      </c>
      <c r="G20" s="78" t="s">
        <v>262</v>
      </c>
      <c r="H20" s="78" t="s">
        <v>23</v>
      </c>
      <c r="I20" s="78" t="s">
        <v>214</v>
      </c>
      <c r="J20" s="79" t="s">
        <v>217</v>
      </c>
      <c r="K20" s="80">
        <v>32</v>
      </c>
      <c r="L20" s="80">
        <f t="shared" si="6"/>
        <v>0.50196078431372548</v>
      </c>
      <c r="M20" s="81">
        <f t="shared" si="12"/>
        <v>0</v>
      </c>
      <c r="N20" s="82">
        <f t="shared" si="13"/>
        <v>0</v>
      </c>
      <c r="O20" s="78" t="s">
        <v>103</v>
      </c>
      <c r="P20" s="15">
        <f t="shared" si="14"/>
        <v>0</v>
      </c>
      <c r="Q20" s="80" t="e">
        <f t="shared" si="7"/>
        <v>#DIV/0!</v>
      </c>
      <c r="R20" s="80" t="e">
        <f t="shared" si="8"/>
        <v>#DIV/0!</v>
      </c>
      <c r="S20" s="15" t="e">
        <f t="shared" si="9"/>
        <v>#DIV/0!</v>
      </c>
      <c r="T20" s="80" t="e">
        <f t="shared" si="10"/>
        <v>#DIV/0!</v>
      </c>
      <c r="U20" s="16" t="e">
        <f t="shared" si="11"/>
        <v>#DIV/0!</v>
      </c>
    </row>
    <row r="21" spans="1:21" x14ac:dyDescent="0.3">
      <c r="A21" s="77" t="s">
        <v>1043</v>
      </c>
      <c r="B21" s="78" t="s">
        <v>40</v>
      </c>
      <c r="C21" s="78" t="s">
        <v>280</v>
      </c>
      <c r="D21" s="78" t="s">
        <v>637</v>
      </c>
      <c r="E21" s="79" t="s">
        <v>1065</v>
      </c>
      <c r="F21" s="78" t="s">
        <v>509</v>
      </c>
      <c r="G21" s="78" t="s">
        <v>262</v>
      </c>
      <c r="H21" s="78" t="s">
        <v>23</v>
      </c>
      <c r="I21" s="78" t="s">
        <v>214</v>
      </c>
      <c r="J21" s="79" t="s">
        <v>217</v>
      </c>
      <c r="K21" s="80">
        <v>21.1</v>
      </c>
      <c r="L21" s="80">
        <f t="shared" si="6"/>
        <v>0.33098039215686276</v>
      </c>
      <c r="M21" s="81">
        <f t="shared" si="12"/>
        <v>0</v>
      </c>
      <c r="N21" s="82">
        <f t="shared" si="13"/>
        <v>0</v>
      </c>
      <c r="O21" s="78" t="s">
        <v>103</v>
      </c>
      <c r="P21" s="15">
        <f t="shared" si="14"/>
        <v>0</v>
      </c>
      <c r="Q21" s="80" t="e">
        <f t="shared" si="7"/>
        <v>#DIV/0!</v>
      </c>
      <c r="R21" s="80" t="e">
        <f t="shared" si="8"/>
        <v>#DIV/0!</v>
      </c>
      <c r="S21" s="15" t="e">
        <f t="shared" si="9"/>
        <v>#DIV/0!</v>
      </c>
      <c r="T21" s="80" t="e">
        <f t="shared" si="10"/>
        <v>#DIV/0!</v>
      </c>
      <c r="U21" s="16" t="e">
        <f t="shared" si="11"/>
        <v>#DIV/0!</v>
      </c>
    </row>
    <row r="22" spans="1:21" x14ac:dyDescent="0.3">
      <c r="A22" s="77" t="s">
        <v>1043</v>
      </c>
      <c r="B22" s="78" t="s">
        <v>40</v>
      </c>
      <c r="C22" s="78" t="s">
        <v>280</v>
      </c>
      <c r="D22" s="78" t="s">
        <v>640</v>
      </c>
      <c r="E22" s="79" t="s">
        <v>511</v>
      </c>
      <c r="F22" s="78" t="s">
        <v>768</v>
      </c>
      <c r="G22" s="78" t="s">
        <v>262</v>
      </c>
      <c r="H22" s="78" t="s">
        <v>23</v>
      </c>
      <c r="I22" s="78" t="s">
        <v>214</v>
      </c>
      <c r="J22" s="79" t="s">
        <v>217</v>
      </c>
      <c r="K22" s="80">
        <v>16</v>
      </c>
      <c r="L22" s="80">
        <f t="shared" si="6"/>
        <v>0.25098039215686274</v>
      </c>
      <c r="M22" s="81">
        <f t="shared" si="12"/>
        <v>0</v>
      </c>
      <c r="N22" s="82">
        <f t="shared" si="13"/>
        <v>0</v>
      </c>
      <c r="O22" s="78" t="s">
        <v>103</v>
      </c>
      <c r="P22" s="15">
        <f t="shared" si="14"/>
        <v>0</v>
      </c>
      <c r="Q22" s="80" t="e">
        <f t="shared" si="7"/>
        <v>#DIV/0!</v>
      </c>
      <c r="R22" s="80" t="e">
        <f t="shared" si="8"/>
        <v>#DIV/0!</v>
      </c>
      <c r="S22" s="15" t="e">
        <f t="shared" si="9"/>
        <v>#DIV/0!</v>
      </c>
      <c r="T22" s="80" t="e">
        <f t="shared" si="10"/>
        <v>#DIV/0!</v>
      </c>
      <c r="U22" s="16" t="e">
        <f t="shared" si="11"/>
        <v>#DIV/0!</v>
      </c>
    </row>
    <row r="23" spans="1:21" x14ac:dyDescent="0.3">
      <c r="A23" s="77" t="s">
        <v>1043</v>
      </c>
      <c r="B23" s="78" t="s">
        <v>40</v>
      </c>
      <c r="C23" s="78" t="s">
        <v>280</v>
      </c>
      <c r="D23" s="78" t="s">
        <v>641</v>
      </c>
      <c r="E23" s="79" t="s">
        <v>511</v>
      </c>
      <c r="F23" s="78" t="s">
        <v>768</v>
      </c>
      <c r="G23" s="78" t="s">
        <v>262</v>
      </c>
      <c r="H23" s="78" t="s">
        <v>23</v>
      </c>
      <c r="I23" s="78" t="s">
        <v>214</v>
      </c>
      <c r="J23" s="79" t="s">
        <v>217</v>
      </c>
      <c r="K23" s="80">
        <v>16</v>
      </c>
      <c r="L23" s="80">
        <f t="shared" si="6"/>
        <v>0.25098039215686274</v>
      </c>
      <c r="M23" s="81">
        <f t="shared" si="12"/>
        <v>0</v>
      </c>
      <c r="N23" s="82">
        <f t="shared" si="13"/>
        <v>0</v>
      </c>
      <c r="O23" s="78" t="s">
        <v>103</v>
      </c>
      <c r="P23" s="15">
        <f t="shared" si="14"/>
        <v>0</v>
      </c>
      <c r="Q23" s="80" t="e">
        <f t="shared" si="7"/>
        <v>#DIV/0!</v>
      </c>
      <c r="R23" s="80" t="e">
        <f t="shared" si="8"/>
        <v>#DIV/0!</v>
      </c>
      <c r="S23" s="15" t="e">
        <f t="shared" si="9"/>
        <v>#DIV/0!</v>
      </c>
      <c r="T23" s="80" t="e">
        <f t="shared" si="10"/>
        <v>#DIV/0!</v>
      </c>
      <c r="U23" s="16" t="e">
        <f t="shared" si="11"/>
        <v>#DIV/0!</v>
      </c>
    </row>
    <row r="24" spans="1:21" x14ac:dyDescent="0.3">
      <c r="A24" s="77" t="s">
        <v>1043</v>
      </c>
      <c r="B24" s="78" t="s">
        <v>40</v>
      </c>
      <c r="C24" s="78" t="s">
        <v>280</v>
      </c>
      <c r="D24" s="78" t="s">
        <v>653</v>
      </c>
      <c r="E24" s="79" t="s">
        <v>1073</v>
      </c>
      <c r="F24" s="78" t="s">
        <v>509</v>
      </c>
      <c r="G24" s="78" t="s">
        <v>262</v>
      </c>
      <c r="H24" s="78" t="s">
        <v>23</v>
      </c>
      <c r="I24" s="78" t="s">
        <v>214</v>
      </c>
      <c r="J24" s="79" t="s">
        <v>217</v>
      </c>
      <c r="K24" s="80">
        <v>22.9</v>
      </c>
      <c r="L24" s="80">
        <f t="shared" si="6"/>
        <v>0.35921568627450978</v>
      </c>
      <c r="M24" s="81">
        <f t="shared" si="12"/>
        <v>0</v>
      </c>
      <c r="N24" s="82">
        <f t="shared" si="13"/>
        <v>0</v>
      </c>
      <c r="O24" s="78" t="s">
        <v>103</v>
      </c>
      <c r="P24" s="15">
        <f t="shared" si="14"/>
        <v>0</v>
      </c>
      <c r="Q24" s="80" t="e">
        <f t="shared" si="7"/>
        <v>#DIV/0!</v>
      </c>
      <c r="R24" s="80" t="e">
        <f t="shared" si="8"/>
        <v>#DIV/0!</v>
      </c>
      <c r="S24" s="15" t="e">
        <f t="shared" si="9"/>
        <v>#DIV/0!</v>
      </c>
      <c r="T24" s="80" t="e">
        <f t="shared" si="10"/>
        <v>#DIV/0!</v>
      </c>
      <c r="U24" s="16" t="e">
        <f t="shared" si="11"/>
        <v>#DIV/0!</v>
      </c>
    </row>
    <row r="25" spans="1:21" ht="27" x14ac:dyDescent="0.3">
      <c r="A25" s="77" t="s">
        <v>1043</v>
      </c>
      <c r="B25" s="78" t="s">
        <v>40</v>
      </c>
      <c r="C25" s="78" t="s">
        <v>280</v>
      </c>
      <c r="D25" s="78" t="s">
        <v>668</v>
      </c>
      <c r="E25" s="79" t="s">
        <v>1086</v>
      </c>
      <c r="F25" s="78" t="s">
        <v>509</v>
      </c>
      <c r="G25" s="78" t="s">
        <v>264</v>
      </c>
      <c r="H25" s="78" t="s">
        <v>23</v>
      </c>
      <c r="I25" s="78" t="s">
        <v>214</v>
      </c>
      <c r="J25" s="79" t="s">
        <v>257</v>
      </c>
      <c r="K25" s="80">
        <v>19.600000000000001</v>
      </c>
      <c r="L25" s="80">
        <f t="shared" si="6"/>
        <v>0.3074509803921569</v>
      </c>
      <c r="M25" s="81">
        <f>prodnorm40</f>
        <v>0</v>
      </c>
      <c r="N25" s="82">
        <f>dagwerk40</f>
        <v>0</v>
      </c>
      <c r="O25" s="78" t="s">
        <v>103</v>
      </c>
      <c r="P25" s="15">
        <f>uurtarief40</f>
        <v>0</v>
      </c>
      <c r="Q25" s="80" t="e">
        <f t="shared" si="7"/>
        <v>#DIV/0!</v>
      </c>
      <c r="R25" s="80" t="e">
        <f t="shared" si="8"/>
        <v>#DIV/0!</v>
      </c>
      <c r="S25" s="15" t="e">
        <f t="shared" si="9"/>
        <v>#DIV/0!</v>
      </c>
      <c r="T25" s="80" t="e">
        <f t="shared" si="10"/>
        <v>#DIV/0!</v>
      </c>
      <c r="U25" s="16" t="e">
        <f t="shared" si="11"/>
        <v>#DIV/0!</v>
      </c>
    </row>
    <row r="26" spans="1:21" x14ac:dyDescent="0.3">
      <c r="A26" s="77" t="s">
        <v>1043</v>
      </c>
      <c r="B26" s="78" t="s">
        <v>40</v>
      </c>
      <c r="C26" s="78" t="s">
        <v>338</v>
      </c>
      <c r="D26" s="78" t="s">
        <v>339</v>
      </c>
      <c r="E26" s="79" t="s">
        <v>795</v>
      </c>
      <c r="F26" s="78" t="s">
        <v>509</v>
      </c>
      <c r="G26" s="78" t="s">
        <v>262</v>
      </c>
      <c r="H26" s="78" t="s">
        <v>23</v>
      </c>
      <c r="I26" s="78" t="s">
        <v>214</v>
      </c>
      <c r="J26" s="79" t="s">
        <v>217</v>
      </c>
      <c r="K26" s="80">
        <v>121.1</v>
      </c>
      <c r="L26" s="80">
        <f t="shared" si="6"/>
        <v>1.8996078431372547</v>
      </c>
      <c r="M26" s="81">
        <f>prodnorm37</f>
        <v>0</v>
      </c>
      <c r="N26" s="82">
        <f>dagwerk37</f>
        <v>0</v>
      </c>
      <c r="O26" s="78" t="s">
        <v>103</v>
      </c>
      <c r="P26" s="15">
        <f>uurtarief37</f>
        <v>0</v>
      </c>
      <c r="Q26" s="80" t="e">
        <f t="shared" si="7"/>
        <v>#DIV/0!</v>
      </c>
      <c r="R26" s="80" t="e">
        <f t="shared" si="8"/>
        <v>#DIV/0!</v>
      </c>
      <c r="S26" s="15" t="e">
        <f t="shared" si="9"/>
        <v>#DIV/0!</v>
      </c>
      <c r="T26" s="80" t="e">
        <f t="shared" si="10"/>
        <v>#DIV/0!</v>
      </c>
      <c r="U26" s="16" t="e">
        <f t="shared" si="11"/>
        <v>#DIV/0!</v>
      </c>
    </row>
    <row r="27" spans="1:21" ht="27" x14ac:dyDescent="0.3">
      <c r="A27" s="77" t="s">
        <v>1043</v>
      </c>
      <c r="B27" s="78" t="s">
        <v>40</v>
      </c>
      <c r="C27" s="78" t="s">
        <v>338</v>
      </c>
      <c r="D27" s="78" t="s">
        <v>340</v>
      </c>
      <c r="E27" s="79" t="s">
        <v>331</v>
      </c>
      <c r="F27" s="78" t="s">
        <v>509</v>
      </c>
      <c r="G27" s="78" t="s">
        <v>264</v>
      </c>
      <c r="H27" s="78" t="s">
        <v>23</v>
      </c>
      <c r="I27" s="78" t="s">
        <v>214</v>
      </c>
      <c r="J27" s="79" t="s">
        <v>257</v>
      </c>
      <c r="K27" s="80">
        <v>26.7</v>
      </c>
      <c r="L27" s="80">
        <f t="shared" si="6"/>
        <v>0.41882352941176471</v>
      </c>
      <c r="M27" s="81">
        <f>prodnorm40</f>
        <v>0</v>
      </c>
      <c r="N27" s="82">
        <f>dagwerk40</f>
        <v>0</v>
      </c>
      <c r="O27" s="78" t="s">
        <v>103</v>
      </c>
      <c r="P27" s="15">
        <f>uurtarief40</f>
        <v>0</v>
      </c>
      <c r="Q27" s="80" t="e">
        <f t="shared" si="7"/>
        <v>#DIV/0!</v>
      </c>
      <c r="R27" s="80" t="e">
        <f t="shared" si="8"/>
        <v>#DIV/0!</v>
      </c>
      <c r="S27" s="15" t="e">
        <f t="shared" si="9"/>
        <v>#DIV/0!</v>
      </c>
      <c r="T27" s="80" t="e">
        <f t="shared" si="10"/>
        <v>#DIV/0!</v>
      </c>
      <c r="U27" s="16" t="e">
        <f t="shared" si="11"/>
        <v>#DIV/0!</v>
      </c>
    </row>
    <row r="28" spans="1:21" x14ac:dyDescent="0.3">
      <c r="A28" s="77" t="s">
        <v>1043</v>
      </c>
      <c r="B28" s="78" t="s">
        <v>40</v>
      </c>
      <c r="C28" s="78" t="s">
        <v>338</v>
      </c>
      <c r="D28" s="78" t="s">
        <v>346</v>
      </c>
      <c r="E28" s="79" t="s">
        <v>1061</v>
      </c>
      <c r="F28" s="78" t="s">
        <v>509</v>
      </c>
      <c r="G28" s="78" t="s">
        <v>262</v>
      </c>
      <c r="H28" s="78" t="s">
        <v>23</v>
      </c>
      <c r="I28" s="78" t="s">
        <v>214</v>
      </c>
      <c r="J28" s="79" t="s">
        <v>217</v>
      </c>
      <c r="K28" s="80">
        <v>26.6</v>
      </c>
      <c r="L28" s="80">
        <f t="shared" si="6"/>
        <v>0.41725490196078435</v>
      </c>
      <c r="M28" s="81">
        <f>prodnorm37</f>
        <v>0</v>
      </c>
      <c r="N28" s="82">
        <f>dagwerk37</f>
        <v>0</v>
      </c>
      <c r="O28" s="78" t="s">
        <v>103</v>
      </c>
      <c r="P28" s="15">
        <f>uurtarief37</f>
        <v>0</v>
      </c>
      <c r="Q28" s="80" t="e">
        <f t="shared" si="7"/>
        <v>#DIV/0!</v>
      </c>
      <c r="R28" s="80" t="e">
        <f t="shared" si="8"/>
        <v>#DIV/0!</v>
      </c>
      <c r="S28" s="15" t="e">
        <f t="shared" si="9"/>
        <v>#DIV/0!</v>
      </c>
      <c r="T28" s="80" t="e">
        <f t="shared" si="10"/>
        <v>#DIV/0!</v>
      </c>
      <c r="U28" s="16" t="e">
        <f t="shared" si="11"/>
        <v>#DIV/0!</v>
      </c>
    </row>
    <row r="29" spans="1:21" x14ac:dyDescent="0.3">
      <c r="A29" s="77" t="s">
        <v>1043</v>
      </c>
      <c r="B29" s="78" t="s">
        <v>40</v>
      </c>
      <c r="C29" s="78" t="s">
        <v>338</v>
      </c>
      <c r="D29" s="78" t="s">
        <v>347</v>
      </c>
      <c r="E29" s="79" t="s">
        <v>1091</v>
      </c>
      <c r="F29" s="78" t="s">
        <v>482</v>
      </c>
      <c r="G29" s="78" t="s">
        <v>262</v>
      </c>
      <c r="H29" s="78" t="s">
        <v>23</v>
      </c>
      <c r="I29" s="78" t="s">
        <v>214</v>
      </c>
      <c r="J29" s="79" t="s">
        <v>217</v>
      </c>
      <c r="K29" s="80">
        <v>53</v>
      </c>
      <c r="L29" s="80">
        <f t="shared" si="6"/>
        <v>0.83137254901960778</v>
      </c>
      <c r="M29" s="81">
        <f>prodnorm37</f>
        <v>0</v>
      </c>
      <c r="N29" s="82">
        <f>dagwerk37</f>
        <v>0</v>
      </c>
      <c r="O29" s="78" t="s">
        <v>103</v>
      </c>
      <c r="P29" s="15">
        <f>uurtarief37</f>
        <v>0</v>
      </c>
      <c r="Q29" s="80" t="e">
        <f t="shared" si="7"/>
        <v>#DIV/0!</v>
      </c>
      <c r="R29" s="80" t="e">
        <f t="shared" si="8"/>
        <v>#DIV/0!</v>
      </c>
      <c r="S29" s="15" t="e">
        <f t="shared" si="9"/>
        <v>#DIV/0!</v>
      </c>
      <c r="T29" s="80" t="e">
        <f t="shared" si="10"/>
        <v>#DIV/0!</v>
      </c>
      <c r="U29" s="16" t="e">
        <f t="shared" si="11"/>
        <v>#DIV/0!</v>
      </c>
    </row>
    <row r="30" spans="1:21" ht="27" x14ac:dyDescent="0.3">
      <c r="A30" s="77" t="s">
        <v>1043</v>
      </c>
      <c r="B30" s="78" t="s">
        <v>40</v>
      </c>
      <c r="C30" s="78" t="s">
        <v>338</v>
      </c>
      <c r="D30" s="78" t="s">
        <v>349</v>
      </c>
      <c r="E30" s="79" t="s">
        <v>1092</v>
      </c>
      <c r="F30" s="78" t="s">
        <v>509</v>
      </c>
      <c r="G30" s="78" t="s">
        <v>264</v>
      </c>
      <c r="H30" s="78" t="s">
        <v>23</v>
      </c>
      <c r="I30" s="78" t="s">
        <v>214</v>
      </c>
      <c r="J30" s="79" t="s">
        <v>257</v>
      </c>
      <c r="K30" s="80">
        <v>39.299999999999997</v>
      </c>
      <c r="L30" s="80">
        <f t="shared" si="6"/>
        <v>0.6164705882352941</v>
      </c>
      <c r="M30" s="81">
        <f>prodnorm40</f>
        <v>0</v>
      </c>
      <c r="N30" s="82">
        <f>dagwerk40</f>
        <v>0</v>
      </c>
      <c r="O30" s="78" t="s">
        <v>103</v>
      </c>
      <c r="P30" s="15">
        <f>uurtarief40</f>
        <v>0</v>
      </c>
      <c r="Q30" s="80" t="e">
        <f t="shared" si="7"/>
        <v>#DIV/0!</v>
      </c>
      <c r="R30" s="80" t="e">
        <f t="shared" si="8"/>
        <v>#DIV/0!</v>
      </c>
      <c r="S30" s="15" t="e">
        <f t="shared" si="9"/>
        <v>#DIV/0!</v>
      </c>
      <c r="T30" s="80" t="e">
        <f t="shared" si="10"/>
        <v>#DIV/0!</v>
      </c>
      <c r="U30" s="16" t="e">
        <f t="shared" si="11"/>
        <v>#DIV/0!</v>
      </c>
    </row>
    <row r="31" spans="1:21" x14ac:dyDescent="0.3">
      <c r="A31" s="77" t="s">
        <v>1043</v>
      </c>
      <c r="B31" s="78" t="s">
        <v>40</v>
      </c>
      <c r="C31" s="78" t="s">
        <v>338</v>
      </c>
      <c r="D31" s="78" t="s">
        <v>361</v>
      </c>
      <c r="E31" s="79" t="s">
        <v>1094</v>
      </c>
      <c r="F31" s="78" t="s">
        <v>482</v>
      </c>
      <c r="G31" s="78" t="s">
        <v>262</v>
      </c>
      <c r="H31" s="78" t="s">
        <v>23</v>
      </c>
      <c r="I31" s="78" t="s">
        <v>214</v>
      </c>
      <c r="J31" s="79" t="s">
        <v>217</v>
      </c>
      <c r="K31" s="80">
        <v>30</v>
      </c>
      <c r="L31" s="80">
        <f t="shared" si="6"/>
        <v>0.47058823529411764</v>
      </c>
      <c r="M31" s="81">
        <f>prodnorm37</f>
        <v>0</v>
      </c>
      <c r="N31" s="82">
        <f>dagwerk37</f>
        <v>0</v>
      </c>
      <c r="O31" s="78" t="s">
        <v>103</v>
      </c>
      <c r="P31" s="15">
        <f>uurtarief37</f>
        <v>0</v>
      </c>
      <c r="Q31" s="80" t="e">
        <f t="shared" si="7"/>
        <v>#DIV/0!</v>
      </c>
      <c r="R31" s="80" t="e">
        <f t="shared" si="8"/>
        <v>#DIV/0!</v>
      </c>
      <c r="S31" s="15" t="e">
        <f t="shared" si="9"/>
        <v>#DIV/0!</v>
      </c>
      <c r="T31" s="80" t="e">
        <f t="shared" si="10"/>
        <v>#DIV/0!</v>
      </c>
      <c r="U31" s="16" t="e">
        <f t="shared" si="11"/>
        <v>#DIV/0!</v>
      </c>
    </row>
    <row r="32" spans="1:21" x14ac:dyDescent="0.3">
      <c r="A32" s="77" t="s">
        <v>1043</v>
      </c>
      <c r="B32" s="78" t="s">
        <v>40</v>
      </c>
      <c r="C32" s="78" t="s">
        <v>338</v>
      </c>
      <c r="D32" s="78" t="s">
        <v>370</v>
      </c>
      <c r="E32" s="79" t="s">
        <v>1096</v>
      </c>
      <c r="F32" s="78" t="s">
        <v>509</v>
      </c>
      <c r="G32" s="78" t="s">
        <v>262</v>
      </c>
      <c r="H32" s="78" t="s">
        <v>23</v>
      </c>
      <c r="I32" s="78" t="s">
        <v>214</v>
      </c>
      <c r="J32" s="79" t="s">
        <v>217</v>
      </c>
      <c r="K32" s="80">
        <v>42</v>
      </c>
      <c r="L32" s="80">
        <f t="shared" si="6"/>
        <v>0.6588235294117647</v>
      </c>
      <c r="M32" s="81">
        <f>prodnorm37</f>
        <v>0</v>
      </c>
      <c r="N32" s="82">
        <f>dagwerk37</f>
        <v>0</v>
      </c>
      <c r="O32" s="78" t="s">
        <v>103</v>
      </c>
      <c r="P32" s="15">
        <f>uurtarief37</f>
        <v>0</v>
      </c>
      <c r="Q32" s="80" t="e">
        <f t="shared" si="7"/>
        <v>#DIV/0!</v>
      </c>
      <c r="R32" s="80" t="e">
        <f t="shared" si="8"/>
        <v>#DIV/0!</v>
      </c>
      <c r="S32" s="15" t="e">
        <f t="shared" si="9"/>
        <v>#DIV/0!</v>
      </c>
      <c r="T32" s="80" t="e">
        <f t="shared" si="10"/>
        <v>#DIV/0!</v>
      </c>
      <c r="U32" s="16" t="e">
        <f t="shared" si="11"/>
        <v>#DIV/0!</v>
      </c>
    </row>
    <row r="33" spans="1:21" x14ac:dyDescent="0.3">
      <c r="A33" s="77" t="s">
        <v>1043</v>
      </c>
      <c r="B33" s="78" t="s">
        <v>40</v>
      </c>
      <c r="C33" s="78" t="s">
        <v>338</v>
      </c>
      <c r="D33" s="78" t="s">
        <v>1097</v>
      </c>
      <c r="E33" s="79" t="s">
        <v>1098</v>
      </c>
      <c r="F33" s="78" t="s">
        <v>509</v>
      </c>
      <c r="G33" s="78" t="s">
        <v>262</v>
      </c>
      <c r="H33" s="78" t="s">
        <v>23</v>
      </c>
      <c r="I33" s="78" t="s">
        <v>214</v>
      </c>
      <c r="J33" s="79" t="s">
        <v>217</v>
      </c>
      <c r="K33" s="80">
        <v>20</v>
      </c>
      <c r="L33" s="80">
        <f t="shared" si="6"/>
        <v>0.31372549019607843</v>
      </c>
      <c r="M33" s="81">
        <f>prodnorm37</f>
        <v>0</v>
      </c>
      <c r="N33" s="82">
        <f>dagwerk37</f>
        <v>0</v>
      </c>
      <c r="O33" s="78" t="s">
        <v>103</v>
      </c>
      <c r="P33" s="15">
        <f>uurtarief37</f>
        <v>0</v>
      </c>
      <c r="Q33" s="80" t="e">
        <f t="shared" si="7"/>
        <v>#DIV/0!</v>
      </c>
      <c r="R33" s="80" t="e">
        <f t="shared" si="8"/>
        <v>#DIV/0!</v>
      </c>
      <c r="S33" s="15" t="e">
        <f t="shared" si="9"/>
        <v>#DIV/0!</v>
      </c>
      <c r="T33" s="80" t="e">
        <f t="shared" si="10"/>
        <v>#DIV/0!</v>
      </c>
      <c r="U33" s="16" t="e">
        <f t="shared" si="11"/>
        <v>#DIV/0!</v>
      </c>
    </row>
    <row r="34" spans="1:21" ht="27" x14ac:dyDescent="0.3">
      <c r="A34" s="77" t="s">
        <v>1043</v>
      </c>
      <c r="B34" s="78" t="s">
        <v>40</v>
      </c>
      <c r="C34" s="78" t="s">
        <v>556</v>
      </c>
      <c r="D34" s="78" t="s">
        <v>567</v>
      </c>
      <c r="E34" s="79" t="s">
        <v>1103</v>
      </c>
      <c r="F34" s="78" t="s">
        <v>509</v>
      </c>
      <c r="G34" s="78" t="s">
        <v>264</v>
      </c>
      <c r="H34" s="78" t="s">
        <v>23</v>
      </c>
      <c r="I34" s="78" t="s">
        <v>214</v>
      </c>
      <c r="J34" s="79" t="s">
        <v>257</v>
      </c>
      <c r="K34" s="80">
        <v>25.5</v>
      </c>
      <c r="L34" s="80">
        <f t="shared" si="6"/>
        <v>0.4</v>
      </c>
      <c r="M34" s="81">
        <f>prodnorm40</f>
        <v>0</v>
      </c>
      <c r="N34" s="82">
        <f>dagwerk40</f>
        <v>0</v>
      </c>
      <c r="O34" s="78" t="s">
        <v>103</v>
      </c>
      <c r="P34" s="15">
        <f>uurtarief40</f>
        <v>0</v>
      </c>
      <c r="Q34" s="80" t="e">
        <f t="shared" si="7"/>
        <v>#DIV/0!</v>
      </c>
      <c r="R34" s="80" t="e">
        <f t="shared" si="8"/>
        <v>#DIV/0!</v>
      </c>
      <c r="S34" s="15" t="e">
        <f t="shared" si="9"/>
        <v>#DIV/0!</v>
      </c>
      <c r="T34" s="80" t="e">
        <f t="shared" si="10"/>
        <v>#DIV/0!</v>
      </c>
      <c r="U34" s="16" t="e">
        <f t="shared" si="11"/>
        <v>#DIV/0!</v>
      </c>
    </row>
    <row r="35" spans="1:21" x14ac:dyDescent="0.3">
      <c r="A35" s="77" t="s">
        <v>1043</v>
      </c>
      <c r="B35" s="78" t="s">
        <v>40</v>
      </c>
      <c r="C35" s="78" t="s">
        <v>556</v>
      </c>
      <c r="D35" s="78" t="s">
        <v>1108</v>
      </c>
      <c r="E35" s="79" t="s">
        <v>511</v>
      </c>
      <c r="F35" s="78" t="s">
        <v>509</v>
      </c>
      <c r="G35" s="78" t="s">
        <v>262</v>
      </c>
      <c r="H35" s="78" t="s">
        <v>23</v>
      </c>
      <c r="I35" s="78" t="s">
        <v>214</v>
      </c>
      <c r="J35" s="79" t="s">
        <v>217</v>
      </c>
      <c r="K35" s="80">
        <v>29.4</v>
      </c>
      <c r="L35" s="80">
        <f t="shared" si="6"/>
        <v>0.46117647058823524</v>
      </c>
      <c r="M35" s="81">
        <f>prodnorm37</f>
        <v>0</v>
      </c>
      <c r="N35" s="82">
        <f>dagwerk37</f>
        <v>0</v>
      </c>
      <c r="O35" s="78" t="s">
        <v>103</v>
      </c>
      <c r="P35" s="15">
        <f>uurtarief37</f>
        <v>0</v>
      </c>
      <c r="Q35" s="80" t="e">
        <f t="shared" si="7"/>
        <v>#DIV/0!</v>
      </c>
      <c r="R35" s="80" t="e">
        <f t="shared" si="8"/>
        <v>#DIV/0!</v>
      </c>
      <c r="S35" s="15" t="e">
        <f t="shared" si="9"/>
        <v>#DIV/0!</v>
      </c>
      <c r="T35" s="80" t="e">
        <f t="shared" si="10"/>
        <v>#DIV/0!</v>
      </c>
      <c r="U35" s="16" t="e">
        <f t="shared" si="11"/>
        <v>#DIV/0!</v>
      </c>
    </row>
    <row r="36" spans="1:21" x14ac:dyDescent="0.3">
      <c r="A36" s="77" t="s">
        <v>1043</v>
      </c>
      <c r="B36" s="78" t="s">
        <v>40</v>
      </c>
      <c r="C36" s="78" t="s">
        <v>1119</v>
      </c>
      <c r="D36" s="78" t="s">
        <v>1129</v>
      </c>
      <c r="E36" s="79" t="s">
        <v>511</v>
      </c>
      <c r="F36" s="78" t="s">
        <v>509</v>
      </c>
      <c r="G36" s="78" t="s">
        <v>262</v>
      </c>
      <c r="H36" s="78" t="s">
        <v>23</v>
      </c>
      <c r="I36" s="78" t="s">
        <v>214</v>
      </c>
      <c r="J36" s="79" t="s">
        <v>217</v>
      </c>
      <c r="K36" s="80">
        <v>20</v>
      </c>
      <c r="L36" s="80">
        <f t="shared" si="6"/>
        <v>0.31372549019607843</v>
      </c>
      <c r="M36" s="81">
        <f>prodnorm37</f>
        <v>0</v>
      </c>
      <c r="N36" s="82">
        <f>dagwerk37</f>
        <v>0</v>
      </c>
      <c r="O36" s="78" t="s">
        <v>103</v>
      </c>
      <c r="P36" s="15">
        <f>uurtarief37</f>
        <v>0</v>
      </c>
      <c r="Q36" s="80" t="e">
        <f t="shared" si="7"/>
        <v>#DIV/0!</v>
      </c>
      <c r="R36" s="80" t="e">
        <f t="shared" si="8"/>
        <v>#DIV/0!</v>
      </c>
      <c r="S36" s="15" t="e">
        <f t="shared" si="9"/>
        <v>#DIV/0!</v>
      </c>
      <c r="T36" s="80" t="e">
        <f t="shared" si="10"/>
        <v>#DIV/0!</v>
      </c>
      <c r="U36" s="16" t="e">
        <f t="shared" si="11"/>
        <v>#DIV/0!</v>
      </c>
    </row>
    <row r="37" spans="1:21" x14ac:dyDescent="0.3">
      <c r="A37" s="77" t="s">
        <v>1043</v>
      </c>
      <c r="B37" s="78" t="s">
        <v>40</v>
      </c>
      <c r="C37" s="78" t="s">
        <v>1119</v>
      </c>
      <c r="D37" s="78" t="s">
        <v>1132</v>
      </c>
      <c r="E37" s="79" t="s">
        <v>511</v>
      </c>
      <c r="F37" s="78" t="s">
        <v>509</v>
      </c>
      <c r="G37" s="78" t="s">
        <v>262</v>
      </c>
      <c r="H37" s="78" t="s">
        <v>23</v>
      </c>
      <c r="I37" s="78" t="s">
        <v>214</v>
      </c>
      <c r="J37" s="79" t="s">
        <v>217</v>
      </c>
      <c r="K37" s="80">
        <v>53</v>
      </c>
      <c r="L37" s="80">
        <f t="shared" si="6"/>
        <v>0.83137254901960778</v>
      </c>
      <c r="M37" s="81">
        <f>prodnorm37</f>
        <v>0</v>
      </c>
      <c r="N37" s="82">
        <f>dagwerk37</f>
        <v>0</v>
      </c>
      <c r="O37" s="78" t="s">
        <v>103</v>
      </c>
      <c r="P37" s="15">
        <f>uurtarief37</f>
        <v>0</v>
      </c>
      <c r="Q37" s="80" t="e">
        <f t="shared" si="7"/>
        <v>#DIV/0!</v>
      </c>
      <c r="R37" s="80" t="e">
        <f t="shared" si="8"/>
        <v>#DIV/0!</v>
      </c>
      <c r="S37" s="15" t="e">
        <f t="shared" si="9"/>
        <v>#DIV/0!</v>
      </c>
      <c r="T37" s="80" t="e">
        <f t="shared" si="10"/>
        <v>#DIV/0!</v>
      </c>
      <c r="U37" s="16" t="e">
        <f t="shared" si="11"/>
        <v>#DIV/0!</v>
      </c>
    </row>
    <row r="38" spans="1:21" ht="27" x14ac:dyDescent="0.3">
      <c r="A38" s="77" t="s">
        <v>1043</v>
      </c>
      <c r="B38" s="78" t="s">
        <v>40</v>
      </c>
      <c r="C38" s="78" t="s">
        <v>1138</v>
      </c>
      <c r="D38" s="78" t="s">
        <v>1141</v>
      </c>
      <c r="E38" s="79" t="s">
        <v>808</v>
      </c>
      <c r="F38" s="78" t="s">
        <v>509</v>
      </c>
      <c r="G38" s="78" t="s">
        <v>264</v>
      </c>
      <c r="H38" s="78" t="s">
        <v>23</v>
      </c>
      <c r="I38" s="78" t="s">
        <v>214</v>
      </c>
      <c r="J38" s="79" t="s">
        <v>257</v>
      </c>
      <c r="K38" s="80">
        <v>25</v>
      </c>
      <c r="L38" s="80">
        <f t="shared" si="6"/>
        <v>0.39215686274509803</v>
      </c>
      <c r="M38" s="81">
        <f>prodnorm40</f>
        <v>0</v>
      </c>
      <c r="N38" s="82">
        <f>dagwerk40</f>
        <v>0</v>
      </c>
      <c r="O38" s="78" t="s">
        <v>103</v>
      </c>
      <c r="P38" s="15">
        <f>uurtarief40</f>
        <v>0</v>
      </c>
      <c r="Q38" s="80" t="e">
        <f t="shared" si="7"/>
        <v>#DIV/0!</v>
      </c>
      <c r="R38" s="80" t="e">
        <f t="shared" si="8"/>
        <v>#DIV/0!</v>
      </c>
      <c r="S38" s="15" t="e">
        <f t="shared" si="9"/>
        <v>#DIV/0!</v>
      </c>
      <c r="T38" s="80" t="e">
        <f t="shared" si="10"/>
        <v>#DIV/0!</v>
      </c>
      <c r="U38" s="16" t="e">
        <f t="shared" si="11"/>
        <v>#DIV/0!</v>
      </c>
    </row>
    <row r="39" spans="1:21" x14ac:dyDescent="0.3">
      <c r="A39" s="84" t="s">
        <v>1043</v>
      </c>
      <c r="B39" s="85" t="s">
        <v>40</v>
      </c>
      <c r="C39" s="85" t="s">
        <v>1138</v>
      </c>
      <c r="D39" s="85" t="s">
        <v>1142</v>
      </c>
      <c r="E39" s="86" t="s">
        <v>1143</v>
      </c>
      <c r="F39" s="85" t="s">
        <v>509</v>
      </c>
      <c r="G39" s="85" t="s">
        <v>262</v>
      </c>
      <c r="H39" s="85" t="s">
        <v>23</v>
      </c>
      <c r="I39" s="85" t="s">
        <v>214</v>
      </c>
      <c r="J39" s="86" t="s">
        <v>217</v>
      </c>
      <c r="K39" s="87">
        <v>6</v>
      </c>
      <c r="L39" s="87">
        <f t="shared" si="6"/>
        <v>9.4117647058823528E-2</v>
      </c>
      <c r="M39" s="88">
        <f>prodnorm37</f>
        <v>0</v>
      </c>
      <c r="N39" s="89">
        <f>dagwerk37</f>
        <v>0</v>
      </c>
      <c r="O39" s="85" t="s">
        <v>103</v>
      </c>
      <c r="P39" s="24">
        <f>uurtarief37</f>
        <v>0</v>
      </c>
      <c r="Q39" s="87" t="e">
        <f t="shared" si="7"/>
        <v>#DIV/0!</v>
      </c>
      <c r="R39" s="87" t="e">
        <f t="shared" si="8"/>
        <v>#DIV/0!</v>
      </c>
      <c r="S39" s="24" t="e">
        <f t="shared" si="9"/>
        <v>#DIV/0!</v>
      </c>
      <c r="T39" s="87" t="e">
        <f t="shared" si="10"/>
        <v>#DIV/0!</v>
      </c>
      <c r="U39" s="25" t="e">
        <f t="shared" si="11"/>
        <v>#DIV/0!</v>
      </c>
    </row>
    <row r="40" spans="1:21" x14ac:dyDescent="0.3">
      <c r="A40" s="59" t="s">
        <v>1344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2" t="e">
        <f>IF(_xlfn.SINGLE(object6_urenjaar2)&gt;0,_xlfn.SINGLE(object6_prijsjaar2)/_xlfn.SINGLE(object6_urenjaar2),0)</f>
        <v>#DIV/0!</v>
      </c>
      <c r="Q40" s="61" t="e">
        <f>SUM(Q18:Q39)</f>
        <v>#DIV/0!</v>
      </c>
      <c r="R40" s="61" t="e">
        <f>SUM(R18:R39)</f>
        <v>#DIV/0!</v>
      </c>
      <c r="S40" s="62" t="e">
        <f>SUM(S18:S39)</f>
        <v>#DIV/0!</v>
      </c>
      <c r="T40" s="61" t="e">
        <f>SUM(T18:T39)</f>
        <v>#DIV/0!</v>
      </c>
      <c r="U40" s="62" t="e">
        <f>SUM(U18:U39)</f>
        <v>#DIV/0!</v>
      </c>
    </row>
  </sheetData>
  <sheetProtection algorithmName="SHA-512" hashValue="Ut1a+QLIWnMWwG1peML4p89nNWWa4DbQDqBZSg+Rbuutu0gRfDbRrZyLmoa4s26SnJ062yTXipIT452tqUjG8w==" saltValue="O4bpyeaTxeJbHYH+PFYxhA==" spinCount="100000" sheet="1" objects="1" scenarios="1" autoFilter="0"/>
  <autoFilter ref="A3:U40" xr:uid="{A408AA39-8856-4A0F-B987-EA9E0225754B}"/>
  <pageMargins left="0.7" right="0.7" top="0.75" bottom="0.75" header="0.3" footer="0.3"/>
  <pageSetup scale="61" orientation="landscape" r:id="rId1"/>
  <headerFooter>
    <oddFooter>&amp;LStichting Onderwijsgroep Amersfoort                         &amp;ROpmaakdatum: 07-07-2025
Intexso - Plantageweg 23E - Leusden
+31 (33) 2778485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452BD-E68A-4BC9-A63D-0734847E965E}">
  <dimension ref="A1:P43"/>
  <sheetViews>
    <sheetView workbookViewId="0"/>
  </sheetViews>
  <sheetFormatPr defaultRowHeight="13.5" x14ac:dyDescent="0.3"/>
  <cols>
    <col min="1" max="1" width="5.61328125" customWidth="1"/>
    <col min="2" max="2" width="6.15234375" customWidth="1"/>
    <col min="3" max="3" width="11.61328125" customWidth="1"/>
    <col min="4" max="16" width="12.61328125" customWidth="1"/>
  </cols>
  <sheetData>
    <row r="1" spans="1:16" x14ac:dyDescent="0.3">
      <c r="A1" s="1" t="s">
        <v>1345</v>
      </c>
    </row>
    <row r="3" spans="1:16" ht="27" x14ac:dyDescent="0.3">
      <c r="A3" s="93" t="s">
        <v>205</v>
      </c>
      <c r="B3" s="93" t="s">
        <v>7</v>
      </c>
      <c r="C3" s="94" t="s">
        <v>1346</v>
      </c>
      <c r="D3" s="94" t="s">
        <v>1347</v>
      </c>
      <c r="E3" s="94" t="s">
        <v>1348</v>
      </c>
      <c r="F3" s="94" t="s">
        <v>1349</v>
      </c>
      <c r="G3" s="94" t="s">
        <v>1350</v>
      </c>
      <c r="H3" s="94" t="s">
        <v>1351</v>
      </c>
      <c r="I3" s="93" t="s">
        <v>1352</v>
      </c>
      <c r="J3" s="93" t="s">
        <v>1353</v>
      </c>
      <c r="K3" s="93" t="s">
        <v>1354</v>
      </c>
      <c r="L3" s="93" t="s">
        <v>1355</v>
      </c>
      <c r="M3" s="93" t="s">
        <v>1356</v>
      </c>
      <c r="N3" s="93" t="s">
        <v>1357</v>
      </c>
      <c r="O3" s="93" t="s">
        <v>1358</v>
      </c>
      <c r="P3" s="93" t="s">
        <v>1359</v>
      </c>
    </row>
    <row r="4" spans="1:16" x14ac:dyDescent="0.3">
      <c r="A4" s="95"/>
      <c r="B4" s="95"/>
      <c r="C4" s="95"/>
      <c r="D4" s="95"/>
      <c r="E4" s="95"/>
      <c r="F4" s="95"/>
      <c r="G4" s="95"/>
      <c r="H4" s="95"/>
      <c r="I4" s="95"/>
      <c r="J4" s="96" t="s">
        <v>207</v>
      </c>
      <c r="K4" s="96" t="s">
        <v>207</v>
      </c>
      <c r="L4" s="96" t="s">
        <v>207</v>
      </c>
      <c r="M4" s="96" t="s">
        <v>207</v>
      </c>
      <c r="N4" s="96" t="s">
        <v>207</v>
      </c>
      <c r="O4" s="96" t="s">
        <v>207</v>
      </c>
      <c r="P4" s="96" t="s">
        <v>207</v>
      </c>
    </row>
    <row r="5" spans="1:16" x14ac:dyDescent="0.3">
      <c r="A5" s="34" t="s">
        <v>213</v>
      </c>
      <c r="B5" s="34" t="s">
        <v>11</v>
      </c>
      <c r="C5" s="34" t="s">
        <v>1360</v>
      </c>
      <c r="D5" s="34" t="s">
        <v>214</v>
      </c>
      <c r="E5" s="49">
        <f t="shared" ref="E5:E35" si="0">IF(B5="","",VLOOKUP(B5,dagsoorttabel1,2,FALSE))</f>
        <v>0.78431372549019607</v>
      </c>
      <c r="F5" s="49">
        <v>1</v>
      </c>
      <c r="G5" s="49">
        <f>IF(prodnorm5&gt;0,1/ROUND(prodnorm5,4),0)</f>
        <v>0</v>
      </c>
      <c r="H5" s="51">
        <f>ROUND(dagwerk5,4+2)</f>
        <v>0</v>
      </c>
      <c r="I5" s="38">
        <f>ROUND(uurtarief5,2)</f>
        <v>0</v>
      </c>
      <c r="J5" s="49">
        <v>828.2</v>
      </c>
      <c r="K5" s="49">
        <v>153.54</v>
      </c>
      <c r="L5" s="49">
        <v>423</v>
      </c>
      <c r="M5" s="49">
        <v>456</v>
      </c>
      <c r="N5" s="49">
        <v>564.66000000000008</v>
      </c>
      <c r="O5" s="49">
        <v>487.1</v>
      </c>
      <c r="P5" s="49">
        <v>497</v>
      </c>
    </row>
    <row r="6" spans="1:16" x14ac:dyDescent="0.3">
      <c r="A6" s="39" t="s">
        <v>216</v>
      </c>
      <c r="B6" s="39" t="s">
        <v>11</v>
      </c>
      <c r="C6" s="39" t="s">
        <v>1360</v>
      </c>
      <c r="D6" s="39" t="s">
        <v>214</v>
      </c>
      <c r="E6" s="52">
        <f t="shared" si="0"/>
        <v>0.78431372549019607</v>
      </c>
      <c r="F6" s="52">
        <v>1</v>
      </c>
      <c r="G6" s="52">
        <f>IF(prodnorm6&gt;0,1/ROUND(prodnorm6,4),0)</f>
        <v>0</v>
      </c>
      <c r="H6" s="54">
        <f>ROUND(dagwerk6,4+2)</f>
        <v>0</v>
      </c>
      <c r="I6" s="43">
        <f>ROUND(uurtarief6,2)</f>
        <v>0</v>
      </c>
      <c r="J6" s="52">
        <v>927.5</v>
      </c>
      <c r="K6" s="52">
        <v>303.80999999999995</v>
      </c>
      <c r="L6" s="52">
        <v>572.9</v>
      </c>
      <c r="M6" s="52">
        <v>448</v>
      </c>
      <c r="N6" s="52">
        <v>681.7700000000001</v>
      </c>
      <c r="O6" s="52">
        <v>219.2</v>
      </c>
      <c r="P6" s="52">
        <v>834</v>
      </c>
    </row>
    <row r="7" spans="1:16" x14ac:dyDescent="0.3">
      <c r="A7" s="39" t="s">
        <v>216</v>
      </c>
      <c r="B7" s="39" t="s">
        <v>18</v>
      </c>
      <c r="C7" s="39" t="s">
        <v>1360</v>
      </c>
      <c r="D7" s="39" t="s">
        <v>214</v>
      </c>
      <c r="E7" s="52">
        <f t="shared" si="0"/>
        <v>0.15686274509803921</v>
      </c>
      <c r="F7" s="52">
        <v>1</v>
      </c>
      <c r="G7" s="52">
        <f>IF(prodnorm7&gt;0,1/ROUND(prodnorm7,4),0)</f>
        <v>0</v>
      </c>
      <c r="H7" s="54">
        <f>ROUND(dagwerk7,4+2)</f>
        <v>0</v>
      </c>
      <c r="I7" s="43">
        <f>ROUND(uurtarief7,2)</f>
        <v>0</v>
      </c>
      <c r="J7" s="52">
        <v>0</v>
      </c>
      <c r="K7" s="52">
        <v>0</v>
      </c>
      <c r="L7" s="52">
        <v>0</v>
      </c>
      <c r="M7" s="52">
        <v>0</v>
      </c>
      <c r="N7" s="52">
        <v>0</v>
      </c>
      <c r="O7" s="52">
        <v>14.5</v>
      </c>
      <c r="P7" s="52">
        <v>0</v>
      </c>
    </row>
    <row r="8" spans="1:16" x14ac:dyDescent="0.3">
      <c r="A8" s="39" t="s">
        <v>216</v>
      </c>
      <c r="B8" s="39" t="s">
        <v>16</v>
      </c>
      <c r="C8" s="39" t="s">
        <v>1360</v>
      </c>
      <c r="D8" s="39" t="s">
        <v>214</v>
      </c>
      <c r="E8" s="52">
        <f t="shared" si="0"/>
        <v>0.31372549019607843</v>
      </c>
      <c r="F8" s="52">
        <v>1</v>
      </c>
      <c r="G8" s="52">
        <f>IF(prodnorm8&gt;0,1/ROUND(prodnorm8,4),0)</f>
        <v>0</v>
      </c>
      <c r="H8" s="54">
        <f>ROUND(dagwerk8,4+2)</f>
        <v>0</v>
      </c>
      <c r="I8" s="43">
        <f>ROUND(uurtarief8,2)</f>
        <v>0</v>
      </c>
      <c r="J8" s="52">
        <v>0</v>
      </c>
      <c r="K8" s="52">
        <v>0</v>
      </c>
      <c r="L8" s="52">
        <v>0</v>
      </c>
      <c r="M8" s="52">
        <v>0</v>
      </c>
      <c r="N8" s="52">
        <v>0</v>
      </c>
      <c r="O8" s="52">
        <v>529.90000000000009</v>
      </c>
      <c r="P8" s="52">
        <v>0</v>
      </c>
    </row>
    <row r="9" spans="1:16" x14ac:dyDescent="0.3">
      <c r="A9" s="39" t="s">
        <v>216</v>
      </c>
      <c r="B9" s="39" t="s">
        <v>15</v>
      </c>
      <c r="C9" s="39" t="s">
        <v>1360</v>
      </c>
      <c r="D9" s="39" t="s">
        <v>214</v>
      </c>
      <c r="E9" s="52">
        <f t="shared" si="0"/>
        <v>0.32941176470588235</v>
      </c>
      <c r="F9" s="52">
        <v>1</v>
      </c>
      <c r="G9" s="52">
        <f>IF(prodnorm9&gt;0,1/ROUND(prodnorm9,4),0)</f>
        <v>0</v>
      </c>
      <c r="H9" s="54">
        <f>ROUND(dagwerk9,4+2)</f>
        <v>0</v>
      </c>
      <c r="I9" s="43">
        <f>ROUND(uurtarief9,2)</f>
        <v>0</v>
      </c>
      <c r="J9" s="52">
        <v>0</v>
      </c>
      <c r="K9" s="52">
        <v>0</v>
      </c>
      <c r="L9" s="52">
        <v>0</v>
      </c>
      <c r="M9" s="52">
        <v>0</v>
      </c>
      <c r="N9" s="52">
        <v>0</v>
      </c>
      <c r="O9" s="52">
        <v>30</v>
      </c>
      <c r="P9" s="52">
        <v>0</v>
      </c>
    </row>
    <row r="10" spans="1:16" x14ac:dyDescent="0.3">
      <c r="A10" s="39" t="s">
        <v>218</v>
      </c>
      <c r="B10" s="39" t="s">
        <v>11</v>
      </c>
      <c r="C10" s="39" t="s">
        <v>1360</v>
      </c>
      <c r="D10" s="39" t="s">
        <v>214</v>
      </c>
      <c r="E10" s="52">
        <f t="shared" si="0"/>
        <v>0.78431372549019607</v>
      </c>
      <c r="F10" s="52">
        <v>1</v>
      </c>
      <c r="G10" s="52">
        <f>IF(prodnorm10&gt;0,1/ROUND(prodnorm10,4),0)</f>
        <v>0</v>
      </c>
      <c r="H10" s="54">
        <f>ROUND(dagwerk10,4+2)</f>
        <v>0</v>
      </c>
      <c r="I10" s="43">
        <f>ROUND(uurtarief10,2)</f>
        <v>0</v>
      </c>
      <c r="J10" s="52">
        <v>123.9</v>
      </c>
      <c r="K10" s="52">
        <v>0</v>
      </c>
      <c r="L10" s="52">
        <v>0</v>
      </c>
      <c r="M10" s="52">
        <v>0</v>
      </c>
      <c r="N10" s="52">
        <v>0</v>
      </c>
      <c r="O10" s="52">
        <v>0</v>
      </c>
      <c r="P10" s="52">
        <v>0</v>
      </c>
    </row>
    <row r="11" spans="1:16" x14ac:dyDescent="0.3">
      <c r="A11" s="39" t="s">
        <v>220</v>
      </c>
      <c r="B11" s="39" t="s">
        <v>11</v>
      </c>
      <c r="C11" s="39" t="s">
        <v>1360</v>
      </c>
      <c r="D11" s="39" t="s">
        <v>214</v>
      </c>
      <c r="E11" s="52">
        <f t="shared" si="0"/>
        <v>0.78431372549019607</v>
      </c>
      <c r="F11" s="52">
        <v>1</v>
      </c>
      <c r="G11" s="52">
        <f>IF(prodnorm11&gt;0,1/ROUND(prodnorm11,4),0)</f>
        <v>0</v>
      </c>
      <c r="H11" s="54">
        <f>ROUND(dagwerk11,4+2)</f>
        <v>0</v>
      </c>
      <c r="I11" s="43">
        <f>ROUND(uurtarief11,2)</f>
        <v>0</v>
      </c>
      <c r="J11" s="52">
        <v>6.6</v>
      </c>
      <c r="K11" s="52">
        <v>0</v>
      </c>
      <c r="L11" s="52">
        <v>0</v>
      </c>
      <c r="M11" s="52">
        <v>0</v>
      </c>
      <c r="N11" s="52">
        <v>15.869999999999997</v>
      </c>
      <c r="O11" s="52">
        <v>45.9</v>
      </c>
      <c r="P11" s="52">
        <v>0</v>
      </c>
    </row>
    <row r="12" spans="1:16" x14ac:dyDescent="0.3">
      <c r="A12" s="39" t="s">
        <v>222</v>
      </c>
      <c r="B12" s="39" t="s">
        <v>11</v>
      </c>
      <c r="C12" s="39" t="s">
        <v>1360</v>
      </c>
      <c r="D12" s="39" t="s">
        <v>214</v>
      </c>
      <c r="E12" s="52">
        <f t="shared" si="0"/>
        <v>0.78431372549019607</v>
      </c>
      <c r="F12" s="52">
        <v>1</v>
      </c>
      <c r="G12" s="52">
        <f>IF(prodnorm12&gt;0,1/ROUND(prodnorm12,4),0)</f>
        <v>0</v>
      </c>
      <c r="H12" s="54">
        <f>ROUND(dagwerk12,4+2)</f>
        <v>0</v>
      </c>
      <c r="I12" s="43">
        <f>ROUND(uurtarief12,2)</f>
        <v>0</v>
      </c>
      <c r="J12" s="52">
        <v>313.89999999999998</v>
      </c>
      <c r="K12" s="52">
        <v>0</v>
      </c>
      <c r="L12" s="52">
        <v>0</v>
      </c>
      <c r="M12" s="52">
        <v>0</v>
      </c>
      <c r="N12" s="52">
        <v>55.480000000000004</v>
      </c>
      <c r="O12" s="52">
        <v>14.2</v>
      </c>
      <c r="P12" s="52">
        <v>0</v>
      </c>
    </row>
    <row r="13" spans="1:16" x14ac:dyDescent="0.3">
      <c r="A13" s="39" t="s">
        <v>224</v>
      </c>
      <c r="B13" s="39" t="s">
        <v>11</v>
      </c>
      <c r="C13" s="39" t="s">
        <v>1360</v>
      </c>
      <c r="D13" s="39" t="s">
        <v>214</v>
      </c>
      <c r="E13" s="52">
        <f t="shared" si="0"/>
        <v>0.78431372549019607</v>
      </c>
      <c r="F13" s="52">
        <v>1</v>
      </c>
      <c r="G13" s="52">
        <f>IF(prodnorm13&gt;0,1/ROUND(prodnorm13,4),0)</f>
        <v>0</v>
      </c>
      <c r="H13" s="54">
        <f>ROUND(dagwerk13,4+2)</f>
        <v>0</v>
      </c>
      <c r="I13" s="43">
        <f>ROUND(uurtarief13,2)</f>
        <v>0</v>
      </c>
      <c r="J13" s="52">
        <v>8.6</v>
      </c>
      <c r="K13" s="52">
        <v>22.82</v>
      </c>
      <c r="L13" s="52">
        <v>35.700000000000003</v>
      </c>
      <c r="M13" s="52">
        <v>48</v>
      </c>
      <c r="N13" s="52">
        <v>0</v>
      </c>
      <c r="O13" s="52">
        <v>16</v>
      </c>
      <c r="P13" s="52">
        <v>0</v>
      </c>
    </row>
    <row r="14" spans="1:16" x14ac:dyDescent="0.3">
      <c r="A14" s="39" t="s">
        <v>226</v>
      </c>
      <c r="B14" s="39" t="s">
        <v>11</v>
      </c>
      <c r="C14" s="39" t="s">
        <v>1360</v>
      </c>
      <c r="D14" s="39" t="s">
        <v>214</v>
      </c>
      <c r="E14" s="52">
        <f t="shared" si="0"/>
        <v>0.78431372549019607</v>
      </c>
      <c r="F14" s="52">
        <v>1</v>
      </c>
      <c r="G14" s="52">
        <f>IF(prodnorm14&gt;0,1/ROUND(prodnorm14,4),0)</f>
        <v>0</v>
      </c>
      <c r="H14" s="54">
        <f>ROUND(dagwerk14,4+2)</f>
        <v>0</v>
      </c>
      <c r="I14" s="43">
        <f>ROUND(uurtarief14,2)</f>
        <v>0</v>
      </c>
      <c r="J14" s="52">
        <v>0</v>
      </c>
      <c r="K14" s="52">
        <v>0</v>
      </c>
      <c r="L14" s="52">
        <v>0</v>
      </c>
      <c r="M14" s="52">
        <v>0</v>
      </c>
      <c r="N14" s="52">
        <v>0</v>
      </c>
      <c r="O14" s="52">
        <v>37.4</v>
      </c>
      <c r="P14" s="52">
        <v>0</v>
      </c>
    </row>
    <row r="15" spans="1:16" x14ac:dyDescent="0.3">
      <c r="A15" s="39" t="s">
        <v>228</v>
      </c>
      <c r="B15" s="39" t="s">
        <v>11</v>
      </c>
      <c r="C15" s="39" t="s">
        <v>1360</v>
      </c>
      <c r="D15" s="39" t="s">
        <v>214</v>
      </c>
      <c r="E15" s="52">
        <f t="shared" si="0"/>
        <v>0.78431372549019607</v>
      </c>
      <c r="F15" s="52">
        <v>1</v>
      </c>
      <c r="G15" s="52">
        <f>IF(prodnorm15&gt;0,1/ROUND(prodnorm15,4),0)</f>
        <v>0</v>
      </c>
      <c r="H15" s="54">
        <f>ROUND(dagwerk15,4+2)</f>
        <v>0</v>
      </c>
      <c r="I15" s="43">
        <f>ROUND(uurtarief15,2)</f>
        <v>0</v>
      </c>
      <c r="J15" s="52">
        <v>513.4</v>
      </c>
      <c r="K15" s="52">
        <v>0</v>
      </c>
      <c r="L15" s="52">
        <v>564.1</v>
      </c>
      <c r="M15" s="52">
        <v>0</v>
      </c>
      <c r="N15" s="52">
        <v>258.64000000000004</v>
      </c>
      <c r="O15" s="52">
        <v>1440.8000000000002</v>
      </c>
      <c r="P15" s="52">
        <v>384</v>
      </c>
    </row>
    <row r="16" spans="1:16" x14ac:dyDescent="0.3">
      <c r="A16" s="39" t="s">
        <v>228</v>
      </c>
      <c r="B16" s="39" t="s">
        <v>18</v>
      </c>
      <c r="C16" s="39" t="s">
        <v>1360</v>
      </c>
      <c r="D16" s="39" t="s">
        <v>214</v>
      </c>
      <c r="E16" s="52">
        <f t="shared" si="0"/>
        <v>0.15686274509803921</v>
      </c>
      <c r="F16" s="52">
        <v>1</v>
      </c>
      <c r="G16" s="52">
        <f>IF(prodnorm16&gt;0,1/ROUND(prodnorm16,4),0)</f>
        <v>0</v>
      </c>
      <c r="H16" s="54">
        <f>ROUND(dagwerk16,4+2)</f>
        <v>0</v>
      </c>
      <c r="I16" s="43">
        <f>ROUND(uurtarief16,2)</f>
        <v>0</v>
      </c>
      <c r="J16" s="52">
        <v>116.1</v>
      </c>
      <c r="K16" s="52">
        <v>0</v>
      </c>
      <c r="L16" s="52">
        <v>74.800000000000011</v>
      </c>
      <c r="M16" s="52">
        <v>0</v>
      </c>
      <c r="N16" s="52">
        <v>34.730000000000004</v>
      </c>
      <c r="O16" s="52">
        <v>0</v>
      </c>
      <c r="P16" s="52">
        <v>45</v>
      </c>
    </row>
    <row r="17" spans="1:16" x14ac:dyDescent="0.3">
      <c r="A17" s="39" t="s">
        <v>230</v>
      </c>
      <c r="B17" s="39" t="s">
        <v>11</v>
      </c>
      <c r="C17" s="39" t="s">
        <v>1360</v>
      </c>
      <c r="D17" s="39" t="s">
        <v>214</v>
      </c>
      <c r="E17" s="52">
        <f t="shared" si="0"/>
        <v>0.78431372549019607</v>
      </c>
      <c r="F17" s="52">
        <v>1</v>
      </c>
      <c r="G17" s="52">
        <f>IF(prodnorm17&gt;0,1/ROUND(prodnorm17,4),0)</f>
        <v>0</v>
      </c>
      <c r="H17" s="54">
        <f>ROUND(dagwerk17,4+2)</f>
        <v>0</v>
      </c>
      <c r="I17" s="43">
        <f>ROUND(uurtarief17,2)</f>
        <v>0</v>
      </c>
      <c r="J17" s="52">
        <v>0</v>
      </c>
      <c r="K17" s="52">
        <v>0</v>
      </c>
      <c r="L17" s="52">
        <v>0</v>
      </c>
      <c r="M17" s="52">
        <v>4</v>
      </c>
      <c r="N17" s="52">
        <v>13.41</v>
      </c>
      <c r="O17" s="52">
        <v>3.3</v>
      </c>
      <c r="P17" s="52">
        <v>4</v>
      </c>
    </row>
    <row r="18" spans="1:16" x14ac:dyDescent="0.3">
      <c r="A18" s="39" t="s">
        <v>230</v>
      </c>
      <c r="B18" s="39" t="s">
        <v>18</v>
      </c>
      <c r="C18" s="39" t="s">
        <v>1360</v>
      </c>
      <c r="D18" s="39" t="s">
        <v>214</v>
      </c>
      <c r="E18" s="52">
        <f t="shared" si="0"/>
        <v>0.15686274509803921</v>
      </c>
      <c r="F18" s="52">
        <v>1</v>
      </c>
      <c r="G18" s="52">
        <f>IF(prodnorm18&gt;0,1/ROUND(prodnorm18,4),0)</f>
        <v>0</v>
      </c>
      <c r="H18" s="54">
        <f>ROUND(dagwerk18,4+2)</f>
        <v>0</v>
      </c>
      <c r="I18" s="43">
        <f>ROUND(uurtarief18,2)</f>
        <v>0</v>
      </c>
      <c r="J18" s="52">
        <v>0</v>
      </c>
      <c r="K18" s="52">
        <v>0</v>
      </c>
      <c r="L18" s="52">
        <v>4.2</v>
      </c>
      <c r="M18" s="52">
        <v>0</v>
      </c>
      <c r="N18" s="52">
        <v>0</v>
      </c>
      <c r="O18" s="52">
        <v>0</v>
      </c>
      <c r="P18" s="52">
        <v>0</v>
      </c>
    </row>
    <row r="19" spans="1:16" x14ac:dyDescent="0.3">
      <c r="A19" s="39" t="s">
        <v>232</v>
      </c>
      <c r="B19" s="39" t="s">
        <v>11</v>
      </c>
      <c r="C19" s="39" t="s">
        <v>1360</v>
      </c>
      <c r="D19" s="39" t="s">
        <v>214</v>
      </c>
      <c r="E19" s="52">
        <f t="shared" si="0"/>
        <v>0.78431372549019607</v>
      </c>
      <c r="F19" s="52">
        <v>1</v>
      </c>
      <c r="G19" s="52">
        <f>IF(prodnorm19&gt;0,1/ROUND(prodnorm19,4),0)</f>
        <v>0</v>
      </c>
      <c r="H19" s="54">
        <f>ROUND(dagwerk19,4+2)</f>
        <v>0</v>
      </c>
      <c r="I19" s="43">
        <f>ROUND(uurtarief19,2)</f>
        <v>0</v>
      </c>
      <c r="J19" s="52">
        <v>96.3</v>
      </c>
      <c r="K19" s="52">
        <v>0</v>
      </c>
      <c r="L19" s="52">
        <v>118.6</v>
      </c>
      <c r="M19" s="52">
        <v>0</v>
      </c>
      <c r="N19" s="52">
        <v>124.69999999999999</v>
      </c>
      <c r="O19" s="52">
        <v>112.12</v>
      </c>
      <c r="P19" s="52">
        <v>62</v>
      </c>
    </row>
    <row r="20" spans="1:16" x14ac:dyDescent="0.3">
      <c r="A20" s="39" t="s">
        <v>234</v>
      </c>
      <c r="B20" s="39" t="s">
        <v>13</v>
      </c>
      <c r="C20" s="39" t="s">
        <v>1360</v>
      </c>
      <c r="D20" s="39" t="s">
        <v>214</v>
      </c>
      <c r="E20" s="52">
        <f t="shared" si="0"/>
        <v>0.47058823529411764</v>
      </c>
      <c r="F20" s="52">
        <v>1</v>
      </c>
      <c r="G20" s="52">
        <f>IF(prodnorm20&gt;0,1/ROUND(prodnorm20,4),0)</f>
        <v>0</v>
      </c>
      <c r="H20" s="54">
        <f>ROUND(dagwerk20,4+2)</f>
        <v>0</v>
      </c>
      <c r="I20" s="43">
        <f>ROUND(uurtarief20,2)</f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28</v>
      </c>
      <c r="P20" s="52">
        <v>0</v>
      </c>
    </row>
    <row r="21" spans="1:16" x14ac:dyDescent="0.3">
      <c r="A21" s="39" t="s">
        <v>234</v>
      </c>
      <c r="B21" s="39" t="s">
        <v>11</v>
      </c>
      <c r="C21" s="39" t="s">
        <v>1360</v>
      </c>
      <c r="D21" s="39" t="s">
        <v>214</v>
      </c>
      <c r="E21" s="52">
        <f t="shared" si="0"/>
        <v>0.78431372549019607</v>
      </c>
      <c r="F21" s="52">
        <v>1</v>
      </c>
      <c r="G21" s="52">
        <f>IF(prodnorm21&gt;0,1/ROUND(prodnorm21,4),0)</f>
        <v>0</v>
      </c>
      <c r="H21" s="54">
        <f>ROUND(dagwerk21,4+2)</f>
        <v>0</v>
      </c>
      <c r="I21" s="43">
        <f>ROUND(uurtarief21,2)</f>
        <v>0</v>
      </c>
      <c r="J21" s="52">
        <v>2051.2000000000003</v>
      </c>
      <c r="K21" s="52">
        <v>576.98</v>
      </c>
      <c r="L21" s="52">
        <v>1852.9</v>
      </c>
      <c r="M21" s="52">
        <v>757</v>
      </c>
      <c r="N21" s="52">
        <v>2272.4499999999998</v>
      </c>
      <c r="O21" s="52">
        <v>2236.2999999999997</v>
      </c>
      <c r="P21" s="52">
        <v>1119</v>
      </c>
    </row>
    <row r="22" spans="1:16" x14ac:dyDescent="0.3">
      <c r="A22" s="39" t="s">
        <v>236</v>
      </c>
      <c r="B22" s="39" t="s">
        <v>11</v>
      </c>
      <c r="C22" s="39" t="s">
        <v>1360</v>
      </c>
      <c r="D22" s="39" t="s">
        <v>214</v>
      </c>
      <c r="E22" s="52">
        <f t="shared" si="0"/>
        <v>0.78431372549019607</v>
      </c>
      <c r="F22" s="52">
        <v>1</v>
      </c>
      <c r="G22" s="52">
        <f>IF(prodnorm22&gt;0,1/ROUND(prodnorm22,4),0)</f>
        <v>0</v>
      </c>
      <c r="H22" s="54">
        <f>ROUND(dagwerk22,4+2)</f>
        <v>0</v>
      </c>
      <c r="I22" s="43">
        <f>ROUND(uurtarief22,2)</f>
        <v>0</v>
      </c>
      <c r="J22" s="52">
        <v>221.9</v>
      </c>
      <c r="K22" s="52">
        <v>0</v>
      </c>
      <c r="L22" s="52">
        <v>59.1</v>
      </c>
      <c r="M22" s="52">
        <v>14</v>
      </c>
      <c r="N22" s="52">
        <v>176.34</v>
      </c>
      <c r="O22" s="52">
        <v>323.39999999999998</v>
      </c>
      <c r="P22" s="52">
        <v>0</v>
      </c>
    </row>
    <row r="23" spans="1:16" x14ac:dyDescent="0.3">
      <c r="A23" s="39" t="s">
        <v>238</v>
      </c>
      <c r="B23" s="39" t="s">
        <v>21</v>
      </c>
      <c r="C23" s="39" t="s">
        <v>1360</v>
      </c>
      <c r="D23" s="39" t="s">
        <v>214</v>
      </c>
      <c r="E23" s="52">
        <f t="shared" si="0"/>
        <v>3.9215686274509803E-2</v>
      </c>
      <c r="F23" s="52">
        <v>1</v>
      </c>
      <c r="G23" s="52">
        <f>IF(prodnorm23&gt;0,1/ROUND(prodnorm23,4),0)</f>
        <v>0</v>
      </c>
      <c r="H23" s="54">
        <f>ROUND(dagwerk23,4+2)</f>
        <v>0</v>
      </c>
      <c r="I23" s="43">
        <f>ROUND(uurtarief23,2)</f>
        <v>0</v>
      </c>
      <c r="J23" s="52">
        <v>12.2</v>
      </c>
      <c r="K23" s="52">
        <v>0</v>
      </c>
      <c r="L23" s="52">
        <v>0</v>
      </c>
      <c r="M23" s="52">
        <v>0</v>
      </c>
      <c r="N23" s="52">
        <v>0</v>
      </c>
      <c r="O23" s="52">
        <v>318.39999999999998</v>
      </c>
      <c r="P23" s="52">
        <v>0</v>
      </c>
    </row>
    <row r="24" spans="1:16" x14ac:dyDescent="0.3">
      <c r="A24" s="39" t="s">
        <v>238</v>
      </c>
      <c r="B24" s="39" t="s">
        <v>18</v>
      </c>
      <c r="C24" s="39" t="s">
        <v>1360</v>
      </c>
      <c r="D24" s="39" t="s">
        <v>214</v>
      </c>
      <c r="E24" s="52">
        <f t="shared" si="0"/>
        <v>0.15686274509803921</v>
      </c>
      <c r="F24" s="52">
        <v>1</v>
      </c>
      <c r="G24" s="52">
        <f>IF(prodnorm24&gt;0,1/ROUND(prodnorm24,4),0)</f>
        <v>0</v>
      </c>
      <c r="H24" s="54">
        <f>ROUND(dagwerk24,4+2)</f>
        <v>0</v>
      </c>
      <c r="I24" s="43">
        <f>ROUND(uurtarief24,2)</f>
        <v>0</v>
      </c>
      <c r="J24" s="52">
        <v>116.2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</row>
    <row r="25" spans="1:16" x14ac:dyDescent="0.3">
      <c r="A25" s="39" t="s">
        <v>240</v>
      </c>
      <c r="B25" s="39" t="s">
        <v>11</v>
      </c>
      <c r="C25" s="39" t="s">
        <v>1360</v>
      </c>
      <c r="D25" s="39" t="s">
        <v>214</v>
      </c>
      <c r="E25" s="52">
        <f t="shared" si="0"/>
        <v>0.78431372549019607</v>
      </c>
      <c r="F25" s="52">
        <v>1</v>
      </c>
      <c r="G25" s="52">
        <f>IF(prodnorm25&gt;0,1/ROUND(prodnorm25,4),0)</f>
        <v>0</v>
      </c>
      <c r="H25" s="54">
        <f>ROUND(dagwerk25,4+2)</f>
        <v>0</v>
      </c>
      <c r="I25" s="43">
        <f>ROUND(uurtarief25,2)</f>
        <v>0</v>
      </c>
      <c r="J25" s="52">
        <v>352</v>
      </c>
      <c r="K25" s="52">
        <v>56.25</v>
      </c>
      <c r="L25" s="52">
        <v>295.60000000000002</v>
      </c>
      <c r="M25" s="52">
        <v>0</v>
      </c>
      <c r="N25" s="52">
        <v>851.57999999999993</v>
      </c>
      <c r="O25" s="52">
        <v>345.29999999999995</v>
      </c>
      <c r="P25" s="52">
        <v>0</v>
      </c>
    </row>
    <row r="26" spans="1:16" x14ac:dyDescent="0.3">
      <c r="A26" s="39" t="s">
        <v>242</v>
      </c>
      <c r="B26" s="39" t="s">
        <v>11</v>
      </c>
      <c r="C26" s="39" t="s">
        <v>1360</v>
      </c>
      <c r="D26" s="39" t="s">
        <v>214</v>
      </c>
      <c r="E26" s="52">
        <f t="shared" si="0"/>
        <v>0.78431372549019607</v>
      </c>
      <c r="F26" s="52">
        <v>1</v>
      </c>
      <c r="G26" s="52">
        <f>IF(prodnorm26&gt;0,1/ROUND(prodnorm26,4),0)</f>
        <v>0</v>
      </c>
      <c r="H26" s="54">
        <f>ROUND(dagwerk26,4+2)</f>
        <v>0</v>
      </c>
      <c r="I26" s="43">
        <f>ROUND(uurtarief26,2)</f>
        <v>0</v>
      </c>
      <c r="J26" s="52">
        <v>28.5</v>
      </c>
      <c r="K26" s="52">
        <v>9.7199999999999989</v>
      </c>
      <c r="L26" s="52">
        <v>14.9</v>
      </c>
      <c r="M26" s="52">
        <v>39</v>
      </c>
      <c r="N26" s="52">
        <v>0</v>
      </c>
      <c r="O26" s="52">
        <v>30.1</v>
      </c>
      <c r="P26" s="52">
        <v>4</v>
      </c>
    </row>
    <row r="27" spans="1:16" x14ac:dyDescent="0.3">
      <c r="A27" s="39" t="s">
        <v>244</v>
      </c>
      <c r="B27" s="39" t="s">
        <v>11</v>
      </c>
      <c r="C27" s="39" t="s">
        <v>1360</v>
      </c>
      <c r="D27" s="39" t="s">
        <v>214</v>
      </c>
      <c r="E27" s="52">
        <f t="shared" si="0"/>
        <v>0.78431372549019607</v>
      </c>
      <c r="F27" s="52">
        <v>1</v>
      </c>
      <c r="G27" s="52">
        <f>IF(prodnorm27&gt;0,1/ROUND(prodnorm27,4),0)</f>
        <v>0</v>
      </c>
      <c r="H27" s="54">
        <f>ROUND(dagwerk27,4+2)</f>
        <v>0</v>
      </c>
      <c r="I27" s="43">
        <f>ROUND(uurtarief27,2)</f>
        <v>0</v>
      </c>
      <c r="J27" s="52">
        <v>19.799999999999997</v>
      </c>
      <c r="K27" s="52">
        <v>0</v>
      </c>
      <c r="L27" s="52">
        <v>81.399999999999991</v>
      </c>
      <c r="M27" s="52">
        <v>361</v>
      </c>
      <c r="N27" s="52">
        <v>162.4</v>
      </c>
      <c r="O27" s="52">
        <v>169.89999999999998</v>
      </c>
      <c r="P27" s="52">
        <v>215</v>
      </c>
    </row>
    <row r="28" spans="1:16" x14ac:dyDescent="0.3">
      <c r="A28" s="39" t="s">
        <v>246</v>
      </c>
      <c r="B28" s="39" t="s">
        <v>11</v>
      </c>
      <c r="C28" s="39" t="s">
        <v>1360</v>
      </c>
      <c r="D28" s="39" t="s">
        <v>214</v>
      </c>
      <c r="E28" s="52">
        <f t="shared" si="0"/>
        <v>0.78431372549019607</v>
      </c>
      <c r="F28" s="52">
        <v>1</v>
      </c>
      <c r="G28" s="52">
        <f>IF(prodnorm28&gt;0,1/ROUND(prodnorm28,4),0)</f>
        <v>0</v>
      </c>
      <c r="H28" s="54">
        <f>ROUND(dagwerk28,4+2)</f>
        <v>0</v>
      </c>
      <c r="I28" s="43">
        <f>ROUND(uurtarief28,2)</f>
        <v>0</v>
      </c>
      <c r="J28" s="52">
        <v>0</v>
      </c>
      <c r="K28" s="52">
        <v>0</v>
      </c>
      <c r="L28" s="52">
        <v>100.6</v>
      </c>
      <c r="M28" s="52">
        <v>78</v>
      </c>
      <c r="N28" s="52">
        <v>0</v>
      </c>
      <c r="O28" s="52">
        <v>0</v>
      </c>
      <c r="P28" s="52">
        <v>77</v>
      </c>
    </row>
    <row r="29" spans="1:16" x14ac:dyDescent="0.3">
      <c r="A29" s="39" t="s">
        <v>248</v>
      </c>
      <c r="B29" s="39" t="s">
        <v>11</v>
      </c>
      <c r="C29" s="39" t="s">
        <v>1360</v>
      </c>
      <c r="D29" s="39" t="s">
        <v>214</v>
      </c>
      <c r="E29" s="52">
        <f t="shared" si="0"/>
        <v>0.78431372549019607</v>
      </c>
      <c r="F29" s="52">
        <v>1</v>
      </c>
      <c r="G29" s="52">
        <f>IF(prodnorm29&gt;0,1/ROUND(prodnorm29,4),0)</f>
        <v>0</v>
      </c>
      <c r="H29" s="54">
        <f>ROUND(dagwerk29,4+2)</f>
        <v>0</v>
      </c>
      <c r="I29" s="43">
        <f>ROUND(uurtarief29,2)</f>
        <v>0</v>
      </c>
      <c r="J29" s="52">
        <v>983.39999999999986</v>
      </c>
      <c r="K29" s="52">
        <v>285.69</v>
      </c>
      <c r="L29" s="52">
        <v>410.1</v>
      </c>
      <c r="M29" s="52">
        <v>190</v>
      </c>
      <c r="N29" s="52">
        <v>149.63</v>
      </c>
      <c r="O29" s="52">
        <v>194.8</v>
      </c>
      <c r="P29" s="52">
        <v>176</v>
      </c>
    </row>
    <row r="30" spans="1:16" x14ac:dyDescent="0.3">
      <c r="A30" s="39" t="s">
        <v>250</v>
      </c>
      <c r="B30" s="39" t="s">
        <v>11</v>
      </c>
      <c r="C30" s="39" t="s">
        <v>1360</v>
      </c>
      <c r="D30" s="39" t="s">
        <v>214</v>
      </c>
      <c r="E30" s="52">
        <f t="shared" si="0"/>
        <v>0.78431372549019607</v>
      </c>
      <c r="F30" s="52">
        <v>1</v>
      </c>
      <c r="G30" s="52">
        <f>IF(prodnorm30&gt;0,1/ROUND(prodnorm30,4),0)</f>
        <v>0</v>
      </c>
      <c r="H30" s="54">
        <f>ROUND(dagwerk30,4+2)</f>
        <v>0</v>
      </c>
      <c r="I30" s="43">
        <f>ROUND(uurtarief30,2)</f>
        <v>0</v>
      </c>
      <c r="J30" s="52">
        <v>211.89999999999998</v>
      </c>
      <c r="K30" s="52">
        <v>60.88</v>
      </c>
      <c r="L30" s="52">
        <v>87</v>
      </c>
      <c r="M30" s="52">
        <v>81</v>
      </c>
      <c r="N30" s="52">
        <v>166.31</v>
      </c>
      <c r="O30" s="52">
        <v>139.79999999999998</v>
      </c>
      <c r="P30" s="52">
        <v>87</v>
      </c>
    </row>
    <row r="31" spans="1:16" x14ac:dyDescent="0.3">
      <c r="A31" s="39" t="s">
        <v>252</v>
      </c>
      <c r="B31" s="39" t="s">
        <v>11</v>
      </c>
      <c r="C31" s="39" t="s">
        <v>1360</v>
      </c>
      <c r="D31" s="39" t="s">
        <v>214</v>
      </c>
      <c r="E31" s="52">
        <f t="shared" si="0"/>
        <v>0.78431372549019607</v>
      </c>
      <c r="F31" s="52">
        <v>1</v>
      </c>
      <c r="G31" s="52">
        <f>IF(prodnorm31&gt;0,1/ROUND(prodnorm31,4),0)</f>
        <v>0</v>
      </c>
      <c r="H31" s="54">
        <f>ROUND(dagwerk31,4+2)</f>
        <v>0</v>
      </c>
      <c r="I31" s="43">
        <f>ROUND(uurtarief31,2)</f>
        <v>0</v>
      </c>
      <c r="J31" s="52">
        <v>174.3</v>
      </c>
      <c r="K31" s="52">
        <v>81.319999999999993</v>
      </c>
      <c r="L31" s="52">
        <v>53</v>
      </c>
      <c r="M31" s="52">
        <v>94</v>
      </c>
      <c r="N31" s="52">
        <v>130.74</v>
      </c>
      <c r="O31" s="52">
        <v>294.5</v>
      </c>
      <c r="P31" s="52">
        <v>50</v>
      </c>
    </row>
    <row r="32" spans="1:16" x14ac:dyDescent="0.3">
      <c r="A32" s="39" t="s">
        <v>254</v>
      </c>
      <c r="B32" s="39" t="s">
        <v>11</v>
      </c>
      <c r="C32" s="39" t="s">
        <v>1360</v>
      </c>
      <c r="D32" s="39" t="s">
        <v>214</v>
      </c>
      <c r="E32" s="52">
        <f t="shared" si="0"/>
        <v>0.78431372549019607</v>
      </c>
      <c r="F32" s="52">
        <v>1</v>
      </c>
      <c r="G32" s="52">
        <f>IF(prodnorm32&gt;0,1/ROUND(prodnorm32,4),0)</f>
        <v>0</v>
      </c>
      <c r="H32" s="54">
        <f>ROUND(dagwerk32,4+2)</f>
        <v>0</v>
      </c>
      <c r="I32" s="43">
        <f>ROUND(uurtarief32,2)</f>
        <v>0</v>
      </c>
      <c r="J32" s="52">
        <v>11.4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</row>
    <row r="33" spans="1:16" x14ac:dyDescent="0.3">
      <c r="A33" s="39" t="s">
        <v>256</v>
      </c>
      <c r="B33" s="39" t="s">
        <v>11</v>
      </c>
      <c r="C33" s="39" t="s">
        <v>1360</v>
      </c>
      <c r="D33" s="39" t="s">
        <v>214</v>
      </c>
      <c r="E33" s="52">
        <f t="shared" si="0"/>
        <v>0.78431372549019607</v>
      </c>
      <c r="F33" s="52">
        <v>1</v>
      </c>
      <c r="G33" s="52">
        <f>IF(prodnorm33&gt;0,1/ROUND(prodnorm33,4),0)</f>
        <v>0</v>
      </c>
      <c r="H33" s="54">
        <f>ROUND(dagwerk33,4+2)</f>
        <v>0</v>
      </c>
      <c r="I33" s="43">
        <f>ROUND(uurtarief33,2)</f>
        <v>0</v>
      </c>
      <c r="J33" s="52">
        <v>1444.5</v>
      </c>
      <c r="K33" s="52">
        <v>477.52</v>
      </c>
      <c r="L33" s="52">
        <v>998.7</v>
      </c>
      <c r="M33" s="52">
        <v>494</v>
      </c>
      <c r="N33" s="52">
        <v>975.24</v>
      </c>
      <c r="O33" s="52">
        <v>1446.7</v>
      </c>
      <c r="P33" s="52">
        <v>567</v>
      </c>
    </row>
    <row r="34" spans="1:16" x14ac:dyDescent="0.3">
      <c r="A34" s="39" t="s">
        <v>256</v>
      </c>
      <c r="B34" s="39" t="s">
        <v>16</v>
      </c>
      <c r="C34" s="39" t="s">
        <v>1360</v>
      </c>
      <c r="D34" s="39" t="s">
        <v>214</v>
      </c>
      <c r="E34" s="52">
        <f t="shared" si="0"/>
        <v>0.31372549019607843</v>
      </c>
      <c r="F34" s="52">
        <v>1</v>
      </c>
      <c r="G34" s="52">
        <f>IF(prodnorm34&gt;0,1/ROUND(prodnorm34,4),0)</f>
        <v>0</v>
      </c>
      <c r="H34" s="54">
        <f>ROUND(dagwerk34,4+2)</f>
        <v>0</v>
      </c>
      <c r="I34" s="43">
        <f>ROUND(uurtarief34,2)</f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25</v>
      </c>
      <c r="P34" s="52">
        <v>0</v>
      </c>
    </row>
    <row r="35" spans="1:16" x14ac:dyDescent="0.3">
      <c r="A35" s="44" t="s">
        <v>258</v>
      </c>
      <c r="B35" s="44" t="s">
        <v>11</v>
      </c>
      <c r="C35" s="44" t="s">
        <v>1360</v>
      </c>
      <c r="D35" s="44" t="s">
        <v>214</v>
      </c>
      <c r="E35" s="55">
        <f t="shared" si="0"/>
        <v>0.78431372549019607</v>
      </c>
      <c r="F35" s="55">
        <v>1</v>
      </c>
      <c r="G35" s="55">
        <f>IF(prodnorm35&gt;0,1/ROUND(prodnorm35,4),0)</f>
        <v>0</v>
      </c>
      <c r="H35" s="57">
        <f>ROUND(dagwerk35,4+2)</f>
        <v>0</v>
      </c>
      <c r="I35" s="48">
        <f>ROUND(uurtarief35,2)</f>
        <v>0</v>
      </c>
      <c r="J35" s="55">
        <v>15</v>
      </c>
      <c r="K35" s="55">
        <v>0</v>
      </c>
      <c r="L35" s="55">
        <v>0</v>
      </c>
      <c r="M35" s="55">
        <v>0</v>
      </c>
      <c r="N35" s="55">
        <v>0</v>
      </c>
      <c r="O35" s="55">
        <v>0</v>
      </c>
      <c r="P35" s="55">
        <v>0</v>
      </c>
    </row>
    <row r="36" spans="1:16" x14ac:dyDescent="0.3">
      <c r="A36" s="59" t="s">
        <v>260</v>
      </c>
      <c r="B36" s="60"/>
      <c r="C36" s="60"/>
      <c r="D36" s="60"/>
      <c r="E36" s="60"/>
      <c r="F36" s="60"/>
      <c r="G36" s="60"/>
      <c r="H36" s="60"/>
      <c r="I36" s="60"/>
      <c r="J36" s="97"/>
      <c r="K36" s="97"/>
      <c r="L36" s="97"/>
      <c r="M36" s="97"/>
      <c r="N36" s="97"/>
      <c r="O36" s="97"/>
      <c r="P36" s="97"/>
    </row>
    <row r="38" spans="1:16" x14ac:dyDescent="0.3">
      <c r="A38" s="34" t="s">
        <v>262</v>
      </c>
      <c r="B38" s="34" t="s">
        <v>21</v>
      </c>
      <c r="C38" s="34" t="s">
        <v>1361</v>
      </c>
      <c r="D38" s="34" t="s">
        <v>214</v>
      </c>
      <c r="E38" s="49">
        <f>IF(B38="","",VLOOKUP(B38,dagsoorttabel1,2,FALSE))</f>
        <v>3.9215686274509803E-2</v>
      </c>
      <c r="F38" s="49">
        <v>1</v>
      </c>
      <c r="G38" s="49">
        <f>IF(prodnorm36&gt;0,1/ROUND(prodnorm36,4),0)</f>
        <v>0</v>
      </c>
      <c r="H38" s="51">
        <f>ROUND(dagwerk36,4+2)</f>
        <v>0</v>
      </c>
      <c r="I38" s="38">
        <f>ROUND(uurtarief36,2)</f>
        <v>0</v>
      </c>
      <c r="J38" s="49">
        <v>0</v>
      </c>
      <c r="K38" s="49">
        <v>0</v>
      </c>
      <c r="L38" s="49">
        <v>0</v>
      </c>
      <c r="M38" s="49">
        <v>0</v>
      </c>
      <c r="N38" s="49">
        <v>234.58</v>
      </c>
      <c r="O38" s="49">
        <v>0</v>
      </c>
      <c r="P38" s="49">
        <v>0</v>
      </c>
    </row>
    <row r="39" spans="1:16" x14ac:dyDescent="0.3">
      <c r="A39" s="39" t="s">
        <v>262</v>
      </c>
      <c r="B39" s="39" t="s">
        <v>23</v>
      </c>
      <c r="C39" s="39" t="s">
        <v>1361</v>
      </c>
      <c r="D39" s="39" t="s">
        <v>214</v>
      </c>
      <c r="E39" s="52">
        <f>IF(B39="","",VLOOKUP(B39,dagsoorttabel1,2,FALSE))</f>
        <v>1.5686274509803921E-2</v>
      </c>
      <c r="F39" s="52">
        <v>1</v>
      </c>
      <c r="G39" s="52">
        <f>IF(prodnorm37&gt;0,1/ROUND(prodnorm37,4),0)</f>
        <v>0</v>
      </c>
      <c r="H39" s="54">
        <f>ROUND(dagwerk37,4+2)</f>
        <v>0</v>
      </c>
      <c r="I39" s="43">
        <f>ROUND(uurtarief37,2)</f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517.09999999999991</v>
      </c>
      <c r="P39" s="52">
        <v>0</v>
      </c>
    </row>
    <row r="40" spans="1:16" x14ac:dyDescent="0.3">
      <c r="A40" s="39" t="s">
        <v>263</v>
      </c>
      <c r="B40" s="39" t="s">
        <v>21</v>
      </c>
      <c r="C40" s="39" t="s">
        <v>1361</v>
      </c>
      <c r="D40" s="39" t="s">
        <v>214</v>
      </c>
      <c r="E40" s="52">
        <f>IF(B40="","",VLOOKUP(B40,dagsoorttabel1,2,FALSE))</f>
        <v>3.9215686274509803E-2</v>
      </c>
      <c r="F40" s="52">
        <v>1</v>
      </c>
      <c r="G40" s="52">
        <f>IF(prodnorm38&gt;0,1/ROUND(prodnorm38,4),0)</f>
        <v>0</v>
      </c>
      <c r="H40" s="54">
        <f>ROUND(dagwerk38,4+2)</f>
        <v>0</v>
      </c>
      <c r="I40" s="43">
        <f>ROUND(uurtarief38,2)</f>
        <v>0</v>
      </c>
      <c r="J40" s="52">
        <v>0</v>
      </c>
      <c r="K40" s="52">
        <v>0</v>
      </c>
      <c r="L40" s="52">
        <v>0</v>
      </c>
      <c r="M40" s="52">
        <v>0</v>
      </c>
      <c r="N40" s="52">
        <v>30.88</v>
      </c>
      <c r="O40" s="52">
        <v>0</v>
      </c>
      <c r="P40" s="52">
        <v>0</v>
      </c>
    </row>
    <row r="41" spans="1:16" x14ac:dyDescent="0.3">
      <c r="A41" s="39" t="s">
        <v>264</v>
      </c>
      <c r="B41" s="39" t="s">
        <v>21</v>
      </c>
      <c r="C41" s="39" t="s">
        <v>1361</v>
      </c>
      <c r="D41" s="39" t="s">
        <v>214</v>
      </c>
      <c r="E41" s="52">
        <f>IF(B41="","",VLOOKUP(B41,dagsoorttabel1,2,FALSE))</f>
        <v>3.9215686274509803E-2</v>
      </c>
      <c r="F41" s="52">
        <v>1</v>
      </c>
      <c r="G41" s="52">
        <f>IF(prodnorm39&gt;0,1/ROUND(prodnorm39,4),0)</f>
        <v>0</v>
      </c>
      <c r="H41" s="54">
        <f>ROUND(dagwerk39,4+2)</f>
        <v>0</v>
      </c>
      <c r="I41" s="43">
        <f>ROUND(uurtarief39,2)</f>
        <v>0</v>
      </c>
      <c r="J41" s="52">
        <v>0</v>
      </c>
      <c r="K41" s="52">
        <v>0</v>
      </c>
      <c r="L41" s="52">
        <v>0</v>
      </c>
      <c r="M41" s="52">
        <v>0</v>
      </c>
      <c r="N41" s="52">
        <v>14.51</v>
      </c>
      <c r="O41" s="52">
        <v>0</v>
      </c>
      <c r="P41" s="52">
        <v>0</v>
      </c>
    </row>
    <row r="42" spans="1:16" x14ac:dyDescent="0.3">
      <c r="A42" s="44" t="s">
        <v>264</v>
      </c>
      <c r="B42" s="44" t="s">
        <v>23</v>
      </c>
      <c r="C42" s="44" t="s">
        <v>1361</v>
      </c>
      <c r="D42" s="44" t="s">
        <v>214</v>
      </c>
      <c r="E42" s="55">
        <f>IF(B42="","",VLOOKUP(B42,dagsoorttabel1,2,FALSE))</f>
        <v>1.5686274509803921E-2</v>
      </c>
      <c r="F42" s="55">
        <v>1</v>
      </c>
      <c r="G42" s="55">
        <f>IF(prodnorm40&gt;0,1/ROUND(prodnorm40,4),0)</f>
        <v>0</v>
      </c>
      <c r="H42" s="57">
        <f>ROUND(dagwerk40,4+2)</f>
        <v>0</v>
      </c>
      <c r="I42" s="48">
        <f>ROUND(uurtarief40,2)</f>
        <v>0</v>
      </c>
      <c r="J42" s="55">
        <v>0</v>
      </c>
      <c r="K42" s="55">
        <v>0</v>
      </c>
      <c r="L42" s="55">
        <v>0</v>
      </c>
      <c r="M42" s="55">
        <v>0</v>
      </c>
      <c r="N42" s="55">
        <v>0</v>
      </c>
      <c r="O42" s="55">
        <v>174.3</v>
      </c>
      <c r="P42" s="55">
        <v>0</v>
      </c>
    </row>
    <row r="43" spans="1:16" x14ac:dyDescent="0.3">
      <c r="A43" s="59" t="s">
        <v>265</v>
      </c>
      <c r="B43" s="60"/>
      <c r="C43" s="60"/>
      <c r="D43" s="60"/>
      <c r="E43" s="60"/>
      <c r="F43" s="60"/>
      <c r="G43" s="60"/>
      <c r="H43" s="60"/>
      <c r="I43" s="60"/>
      <c r="J43" s="97"/>
      <c r="K43" s="97"/>
      <c r="L43" s="97"/>
      <c r="M43" s="97"/>
      <c r="N43" s="97"/>
      <c r="O43" s="97"/>
      <c r="P43" s="97"/>
    </row>
  </sheetData>
  <sheetProtection algorithmName="SHA-512" hashValue="N/7TPvtqoVLyvK9JaBZQ4iIhIS/FsSIqjygonmL7Itbs8eDv9vaWZwVLOcuktL30oS6Tmy3vRAC0efuaBn4N6w==" saltValue="s6RsK7oahkOJcBIBaoBRfg==" spinCount="100000" sheet="1" objects="1" scenarios="1" autoFilter="0"/>
  <pageMargins left="0.7" right="0.7" top="0.75" bottom="0.75" header="0.3" footer="0.3"/>
  <pageSetup scale="70" orientation="landscape" r:id="rId1"/>
  <headerFooter>
    <oddFooter>&amp;LStichting Onderwijsgroep Amersfoort                         &amp;ROpmaakdatum: 07-07-2025
Intexso - Plantageweg 23E - Leusden
+31 (33) 2778485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22EB3-D03F-485A-BC07-F63EA1104CB8}">
  <dimension ref="A1:R24"/>
  <sheetViews>
    <sheetView workbookViewId="0"/>
  </sheetViews>
  <sheetFormatPr defaultRowHeight="13.5" x14ac:dyDescent="0.3"/>
  <cols>
    <col min="1" max="1" width="8.61328125" customWidth="1"/>
    <col min="2" max="2" width="28.61328125" customWidth="1"/>
    <col min="3" max="4" width="15.61328125" customWidth="1"/>
    <col min="5" max="5" width="6.15234375" customWidth="1"/>
    <col min="6" max="6" width="10.61328125" customWidth="1"/>
    <col min="7" max="14" width="12.15234375" customWidth="1"/>
    <col min="15" max="16" width="12.61328125" customWidth="1"/>
    <col min="17" max="17" width="14.61328125" customWidth="1"/>
    <col min="18" max="18" width="13.61328125" customWidth="1"/>
  </cols>
  <sheetData>
    <row r="1" spans="1:18" x14ac:dyDescent="0.3">
      <c r="A1" s="1" t="str">
        <f>CONCATENATE("Bijlage I.5: ",tabeltype," objecten")</f>
        <v>Bijlage I.5: Invultabel objecten</v>
      </c>
    </row>
    <row r="3" spans="1:18" ht="54" x14ac:dyDescent="0.3">
      <c r="A3" s="27" t="s">
        <v>268</v>
      </c>
      <c r="B3" s="27" t="s">
        <v>1362</v>
      </c>
      <c r="C3" s="27" t="s">
        <v>1363</v>
      </c>
      <c r="D3" s="27" t="s">
        <v>1364</v>
      </c>
      <c r="E3" s="27" t="s">
        <v>7</v>
      </c>
      <c r="F3" s="27" t="s">
        <v>1365</v>
      </c>
      <c r="G3" s="27" t="s">
        <v>1366</v>
      </c>
      <c r="H3" s="27" t="s">
        <v>1367</v>
      </c>
      <c r="I3" s="27" t="s">
        <v>1368</v>
      </c>
      <c r="J3" s="27" t="s">
        <v>1369</v>
      </c>
      <c r="K3" s="27" t="s">
        <v>1370</v>
      </c>
      <c r="L3" s="27" t="s">
        <v>1371</v>
      </c>
      <c r="M3" s="27" t="s">
        <v>1372</v>
      </c>
      <c r="N3" s="27" t="s">
        <v>1373</v>
      </c>
      <c r="O3" s="27" t="s">
        <v>1374</v>
      </c>
      <c r="P3" s="27" t="s">
        <v>211</v>
      </c>
      <c r="Q3" s="27" t="s">
        <v>212</v>
      </c>
      <c r="R3" s="27" t="s">
        <v>1375</v>
      </c>
    </row>
    <row r="4" spans="1:18" x14ac:dyDescent="0.3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30"/>
    </row>
    <row r="5" spans="1:18" x14ac:dyDescent="0.3">
      <c r="A5" s="31" t="s">
        <v>99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3"/>
    </row>
    <row r="6" spans="1:18" x14ac:dyDescent="0.3">
      <c r="A6" s="34" t="s">
        <v>278</v>
      </c>
      <c r="B6" s="34" t="s">
        <v>1376</v>
      </c>
      <c r="C6" s="34" t="s">
        <v>1377</v>
      </c>
      <c r="D6" s="34" t="s">
        <v>1378</v>
      </c>
      <c r="E6" s="98" t="s">
        <v>11</v>
      </c>
      <c r="F6" s="99">
        <f t="shared" ref="F6:F12" si="0">gemuurtarief1</f>
        <v>0</v>
      </c>
      <c r="G6" s="49">
        <f>SUMPRODUCT(taakfreqtabel1,uurfactortabel1,kengetaltabel1,object1_opptabel1)*(1/VLOOKUP(E6,dagsoorttabel1,2,FALSE))</f>
        <v>0</v>
      </c>
      <c r="H6" s="49">
        <f>SUMPRODUCT(dagwerktabel1,taakfreqtabel1,uurfactortabel1,kengetaltabel1,object1_opptabel1)*(1/VLOOKUP(E6,dagsoorttabel1,2,FALSE))</f>
        <v>0</v>
      </c>
      <c r="I6" s="36"/>
      <c r="J6" s="49">
        <f t="shared" ref="J6:J12" si="1">H6+I6</f>
        <v>0</v>
      </c>
      <c r="K6" s="49">
        <f t="shared" ref="K6:K12" si="2">G6+I6</f>
        <v>0</v>
      </c>
      <c r="L6" s="38">
        <f>SUMPRODUCT(taakfreqtabel1,kengetaltabel1,tarieftabel1,object1_opptabel1)*(1/VLOOKUP(E6,dagsoorttabel1,2,FALSE))</f>
        <v>0</v>
      </c>
      <c r="M6" s="38">
        <f t="shared" ref="M6:M12" si="3">F6*I6</f>
        <v>0</v>
      </c>
      <c r="N6" s="38">
        <f t="shared" ref="N6:N12" si="4">SUM(L6:M6)</f>
        <v>0</v>
      </c>
      <c r="O6" s="49">
        <f t="shared" ref="O6:O12" si="5">J6*dagenperjaar1*VLOOKUP(E6,dagsoorttabel1,2,FALSE)</f>
        <v>0</v>
      </c>
      <c r="P6" s="49">
        <f t="shared" ref="P6:P12" si="6">K6*dagenperjaar1*VLOOKUP(E6,dagsoorttabel1,2,FALSE)</f>
        <v>0</v>
      </c>
      <c r="Q6" s="38">
        <f t="shared" ref="Q6:Q12" si="7">N6*dagenperjaar1*VLOOKUP(E6,dagsoorttabel1,2,FALSE)</f>
        <v>0</v>
      </c>
      <c r="R6" s="38">
        <f t="shared" ref="R6:R12" si="8">Q6/12</f>
        <v>0</v>
      </c>
    </row>
    <row r="7" spans="1:18" x14ac:dyDescent="0.3">
      <c r="A7" s="39" t="s">
        <v>508</v>
      </c>
      <c r="B7" s="39" t="s">
        <v>1379</v>
      </c>
      <c r="C7" s="39" t="s">
        <v>1380</v>
      </c>
      <c r="D7" s="39" t="s">
        <v>1378</v>
      </c>
      <c r="E7" s="100" t="s">
        <v>11</v>
      </c>
      <c r="F7" s="101">
        <f t="shared" si="0"/>
        <v>0</v>
      </c>
      <c r="G7" s="52">
        <f>SUMPRODUCT(taakfreqtabel1,uurfactortabel1,kengetaltabel1,object2_opptabel1)*(1/VLOOKUP(E7,dagsoorttabel1,2,FALSE))</f>
        <v>0</v>
      </c>
      <c r="H7" s="52">
        <f>SUMPRODUCT(dagwerktabel1,taakfreqtabel1,uurfactortabel1,kengetaltabel1,object2_opptabel1)*(1/VLOOKUP(E7,dagsoorttabel1,2,FALSE))</f>
        <v>0</v>
      </c>
      <c r="I7" s="41"/>
      <c r="J7" s="52">
        <f t="shared" si="1"/>
        <v>0</v>
      </c>
      <c r="K7" s="52">
        <f t="shared" si="2"/>
        <v>0</v>
      </c>
      <c r="L7" s="43">
        <f>SUMPRODUCT(taakfreqtabel1,kengetaltabel1,tarieftabel1,object2_opptabel1)*(1/VLOOKUP(E7,dagsoorttabel1,2,FALSE))</f>
        <v>0</v>
      </c>
      <c r="M7" s="43">
        <f t="shared" si="3"/>
        <v>0</v>
      </c>
      <c r="N7" s="43">
        <f t="shared" si="4"/>
        <v>0</v>
      </c>
      <c r="O7" s="52">
        <f t="shared" si="5"/>
        <v>0</v>
      </c>
      <c r="P7" s="52">
        <f t="shared" si="6"/>
        <v>0</v>
      </c>
      <c r="Q7" s="43">
        <f t="shared" si="7"/>
        <v>0</v>
      </c>
      <c r="R7" s="43">
        <f t="shared" si="8"/>
        <v>0</v>
      </c>
    </row>
    <row r="8" spans="1:18" x14ac:dyDescent="0.3">
      <c r="A8" s="39" t="s">
        <v>575</v>
      </c>
      <c r="B8" s="39" t="s">
        <v>1381</v>
      </c>
      <c r="C8" s="39" t="s">
        <v>1382</v>
      </c>
      <c r="D8" s="39" t="s">
        <v>1378</v>
      </c>
      <c r="E8" s="100" t="s">
        <v>11</v>
      </c>
      <c r="F8" s="101">
        <f t="shared" si="0"/>
        <v>0</v>
      </c>
      <c r="G8" s="52">
        <f>SUMPRODUCT(taakfreqtabel1,uurfactortabel1,kengetaltabel1,object3_opptabel1)*(1/VLOOKUP(E8,dagsoorttabel1,2,FALSE))</f>
        <v>0</v>
      </c>
      <c r="H8" s="52">
        <f>SUMPRODUCT(dagwerktabel1,taakfreqtabel1,uurfactortabel1,kengetaltabel1,object3_opptabel1)*(1/VLOOKUP(E8,dagsoorttabel1,2,FALSE))</f>
        <v>0</v>
      </c>
      <c r="I8" s="41"/>
      <c r="J8" s="52">
        <f t="shared" si="1"/>
        <v>0</v>
      </c>
      <c r="K8" s="52">
        <f t="shared" si="2"/>
        <v>0</v>
      </c>
      <c r="L8" s="43">
        <f>SUMPRODUCT(taakfreqtabel1,kengetaltabel1,tarieftabel1,object3_opptabel1)*(1/VLOOKUP(E8,dagsoorttabel1,2,FALSE))</f>
        <v>0</v>
      </c>
      <c r="M8" s="43">
        <f t="shared" si="3"/>
        <v>0</v>
      </c>
      <c r="N8" s="43">
        <f t="shared" si="4"/>
        <v>0</v>
      </c>
      <c r="O8" s="52">
        <f t="shared" si="5"/>
        <v>0</v>
      </c>
      <c r="P8" s="52">
        <f t="shared" si="6"/>
        <v>0</v>
      </c>
      <c r="Q8" s="43">
        <f t="shared" si="7"/>
        <v>0</v>
      </c>
      <c r="R8" s="43">
        <f t="shared" si="8"/>
        <v>0</v>
      </c>
    </row>
    <row r="9" spans="1:18" x14ac:dyDescent="0.3">
      <c r="A9" s="39" t="s">
        <v>764</v>
      </c>
      <c r="B9" s="39" t="s">
        <v>1383</v>
      </c>
      <c r="C9" s="39" t="s">
        <v>1384</v>
      </c>
      <c r="D9" s="39" t="s">
        <v>1378</v>
      </c>
      <c r="E9" s="100" t="s">
        <v>11</v>
      </c>
      <c r="F9" s="101">
        <f t="shared" si="0"/>
        <v>0</v>
      </c>
      <c r="G9" s="52">
        <f>SUMPRODUCT(taakfreqtabel1,uurfactortabel1,kengetaltabel1,object4_opptabel1)*(1/VLOOKUP(E9,dagsoorttabel1,2,FALSE))</f>
        <v>0</v>
      </c>
      <c r="H9" s="52">
        <f>SUMPRODUCT(dagwerktabel1,taakfreqtabel1,uurfactortabel1,kengetaltabel1,object4_opptabel1)*(1/VLOOKUP(E9,dagsoorttabel1,2,FALSE))</f>
        <v>0</v>
      </c>
      <c r="I9" s="41"/>
      <c r="J9" s="52">
        <f t="shared" si="1"/>
        <v>0</v>
      </c>
      <c r="K9" s="52">
        <f t="shared" si="2"/>
        <v>0</v>
      </c>
      <c r="L9" s="43">
        <f>SUMPRODUCT(taakfreqtabel1,kengetaltabel1,tarieftabel1,object4_opptabel1)*(1/VLOOKUP(E9,dagsoorttabel1,2,FALSE))</f>
        <v>0</v>
      </c>
      <c r="M9" s="43">
        <f t="shared" si="3"/>
        <v>0</v>
      </c>
      <c r="N9" s="43">
        <f t="shared" si="4"/>
        <v>0</v>
      </c>
      <c r="O9" s="52">
        <f t="shared" si="5"/>
        <v>0</v>
      </c>
      <c r="P9" s="52">
        <f t="shared" si="6"/>
        <v>0</v>
      </c>
      <c r="Q9" s="43">
        <f t="shared" si="7"/>
        <v>0</v>
      </c>
      <c r="R9" s="43">
        <f t="shared" si="8"/>
        <v>0</v>
      </c>
    </row>
    <row r="10" spans="1:18" x14ac:dyDescent="0.3">
      <c r="A10" s="39" t="s">
        <v>844</v>
      </c>
      <c r="B10" s="39" t="s">
        <v>1385</v>
      </c>
      <c r="C10" s="39" t="s">
        <v>1386</v>
      </c>
      <c r="D10" s="39" t="s">
        <v>1378</v>
      </c>
      <c r="E10" s="100" t="s">
        <v>11</v>
      </c>
      <c r="F10" s="101">
        <f t="shared" si="0"/>
        <v>0</v>
      </c>
      <c r="G10" s="52">
        <f>SUMPRODUCT(taakfreqtabel1,uurfactortabel1,kengetaltabel1,object5_opptabel1)*(1/VLOOKUP(E10,dagsoorttabel1,2,FALSE))</f>
        <v>0</v>
      </c>
      <c r="H10" s="52">
        <f>SUMPRODUCT(dagwerktabel1,taakfreqtabel1,uurfactortabel1,kengetaltabel1,object5_opptabel1)*(1/VLOOKUP(E10,dagsoorttabel1,2,FALSE))</f>
        <v>0</v>
      </c>
      <c r="I10" s="41"/>
      <c r="J10" s="52">
        <f t="shared" si="1"/>
        <v>0</v>
      </c>
      <c r="K10" s="52">
        <f t="shared" si="2"/>
        <v>0</v>
      </c>
      <c r="L10" s="43">
        <f>SUMPRODUCT(taakfreqtabel1,kengetaltabel1,tarieftabel1,object5_opptabel1)*(1/VLOOKUP(E10,dagsoorttabel1,2,FALSE))</f>
        <v>0</v>
      </c>
      <c r="M10" s="43">
        <f t="shared" si="3"/>
        <v>0</v>
      </c>
      <c r="N10" s="43">
        <f t="shared" si="4"/>
        <v>0</v>
      </c>
      <c r="O10" s="52">
        <f t="shared" si="5"/>
        <v>0</v>
      </c>
      <c r="P10" s="52">
        <f t="shared" si="6"/>
        <v>0</v>
      </c>
      <c r="Q10" s="43">
        <f t="shared" si="7"/>
        <v>0</v>
      </c>
      <c r="R10" s="43">
        <f t="shared" si="8"/>
        <v>0</v>
      </c>
    </row>
    <row r="11" spans="1:18" x14ac:dyDescent="0.3">
      <c r="A11" s="39" t="s">
        <v>1043</v>
      </c>
      <c r="B11" s="102" t="s">
        <v>1387</v>
      </c>
      <c r="C11" s="39" t="s">
        <v>1388</v>
      </c>
      <c r="D11" s="39" t="s">
        <v>1378</v>
      </c>
      <c r="E11" s="100" t="s">
        <v>11</v>
      </c>
      <c r="F11" s="101">
        <f t="shared" si="0"/>
        <v>0</v>
      </c>
      <c r="G11" s="52">
        <f>SUMPRODUCT(taakfreqtabel1,uurfactortabel1,kengetaltabel1,object6_opptabel1)*(1/VLOOKUP(E11,dagsoorttabel1,2,FALSE))</f>
        <v>0</v>
      </c>
      <c r="H11" s="52">
        <f>SUMPRODUCT(dagwerktabel1,taakfreqtabel1,uurfactortabel1,kengetaltabel1,object6_opptabel1)*(1/VLOOKUP(E11,dagsoorttabel1,2,FALSE))</f>
        <v>0</v>
      </c>
      <c r="I11" s="41"/>
      <c r="J11" s="52">
        <f t="shared" si="1"/>
        <v>0</v>
      </c>
      <c r="K11" s="52">
        <f t="shared" si="2"/>
        <v>0</v>
      </c>
      <c r="L11" s="43">
        <f>SUMPRODUCT(taakfreqtabel1,kengetaltabel1,tarieftabel1,object6_opptabel1)*(1/VLOOKUP(E11,dagsoorttabel1,2,FALSE))</f>
        <v>0</v>
      </c>
      <c r="M11" s="43">
        <f t="shared" si="3"/>
        <v>0</v>
      </c>
      <c r="N11" s="43">
        <f t="shared" si="4"/>
        <v>0</v>
      </c>
      <c r="O11" s="52">
        <f t="shared" si="5"/>
        <v>0</v>
      </c>
      <c r="P11" s="52">
        <f t="shared" si="6"/>
        <v>0</v>
      </c>
      <c r="Q11" s="43">
        <f t="shared" si="7"/>
        <v>0</v>
      </c>
      <c r="R11" s="43">
        <f t="shared" si="8"/>
        <v>0</v>
      </c>
    </row>
    <row r="12" spans="1:18" x14ac:dyDescent="0.3">
      <c r="A12" s="44" t="s">
        <v>1152</v>
      </c>
      <c r="B12" s="44" t="s">
        <v>1389</v>
      </c>
      <c r="C12" s="44" t="s">
        <v>1390</v>
      </c>
      <c r="D12" s="44" t="s">
        <v>1378</v>
      </c>
      <c r="E12" s="103" t="s">
        <v>11</v>
      </c>
      <c r="F12" s="104">
        <f t="shared" si="0"/>
        <v>0</v>
      </c>
      <c r="G12" s="55">
        <f>SUMPRODUCT(taakfreqtabel1,uurfactortabel1,kengetaltabel1,object7_opptabel1)*(1/VLOOKUP(E12,dagsoorttabel1,2,FALSE))</f>
        <v>0</v>
      </c>
      <c r="H12" s="55">
        <f>SUMPRODUCT(dagwerktabel1,taakfreqtabel1,uurfactortabel1,kengetaltabel1,object7_opptabel1)*(1/VLOOKUP(E12,dagsoorttabel1,2,FALSE))</f>
        <v>0</v>
      </c>
      <c r="I12" s="46"/>
      <c r="J12" s="55">
        <f t="shared" si="1"/>
        <v>0</v>
      </c>
      <c r="K12" s="55">
        <f t="shared" si="2"/>
        <v>0</v>
      </c>
      <c r="L12" s="48">
        <f>SUMPRODUCT(taakfreqtabel1,kengetaltabel1,tarieftabel1,object7_opptabel1)*(1/VLOOKUP(E12,dagsoorttabel1,2,FALSE))</f>
        <v>0</v>
      </c>
      <c r="M12" s="48">
        <f t="shared" si="3"/>
        <v>0</v>
      </c>
      <c r="N12" s="48">
        <f t="shared" si="4"/>
        <v>0</v>
      </c>
      <c r="O12" s="55">
        <f t="shared" si="5"/>
        <v>0</v>
      </c>
      <c r="P12" s="55">
        <f t="shared" si="6"/>
        <v>0</v>
      </c>
      <c r="Q12" s="48">
        <f t="shared" si="7"/>
        <v>0</v>
      </c>
      <c r="R12" s="48">
        <f t="shared" si="8"/>
        <v>0</v>
      </c>
    </row>
    <row r="13" spans="1:18" x14ac:dyDescent="0.3">
      <c r="A13" s="59" t="s">
        <v>260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1">
        <f>SUM(O6:O12)</f>
        <v>0</v>
      </c>
      <c r="P13" s="61">
        <f>SUM(P6:P12)</f>
        <v>0</v>
      </c>
      <c r="Q13" s="62">
        <f>SUM(Q6:Q12)</f>
        <v>0</v>
      </c>
      <c r="R13" s="63">
        <f>SUM(R6:R12)</f>
        <v>0</v>
      </c>
    </row>
    <row r="14" spans="1:18" x14ac:dyDescent="0.3">
      <c r="A14" s="64"/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5"/>
    </row>
    <row r="15" spans="1:18" x14ac:dyDescent="0.3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30"/>
    </row>
    <row r="16" spans="1:18" x14ac:dyDescent="0.3">
      <c r="A16" s="31" t="s">
        <v>198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3"/>
    </row>
    <row r="17" spans="1:18" x14ac:dyDescent="0.3">
      <c r="A17" s="34" t="s">
        <v>844</v>
      </c>
      <c r="B17" s="34" t="s">
        <v>1385</v>
      </c>
      <c r="C17" s="34" t="s">
        <v>1386</v>
      </c>
      <c r="D17" s="34" t="s">
        <v>1378</v>
      </c>
      <c r="E17" s="98" t="s">
        <v>21</v>
      </c>
      <c r="F17" s="99">
        <f>gemuurtarief2</f>
        <v>0</v>
      </c>
      <c r="G17" s="49">
        <f>SUMPRODUCT(taakfreqtabel2,uurfactortabel2,kengetaltabel2,object5_opptabel2)*(1/VLOOKUP(E17,dagsoorttabel1,2,FALSE))</f>
        <v>0</v>
      </c>
      <c r="H17" s="49">
        <f>SUMPRODUCT(dagwerktabel2,taakfreqtabel2,uurfactortabel2,kengetaltabel2,object5_opptabel2)*(1/VLOOKUP(E17,dagsoorttabel1,2,FALSE))</f>
        <v>0</v>
      </c>
      <c r="I17" s="36"/>
      <c r="J17" s="49">
        <f>H17+I17</f>
        <v>0</v>
      </c>
      <c r="K17" s="49">
        <f>G17+I17</f>
        <v>0</v>
      </c>
      <c r="L17" s="38">
        <f>SUMPRODUCT(taakfreqtabel2,kengetaltabel2,tarieftabel2,object5_opptabel2)*(1/VLOOKUP(E17,dagsoorttabel1,2,FALSE))</f>
        <v>0</v>
      </c>
      <c r="M17" s="38">
        <f>F17*I17</f>
        <v>0</v>
      </c>
      <c r="N17" s="38">
        <f>SUM(L17:M17)</f>
        <v>0</v>
      </c>
      <c r="O17" s="49">
        <f>J17*dagenperjaar1*VLOOKUP(E17,dagsoorttabel1,2,FALSE)</f>
        <v>0</v>
      </c>
      <c r="P17" s="49">
        <f>K17*dagenperjaar1*VLOOKUP(E17,dagsoorttabel1,2,FALSE)</f>
        <v>0</v>
      </c>
      <c r="Q17" s="38">
        <f>N17*dagenperjaar1*VLOOKUP(E17,dagsoorttabel1,2,FALSE)</f>
        <v>0</v>
      </c>
      <c r="R17" s="38">
        <f>Q17/12</f>
        <v>0</v>
      </c>
    </row>
    <row r="18" spans="1:18" x14ac:dyDescent="0.3">
      <c r="A18" s="44" t="s">
        <v>1043</v>
      </c>
      <c r="B18" s="105" t="s">
        <v>1387</v>
      </c>
      <c r="C18" s="44" t="s">
        <v>1388</v>
      </c>
      <c r="D18" s="44" t="s">
        <v>1378</v>
      </c>
      <c r="E18" s="103" t="s">
        <v>23</v>
      </c>
      <c r="F18" s="104">
        <f>gemuurtarief2</f>
        <v>0</v>
      </c>
      <c r="G18" s="55">
        <f>SUMPRODUCT(taakfreqtabel2,uurfactortabel2,kengetaltabel2,object6_opptabel2)*(1/VLOOKUP(E18,dagsoorttabel1,2,FALSE))</f>
        <v>0</v>
      </c>
      <c r="H18" s="55">
        <f>SUMPRODUCT(dagwerktabel2,taakfreqtabel2,uurfactortabel2,kengetaltabel2,object6_opptabel2)*(1/VLOOKUP(E18,dagsoorttabel1,2,FALSE))</f>
        <v>0</v>
      </c>
      <c r="I18" s="46"/>
      <c r="J18" s="55">
        <f>H18+I18</f>
        <v>0</v>
      </c>
      <c r="K18" s="55">
        <f>G18+I18</f>
        <v>0</v>
      </c>
      <c r="L18" s="48">
        <f>SUMPRODUCT(taakfreqtabel2,kengetaltabel2,tarieftabel2,object6_opptabel2)*(1/VLOOKUP(E18,dagsoorttabel1,2,FALSE))</f>
        <v>0</v>
      </c>
      <c r="M18" s="48">
        <f>F18*I18</f>
        <v>0</v>
      </c>
      <c r="N18" s="48">
        <f>SUM(L18:M18)</f>
        <v>0</v>
      </c>
      <c r="O18" s="55">
        <f>J18*dagenperjaar1*VLOOKUP(E18,dagsoorttabel1,2,FALSE)</f>
        <v>0</v>
      </c>
      <c r="P18" s="55">
        <f>K18*dagenperjaar1*VLOOKUP(E18,dagsoorttabel1,2,FALSE)</f>
        <v>0</v>
      </c>
      <c r="Q18" s="48">
        <f>N18*dagenperjaar1*VLOOKUP(E18,dagsoorttabel1,2,FALSE)</f>
        <v>0</v>
      </c>
      <c r="R18" s="48">
        <f>Q18/12</f>
        <v>0</v>
      </c>
    </row>
    <row r="19" spans="1:18" x14ac:dyDescent="0.3">
      <c r="A19" s="59" t="s">
        <v>265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1">
        <f>SUM(O17:O18)</f>
        <v>0</v>
      </c>
      <c r="P19" s="61">
        <f>SUM(P17:P18)</f>
        <v>0</v>
      </c>
      <c r="Q19" s="62">
        <f>SUM(Q17:Q18)</f>
        <v>0</v>
      </c>
      <c r="R19" s="63">
        <f>SUM(R17:R18)</f>
        <v>0</v>
      </c>
    </row>
    <row r="20" spans="1:18" x14ac:dyDescent="0.3">
      <c r="A20" s="64"/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5"/>
    </row>
    <row r="22" spans="1:18" x14ac:dyDescent="0.3">
      <c r="A22" s="59" t="s">
        <v>1391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1">
        <f>urenjaartotaalhf1+urenjaartotaalhf2</f>
        <v>0</v>
      </c>
      <c r="P22" s="61">
        <f>urenjaartotaal1+urenjaartotaal2</f>
        <v>0</v>
      </c>
      <c r="Q22" s="62">
        <f>prijsjaartotaal1+prijsjaartotaal2</f>
        <v>0</v>
      </c>
      <c r="R22" s="62">
        <f>prijsmaandtotaal1+prijsmaandtotaal2</f>
        <v>0</v>
      </c>
    </row>
    <row r="24" spans="1:18" x14ac:dyDescent="0.3">
      <c r="A24" s="59" t="s">
        <v>1392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2">
        <f>Q22*1.21</f>
        <v>0</v>
      </c>
      <c r="R24" s="62">
        <f>R22*1.21</f>
        <v>0</v>
      </c>
    </row>
  </sheetData>
  <sheetProtection algorithmName="SHA-512" hashValue="Or01ZPpOLp0EKNymcPV9j/H3YFXvlSvtJPhyxJkDb9AXKJXDtgXzmOtcgo/qvChYgdU93UFJkQNdtInr3IaAuA==" saltValue="NEJgNceOeAP2VULusgSwxg==" spinCount="100000" sheet="1" objects="1" scenarios="1" autoFilter="0"/>
  <pageMargins left="0.7" right="0.7" top="0.75" bottom="0.75" header="0.3" footer="0.3"/>
  <pageSetup scale="65" orientation="landscape" r:id="rId1"/>
  <headerFooter>
    <oddFooter>&amp;LStichting Onderwijsgroep Amersfoort                         &amp;ROpmaakdatum: 07-07-2025
Intexso - Plantageweg 23E - Leusden
+31 (33) 2778485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06767-4AB6-46D8-B702-8E581EAF9855}">
  <dimension ref="A1:K87"/>
  <sheetViews>
    <sheetView workbookViewId="0">
      <selection activeCell="C8" sqref="C8"/>
    </sheetView>
  </sheetViews>
  <sheetFormatPr defaultRowHeight="13.5" x14ac:dyDescent="0.3"/>
  <cols>
    <col min="1" max="1" width="7.61328125" customWidth="1"/>
    <col min="2" max="2" width="6.61328125" customWidth="1"/>
    <col min="3" max="3" width="7.61328125" customWidth="1"/>
    <col min="4" max="4" width="40.61328125" customWidth="1"/>
    <col min="5" max="5" width="11.61328125" customWidth="1"/>
    <col min="6" max="7" width="14.61328125" customWidth="1"/>
    <col min="8" max="8" width="12.61328125" customWidth="1"/>
    <col min="9" max="10" width="14.61328125" customWidth="1"/>
    <col min="11" max="11" width="13.61328125" customWidth="1"/>
  </cols>
  <sheetData>
    <row r="1" spans="1:11" x14ac:dyDescent="0.3">
      <c r="A1" s="1" t="str">
        <f>CONCATENATE("Bijlage I.6: ",tabeltype," niet-meewerkende objectleiding")</f>
        <v>Bijlage I.6: Invultabel niet-meewerkende objectleiding</v>
      </c>
    </row>
    <row r="3" spans="1:11" ht="40.5" x14ac:dyDescent="0.3">
      <c r="A3" s="27" t="s">
        <v>1393</v>
      </c>
      <c r="B3" s="27" t="s">
        <v>7</v>
      </c>
      <c r="C3" s="27" t="s">
        <v>1394</v>
      </c>
      <c r="D3" s="27" t="s">
        <v>1395</v>
      </c>
      <c r="E3" s="27" t="s">
        <v>1396</v>
      </c>
      <c r="F3" s="27" t="s">
        <v>1397</v>
      </c>
      <c r="G3" s="27" t="s">
        <v>1398</v>
      </c>
      <c r="H3" s="27" t="s">
        <v>211</v>
      </c>
      <c r="I3" s="27" t="s">
        <v>1399</v>
      </c>
      <c r="J3" s="27" t="s">
        <v>1400</v>
      </c>
      <c r="K3" s="27" t="s">
        <v>1401</v>
      </c>
    </row>
    <row r="4" spans="1:11" x14ac:dyDescent="0.3">
      <c r="A4" s="139"/>
      <c r="B4" s="106"/>
      <c r="C4" s="106"/>
      <c r="D4" s="106"/>
      <c r="E4" s="106"/>
      <c r="F4" s="106"/>
      <c r="G4" s="106"/>
      <c r="H4" s="106"/>
      <c r="I4" s="106"/>
      <c r="J4" s="106"/>
      <c r="K4" s="107"/>
    </row>
    <row r="5" spans="1:11" x14ac:dyDescent="0.3">
      <c r="A5" s="31" t="s">
        <v>99</v>
      </c>
      <c r="B5" s="32"/>
      <c r="C5" s="32"/>
      <c r="D5" s="32"/>
      <c r="E5" s="32"/>
      <c r="F5" s="32"/>
      <c r="G5" s="32"/>
      <c r="H5" s="32"/>
      <c r="I5" s="32"/>
      <c r="J5" s="32"/>
      <c r="K5" s="33"/>
    </row>
    <row r="6" spans="1:11" x14ac:dyDescent="0.3">
      <c r="A6" s="28"/>
      <c r="B6" s="29"/>
      <c r="C6" s="29"/>
      <c r="D6" s="29"/>
      <c r="E6" s="29"/>
      <c r="F6" s="29"/>
      <c r="G6" s="29"/>
      <c r="H6" s="29"/>
      <c r="I6" s="29"/>
      <c r="J6" s="29"/>
      <c r="K6" s="30"/>
    </row>
    <row r="7" spans="1:11" x14ac:dyDescent="0.3">
      <c r="A7" s="31" t="s">
        <v>277</v>
      </c>
      <c r="B7" s="32"/>
      <c r="C7" s="32"/>
      <c r="D7" s="32"/>
      <c r="E7" s="32"/>
      <c r="F7" s="32"/>
      <c r="G7" s="32"/>
      <c r="H7" s="32"/>
      <c r="I7" s="32"/>
      <c r="J7" s="32"/>
      <c r="K7" s="33"/>
    </row>
    <row r="8" spans="1:11" x14ac:dyDescent="0.3">
      <c r="A8" s="34"/>
      <c r="B8" s="34"/>
      <c r="C8" s="140">
        <f>dagenperjaar1</f>
        <v>255</v>
      </c>
      <c r="D8" s="141" t="s">
        <v>1402</v>
      </c>
      <c r="E8" s="108"/>
      <c r="F8" s="37"/>
      <c r="G8" s="109"/>
      <c r="H8" s="49">
        <f>IF(ISBLANK(G8),0,G8*C8)+IF(ISBLANK(F8),0,F8*objecturen1_1)</f>
        <v>0</v>
      </c>
      <c r="I8" s="49">
        <f>IF(C8=0,0,H8/C8)</f>
        <v>0</v>
      </c>
      <c r="J8" s="38">
        <f>IF(ISBLANK(E8),0,ROUND(E8,2)*H8)</f>
        <v>0</v>
      </c>
      <c r="K8" s="38">
        <f>J8/12</f>
        <v>0</v>
      </c>
    </row>
    <row r="9" spans="1:11" x14ac:dyDescent="0.3">
      <c r="A9" s="39"/>
      <c r="B9" s="39"/>
      <c r="C9" s="142">
        <f>dagenperjaar1</f>
        <v>255</v>
      </c>
      <c r="D9" s="138" t="s">
        <v>1402</v>
      </c>
      <c r="E9" s="110"/>
      <c r="F9" s="42"/>
      <c r="G9" s="111"/>
      <c r="H9" s="52">
        <f>IF(ISBLANK(G9),0,G9*C9)+IF(ISBLANK(F9),0,F9*objecturen1_1)</f>
        <v>0</v>
      </c>
      <c r="I9" s="52">
        <f>IF(C9=0,0,H9/C9)</f>
        <v>0</v>
      </c>
      <c r="J9" s="43">
        <f>IF(ISBLANK(E9),0,ROUND(E9,2)*H9)</f>
        <v>0</v>
      </c>
      <c r="K9" s="43">
        <f>J9/12</f>
        <v>0</v>
      </c>
    </row>
    <row r="10" spans="1:11" x14ac:dyDescent="0.3">
      <c r="A10" s="39"/>
      <c r="B10" s="39"/>
      <c r="C10" s="142">
        <f>dagenperjaar1</f>
        <v>255</v>
      </c>
      <c r="D10" s="138" t="s">
        <v>1403</v>
      </c>
      <c r="E10" s="110"/>
      <c r="F10" s="112"/>
      <c r="G10" s="41"/>
      <c r="H10" s="52">
        <f>IF(ISBLANK(G10),0,G10*C10)+IF(ISBLANK(F10),0,F10*objecturen1_1)</f>
        <v>0</v>
      </c>
      <c r="I10" s="52">
        <f>IF(C10=0,0,H10/C10)</f>
        <v>0</v>
      </c>
      <c r="J10" s="43">
        <f>IF(ISBLANK(E10),0,ROUND(E10,2)*H10)</f>
        <v>0</v>
      </c>
      <c r="K10" s="43">
        <f>J10/12</f>
        <v>0</v>
      </c>
    </row>
    <row r="11" spans="1:11" x14ac:dyDescent="0.3">
      <c r="A11" s="44"/>
      <c r="B11" s="44"/>
      <c r="C11" s="143">
        <f>dagenperjaar1</f>
        <v>255</v>
      </c>
      <c r="D11" s="144" t="s">
        <v>1403</v>
      </c>
      <c r="E11" s="113"/>
      <c r="F11" s="114"/>
      <c r="G11" s="46"/>
      <c r="H11" s="55">
        <f>IF(ISBLANK(G11),0,G11*C11)+IF(ISBLANK(F11),0,F11*objecturen1_1)</f>
        <v>0</v>
      </c>
      <c r="I11" s="55">
        <f>IF(C11=0,0,H11/C11)</f>
        <v>0</v>
      </c>
      <c r="J11" s="48">
        <f>IF(ISBLANK(E11),0,ROUND(E11,2)*H11)</f>
        <v>0</v>
      </c>
      <c r="K11" s="48">
        <f>J11/12</f>
        <v>0</v>
      </c>
    </row>
    <row r="12" spans="1:11" x14ac:dyDescent="0.3">
      <c r="A12" s="59" t="s">
        <v>1404</v>
      </c>
      <c r="B12" s="60"/>
      <c r="C12" s="60"/>
      <c r="D12" s="60"/>
      <c r="E12" s="60"/>
      <c r="F12" s="60"/>
      <c r="G12" s="60"/>
      <c r="H12" s="61">
        <f>SUM(H8:H11)</f>
        <v>0</v>
      </c>
      <c r="I12" s="60"/>
      <c r="J12" s="62">
        <f>SUM(J8:J11)</f>
        <v>0</v>
      </c>
      <c r="K12" s="63">
        <f>SUM(K8:K11)</f>
        <v>0</v>
      </c>
    </row>
    <row r="13" spans="1:11" x14ac:dyDescent="0.3">
      <c r="A13" s="64"/>
      <c r="B13" s="60"/>
      <c r="C13" s="60"/>
      <c r="D13" s="60"/>
      <c r="E13" s="60"/>
      <c r="F13" s="60"/>
      <c r="G13" s="60"/>
      <c r="H13" s="60"/>
      <c r="I13" s="60"/>
      <c r="J13" s="60"/>
      <c r="K13" s="65"/>
    </row>
    <row r="14" spans="1:11" x14ac:dyDescent="0.3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30"/>
    </row>
    <row r="15" spans="1:11" x14ac:dyDescent="0.3">
      <c r="A15" s="31" t="s">
        <v>507</v>
      </c>
      <c r="B15" s="32"/>
      <c r="C15" s="32"/>
      <c r="D15" s="32"/>
      <c r="E15" s="32"/>
      <c r="F15" s="32"/>
      <c r="G15" s="32"/>
      <c r="H15" s="32"/>
      <c r="I15" s="32"/>
      <c r="J15" s="32"/>
      <c r="K15" s="33"/>
    </row>
    <row r="16" spans="1:11" x14ac:dyDescent="0.3">
      <c r="A16" s="34"/>
      <c r="B16" s="34"/>
      <c r="C16" s="140">
        <f>dagenperjaar1</f>
        <v>255</v>
      </c>
      <c r="D16" s="141" t="s">
        <v>1402</v>
      </c>
      <c r="E16" s="108"/>
      <c r="F16" s="37"/>
      <c r="G16" s="109"/>
      <c r="H16" s="49">
        <f>IF(ISBLANK(G16),0,G16*C16)+IF(ISBLANK(F16),0,F16*objecturen2_1)</f>
        <v>0</v>
      </c>
      <c r="I16" s="49">
        <f>IF(C16=0,0,H16/C16)</f>
        <v>0</v>
      </c>
      <c r="J16" s="38">
        <f>IF(ISBLANK(E16),0,ROUND(E16,2)*H16)</f>
        <v>0</v>
      </c>
      <c r="K16" s="38">
        <f>J16/12</f>
        <v>0</v>
      </c>
    </row>
    <row r="17" spans="1:11" x14ac:dyDescent="0.3">
      <c r="A17" s="39"/>
      <c r="B17" s="39"/>
      <c r="C17" s="142">
        <f>dagenperjaar1</f>
        <v>255</v>
      </c>
      <c r="D17" s="138" t="s">
        <v>1402</v>
      </c>
      <c r="E17" s="110"/>
      <c r="F17" s="42"/>
      <c r="G17" s="111"/>
      <c r="H17" s="52">
        <f>IF(ISBLANK(G17),0,G17*C17)+IF(ISBLANK(F17),0,F17*objecturen2_1)</f>
        <v>0</v>
      </c>
      <c r="I17" s="52">
        <f>IF(C17=0,0,H17/C17)</f>
        <v>0</v>
      </c>
      <c r="J17" s="43">
        <f>IF(ISBLANK(E17),0,ROUND(E17,2)*H17)</f>
        <v>0</v>
      </c>
      <c r="K17" s="43">
        <f>J17/12</f>
        <v>0</v>
      </c>
    </row>
    <row r="18" spans="1:11" x14ac:dyDescent="0.3">
      <c r="A18" s="39"/>
      <c r="B18" s="39"/>
      <c r="C18" s="142">
        <f>dagenperjaar1</f>
        <v>255</v>
      </c>
      <c r="D18" s="138" t="s">
        <v>1403</v>
      </c>
      <c r="E18" s="110"/>
      <c r="F18" s="112"/>
      <c r="G18" s="41"/>
      <c r="H18" s="52">
        <f>IF(ISBLANK(G18),0,G18*C18)+IF(ISBLANK(F18),0,F18*objecturen2_1)</f>
        <v>0</v>
      </c>
      <c r="I18" s="52">
        <f>IF(C18=0,0,H18/C18)</f>
        <v>0</v>
      </c>
      <c r="J18" s="43">
        <f>IF(ISBLANK(E18),0,ROUND(E18,2)*H18)</f>
        <v>0</v>
      </c>
      <c r="K18" s="43">
        <f>J18/12</f>
        <v>0</v>
      </c>
    </row>
    <row r="19" spans="1:11" x14ac:dyDescent="0.3">
      <c r="A19" s="44"/>
      <c r="B19" s="44"/>
      <c r="C19" s="143">
        <f>dagenperjaar1</f>
        <v>255</v>
      </c>
      <c r="D19" s="144" t="s">
        <v>1403</v>
      </c>
      <c r="E19" s="113"/>
      <c r="F19" s="114"/>
      <c r="G19" s="46"/>
      <c r="H19" s="55">
        <f>IF(ISBLANK(G19),0,G19*C19)+IF(ISBLANK(F19),0,F19*objecturen2_1)</f>
        <v>0</v>
      </c>
      <c r="I19" s="55">
        <f>IF(C19=0,0,H19/C19)</f>
        <v>0</v>
      </c>
      <c r="J19" s="48">
        <f>IF(ISBLANK(E19),0,ROUND(E19,2)*H19)</f>
        <v>0</v>
      </c>
      <c r="K19" s="48">
        <f>J19/12</f>
        <v>0</v>
      </c>
    </row>
    <row r="20" spans="1:11" x14ac:dyDescent="0.3">
      <c r="A20" s="59" t="s">
        <v>1405</v>
      </c>
      <c r="B20" s="60"/>
      <c r="C20" s="60"/>
      <c r="D20" s="60"/>
      <c r="E20" s="60"/>
      <c r="F20" s="60"/>
      <c r="G20" s="60"/>
      <c r="H20" s="61">
        <f>SUM(H16:H19)</f>
        <v>0</v>
      </c>
      <c r="I20" s="60"/>
      <c r="J20" s="62">
        <f>SUM(J16:J19)</f>
        <v>0</v>
      </c>
      <c r="K20" s="63">
        <f>SUM(K16:K19)</f>
        <v>0</v>
      </c>
    </row>
    <row r="21" spans="1:11" x14ac:dyDescent="0.3">
      <c r="A21" s="64"/>
      <c r="B21" s="60"/>
      <c r="C21" s="60"/>
      <c r="D21" s="60"/>
      <c r="E21" s="60"/>
      <c r="F21" s="60"/>
      <c r="G21" s="60"/>
      <c r="H21" s="60"/>
      <c r="I21" s="60"/>
      <c r="J21" s="60"/>
      <c r="K21" s="65"/>
    </row>
    <row r="22" spans="1:11" x14ac:dyDescent="0.3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30"/>
    </row>
    <row r="23" spans="1:11" x14ac:dyDescent="0.3">
      <c r="A23" s="31" t="s">
        <v>574</v>
      </c>
      <c r="B23" s="32"/>
      <c r="C23" s="32"/>
      <c r="D23" s="32"/>
      <c r="E23" s="32"/>
      <c r="F23" s="32"/>
      <c r="G23" s="32"/>
      <c r="H23" s="32"/>
      <c r="I23" s="32"/>
      <c r="J23" s="32"/>
      <c r="K23" s="33"/>
    </row>
    <row r="24" spans="1:11" x14ac:dyDescent="0.3">
      <c r="A24" s="34"/>
      <c r="B24" s="34"/>
      <c r="C24" s="140">
        <f>dagenperjaar1</f>
        <v>255</v>
      </c>
      <c r="D24" s="141" t="s">
        <v>1402</v>
      </c>
      <c r="E24" s="108"/>
      <c r="F24" s="37"/>
      <c r="G24" s="109"/>
      <c r="H24" s="49">
        <f>IF(ISBLANK(G24),0,G24*C24)+IF(ISBLANK(F24),0,F24*objecturen3_1)</f>
        <v>0</v>
      </c>
      <c r="I24" s="49">
        <f>IF(C24=0,0,H24/C24)</f>
        <v>0</v>
      </c>
      <c r="J24" s="38">
        <f>IF(ISBLANK(E24),0,ROUND(E24,2)*H24)</f>
        <v>0</v>
      </c>
      <c r="K24" s="38">
        <f>J24/12</f>
        <v>0</v>
      </c>
    </row>
    <row r="25" spans="1:11" x14ac:dyDescent="0.3">
      <c r="A25" s="39"/>
      <c r="B25" s="39"/>
      <c r="C25" s="142">
        <f>dagenperjaar1</f>
        <v>255</v>
      </c>
      <c r="D25" s="138" t="s">
        <v>1402</v>
      </c>
      <c r="E25" s="110"/>
      <c r="F25" s="42"/>
      <c r="G25" s="111"/>
      <c r="H25" s="52">
        <f>IF(ISBLANK(G25),0,G25*C25)+IF(ISBLANK(F25),0,F25*objecturen3_1)</f>
        <v>0</v>
      </c>
      <c r="I25" s="52">
        <f>IF(C25=0,0,H25/C25)</f>
        <v>0</v>
      </c>
      <c r="J25" s="43">
        <f>IF(ISBLANK(E25),0,ROUND(E25,2)*H25)</f>
        <v>0</v>
      </c>
      <c r="K25" s="43">
        <f>J25/12</f>
        <v>0</v>
      </c>
    </row>
    <row r="26" spans="1:11" x14ac:dyDescent="0.3">
      <c r="A26" s="39"/>
      <c r="B26" s="39"/>
      <c r="C26" s="142">
        <f>dagenperjaar1</f>
        <v>255</v>
      </c>
      <c r="D26" s="138" t="s">
        <v>1403</v>
      </c>
      <c r="E26" s="110"/>
      <c r="F26" s="112"/>
      <c r="G26" s="41"/>
      <c r="H26" s="52">
        <f>IF(ISBLANK(G26),0,G26*C26)+IF(ISBLANK(F26),0,F26*objecturen3_1)</f>
        <v>0</v>
      </c>
      <c r="I26" s="52">
        <f>IF(C26=0,0,H26/C26)</f>
        <v>0</v>
      </c>
      <c r="J26" s="43">
        <f>IF(ISBLANK(E26),0,ROUND(E26,2)*H26)</f>
        <v>0</v>
      </c>
      <c r="K26" s="43">
        <f>J26/12</f>
        <v>0</v>
      </c>
    </row>
    <row r="27" spans="1:11" x14ac:dyDescent="0.3">
      <c r="A27" s="44"/>
      <c r="B27" s="44"/>
      <c r="C27" s="143">
        <f>dagenperjaar1</f>
        <v>255</v>
      </c>
      <c r="D27" s="144" t="s">
        <v>1403</v>
      </c>
      <c r="E27" s="113"/>
      <c r="F27" s="114"/>
      <c r="G27" s="46"/>
      <c r="H27" s="55">
        <f>IF(ISBLANK(G27),0,G27*C27)+IF(ISBLANK(F27),0,F27*objecturen3_1)</f>
        <v>0</v>
      </c>
      <c r="I27" s="55">
        <f>IF(C27=0,0,H27/C27)</f>
        <v>0</v>
      </c>
      <c r="J27" s="48">
        <f>IF(ISBLANK(E27),0,ROUND(E27,2)*H27)</f>
        <v>0</v>
      </c>
      <c r="K27" s="48">
        <f>J27/12</f>
        <v>0</v>
      </c>
    </row>
    <row r="28" spans="1:11" x14ac:dyDescent="0.3">
      <c r="A28" s="59" t="s">
        <v>1406</v>
      </c>
      <c r="B28" s="60"/>
      <c r="C28" s="60"/>
      <c r="D28" s="60"/>
      <c r="E28" s="60"/>
      <c r="F28" s="60"/>
      <c r="G28" s="60"/>
      <c r="H28" s="61">
        <f>SUM(H24:H27)</f>
        <v>0</v>
      </c>
      <c r="I28" s="60"/>
      <c r="J28" s="62">
        <f>SUM(J24:J27)</f>
        <v>0</v>
      </c>
      <c r="K28" s="63">
        <f>SUM(K24:K27)</f>
        <v>0</v>
      </c>
    </row>
    <row r="29" spans="1:11" x14ac:dyDescent="0.3">
      <c r="A29" s="64"/>
      <c r="B29" s="60"/>
      <c r="C29" s="60"/>
      <c r="D29" s="60"/>
      <c r="E29" s="60"/>
      <c r="F29" s="60"/>
      <c r="G29" s="60"/>
      <c r="H29" s="60"/>
      <c r="I29" s="60"/>
      <c r="J29" s="60"/>
      <c r="K29" s="65"/>
    </row>
    <row r="30" spans="1:11" x14ac:dyDescent="0.3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30"/>
    </row>
    <row r="31" spans="1:11" x14ac:dyDescent="0.3">
      <c r="A31" s="31" t="s">
        <v>763</v>
      </c>
      <c r="B31" s="32"/>
      <c r="C31" s="32"/>
      <c r="D31" s="32"/>
      <c r="E31" s="32"/>
      <c r="F31" s="32"/>
      <c r="G31" s="32"/>
      <c r="H31" s="32"/>
      <c r="I31" s="32"/>
      <c r="J31" s="32"/>
      <c r="K31" s="33"/>
    </row>
    <row r="32" spans="1:11" x14ac:dyDescent="0.3">
      <c r="A32" s="34"/>
      <c r="B32" s="34"/>
      <c r="C32" s="140">
        <f>dagenperjaar1</f>
        <v>255</v>
      </c>
      <c r="D32" s="141" t="s">
        <v>1402</v>
      </c>
      <c r="E32" s="108"/>
      <c r="F32" s="37"/>
      <c r="G32" s="109"/>
      <c r="H32" s="49">
        <f>IF(ISBLANK(G32),0,G32*C32)+IF(ISBLANK(F32),0,F32*objecturen4_1)</f>
        <v>0</v>
      </c>
      <c r="I32" s="49">
        <f>IF(C32=0,0,H32/C32)</f>
        <v>0</v>
      </c>
      <c r="J32" s="38">
        <f>IF(ISBLANK(E32),0,ROUND(E32,2)*H32)</f>
        <v>0</v>
      </c>
      <c r="K32" s="38">
        <f>J32/12</f>
        <v>0</v>
      </c>
    </row>
    <row r="33" spans="1:11" x14ac:dyDescent="0.3">
      <c r="A33" s="39"/>
      <c r="B33" s="39"/>
      <c r="C33" s="142">
        <f>dagenperjaar1</f>
        <v>255</v>
      </c>
      <c r="D33" s="138" t="s">
        <v>1402</v>
      </c>
      <c r="E33" s="110"/>
      <c r="F33" s="42"/>
      <c r="G33" s="111"/>
      <c r="H33" s="52">
        <f>IF(ISBLANK(G33),0,G33*C33)+IF(ISBLANK(F33),0,F33*objecturen4_1)</f>
        <v>0</v>
      </c>
      <c r="I33" s="52">
        <f>IF(C33=0,0,H33/C33)</f>
        <v>0</v>
      </c>
      <c r="J33" s="43">
        <f>IF(ISBLANK(E33),0,ROUND(E33,2)*H33)</f>
        <v>0</v>
      </c>
      <c r="K33" s="43">
        <f>J33/12</f>
        <v>0</v>
      </c>
    </row>
    <row r="34" spans="1:11" x14ac:dyDescent="0.3">
      <c r="A34" s="39"/>
      <c r="B34" s="39"/>
      <c r="C34" s="142">
        <f>dagenperjaar1</f>
        <v>255</v>
      </c>
      <c r="D34" s="138" t="s">
        <v>1403</v>
      </c>
      <c r="E34" s="110"/>
      <c r="F34" s="112"/>
      <c r="G34" s="41"/>
      <c r="H34" s="52">
        <f>IF(ISBLANK(G34),0,G34*C34)+IF(ISBLANK(F34),0,F34*objecturen4_1)</f>
        <v>0</v>
      </c>
      <c r="I34" s="52">
        <f>IF(C34=0,0,H34/C34)</f>
        <v>0</v>
      </c>
      <c r="J34" s="43">
        <f>IF(ISBLANK(E34),0,ROUND(E34,2)*H34)</f>
        <v>0</v>
      </c>
      <c r="K34" s="43">
        <f>J34/12</f>
        <v>0</v>
      </c>
    </row>
    <row r="35" spans="1:11" x14ac:dyDescent="0.3">
      <c r="A35" s="44"/>
      <c r="B35" s="44"/>
      <c r="C35" s="143">
        <f>dagenperjaar1</f>
        <v>255</v>
      </c>
      <c r="D35" s="144" t="s">
        <v>1403</v>
      </c>
      <c r="E35" s="113"/>
      <c r="F35" s="114"/>
      <c r="G35" s="46"/>
      <c r="H35" s="55">
        <f>IF(ISBLANK(G35),0,G35*C35)+IF(ISBLANK(F35),0,F35*objecturen4_1)</f>
        <v>0</v>
      </c>
      <c r="I35" s="55">
        <f>IF(C35=0,0,H35/C35)</f>
        <v>0</v>
      </c>
      <c r="J35" s="48">
        <f>IF(ISBLANK(E35),0,ROUND(E35,2)*H35)</f>
        <v>0</v>
      </c>
      <c r="K35" s="48">
        <f>J35/12</f>
        <v>0</v>
      </c>
    </row>
    <row r="36" spans="1:11" x14ac:dyDescent="0.3">
      <c r="A36" s="59" t="s">
        <v>1407</v>
      </c>
      <c r="B36" s="60"/>
      <c r="C36" s="60"/>
      <c r="D36" s="60"/>
      <c r="E36" s="60"/>
      <c r="F36" s="60"/>
      <c r="G36" s="60"/>
      <c r="H36" s="61">
        <f>SUM(H32:H35)</f>
        <v>0</v>
      </c>
      <c r="I36" s="60"/>
      <c r="J36" s="62">
        <f>SUM(J32:J35)</f>
        <v>0</v>
      </c>
      <c r="K36" s="63">
        <f>SUM(K32:K35)</f>
        <v>0</v>
      </c>
    </row>
    <row r="37" spans="1:11" x14ac:dyDescent="0.3">
      <c r="A37" s="64"/>
      <c r="B37" s="60"/>
      <c r="C37" s="60"/>
      <c r="D37" s="60"/>
      <c r="E37" s="60"/>
      <c r="F37" s="60"/>
      <c r="G37" s="60"/>
      <c r="H37" s="60"/>
      <c r="I37" s="60"/>
      <c r="J37" s="60"/>
      <c r="K37" s="65"/>
    </row>
    <row r="38" spans="1:11" x14ac:dyDescent="0.3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30"/>
    </row>
    <row r="39" spans="1:11" x14ac:dyDescent="0.3">
      <c r="A39" s="31" t="s">
        <v>843</v>
      </c>
      <c r="B39" s="32"/>
      <c r="C39" s="32"/>
      <c r="D39" s="32"/>
      <c r="E39" s="32"/>
      <c r="F39" s="32"/>
      <c r="G39" s="32"/>
      <c r="H39" s="32"/>
      <c r="I39" s="32"/>
      <c r="J39" s="32"/>
      <c r="K39" s="33"/>
    </row>
    <row r="40" spans="1:11" x14ac:dyDescent="0.3">
      <c r="A40" s="34"/>
      <c r="B40" s="34"/>
      <c r="C40" s="140">
        <f>dagenperjaar1</f>
        <v>255</v>
      </c>
      <c r="D40" s="141" t="s">
        <v>1402</v>
      </c>
      <c r="E40" s="108"/>
      <c r="F40" s="37"/>
      <c r="G40" s="109"/>
      <c r="H40" s="49">
        <f>IF(ISBLANK(G40),0,G40*C40)+IF(ISBLANK(F40),0,F40*objecturen5_1)</f>
        <v>0</v>
      </c>
      <c r="I40" s="49">
        <f>IF(C40=0,0,H40/C40)</f>
        <v>0</v>
      </c>
      <c r="J40" s="38">
        <f>IF(ISBLANK(E40),0,ROUND(E40,2)*H40)</f>
        <v>0</v>
      </c>
      <c r="K40" s="38">
        <f>J40/12</f>
        <v>0</v>
      </c>
    </row>
    <row r="41" spans="1:11" x14ac:dyDescent="0.3">
      <c r="A41" s="39"/>
      <c r="B41" s="39"/>
      <c r="C41" s="142">
        <f>dagenperjaar1</f>
        <v>255</v>
      </c>
      <c r="D41" s="138" t="s">
        <v>1402</v>
      </c>
      <c r="E41" s="110"/>
      <c r="F41" s="42"/>
      <c r="G41" s="111"/>
      <c r="H41" s="52">
        <f>IF(ISBLANK(G41),0,G41*C41)+IF(ISBLANK(F41),0,F41*objecturen5_1)</f>
        <v>0</v>
      </c>
      <c r="I41" s="52">
        <f>IF(C41=0,0,H41/C41)</f>
        <v>0</v>
      </c>
      <c r="J41" s="43">
        <f>IF(ISBLANK(E41),0,ROUND(E41,2)*H41)</f>
        <v>0</v>
      </c>
      <c r="K41" s="43">
        <f>J41/12</f>
        <v>0</v>
      </c>
    </row>
    <row r="42" spans="1:11" x14ac:dyDescent="0.3">
      <c r="A42" s="39"/>
      <c r="B42" s="39"/>
      <c r="C42" s="142">
        <f>dagenperjaar1</f>
        <v>255</v>
      </c>
      <c r="D42" s="138" t="s">
        <v>1403</v>
      </c>
      <c r="E42" s="110"/>
      <c r="F42" s="112"/>
      <c r="G42" s="41"/>
      <c r="H42" s="52">
        <f>IF(ISBLANK(G42),0,G42*C42)+IF(ISBLANK(F42),0,F42*objecturen5_1)</f>
        <v>0</v>
      </c>
      <c r="I42" s="52">
        <f>IF(C42=0,0,H42/C42)</f>
        <v>0</v>
      </c>
      <c r="J42" s="43">
        <f>IF(ISBLANK(E42),0,ROUND(E42,2)*H42)</f>
        <v>0</v>
      </c>
      <c r="K42" s="43">
        <f>J42/12</f>
        <v>0</v>
      </c>
    </row>
    <row r="43" spans="1:11" x14ac:dyDescent="0.3">
      <c r="A43" s="44"/>
      <c r="B43" s="44"/>
      <c r="C43" s="143">
        <f>dagenperjaar1</f>
        <v>255</v>
      </c>
      <c r="D43" s="144" t="s">
        <v>1403</v>
      </c>
      <c r="E43" s="113"/>
      <c r="F43" s="114"/>
      <c r="G43" s="46"/>
      <c r="H43" s="55">
        <f>IF(ISBLANK(G43),0,G43*C43)+IF(ISBLANK(F43),0,F43*objecturen5_1)</f>
        <v>0</v>
      </c>
      <c r="I43" s="55">
        <f>IF(C43=0,0,H43/C43)</f>
        <v>0</v>
      </c>
      <c r="J43" s="48">
        <f>IF(ISBLANK(E43),0,ROUND(E43,2)*H43)</f>
        <v>0</v>
      </c>
      <c r="K43" s="48">
        <f>J43/12</f>
        <v>0</v>
      </c>
    </row>
    <row r="44" spans="1:11" x14ac:dyDescent="0.3">
      <c r="A44" s="59" t="s">
        <v>1408</v>
      </c>
      <c r="B44" s="60"/>
      <c r="C44" s="60"/>
      <c r="D44" s="60"/>
      <c r="E44" s="60"/>
      <c r="F44" s="60"/>
      <c r="G44" s="60"/>
      <c r="H44" s="61">
        <f>SUM(H40:H43)</f>
        <v>0</v>
      </c>
      <c r="I44" s="60"/>
      <c r="J44" s="62">
        <f>SUM(J40:J43)</f>
        <v>0</v>
      </c>
      <c r="K44" s="63">
        <f>SUM(K40:K43)</f>
        <v>0</v>
      </c>
    </row>
    <row r="45" spans="1:11" x14ac:dyDescent="0.3">
      <c r="A45" s="64"/>
      <c r="B45" s="60"/>
      <c r="C45" s="60"/>
      <c r="D45" s="60"/>
      <c r="E45" s="60"/>
      <c r="F45" s="60"/>
      <c r="G45" s="60"/>
      <c r="H45" s="60"/>
      <c r="I45" s="60"/>
      <c r="J45" s="60"/>
      <c r="K45" s="65"/>
    </row>
    <row r="46" spans="1:11" x14ac:dyDescent="0.3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30"/>
    </row>
    <row r="47" spans="1:11" x14ac:dyDescent="0.3">
      <c r="A47" s="31" t="s">
        <v>1042</v>
      </c>
      <c r="B47" s="32"/>
      <c r="C47" s="32"/>
      <c r="D47" s="32"/>
      <c r="E47" s="32"/>
      <c r="F47" s="32"/>
      <c r="G47" s="32"/>
      <c r="H47" s="32"/>
      <c r="I47" s="32"/>
      <c r="J47" s="32"/>
      <c r="K47" s="33"/>
    </row>
    <row r="48" spans="1:11" x14ac:dyDescent="0.3">
      <c r="A48" s="34"/>
      <c r="B48" s="34"/>
      <c r="C48" s="140">
        <f>dagenperjaar1</f>
        <v>255</v>
      </c>
      <c r="D48" s="141" t="s">
        <v>1402</v>
      </c>
      <c r="E48" s="108"/>
      <c r="F48" s="37"/>
      <c r="G48" s="109"/>
      <c r="H48" s="49">
        <f>IF(ISBLANK(G48),0,G48*C48)+IF(ISBLANK(F48),0,F48*objecturen6_1)</f>
        <v>0</v>
      </c>
      <c r="I48" s="49">
        <f>IF(C48=0,0,H48/C48)</f>
        <v>0</v>
      </c>
      <c r="J48" s="38">
        <f>IF(ISBLANK(E48),0,ROUND(E48,2)*H48)</f>
        <v>0</v>
      </c>
      <c r="K48" s="38">
        <f>J48/12</f>
        <v>0</v>
      </c>
    </row>
    <row r="49" spans="1:11" x14ac:dyDescent="0.3">
      <c r="A49" s="39"/>
      <c r="B49" s="39"/>
      <c r="C49" s="142">
        <f>dagenperjaar1</f>
        <v>255</v>
      </c>
      <c r="D49" s="138" t="s">
        <v>1402</v>
      </c>
      <c r="E49" s="110"/>
      <c r="F49" s="42"/>
      <c r="G49" s="111"/>
      <c r="H49" s="52">
        <f>IF(ISBLANK(G49),0,G49*C49)+IF(ISBLANK(F49),0,F49*objecturen6_1)</f>
        <v>0</v>
      </c>
      <c r="I49" s="52">
        <f>IF(C49=0,0,H49/C49)</f>
        <v>0</v>
      </c>
      <c r="J49" s="43">
        <f>IF(ISBLANK(E49),0,ROUND(E49,2)*H49)</f>
        <v>0</v>
      </c>
      <c r="K49" s="43">
        <f>J49/12</f>
        <v>0</v>
      </c>
    </row>
    <row r="50" spans="1:11" x14ac:dyDescent="0.3">
      <c r="A50" s="39"/>
      <c r="B50" s="39"/>
      <c r="C50" s="142">
        <f>dagenperjaar1</f>
        <v>255</v>
      </c>
      <c r="D50" s="138" t="s">
        <v>1403</v>
      </c>
      <c r="E50" s="110"/>
      <c r="F50" s="112"/>
      <c r="G50" s="41"/>
      <c r="H50" s="52">
        <f>IF(ISBLANK(G50),0,G50*C50)+IF(ISBLANK(F50),0,F50*objecturen6_1)</f>
        <v>0</v>
      </c>
      <c r="I50" s="52">
        <f>IF(C50=0,0,H50/C50)</f>
        <v>0</v>
      </c>
      <c r="J50" s="43">
        <f>IF(ISBLANK(E50),0,ROUND(E50,2)*H50)</f>
        <v>0</v>
      </c>
      <c r="K50" s="43">
        <f>J50/12</f>
        <v>0</v>
      </c>
    </row>
    <row r="51" spans="1:11" x14ac:dyDescent="0.3">
      <c r="A51" s="44"/>
      <c r="B51" s="44"/>
      <c r="C51" s="143">
        <f>dagenperjaar1</f>
        <v>255</v>
      </c>
      <c r="D51" s="144" t="s">
        <v>1403</v>
      </c>
      <c r="E51" s="113"/>
      <c r="F51" s="114"/>
      <c r="G51" s="46"/>
      <c r="H51" s="55">
        <f>IF(ISBLANK(G51),0,G51*C51)+IF(ISBLANK(F51),0,F51*objecturen6_1)</f>
        <v>0</v>
      </c>
      <c r="I51" s="55">
        <f>IF(C51=0,0,H51/C51)</f>
        <v>0</v>
      </c>
      <c r="J51" s="48">
        <f>IF(ISBLANK(E51),0,ROUND(E51,2)*H51)</f>
        <v>0</v>
      </c>
      <c r="K51" s="48">
        <f>J51/12</f>
        <v>0</v>
      </c>
    </row>
    <row r="52" spans="1:11" x14ac:dyDescent="0.3">
      <c r="A52" s="59" t="s">
        <v>1409</v>
      </c>
      <c r="B52" s="60"/>
      <c r="C52" s="60"/>
      <c r="D52" s="60"/>
      <c r="E52" s="60"/>
      <c r="F52" s="60"/>
      <c r="G52" s="60"/>
      <c r="H52" s="61">
        <f>SUM(H48:H51)</f>
        <v>0</v>
      </c>
      <c r="I52" s="60"/>
      <c r="J52" s="62">
        <f>SUM(J48:J51)</f>
        <v>0</v>
      </c>
      <c r="K52" s="63">
        <f>SUM(K48:K51)</f>
        <v>0</v>
      </c>
    </row>
    <row r="53" spans="1:11" x14ac:dyDescent="0.3">
      <c r="A53" s="64"/>
      <c r="B53" s="60"/>
      <c r="C53" s="60"/>
      <c r="D53" s="60"/>
      <c r="E53" s="60"/>
      <c r="F53" s="60"/>
      <c r="G53" s="60"/>
      <c r="H53" s="60"/>
      <c r="I53" s="60"/>
      <c r="J53" s="60"/>
      <c r="K53" s="65"/>
    </row>
    <row r="54" spans="1:11" x14ac:dyDescent="0.3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30"/>
    </row>
    <row r="55" spans="1:11" x14ac:dyDescent="0.3">
      <c r="A55" s="31" t="s">
        <v>1151</v>
      </c>
      <c r="B55" s="32"/>
      <c r="C55" s="32"/>
      <c r="D55" s="32"/>
      <c r="E55" s="32"/>
      <c r="F55" s="32"/>
      <c r="G55" s="32"/>
      <c r="H55" s="32"/>
      <c r="I55" s="32"/>
      <c r="J55" s="32"/>
      <c r="K55" s="33"/>
    </row>
    <row r="56" spans="1:11" x14ac:dyDescent="0.3">
      <c r="A56" s="34"/>
      <c r="B56" s="34"/>
      <c r="C56" s="140">
        <f>dagenperjaar1</f>
        <v>255</v>
      </c>
      <c r="D56" s="141" t="s">
        <v>1402</v>
      </c>
      <c r="E56" s="108"/>
      <c r="F56" s="37"/>
      <c r="G56" s="109"/>
      <c r="H56" s="49">
        <f>IF(ISBLANK(G56),0,G56*C56)+IF(ISBLANK(F56),0,F56*objecturen7_1)</f>
        <v>0</v>
      </c>
      <c r="I56" s="49">
        <f>IF(C56=0,0,H56/C56)</f>
        <v>0</v>
      </c>
      <c r="J56" s="38">
        <f>IF(ISBLANK(E56),0,ROUND(E56,2)*H56)</f>
        <v>0</v>
      </c>
      <c r="K56" s="38">
        <f>J56/12</f>
        <v>0</v>
      </c>
    </row>
    <row r="57" spans="1:11" x14ac:dyDescent="0.3">
      <c r="A57" s="39"/>
      <c r="B57" s="39"/>
      <c r="C57" s="142">
        <f>dagenperjaar1</f>
        <v>255</v>
      </c>
      <c r="D57" s="138" t="s">
        <v>1402</v>
      </c>
      <c r="E57" s="110"/>
      <c r="F57" s="42"/>
      <c r="G57" s="111"/>
      <c r="H57" s="52">
        <f>IF(ISBLANK(G57),0,G57*C57)+IF(ISBLANK(F57),0,F57*objecturen7_1)</f>
        <v>0</v>
      </c>
      <c r="I57" s="52">
        <f>IF(C57=0,0,H57/C57)</f>
        <v>0</v>
      </c>
      <c r="J57" s="43">
        <f>IF(ISBLANK(E57),0,ROUND(E57,2)*H57)</f>
        <v>0</v>
      </c>
      <c r="K57" s="43">
        <f>J57/12</f>
        <v>0</v>
      </c>
    </row>
    <row r="58" spans="1:11" x14ac:dyDescent="0.3">
      <c r="A58" s="39"/>
      <c r="B58" s="39"/>
      <c r="C58" s="142">
        <f>dagenperjaar1</f>
        <v>255</v>
      </c>
      <c r="D58" s="138" t="s">
        <v>1403</v>
      </c>
      <c r="E58" s="110"/>
      <c r="F58" s="112"/>
      <c r="G58" s="41"/>
      <c r="H58" s="52">
        <f>IF(ISBLANK(G58),0,G58*C58)+IF(ISBLANK(F58),0,F58*objecturen7_1)</f>
        <v>0</v>
      </c>
      <c r="I58" s="52">
        <f>IF(C58=0,0,H58/C58)</f>
        <v>0</v>
      </c>
      <c r="J58" s="43">
        <f>IF(ISBLANK(E58),0,ROUND(E58,2)*H58)</f>
        <v>0</v>
      </c>
      <c r="K58" s="43">
        <f>J58/12</f>
        <v>0</v>
      </c>
    </row>
    <row r="59" spans="1:11" x14ac:dyDescent="0.3">
      <c r="A59" s="44"/>
      <c r="B59" s="44"/>
      <c r="C59" s="143">
        <f>dagenperjaar1</f>
        <v>255</v>
      </c>
      <c r="D59" s="144" t="s">
        <v>1403</v>
      </c>
      <c r="E59" s="113"/>
      <c r="F59" s="114"/>
      <c r="G59" s="46"/>
      <c r="H59" s="55">
        <f>IF(ISBLANK(G59),0,G59*C59)+IF(ISBLANK(F59),0,F59*objecturen7_1)</f>
        <v>0</v>
      </c>
      <c r="I59" s="55">
        <f>IF(C59=0,0,H59/C59)</f>
        <v>0</v>
      </c>
      <c r="J59" s="48">
        <f>IF(ISBLANK(E59),0,ROUND(E59,2)*H59)</f>
        <v>0</v>
      </c>
      <c r="K59" s="48">
        <f>J59/12</f>
        <v>0</v>
      </c>
    </row>
    <row r="60" spans="1:11" x14ac:dyDescent="0.3">
      <c r="A60" s="59" t="s">
        <v>1410</v>
      </c>
      <c r="B60" s="60"/>
      <c r="C60" s="60"/>
      <c r="D60" s="60"/>
      <c r="E60" s="60"/>
      <c r="F60" s="60"/>
      <c r="G60" s="60"/>
      <c r="H60" s="61">
        <f>SUM(H56:H59)</f>
        <v>0</v>
      </c>
      <c r="I60" s="60"/>
      <c r="J60" s="62">
        <f>SUM(J56:J59)</f>
        <v>0</v>
      </c>
      <c r="K60" s="63">
        <f>SUM(K56:K59)</f>
        <v>0</v>
      </c>
    </row>
    <row r="61" spans="1:11" x14ac:dyDescent="0.3">
      <c r="A61" s="64"/>
      <c r="B61" s="60"/>
      <c r="C61" s="60"/>
      <c r="D61" s="60"/>
      <c r="E61" s="60"/>
      <c r="F61" s="60"/>
      <c r="G61" s="60"/>
      <c r="H61" s="60"/>
      <c r="I61" s="60"/>
      <c r="J61" s="60"/>
      <c r="K61" s="65"/>
    </row>
    <row r="62" spans="1:11" x14ac:dyDescent="0.3">
      <c r="A62" s="59" t="s">
        <v>260</v>
      </c>
      <c r="B62" s="60"/>
      <c r="C62" s="60"/>
      <c r="D62" s="60"/>
      <c r="E62" s="60"/>
      <c r="F62" s="60"/>
      <c r="G62" s="60"/>
      <c r="H62" s="61">
        <f>tzujt1_1+tzujt2_1+tzujt3_1+tzujt4_1+tzujt5_1+tzujt6_1+tzujt7_1</f>
        <v>0</v>
      </c>
      <c r="I62" s="60"/>
      <c r="J62" s="62">
        <f>tzpjt1_1+tzpjt2_1+tzpjt3_1+tzpjt4_1+tzpjt5_1+tzpjt6_1+tzpjt7_1</f>
        <v>0</v>
      </c>
      <c r="K62" s="63">
        <f>tzpmt1_1+tzpmt2_1+tzpmt3_1+tzpmt4_1+tzpmt5_1+tzpmt6_1+tzpmt7_1</f>
        <v>0</v>
      </c>
    </row>
    <row r="63" spans="1:11" x14ac:dyDescent="0.3">
      <c r="A63" s="64"/>
      <c r="B63" s="60"/>
      <c r="C63" s="60"/>
      <c r="D63" s="60"/>
      <c r="E63" s="60"/>
      <c r="F63" s="60"/>
      <c r="G63" s="60"/>
      <c r="H63" s="60"/>
      <c r="I63" s="60"/>
      <c r="J63" s="60"/>
      <c r="K63" s="65"/>
    </row>
    <row r="64" spans="1:11" x14ac:dyDescent="0.3">
      <c r="A64" s="139"/>
      <c r="B64" s="106"/>
      <c r="C64" s="106"/>
      <c r="D64" s="106"/>
      <c r="E64" s="106"/>
      <c r="F64" s="106"/>
      <c r="G64" s="106"/>
      <c r="H64" s="106"/>
      <c r="I64" s="106"/>
      <c r="J64" s="106"/>
      <c r="K64" s="107"/>
    </row>
    <row r="65" spans="1:11" x14ac:dyDescent="0.3">
      <c r="A65" s="31" t="s">
        <v>198</v>
      </c>
      <c r="B65" s="32"/>
      <c r="C65" s="32"/>
      <c r="D65" s="32"/>
      <c r="E65" s="32"/>
      <c r="F65" s="32"/>
      <c r="G65" s="32"/>
      <c r="H65" s="32"/>
      <c r="I65" s="32"/>
      <c r="J65" s="32"/>
      <c r="K65" s="33"/>
    </row>
    <row r="66" spans="1:11" x14ac:dyDescent="0.3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30"/>
    </row>
    <row r="67" spans="1:11" x14ac:dyDescent="0.3">
      <c r="A67" s="31" t="s">
        <v>843</v>
      </c>
      <c r="B67" s="32"/>
      <c r="C67" s="32"/>
      <c r="D67" s="32"/>
      <c r="E67" s="32"/>
      <c r="F67" s="32"/>
      <c r="G67" s="32"/>
      <c r="H67" s="32"/>
      <c r="I67" s="32"/>
      <c r="J67" s="32"/>
      <c r="K67" s="33"/>
    </row>
    <row r="68" spans="1:11" x14ac:dyDescent="0.3">
      <c r="A68" s="34"/>
      <c r="B68" s="34"/>
      <c r="C68" s="140">
        <f>dagenperjaar1</f>
        <v>255</v>
      </c>
      <c r="D68" s="141" t="s">
        <v>1402</v>
      </c>
      <c r="E68" s="108"/>
      <c r="F68" s="37"/>
      <c r="G68" s="109"/>
      <c r="H68" s="49">
        <f>IF(ISBLANK(G68),0,G68*C68)+IF(ISBLANK(F68),0,F68*objecturen5_2)</f>
        <v>0</v>
      </c>
      <c r="I68" s="49">
        <f>IF(C68=0,0,H68/C68)</f>
        <v>0</v>
      </c>
      <c r="J68" s="38">
        <f>IF(ISBLANK(E68),0,ROUND(E68,2)*H68)</f>
        <v>0</v>
      </c>
      <c r="K68" s="38">
        <f>J68/12</f>
        <v>0</v>
      </c>
    </row>
    <row r="69" spans="1:11" x14ac:dyDescent="0.3">
      <c r="A69" s="39"/>
      <c r="B69" s="39"/>
      <c r="C69" s="142">
        <f>dagenperjaar1</f>
        <v>255</v>
      </c>
      <c r="D69" s="138" t="s">
        <v>1402</v>
      </c>
      <c r="E69" s="110"/>
      <c r="F69" s="42"/>
      <c r="G69" s="111"/>
      <c r="H69" s="52">
        <f>IF(ISBLANK(G69),0,G69*C69)+IF(ISBLANK(F69),0,F69*objecturen5_2)</f>
        <v>0</v>
      </c>
      <c r="I69" s="52">
        <f>IF(C69=0,0,H69/C69)</f>
        <v>0</v>
      </c>
      <c r="J69" s="43">
        <f>IF(ISBLANK(E69),0,ROUND(E69,2)*H69)</f>
        <v>0</v>
      </c>
      <c r="K69" s="43">
        <f>J69/12</f>
        <v>0</v>
      </c>
    </row>
    <row r="70" spans="1:11" x14ac:dyDescent="0.3">
      <c r="A70" s="39"/>
      <c r="B70" s="39"/>
      <c r="C70" s="142">
        <f>dagenperjaar1</f>
        <v>255</v>
      </c>
      <c r="D70" s="138" t="s">
        <v>1403</v>
      </c>
      <c r="E70" s="110"/>
      <c r="F70" s="112"/>
      <c r="G70" s="41"/>
      <c r="H70" s="52">
        <f>IF(ISBLANK(G70),0,G70*C70)+IF(ISBLANK(F70),0,F70*objecturen5_2)</f>
        <v>0</v>
      </c>
      <c r="I70" s="52">
        <f>IF(C70=0,0,H70/C70)</f>
        <v>0</v>
      </c>
      <c r="J70" s="43">
        <f>IF(ISBLANK(E70),0,ROUND(E70,2)*H70)</f>
        <v>0</v>
      </c>
      <c r="K70" s="43">
        <f>J70/12</f>
        <v>0</v>
      </c>
    </row>
    <row r="71" spans="1:11" x14ac:dyDescent="0.3">
      <c r="A71" s="44"/>
      <c r="B71" s="44"/>
      <c r="C71" s="143">
        <f>dagenperjaar1</f>
        <v>255</v>
      </c>
      <c r="D71" s="144" t="s">
        <v>1403</v>
      </c>
      <c r="E71" s="113"/>
      <c r="F71" s="114"/>
      <c r="G71" s="46"/>
      <c r="H71" s="55">
        <f>IF(ISBLANK(G71),0,G71*C71)+IF(ISBLANK(F71),0,F71*objecturen5_2)</f>
        <v>0</v>
      </c>
      <c r="I71" s="55">
        <f>IF(C71=0,0,H71/C71)</f>
        <v>0</v>
      </c>
      <c r="J71" s="48">
        <f>IF(ISBLANK(E71),0,ROUND(E71,2)*H71)</f>
        <v>0</v>
      </c>
      <c r="K71" s="48">
        <f>J71/12</f>
        <v>0</v>
      </c>
    </row>
    <row r="72" spans="1:11" x14ac:dyDescent="0.3">
      <c r="A72" s="59" t="s">
        <v>1408</v>
      </c>
      <c r="B72" s="60"/>
      <c r="C72" s="60"/>
      <c r="D72" s="60"/>
      <c r="E72" s="60"/>
      <c r="F72" s="60"/>
      <c r="G72" s="60"/>
      <c r="H72" s="61">
        <f>SUM(H68:H71)</f>
        <v>0</v>
      </c>
      <c r="I72" s="60"/>
      <c r="J72" s="62">
        <f>SUM(J68:J71)</f>
        <v>0</v>
      </c>
      <c r="K72" s="63">
        <f>SUM(K68:K71)</f>
        <v>0</v>
      </c>
    </row>
    <row r="73" spans="1:11" x14ac:dyDescent="0.3">
      <c r="A73" s="64"/>
      <c r="B73" s="60"/>
      <c r="C73" s="60"/>
      <c r="D73" s="60"/>
      <c r="E73" s="60"/>
      <c r="F73" s="60"/>
      <c r="G73" s="60"/>
      <c r="H73" s="60"/>
      <c r="I73" s="60"/>
      <c r="J73" s="60"/>
      <c r="K73" s="65"/>
    </row>
    <row r="74" spans="1:11" x14ac:dyDescent="0.3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30"/>
    </row>
    <row r="75" spans="1:11" x14ac:dyDescent="0.3">
      <c r="A75" s="31" t="s">
        <v>1042</v>
      </c>
      <c r="B75" s="32"/>
      <c r="C75" s="32"/>
      <c r="D75" s="32"/>
      <c r="E75" s="32"/>
      <c r="F75" s="32"/>
      <c r="G75" s="32"/>
      <c r="H75" s="32"/>
      <c r="I75" s="32"/>
      <c r="J75" s="32"/>
      <c r="K75" s="33"/>
    </row>
    <row r="76" spans="1:11" x14ac:dyDescent="0.3">
      <c r="A76" s="34"/>
      <c r="B76" s="34"/>
      <c r="C76" s="140">
        <f>dagenperjaar1</f>
        <v>255</v>
      </c>
      <c r="D76" s="141" t="s">
        <v>1402</v>
      </c>
      <c r="E76" s="108"/>
      <c r="F76" s="37"/>
      <c r="G76" s="109"/>
      <c r="H76" s="49">
        <f>IF(ISBLANK(G76),0,G76*C76)+IF(ISBLANK(F76),0,F76*objecturen6_2)</f>
        <v>0</v>
      </c>
      <c r="I76" s="49">
        <f>IF(C76=0,0,H76/C76)</f>
        <v>0</v>
      </c>
      <c r="J76" s="38">
        <f>IF(ISBLANK(E76),0,ROUND(E76,2)*H76)</f>
        <v>0</v>
      </c>
      <c r="K76" s="38">
        <f>J76/12</f>
        <v>0</v>
      </c>
    </row>
    <row r="77" spans="1:11" x14ac:dyDescent="0.3">
      <c r="A77" s="39"/>
      <c r="B77" s="39"/>
      <c r="C77" s="142">
        <f>dagenperjaar1</f>
        <v>255</v>
      </c>
      <c r="D77" s="138" t="s">
        <v>1402</v>
      </c>
      <c r="E77" s="110"/>
      <c r="F77" s="42"/>
      <c r="G77" s="111"/>
      <c r="H77" s="52">
        <f>IF(ISBLANK(G77),0,G77*C77)+IF(ISBLANK(F77),0,F77*objecturen6_2)</f>
        <v>0</v>
      </c>
      <c r="I77" s="52">
        <f>IF(C77=0,0,H77/C77)</f>
        <v>0</v>
      </c>
      <c r="J77" s="43">
        <f>IF(ISBLANK(E77),0,ROUND(E77,2)*H77)</f>
        <v>0</v>
      </c>
      <c r="K77" s="43">
        <f>J77/12</f>
        <v>0</v>
      </c>
    </row>
    <row r="78" spans="1:11" x14ac:dyDescent="0.3">
      <c r="A78" s="39"/>
      <c r="B78" s="39"/>
      <c r="C78" s="142">
        <f>dagenperjaar1</f>
        <v>255</v>
      </c>
      <c r="D78" s="138" t="s">
        <v>1403</v>
      </c>
      <c r="E78" s="110"/>
      <c r="F78" s="112"/>
      <c r="G78" s="41"/>
      <c r="H78" s="52">
        <f>IF(ISBLANK(G78),0,G78*C78)+IF(ISBLANK(F78),0,F78*objecturen6_2)</f>
        <v>0</v>
      </c>
      <c r="I78" s="52">
        <f>IF(C78=0,0,H78/C78)</f>
        <v>0</v>
      </c>
      <c r="J78" s="43">
        <f>IF(ISBLANK(E78),0,ROUND(E78,2)*H78)</f>
        <v>0</v>
      </c>
      <c r="K78" s="43">
        <f>J78/12</f>
        <v>0</v>
      </c>
    </row>
    <row r="79" spans="1:11" x14ac:dyDescent="0.3">
      <c r="A79" s="44"/>
      <c r="B79" s="44"/>
      <c r="C79" s="143">
        <f>dagenperjaar1</f>
        <v>255</v>
      </c>
      <c r="D79" s="144" t="s">
        <v>1403</v>
      </c>
      <c r="E79" s="113"/>
      <c r="F79" s="114"/>
      <c r="G79" s="46"/>
      <c r="H79" s="55">
        <f>IF(ISBLANK(G79),0,G79*C79)+IF(ISBLANK(F79),0,F79*objecturen6_2)</f>
        <v>0</v>
      </c>
      <c r="I79" s="55">
        <f>IF(C79=0,0,H79/C79)</f>
        <v>0</v>
      </c>
      <c r="J79" s="48">
        <f>IF(ISBLANK(E79),0,ROUND(E79,2)*H79)</f>
        <v>0</v>
      </c>
      <c r="K79" s="48">
        <f>J79/12</f>
        <v>0</v>
      </c>
    </row>
    <row r="80" spans="1:11" x14ac:dyDescent="0.3">
      <c r="A80" s="59" t="s">
        <v>1409</v>
      </c>
      <c r="B80" s="60"/>
      <c r="C80" s="60"/>
      <c r="D80" s="60"/>
      <c r="E80" s="60"/>
      <c r="F80" s="60"/>
      <c r="G80" s="60"/>
      <c r="H80" s="61">
        <f>SUM(H76:H79)</f>
        <v>0</v>
      </c>
      <c r="I80" s="60"/>
      <c r="J80" s="62">
        <f>SUM(J76:J79)</f>
        <v>0</v>
      </c>
      <c r="K80" s="63">
        <f>SUM(K76:K79)</f>
        <v>0</v>
      </c>
    </row>
    <row r="81" spans="1:11" x14ac:dyDescent="0.3">
      <c r="A81" s="64"/>
      <c r="B81" s="60"/>
      <c r="C81" s="60"/>
      <c r="D81" s="60"/>
      <c r="E81" s="60"/>
      <c r="F81" s="60"/>
      <c r="G81" s="60"/>
      <c r="H81" s="60"/>
      <c r="I81" s="60"/>
      <c r="J81" s="60"/>
      <c r="K81" s="65"/>
    </row>
    <row r="82" spans="1:11" x14ac:dyDescent="0.3">
      <c r="A82" s="59" t="s">
        <v>265</v>
      </c>
      <c r="B82" s="60"/>
      <c r="C82" s="60"/>
      <c r="D82" s="60"/>
      <c r="E82" s="60"/>
      <c r="F82" s="60"/>
      <c r="G82" s="60"/>
      <c r="H82" s="61">
        <f>tzujt5_2+tzujt6_2</f>
        <v>0</v>
      </c>
      <c r="I82" s="60"/>
      <c r="J82" s="62">
        <f>tzpjt5_2+tzpjt6_2</f>
        <v>0</v>
      </c>
      <c r="K82" s="63">
        <f>tzpmt5_2+tzpmt6_2</f>
        <v>0</v>
      </c>
    </row>
    <row r="83" spans="1:11" x14ac:dyDescent="0.3">
      <c r="A83" s="64"/>
      <c r="B83" s="60"/>
      <c r="C83" s="60"/>
      <c r="D83" s="60"/>
      <c r="E83" s="60"/>
      <c r="F83" s="60"/>
      <c r="G83" s="60"/>
      <c r="H83" s="60"/>
      <c r="I83" s="60"/>
      <c r="J83" s="60"/>
      <c r="K83" s="65"/>
    </row>
    <row r="85" spans="1:11" x14ac:dyDescent="0.3">
      <c r="A85" s="59" t="s">
        <v>1411</v>
      </c>
      <c r="B85" s="60"/>
      <c r="C85" s="60"/>
      <c r="D85" s="60"/>
      <c r="E85" s="60"/>
      <c r="F85" s="60"/>
      <c r="G85" s="60"/>
      <c r="H85" s="61">
        <f>tzujt1+tzujt2</f>
        <v>0</v>
      </c>
      <c r="I85" s="60"/>
      <c r="J85" s="62">
        <f>tzpjt1+tzpjt2</f>
        <v>0</v>
      </c>
      <c r="K85" s="62">
        <f>tzpmt1+tzpmt2</f>
        <v>0</v>
      </c>
    </row>
    <row r="87" spans="1:11" x14ac:dyDescent="0.3">
      <c r="A87" s="59" t="s">
        <v>1412</v>
      </c>
      <c r="B87" s="60"/>
      <c r="C87" s="60"/>
      <c r="D87" s="60"/>
      <c r="E87" s="60"/>
      <c r="F87" s="60"/>
      <c r="G87" s="60"/>
      <c r="H87" s="60"/>
      <c r="I87" s="60"/>
      <c r="J87" s="62">
        <f>J85*1.21</f>
        <v>0</v>
      </c>
      <c r="K87" s="62">
        <f>K85*1.21</f>
        <v>0</v>
      </c>
    </row>
  </sheetData>
  <sheetProtection algorithmName="SHA-512" hashValue="2Ym5Z+tUYd/FYN+Mv9aAsc0IvZyOb8MXltmKOJYpKekIskikIE9qVIfk8WymnGLZ8+eA5sGUSN/ho+H3A/rEHA==" saltValue="+AXkTy5BiGka0ke7fNXLYQ==" spinCount="100000" sheet="1" objects="1" scenarios="1" autoFilter="0"/>
  <pageMargins left="0.7" right="0.7" top="0.75" bottom="0.75" header="0.3" footer="0.3"/>
  <pageSetup scale="65" orientation="landscape" r:id="rId1"/>
  <headerFooter>
    <oddFooter>&amp;LStichting Onderwijsgroep Amersfoort                         &amp;ROpmaakdatum: 07-07-2025
Intexso - Plantageweg 23E - Leusden
+31 (33) 2778485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16</vt:i4>
      </vt:variant>
      <vt:variant>
        <vt:lpstr>Benoemde bereiken</vt:lpstr>
      </vt:variant>
      <vt:variant>
        <vt:i4>643</vt:i4>
      </vt:variant>
    </vt:vector>
  </HeadingPairs>
  <TitlesOfParts>
    <vt:vector size="659" baseType="lpstr">
      <vt:lpstr>Omreken</vt:lpstr>
      <vt:lpstr>Tariefopbouw</vt:lpstr>
      <vt:lpstr>Categorienormen</vt:lpstr>
      <vt:lpstr>Regulier werk</vt:lpstr>
      <vt:lpstr>Ruimten werkdag</vt:lpstr>
      <vt:lpstr>Ruimten werkdag vakantie</vt:lpstr>
      <vt:lpstr>Objectinformatie</vt:lpstr>
      <vt:lpstr>Objecten</vt:lpstr>
      <vt:lpstr>Niet-meewerkende objectleiding</vt:lpstr>
      <vt:lpstr>Totaalblad Objecten</vt:lpstr>
      <vt:lpstr>Additioneel werk</vt:lpstr>
      <vt:lpstr>Additioneel werk per locatie</vt:lpstr>
      <vt:lpstr>Afroep incidenteel</vt:lpstr>
      <vt:lpstr>Regiewerk</vt:lpstr>
      <vt:lpstr>Glas</vt:lpstr>
      <vt:lpstr>Totaal</vt:lpstr>
      <vt:lpstr>'Additioneel werk'!Afdruktitels</vt:lpstr>
      <vt:lpstr>'Additioneel werk per locatie'!Afdruktitels</vt:lpstr>
      <vt:lpstr>'Afroep incidenteel'!Afdruktitels</vt:lpstr>
      <vt:lpstr>Categorienormen!Afdruktitels</vt:lpstr>
      <vt:lpstr>Glas!Afdruktitels</vt:lpstr>
      <vt:lpstr>'Niet-meewerkende objectleiding'!Afdruktitels</vt:lpstr>
      <vt:lpstr>Objecten!Afdruktitels</vt:lpstr>
      <vt:lpstr>Objectinformatie!Afdruktitels</vt:lpstr>
      <vt:lpstr>Regiewerk!Afdruktitels</vt:lpstr>
      <vt:lpstr>'Regulier werk'!Afdruktitels</vt:lpstr>
      <vt:lpstr>'Ruimten werkdag'!Afdruktitels</vt:lpstr>
      <vt:lpstr>'Ruimten werkdag vakantie'!Afdruktitels</vt:lpstr>
      <vt:lpstr>Tariefopbouw!Afdruktitels</vt:lpstr>
      <vt:lpstr>Totaal!Afdruktitels</vt:lpstr>
      <vt:lpstr>'Totaalblad Objecten'!Afdruktitels</vt:lpstr>
      <vt:lpstr>catdw_1_AHB_1</vt:lpstr>
      <vt:lpstr>catdw_1_AHV_40</vt:lpstr>
      <vt:lpstr>catdw_1_BHB_1</vt:lpstr>
      <vt:lpstr>catdw_1_BHV_40</vt:lpstr>
      <vt:lpstr>catdw_1_BHV_42</vt:lpstr>
      <vt:lpstr>catdw_1_CHB_1</vt:lpstr>
      <vt:lpstr>catdw_1_CHV_40</vt:lpstr>
      <vt:lpstr>catdw_1_DHB_1</vt:lpstr>
      <vt:lpstr>catdw_1_DHV_40</vt:lpstr>
      <vt:lpstr>catdw_1_EHB_1</vt:lpstr>
      <vt:lpstr>catdw_1_EHV_40</vt:lpstr>
      <vt:lpstr>catdw_1_EZB_1</vt:lpstr>
      <vt:lpstr>catdw_1_EZV_40</vt:lpstr>
      <vt:lpstr>catdw_1_FZB_1</vt:lpstr>
      <vt:lpstr>catdw_1_FZV_40</vt:lpstr>
      <vt:lpstr>catdw_1_GHB_1</vt:lpstr>
      <vt:lpstr>catdw_1_GHV_40</vt:lpstr>
      <vt:lpstr>catdw_1_IHB_1</vt:lpstr>
      <vt:lpstr>catdw_1_IHV_40</vt:lpstr>
      <vt:lpstr>catdw_1_KHB_1</vt:lpstr>
      <vt:lpstr>catdw_1_KHV_40</vt:lpstr>
      <vt:lpstr>catdw_1_LHB_1</vt:lpstr>
      <vt:lpstr>catdw_1_LHV_40</vt:lpstr>
      <vt:lpstr>catdw_1_MHB_1</vt:lpstr>
      <vt:lpstr>catdw_1_MHV_40</vt:lpstr>
      <vt:lpstr>catdw_1_OHB_1</vt:lpstr>
      <vt:lpstr>catdw_1_OHV_10</vt:lpstr>
      <vt:lpstr>catdw_1_OHV_40</vt:lpstr>
      <vt:lpstr>catdw_1_OLHB_1</vt:lpstr>
      <vt:lpstr>catdw_1_OLHV_40</vt:lpstr>
      <vt:lpstr>catdw_1_PHB_1</vt:lpstr>
      <vt:lpstr>catdw_1_PHV_40</vt:lpstr>
      <vt:lpstr>catdw_1_PMHB_1</vt:lpstr>
      <vt:lpstr>catdw_1_PMHV_40</vt:lpstr>
      <vt:lpstr>catdw_1_PSHB_1</vt:lpstr>
      <vt:lpstr>catdw_1_PSHV_40</vt:lpstr>
      <vt:lpstr>catdw_1_PUHB_1</vt:lpstr>
      <vt:lpstr>catdw_1_PUHV_40</vt:lpstr>
      <vt:lpstr>catdw_1_SHB_1</vt:lpstr>
      <vt:lpstr>catdw_1_SHV_40</vt:lpstr>
      <vt:lpstr>catdw_1_THB_1</vt:lpstr>
      <vt:lpstr>catdw_1_THV_40</vt:lpstr>
      <vt:lpstr>catdw_1_TOHB_1</vt:lpstr>
      <vt:lpstr>catdw_1_TOHV_40</vt:lpstr>
      <vt:lpstr>catdw_1_VHB_1</vt:lpstr>
      <vt:lpstr>catdw_1_VHV_40</vt:lpstr>
      <vt:lpstr>catdw_1_VZB_1</vt:lpstr>
      <vt:lpstr>catdw_1_VZV_40</vt:lpstr>
      <vt:lpstr>catdw_2_VBHB_1</vt:lpstr>
      <vt:lpstr>catdw_2_VBHV_2</vt:lpstr>
      <vt:lpstr>catdw_2_VSHB_1</vt:lpstr>
      <vt:lpstr>catdw_2_VSHV_2</vt:lpstr>
      <vt:lpstr>catdw_2_VVHB_1</vt:lpstr>
      <vt:lpstr>catdw_2_VVHV_2</vt:lpstr>
      <vt:lpstr>catfd_1_AHB_1</vt:lpstr>
      <vt:lpstr>catfd_1_AHV_40</vt:lpstr>
      <vt:lpstr>catfd_1_BHB_1</vt:lpstr>
      <vt:lpstr>catfd_1_BHV_40</vt:lpstr>
      <vt:lpstr>catfd_1_BHV_42</vt:lpstr>
      <vt:lpstr>catfd_1_CHB_1</vt:lpstr>
      <vt:lpstr>catfd_1_CHV_40</vt:lpstr>
      <vt:lpstr>catfd_1_DHB_1</vt:lpstr>
      <vt:lpstr>catfd_1_DHV_40</vt:lpstr>
      <vt:lpstr>catfd_1_EHB_1</vt:lpstr>
      <vt:lpstr>catfd_1_EHV_40</vt:lpstr>
      <vt:lpstr>catfd_1_EZB_1</vt:lpstr>
      <vt:lpstr>catfd_1_EZV_40</vt:lpstr>
      <vt:lpstr>catfd_1_FZB_1</vt:lpstr>
      <vt:lpstr>catfd_1_FZV_40</vt:lpstr>
      <vt:lpstr>catfd_1_GHB_1</vt:lpstr>
      <vt:lpstr>catfd_1_GHV_40</vt:lpstr>
      <vt:lpstr>catfd_1_IHB_1</vt:lpstr>
      <vt:lpstr>catfd_1_IHV_40</vt:lpstr>
      <vt:lpstr>catfd_1_KHB_1</vt:lpstr>
      <vt:lpstr>catfd_1_KHV_40</vt:lpstr>
      <vt:lpstr>catfd_1_LHB_1</vt:lpstr>
      <vt:lpstr>catfd_1_LHV_40</vt:lpstr>
      <vt:lpstr>catfd_1_MHB_1</vt:lpstr>
      <vt:lpstr>catfd_1_MHV_40</vt:lpstr>
      <vt:lpstr>catfd_1_OHB_1</vt:lpstr>
      <vt:lpstr>catfd_1_OHV_10</vt:lpstr>
      <vt:lpstr>catfd_1_OHV_40</vt:lpstr>
      <vt:lpstr>catfd_1_OLHB_1</vt:lpstr>
      <vt:lpstr>catfd_1_OLHV_40</vt:lpstr>
      <vt:lpstr>catfd_1_PHB_1</vt:lpstr>
      <vt:lpstr>catfd_1_PHV_40</vt:lpstr>
      <vt:lpstr>catfd_1_PMHB_1</vt:lpstr>
      <vt:lpstr>catfd_1_PMHV_40</vt:lpstr>
      <vt:lpstr>catfd_1_PSHB_1</vt:lpstr>
      <vt:lpstr>catfd_1_PSHV_40</vt:lpstr>
      <vt:lpstr>catfd_1_PUHB_1</vt:lpstr>
      <vt:lpstr>catfd_1_PUHV_40</vt:lpstr>
      <vt:lpstr>catfd_1_SHB_1</vt:lpstr>
      <vt:lpstr>catfd_1_SHV_40</vt:lpstr>
      <vt:lpstr>catfd_1_THB_1</vt:lpstr>
      <vt:lpstr>catfd_1_THV_40</vt:lpstr>
      <vt:lpstr>catfd_1_TOHB_1</vt:lpstr>
      <vt:lpstr>catfd_1_TOHV_40</vt:lpstr>
      <vt:lpstr>catfd_1_VHB_1</vt:lpstr>
      <vt:lpstr>catfd_1_VHV_40</vt:lpstr>
      <vt:lpstr>catfd_1_VZB_1</vt:lpstr>
      <vt:lpstr>catfd_1_VZV_40</vt:lpstr>
      <vt:lpstr>catfd_2_VBHB_1</vt:lpstr>
      <vt:lpstr>catfd_2_VBHV_2</vt:lpstr>
      <vt:lpstr>catfd_2_VSHB_1</vt:lpstr>
      <vt:lpstr>catfd_2_VSHV_2</vt:lpstr>
      <vt:lpstr>catfd_2_VVHB_1</vt:lpstr>
      <vt:lpstr>catfd_2_VVHV_2</vt:lpstr>
      <vt:lpstr>catpn_1_AHB_1</vt:lpstr>
      <vt:lpstr>catpn_1_AHV_40</vt:lpstr>
      <vt:lpstr>catpn_1_BHB_1</vt:lpstr>
      <vt:lpstr>catpn_1_BHV_40</vt:lpstr>
      <vt:lpstr>catpn_1_BHV_42</vt:lpstr>
      <vt:lpstr>catpn_1_CHB_1</vt:lpstr>
      <vt:lpstr>catpn_1_CHV_40</vt:lpstr>
      <vt:lpstr>catpn_1_DHB_1</vt:lpstr>
      <vt:lpstr>catpn_1_DHV_40</vt:lpstr>
      <vt:lpstr>catpn_1_EHB_1</vt:lpstr>
      <vt:lpstr>catpn_1_EHV_40</vt:lpstr>
      <vt:lpstr>catpn_1_EZB_1</vt:lpstr>
      <vt:lpstr>catpn_1_EZV_40</vt:lpstr>
      <vt:lpstr>catpn_1_FZB_1</vt:lpstr>
      <vt:lpstr>catpn_1_FZV_40</vt:lpstr>
      <vt:lpstr>catpn_1_GHB_1</vt:lpstr>
      <vt:lpstr>catpn_1_GHV_40</vt:lpstr>
      <vt:lpstr>catpn_1_IHB_1</vt:lpstr>
      <vt:lpstr>catpn_1_IHV_40</vt:lpstr>
      <vt:lpstr>catpn_1_KHB_1</vt:lpstr>
      <vt:lpstr>catpn_1_KHV_40</vt:lpstr>
      <vt:lpstr>catpn_1_LHB_1</vt:lpstr>
      <vt:lpstr>catpn_1_LHV_40</vt:lpstr>
      <vt:lpstr>catpn_1_MHB_1</vt:lpstr>
      <vt:lpstr>catpn_1_MHV_40</vt:lpstr>
      <vt:lpstr>catpn_1_OHB_1</vt:lpstr>
      <vt:lpstr>catpn_1_OHV_10</vt:lpstr>
      <vt:lpstr>catpn_1_OHV_40</vt:lpstr>
      <vt:lpstr>catpn_1_OLHB_1</vt:lpstr>
      <vt:lpstr>catpn_1_OLHV_40</vt:lpstr>
      <vt:lpstr>catpn_1_PHB_1</vt:lpstr>
      <vt:lpstr>catpn_1_PHV_40</vt:lpstr>
      <vt:lpstr>catpn_1_PMHB_1</vt:lpstr>
      <vt:lpstr>catpn_1_PMHV_40</vt:lpstr>
      <vt:lpstr>catpn_1_PSHB_1</vt:lpstr>
      <vt:lpstr>catpn_1_PSHV_40</vt:lpstr>
      <vt:lpstr>catpn_1_PUHB_1</vt:lpstr>
      <vt:lpstr>catpn_1_PUHV_40</vt:lpstr>
      <vt:lpstr>catpn_1_SHB_1</vt:lpstr>
      <vt:lpstr>catpn_1_SHV_40</vt:lpstr>
      <vt:lpstr>catpn_1_THB_1</vt:lpstr>
      <vt:lpstr>catpn_1_THV_40</vt:lpstr>
      <vt:lpstr>catpn_1_TOHB_1</vt:lpstr>
      <vt:lpstr>catpn_1_TOHV_40</vt:lpstr>
      <vt:lpstr>catpn_1_VHB_1</vt:lpstr>
      <vt:lpstr>catpn_1_VHV_40</vt:lpstr>
      <vt:lpstr>catpn_1_VZB_1</vt:lpstr>
      <vt:lpstr>catpn_1_VZV_40</vt:lpstr>
      <vt:lpstr>catpn_2_VBHB_1</vt:lpstr>
      <vt:lpstr>catpn_2_VBHV_2</vt:lpstr>
      <vt:lpstr>catpn_2_VSHB_1</vt:lpstr>
      <vt:lpstr>catpn_2_VSHV_2</vt:lpstr>
      <vt:lpstr>catpn_2_VVHB_1</vt:lpstr>
      <vt:lpstr>catpn_2_VVHV_2</vt:lpstr>
      <vt:lpstr>cattf_1_AHB_1</vt:lpstr>
      <vt:lpstr>cattf_1_AHV_40</vt:lpstr>
      <vt:lpstr>cattf_1_BHB_1</vt:lpstr>
      <vt:lpstr>cattf_1_BHV_40</vt:lpstr>
      <vt:lpstr>cattf_1_BHV_42</vt:lpstr>
      <vt:lpstr>cattf_1_CHB_1</vt:lpstr>
      <vt:lpstr>cattf_1_CHV_40</vt:lpstr>
      <vt:lpstr>cattf_1_DHB_1</vt:lpstr>
      <vt:lpstr>cattf_1_DHV_40</vt:lpstr>
      <vt:lpstr>cattf_1_EHB_1</vt:lpstr>
      <vt:lpstr>cattf_1_EHV_40</vt:lpstr>
      <vt:lpstr>cattf_1_EZB_1</vt:lpstr>
      <vt:lpstr>cattf_1_EZV_40</vt:lpstr>
      <vt:lpstr>cattf_1_FZB_1</vt:lpstr>
      <vt:lpstr>cattf_1_FZV_40</vt:lpstr>
      <vt:lpstr>cattf_1_GHB_1</vt:lpstr>
      <vt:lpstr>cattf_1_GHV_40</vt:lpstr>
      <vt:lpstr>cattf_1_IHB_1</vt:lpstr>
      <vt:lpstr>cattf_1_IHV_40</vt:lpstr>
      <vt:lpstr>cattf_1_KHB_1</vt:lpstr>
      <vt:lpstr>cattf_1_KHV_40</vt:lpstr>
      <vt:lpstr>cattf_1_LHB_1</vt:lpstr>
      <vt:lpstr>cattf_1_LHV_40</vt:lpstr>
      <vt:lpstr>cattf_1_MHB_1</vt:lpstr>
      <vt:lpstr>cattf_1_MHV_40</vt:lpstr>
      <vt:lpstr>cattf_1_OHB_1</vt:lpstr>
      <vt:lpstr>cattf_1_OHV_10</vt:lpstr>
      <vt:lpstr>cattf_1_OHV_40</vt:lpstr>
      <vt:lpstr>cattf_1_OLHB_1</vt:lpstr>
      <vt:lpstr>cattf_1_OLHV_40</vt:lpstr>
      <vt:lpstr>cattf_1_PHB_1</vt:lpstr>
      <vt:lpstr>cattf_1_PHV_40</vt:lpstr>
      <vt:lpstr>cattf_1_PMHB_1</vt:lpstr>
      <vt:lpstr>cattf_1_PMHV_40</vt:lpstr>
      <vt:lpstr>cattf_1_PSHB_1</vt:lpstr>
      <vt:lpstr>cattf_1_PSHV_40</vt:lpstr>
      <vt:lpstr>cattf_1_PUHB_1</vt:lpstr>
      <vt:lpstr>cattf_1_PUHV_40</vt:lpstr>
      <vt:lpstr>cattf_1_SHB_1</vt:lpstr>
      <vt:lpstr>cattf_1_SHV_40</vt:lpstr>
      <vt:lpstr>cattf_1_THB_1</vt:lpstr>
      <vt:lpstr>cattf_1_THV_40</vt:lpstr>
      <vt:lpstr>cattf_1_TOHB_1</vt:lpstr>
      <vt:lpstr>cattf_1_TOHV_40</vt:lpstr>
      <vt:lpstr>cattf_1_VHB_1</vt:lpstr>
      <vt:lpstr>cattf_1_VHV_40</vt:lpstr>
      <vt:lpstr>cattf_1_VZB_1</vt:lpstr>
      <vt:lpstr>cattf_1_VZV_40</vt:lpstr>
      <vt:lpstr>cattf_2_VBHB_1</vt:lpstr>
      <vt:lpstr>cattf_2_VBHV_2</vt:lpstr>
      <vt:lpstr>cattf_2_VSHB_1</vt:lpstr>
      <vt:lpstr>cattf_2_VSHV_2</vt:lpstr>
      <vt:lpstr>cattf_2_VVHB_1</vt:lpstr>
      <vt:lpstr>cattf_2_VVHV_2</vt:lpstr>
      <vt:lpstr>dagenperjaar1</vt:lpstr>
      <vt:lpstr>dagenperweek1</vt:lpstr>
      <vt:lpstr>dagsoorttabel1</vt:lpstr>
      <vt:lpstr>dagwerk10</vt:lpstr>
      <vt:lpstr>dagwerk11</vt:lpstr>
      <vt:lpstr>dagwerk12</vt:lpstr>
      <vt:lpstr>dagwerk13</vt:lpstr>
      <vt:lpstr>dagwerk14</vt:lpstr>
      <vt:lpstr>dagwerk15</vt:lpstr>
      <vt:lpstr>dagwerk16</vt:lpstr>
      <vt:lpstr>dagwerk17</vt:lpstr>
      <vt:lpstr>dagwerk18</vt:lpstr>
      <vt:lpstr>dagwerk19</vt:lpstr>
      <vt:lpstr>dagwerk20</vt:lpstr>
      <vt:lpstr>dagwerk21</vt:lpstr>
      <vt:lpstr>dagwerk22</vt:lpstr>
      <vt:lpstr>dagwerk23</vt:lpstr>
      <vt:lpstr>dagwerk24</vt:lpstr>
      <vt:lpstr>dagwerk25</vt:lpstr>
      <vt:lpstr>dagwerk26</vt:lpstr>
      <vt:lpstr>dagwerk27</vt:lpstr>
      <vt:lpstr>dagwerk28</vt:lpstr>
      <vt:lpstr>dagwerk29</vt:lpstr>
      <vt:lpstr>dagwerk30</vt:lpstr>
      <vt:lpstr>dagwerk31</vt:lpstr>
      <vt:lpstr>dagwerk32</vt:lpstr>
      <vt:lpstr>dagwerk33</vt:lpstr>
      <vt:lpstr>dagwerk34</vt:lpstr>
      <vt:lpstr>dagwerk35</vt:lpstr>
      <vt:lpstr>dagwerk36</vt:lpstr>
      <vt:lpstr>dagwerk37</vt:lpstr>
      <vt:lpstr>dagwerk38</vt:lpstr>
      <vt:lpstr>dagwerk39</vt:lpstr>
      <vt:lpstr>dagwerk40</vt:lpstr>
      <vt:lpstr>dagwerk5</vt:lpstr>
      <vt:lpstr>dagwerk6</vt:lpstr>
      <vt:lpstr>dagwerk7</vt:lpstr>
      <vt:lpstr>dagwerk8</vt:lpstr>
      <vt:lpstr>dagwerk9</vt:lpstr>
      <vt:lpstr>dagwerktabel1</vt:lpstr>
      <vt:lpstr>dagwerktabel2</vt:lpstr>
      <vt:lpstr>gemuurtarief1</vt:lpstr>
      <vt:lpstr>gemuurtarief2</vt:lpstr>
      <vt:lpstr>kengetaltabel1</vt:lpstr>
      <vt:lpstr>kengetaltabel2</vt:lpstr>
      <vt:lpstr>object1_gemuurtarief1</vt:lpstr>
      <vt:lpstr>object1_opptabel1</vt:lpstr>
      <vt:lpstr>object1_opptabel2</vt:lpstr>
      <vt:lpstr>object1_prijsdag1</vt:lpstr>
      <vt:lpstr>object1_prijsjaar1</vt:lpstr>
      <vt:lpstr>object1_urendag1</vt:lpstr>
      <vt:lpstr>object1_urendaghf1</vt:lpstr>
      <vt:lpstr>object1_urenjaar1</vt:lpstr>
      <vt:lpstr>object2_gemuurtarief1</vt:lpstr>
      <vt:lpstr>object2_opptabel1</vt:lpstr>
      <vt:lpstr>object2_opptabel2</vt:lpstr>
      <vt:lpstr>object2_prijsdag1</vt:lpstr>
      <vt:lpstr>object2_prijsjaar1</vt:lpstr>
      <vt:lpstr>object2_urendag1</vt:lpstr>
      <vt:lpstr>object2_urendaghf1</vt:lpstr>
      <vt:lpstr>object2_urenjaar1</vt:lpstr>
      <vt:lpstr>object3_gemuurtarief1</vt:lpstr>
      <vt:lpstr>object3_opptabel1</vt:lpstr>
      <vt:lpstr>object3_opptabel2</vt:lpstr>
      <vt:lpstr>object3_prijsdag1</vt:lpstr>
      <vt:lpstr>object3_prijsjaar1</vt:lpstr>
      <vt:lpstr>object3_urendag1</vt:lpstr>
      <vt:lpstr>object3_urendaghf1</vt:lpstr>
      <vt:lpstr>object3_urenjaar1</vt:lpstr>
      <vt:lpstr>object4_gemuurtarief1</vt:lpstr>
      <vt:lpstr>object4_opptabel1</vt:lpstr>
      <vt:lpstr>object4_opptabel2</vt:lpstr>
      <vt:lpstr>object4_prijsdag1</vt:lpstr>
      <vt:lpstr>object4_prijsjaar1</vt:lpstr>
      <vt:lpstr>object4_urendag1</vt:lpstr>
      <vt:lpstr>object4_urendaghf1</vt:lpstr>
      <vt:lpstr>object4_urenjaar1</vt:lpstr>
      <vt:lpstr>object5_gemuurtarief1</vt:lpstr>
      <vt:lpstr>object5_gemuurtarief2</vt:lpstr>
      <vt:lpstr>object5_opptabel1</vt:lpstr>
      <vt:lpstr>object5_opptabel2</vt:lpstr>
      <vt:lpstr>object5_prijsdag1</vt:lpstr>
      <vt:lpstr>object5_prijsdag2</vt:lpstr>
      <vt:lpstr>object5_prijsjaar1</vt:lpstr>
      <vt:lpstr>object5_prijsjaar2</vt:lpstr>
      <vt:lpstr>object5_urendag1</vt:lpstr>
      <vt:lpstr>object5_urendag2</vt:lpstr>
      <vt:lpstr>object5_urendaghf1</vt:lpstr>
      <vt:lpstr>object5_urendaghf2</vt:lpstr>
      <vt:lpstr>object5_urenjaar1</vt:lpstr>
      <vt:lpstr>object5_urenjaar2</vt:lpstr>
      <vt:lpstr>object6_gemuurtarief1</vt:lpstr>
      <vt:lpstr>object6_gemuurtarief2</vt:lpstr>
      <vt:lpstr>object6_opptabel1</vt:lpstr>
      <vt:lpstr>object6_opptabel2</vt:lpstr>
      <vt:lpstr>object6_prijsdag1</vt:lpstr>
      <vt:lpstr>object6_prijsdag2</vt:lpstr>
      <vt:lpstr>object6_prijsjaar1</vt:lpstr>
      <vt:lpstr>object6_prijsjaar2</vt:lpstr>
      <vt:lpstr>object6_urendag1</vt:lpstr>
      <vt:lpstr>object6_urendag2</vt:lpstr>
      <vt:lpstr>object6_urendaghf1</vt:lpstr>
      <vt:lpstr>object6_urendaghf2</vt:lpstr>
      <vt:lpstr>object6_urenjaar1</vt:lpstr>
      <vt:lpstr>object6_urenjaar2</vt:lpstr>
      <vt:lpstr>object7_gemuurtarief1</vt:lpstr>
      <vt:lpstr>object7_opptabel1</vt:lpstr>
      <vt:lpstr>object7_opptabel2</vt:lpstr>
      <vt:lpstr>object7_prijsdag1</vt:lpstr>
      <vt:lpstr>object7_prijsjaar1</vt:lpstr>
      <vt:lpstr>object7_urendag1</vt:lpstr>
      <vt:lpstr>object7_urendaghf1</vt:lpstr>
      <vt:lpstr>object7_urenjaar1</vt:lpstr>
      <vt:lpstr>objectprijs1_1</vt:lpstr>
      <vt:lpstr>objectprijs2_1</vt:lpstr>
      <vt:lpstr>objectprijs3_1</vt:lpstr>
      <vt:lpstr>objectprijs4_1</vt:lpstr>
      <vt:lpstr>objectprijs5_1</vt:lpstr>
      <vt:lpstr>objectprijs5_2</vt:lpstr>
      <vt:lpstr>objectprijs6_1</vt:lpstr>
      <vt:lpstr>objectprijs6_2</vt:lpstr>
      <vt:lpstr>objectprijs7_1</vt:lpstr>
      <vt:lpstr>objecturen1_1</vt:lpstr>
      <vt:lpstr>objecturen2_1</vt:lpstr>
      <vt:lpstr>objecturen3_1</vt:lpstr>
      <vt:lpstr>objecturen4_1</vt:lpstr>
      <vt:lpstr>objecturen5_1</vt:lpstr>
      <vt:lpstr>objecturen5_2</vt:lpstr>
      <vt:lpstr>objecturen6_1</vt:lpstr>
      <vt:lpstr>objecturen6_2</vt:lpstr>
      <vt:lpstr>objecturen7_1</vt:lpstr>
      <vt:lpstr>objecturenhf1_1</vt:lpstr>
      <vt:lpstr>objecturenhf2_1</vt:lpstr>
      <vt:lpstr>objecturenhf3_1</vt:lpstr>
      <vt:lpstr>objecturenhf4_1</vt:lpstr>
      <vt:lpstr>objecturenhf5_1</vt:lpstr>
      <vt:lpstr>objecturenhf5_2</vt:lpstr>
      <vt:lpstr>objecturenhf6_1</vt:lpstr>
      <vt:lpstr>objecturenhf6_2</vt:lpstr>
      <vt:lpstr>objecturenhf7_1</vt:lpstr>
      <vt:lpstr>prijsdag1</vt:lpstr>
      <vt:lpstr>prijsdag2</vt:lpstr>
      <vt:lpstr>prijsjaar</vt:lpstr>
      <vt:lpstr>prijsjaar1</vt:lpstr>
      <vt:lpstr>prijsjaar2</vt:lpstr>
      <vt:lpstr>prijsjaaradditioneel</vt:lpstr>
      <vt:lpstr>prijsjaaradditioneel1</vt:lpstr>
      <vt:lpstr>prijsjaarglas</vt:lpstr>
      <vt:lpstr>prijsjaarglas1</vt:lpstr>
      <vt:lpstr>prijsjaarnietmeewerkend</vt:lpstr>
      <vt:lpstr>prijsjaarregie</vt:lpstr>
      <vt:lpstr>prijsjaarregie1</vt:lpstr>
      <vt:lpstr>prijsjaartotaal</vt:lpstr>
      <vt:lpstr>prijsjaartotaal1</vt:lpstr>
      <vt:lpstr>prijsjaartotaal2</vt:lpstr>
      <vt:lpstr>prijsjaartotaaloverzicht</vt:lpstr>
      <vt:lpstr>prijsmaandtotaal1</vt:lpstr>
      <vt:lpstr>prijsmaandtotaal2</vt:lpstr>
      <vt:lpstr>prodnorm0</vt:lpstr>
      <vt:lpstr>prodnorm1</vt:lpstr>
      <vt:lpstr>prodnorm10</vt:lpstr>
      <vt:lpstr>prodnorm11</vt:lpstr>
      <vt:lpstr>prodnorm12</vt:lpstr>
      <vt:lpstr>prodnorm13</vt:lpstr>
      <vt:lpstr>prodnorm14</vt:lpstr>
      <vt:lpstr>prodnorm15</vt:lpstr>
      <vt:lpstr>prodnorm16</vt:lpstr>
      <vt:lpstr>prodnorm17</vt:lpstr>
      <vt:lpstr>prodnorm18</vt:lpstr>
      <vt:lpstr>prodnorm19</vt:lpstr>
      <vt:lpstr>prodnorm2</vt:lpstr>
      <vt:lpstr>prodnorm20</vt:lpstr>
      <vt:lpstr>prodnorm21</vt:lpstr>
      <vt:lpstr>prodnorm22</vt:lpstr>
      <vt:lpstr>prodnorm23</vt:lpstr>
      <vt:lpstr>prodnorm24</vt:lpstr>
      <vt:lpstr>prodnorm25</vt:lpstr>
      <vt:lpstr>prodnorm26</vt:lpstr>
      <vt:lpstr>prodnorm27</vt:lpstr>
      <vt:lpstr>prodnorm28</vt:lpstr>
      <vt:lpstr>prodnorm29</vt:lpstr>
      <vt:lpstr>prodnorm3</vt:lpstr>
      <vt:lpstr>prodnorm30</vt:lpstr>
      <vt:lpstr>prodnorm31</vt:lpstr>
      <vt:lpstr>prodnorm32</vt:lpstr>
      <vt:lpstr>prodnorm33</vt:lpstr>
      <vt:lpstr>prodnorm34</vt:lpstr>
      <vt:lpstr>prodnorm35</vt:lpstr>
      <vt:lpstr>prodnorm36</vt:lpstr>
      <vt:lpstr>prodnorm37</vt:lpstr>
      <vt:lpstr>prodnorm38</vt:lpstr>
      <vt:lpstr>prodnorm39</vt:lpstr>
      <vt:lpstr>prodnorm4</vt:lpstr>
      <vt:lpstr>prodnorm40</vt:lpstr>
      <vt:lpstr>prodnorm5</vt:lpstr>
      <vt:lpstr>prodnorm6</vt:lpstr>
      <vt:lpstr>prodnorm7</vt:lpstr>
      <vt:lpstr>prodnorm8</vt:lpstr>
      <vt:lpstr>prodnorm9</vt:lpstr>
      <vt:lpstr>taakfreqtabel1</vt:lpstr>
      <vt:lpstr>taakfreqtabel2</vt:lpstr>
      <vt:lpstr>tabeltype</vt:lpstr>
      <vt:lpstr>Tariefopbouw1</vt:lpstr>
      <vt:lpstr>Tariefopbouw2</vt:lpstr>
      <vt:lpstr>Tariefopbouw3</vt:lpstr>
      <vt:lpstr>Tariefopbouw4</vt:lpstr>
      <vt:lpstr>Tariefopbouw5</vt:lpstr>
      <vt:lpstr>TariefOpbouwBasisloon1</vt:lpstr>
      <vt:lpstr>TariefOpbouwBasisloon2</vt:lpstr>
      <vt:lpstr>TariefOpbouwBasisloon3</vt:lpstr>
      <vt:lpstr>TariefOpbouwBasisloon4</vt:lpstr>
      <vt:lpstr>TariefOpbouwBasisloon5</vt:lpstr>
      <vt:lpstr>TariefOpbouwBasisloon6</vt:lpstr>
      <vt:lpstr>TariefOpbouwBasisloon7</vt:lpstr>
      <vt:lpstr>TariefOpbouwBasisloon8</vt:lpstr>
      <vt:lpstr>TariefOpbouwDirecteKosten1</vt:lpstr>
      <vt:lpstr>TariefOpbouwDirecteKosten2</vt:lpstr>
      <vt:lpstr>TariefOpbouwDirecteKosten3</vt:lpstr>
      <vt:lpstr>TariefOpbouwDirecteKosten4</vt:lpstr>
      <vt:lpstr>TariefOpbouwDirecteKosten5</vt:lpstr>
      <vt:lpstr>TariefOpbouwDirecteKosten6</vt:lpstr>
      <vt:lpstr>TariefOpbouwDirecteKosten7</vt:lpstr>
      <vt:lpstr>TariefOpbouwDirecteKosten8</vt:lpstr>
      <vt:lpstr>TariefOpbouwErvaring1</vt:lpstr>
      <vt:lpstr>TariefOpbouwErvaring2</vt:lpstr>
      <vt:lpstr>TariefOpbouwErvaring3</vt:lpstr>
      <vt:lpstr>TariefOpbouwErvaring4</vt:lpstr>
      <vt:lpstr>TariefOpbouwErvaring5</vt:lpstr>
      <vt:lpstr>TariefOpbouwErvaring6</vt:lpstr>
      <vt:lpstr>TariefOpbouwErvaring7</vt:lpstr>
      <vt:lpstr>TariefOpbouwErvaring8</vt:lpstr>
      <vt:lpstr>TariefOpbouwIndirecteKosten1</vt:lpstr>
      <vt:lpstr>TariefOpbouwIndirecteKosten2</vt:lpstr>
      <vt:lpstr>TariefOpbouwIndirecteKosten3</vt:lpstr>
      <vt:lpstr>TariefOpbouwIndirecteKosten4</vt:lpstr>
      <vt:lpstr>TariefOpbouwIndirecteKosten5</vt:lpstr>
      <vt:lpstr>TariefOpbouwIndirecteKosten6</vt:lpstr>
      <vt:lpstr>TariefOpbouwIndirecteKosten7</vt:lpstr>
      <vt:lpstr>TariefOpbouwIndirecteKosten8</vt:lpstr>
      <vt:lpstr>TariefOpbouwNaam1</vt:lpstr>
      <vt:lpstr>TariefOpbouwNaam2</vt:lpstr>
      <vt:lpstr>TariefOpbouwNaam3</vt:lpstr>
      <vt:lpstr>TariefOpbouwNaam4</vt:lpstr>
      <vt:lpstr>TariefOpbouwNaam5</vt:lpstr>
      <vt:lpstr>TariefOpbouwNaam6</vt:lpstr>
      <vt:lpstr>TariefOpbouwNaam7</vt:lpstr>
      <vt:lpstr>TariefOpbouwNaam8</vt:lpstr>
      <vt:lpstr>TariefOpbouwRisicoWinst1</vt:lpstr>
      <vt:lpstr>TariefOpbouwRisicoWinst2</vt:lpstr>
      <vt:lpstr>TariefOpbouwRisicoWinst3</vt:lpstr>
      <vt:lpstr>TariefOpbouwRisicoWinst4</vt:lpstr>
      <vt:lpstr>TariefOpbouwRisicoWinst5</vt:lpstr>
      <vt:lpstr>TariefOpbouwRisicoWinst6</vt:lpstr>
      <vt:lpstr>TariefOpbouwRisicoWinst7</vt:lpstr>
      <vt:lpstr>TariefOpbouwRisicoWinst8</vt:lpstr>
      <vt:lpstr>TariefOpbouwRisicoWinstPercentage1</vt:lpstr>
      <vt:lpstr>TariefOpbouwRisicoWinstPercentage2</vt:lpstr>
      <vt:lpstr>TariefOpbouwRisicoWinstPercentage3</vt:lpstr>
      <vt:lpstr>TariefOpbouwRisicoWinstPercentage4</vt:lpstr>
      <vt:lpstr>TariefOpbouwRisicoWinstPercentage5</vt:lpstr>
      <vt:lpstr>TariefOpbouwRisicoWinstPercentage6</vt:lpstr>
      <vt:lpstr>TariefOpbouwRisicoWinstPercentage7</vt:lpstr>
      <vt:lpstr>TariefOpbouwRisicoWinstPercentage8</vt:lpstr>
      <vt:lpstr>TariefOpbouwTarief1</vt:lpstr>
      <vt:lpstr>TariefOpbouwTarief1DN</vt:lpstr>
      <vt:lpstr>TariefOpbouwTarief1W</vt:lpstr>
      <vt:lpstr>TariefOpbouwTarief1X</vt:lpstr>
      <vt:lpstr>TariefOpbouwTarief2</vt:lpstr>
      <vt:lpstr>TariefOpbouwTarief2DN</vt:lpstr>
      <vt:lpstr>TariefOpbouwTarief2W</vt:lpstr>
      <vt:lpstr>TariefOpbouwTarief2X</vt:lpstr>
      <vt:lpstr>TariefOpbouwTarief3</vt:lpstr>
      <vt:lpstr>TariefOpbouwTarief3DN</vt:lpstr>
      <vt:lpstr>TariefOpbouwTarief3W</vt:lpstr>
      <vt:lpstr>TariefOpbouwTarief3X</vt:lpstr>
      <vt:lpstr>TariefOpbouwTarief4</vt:lpstr>
      <vt:lpstr>TariefOpbouwTarief4DN</vt:lpstr>
      <vt:lpstr>TariefOpbouwTarief4W</vt:lpstr>
      <vt:lpstr>TariefOpbouwTarief4X</vt:lpstr>
      <vt:lpstr>TariefOpbouwTarief5</vt:lpstr>
      <vt:lpstr>TariefOpbouwTarief5DN</vt:lpstr>
      <vt:lpstr>TariefOpbouwTarief5W</vt:lpstr>
      <vt:lpstr>TariefOpbouwTarief5X</vt:lpstr>
      <vt:lpstr>TariefOpbouwTarief6</vt:lpstr>
      <vt:lpstr>TariefOpbouwTarief6DN</vt:lpstr>
      <vt:lpstr>TariefOpbouwTarief6W</vt:lpstr>
      <vt:lpstr>TariefOpbouwTarief6X</vt:lpstr>
      <vt:lpstr>TariefOpbouwTarief7</vt:lpstr>
      <vt:lpstr>TariefOpbouwTarief7DN</vt:lpstr>
      <vt:lpstr>TariefOpbouwTarief7W</vt:lpstr>
      <vt:lpstr>TariefOpbouwTarief7X</vt:lpstr>
      <vt:lpstr>TariefOpbouwTarief8</vt:lpstr>
      <vt:lpstr>TariefOpbouwTarief8DN</vt:lpstr>
      <vt:lpstr>TariefOpbouwTarief8W</vt:lpstr>
      <vt:lpstr>TariefOpbouwTarief8X</vt:lpstr>
      <vt:lpstr>TariefOpbouwTotaalLoonkosten1</vt:lpstr>
      <vt:lpstr>TariefOpbouwTotaalLoonkosten2</vt:lpstr>
      <vt:lpstr>TariefOpbouwTotaalLoonkosten3</vt:lpstr>
      <vt:lpstr>TariefOpbouwTotaalLoonkosten4</vt:lpstr>
      <vt:lpstr>TariefOpbouwTotaalLoonkosten5</vt:lpstr>
      <vt:lpstr>TariefOpbouwTotaalLoonkosten6</vt:lpstr>
      <vt:lpstr>TariefOpbouwTotaalLoonkosten7</vt:lpstr>
      <vt:lpstr>TariefOpbouwTotaalLoonkosten8</vt:lpstr>
      <vt:lpstr>TariefOpbouwUurloon1</vt:lpstr>
      <vt:lpstr>TariefOpbouwUurloon2</vt:lpstr>
      <vt:lpstr>TariefOpbouwUurloon3</vt:lpstr>
      <vt:lpstr>TariefOpbouwUurloon4</vt:lpstr>
      <vt:lpstr>TariefOpbouwUurloon5</vt:lpstr>
      <vt:lpstr>TariefOpbouwUurloon6</vt:lpstr>
      <vt:lpstr>TariefOpbouwUurloon7</vt:lpstr>
      <vt:lpstr>TariefOpbouwUurloon8</vt:lpstr>
      <vt:lpstr>TariefOpbouwUurloonkosten1</vt:lpstr>
      <vt:lpstr>TariefOpbouwUurloonkosten2</vt:lpstr>
      <vt:lpstr>TariefOpbouwUurloonkosten3</vt:lpstr>
      <vt:lpstr>TariefOpbouwUurloonkosten4</vt:lpstr>
      <vt:lpstr>TariefOpbouwUurloonkosten5</vt:lpstr>
      <vt:lpstr>TariefOpbouwUurloonkosten6</vt:lpstr>
      <vt:lpstr>TariefOpbouwUurloonkosten7</vt:lpstr>
      <vt:lpstr>TariefOpbouwUurloonkosten8</vt:lpstr>
      <vt:lpstr>tarieftabel1</vt:lpstr>
      <vt:lpstr>tarieftabel2</vt:lpstr>
      <vt:lpstr>tzpjt1</vt:lpstr>
      <vt:lpstr>tzpjt1_1</vt:lpstr>
      <vt:lpstr>tzpjt2</vt:lpstr>
      <vt:lpstr>tzpjt2_1</vt:lpstr>
      <vt:lpstr>tzpjt3_1</vt:lpstr>
      <vt:lpstr>tzpjt4_1</vt:lpstr>
      <vt:lpstr>tzpjt5_1</vt:lpstr>
      <vt:lpstr>tzpjt5_2</vt:lpstr>
      <vt:lpstr>tzpjt6_1</vt:lpstr>
      <vt:lpstr>tzpjt6_2</vt:lpstr>
      <vt:lpstr>tzpjt7_1</vt:lpstr>
      <vt:lpstr>tzpmt1</vt:lpstr>
      <vt:lpstr>tzpmt1_1</vt:lpstr>
      <vt:lpstr>tzpmt2</vt:lpstr>
      <vt:lpstr>tzpmt2_1</vt:lpstr>
      <vt:lpstr>tzpmt3_1</vt:lpstr>
      <vt:lpstr>tzpmt4_1</vt:lpstr>
      <vt:lpstr>tzpmt5_1</vt:lpstr>
      <vt:lpstr>tzpmt5_2</vt:lpstr>
      <vt:lpstr>tzpmt6_1</vt:lpstr>
      <vt:lpstr>tzpmt6_2</vt:lpstr>
      <vt:lpstr>tzpmt7_1</vt:lpstr>
      <vt:lpstr>tzujt1</vt:lpstr>
      <vt:lpstr>tzujt1_1</vt:lpstr>
      <vt:lpstr>tzujt2</vt:lpstr>
      <vt:lpstr>tzujt2_1</vt:lpstr>
      <vt:lpstr>tzujt3_1</vt:lpstr>
      <vt:lpstr>tzujt4_1</vt:lpstr>
      <vt:lpstr>tzujt5_1</vt:lpstr>
      <vt:lpstr>tzujt5_2</vt:lpstr>
      <vt:lpstr>tzujt6_1</vt:lpstr>
      <vt:lpstr>tzujt6_2</vt:lpstr>
      <vt:lpstr>tzujt7_1</vt:lpstr>
      <vt:lpstr>urendag1</vt:lpstr>
      <vt:lpstr>urendag2</vt:lpstr>
      <vt:lpstr>urenjaar</vt:lpstr>
      <vt:lpstr>urenjaar1</vt:lpstr>
      <vt:lpstr>urenjaar2</vt:lpstr>
      <vt:lpstr>urenjaarnietmeewerkend</vt:lpstr>
      <vt:lpstr>urenjaartotaal</vt:lpstr>
      <vt:lpstr>urenjaartotaal1</vt:lpstr>
      <vt:lpstr>urenjaartotaal2</vt:lpstr>
      <vt:lpstr>urenjaartotaalhf</vt:lpstr>
      <vt:lpstr>urenjaartotaalhf1</vt:lpstr>
      <vt:lpstr>urenjaartotaalhf2</vt:lpstr>
      <vt:lpstr>urenjaartotaaloverzicht</vt:lpstr>
      <vt:lpstr>urenjaartotaaloverzichthf</vt:lpstr>
      <vt:lpstr>uurfactortabel1</vt:lpstr>
      <vt:lpstr>uurfactortabel2</vt:lpstr>
      <vt:lpstr>uurtarief0</vt:lpstr>
      <vt:lpstr>uurtarief1</vt:lpstr>
      <vt:lpstr>uurtarief10</vt:lpstr>
      <vt:lpstr>uurtarief11</vt:lpstr>
      <vt:lpstr>uurtarief12</vt:lpstr>
      <vt:lpstr>uurtarief13</vt:lpstr>
      <vt:lpstr>uurtarief14</vt:lpstr>
      <vt:lpstr>uurtarief15</vt:lpstr>
      <vt:lpstr>uurtarief16</vt:lpstr>
      <vt:lpstr>uurtarief17</vt:lpstr>
      <vt:lpstr>uurtarief18</vt:lpstr>
      <vt:lpstr>uurtarief19</vt:lpstr>
      <vt:lpstr>uurtarief2</vt:lpstr>
      <vt:lpstr>uurtarief20</vt:lpstr>
      <vt:lpstr>uurtarief21</vt:lpstr>
      <vt:lpstr>uurtarief22</vt:lpstr>
      <vt:lpstr>uurtarief23</vt:lpstr>
      <vt:lpstr>uurtarief24</vt:lpstr>
      <vt:lpstr>uurtarief25</vt:lpstr>
      <vt:lpstr>uurtarief26</vt:lpstr>
      <vt:lpstr>uurtarief27</vt:lpstr>
      <vt:lpstr>uurtarief28</vt:lpstr>
      <vt:lpstr>uurtarief29</vt:lpstr>
      <vt:lpstr>uurtarief3</vt:lpstr>
      <vt:lpstr>uurtarief30</vt:lpstr>
      <vt:lpstr>uurtarief31</vt:lpstr>
      <vt:lpstr>uurtarief32</vt:lpstr>
      <vt:lpstr>uurtarief33</vt:lpstr>
      <vt:lpstr>uurtarief34</vt:lpstr>
      <vt:lpstr>uurtarief35</vt:lpstr>
      <vt:lpstr>uurtarief36</vt:lpstr>
      <vt:lpstr>uurtarief37</vt:lpstr>
      <vt:lpstr>uurtarief38</vt:lpstr>
      <vt:lpstr>uurtarief39</vt:lpstr>
      <vt:lpstr>uurtarief4</vt:lpstr>
      <vt:lpstr>uurtarief40</vt:lpstr>
      <vt:lpstr>uurtarief5</vt:lpstr>
      <vt:lpstr>uurtarief6</vt:lpstr>
      <vt:lpstr>uurtarief7</vt:lpstr>
      <vt:lpstr>uurtarief8</vt:lpstr>
      <vt:lpstr>uurtarief9</vt:lpstr>
      <vt:lpstr>vu_variant</vt:lpstr>
    </vt:vector>
  </TitlesOfParts>
  <Company>Intexso Adviesbureau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Maaike Schmelling</dc:creator>
  <cp:lastModifiedBy>Eric Boomsma</cp:lastModifiedBy>
  <dcterms:created xsi:type="dcterms:W3CDTF">2025-07-07T13:50:54Z</dcterms:created>
  <dcterms:modified xsi:type="dcterms:W3CDTF">2025-07-07T14:20:37Z</dcterms:modified>
</cp:coreProperties>
</file>