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DATA\EXTERN\Cito\Jaar 2024 Aanbesteding\Invultabel\"/>
    </mc:Choice>
  </mc:AlternateContent>
  <xr:revisionPtr revIDLastSave="0" documentId="13_ncr:1_{8808E929-E3BD-40E9-A2BF-188210B178FF}" xr6:coauthVersionLast="47" xr6:coauthVersionMax="47" xr10:uidLastSave="{00000000-0000-0000-0000-000000000000}"/>
  <bookViews>
    <workbookView xWindow="-103" yWindow="-103" windowWidth="22149" windowHeight="11829" activeTab="1" xr2:uid="{CC0DC452-7291-496E-AA33-2C7FE16E741C}"/>
  </bookViews>
  <sheets>
    <sheet name="Omreken" sheetId="1" r:id="rId1"/>
    <sheet name="Tariefopbouw" sheetId="2" r:id="rId2"/>
    <sheet name="Categorienormen" sheetId="3" r:id="rId3"/>
    <sheet name="Regulier werk" sheetId="4" r:id="rId4"/>
    <sheet name="Ruimten werkdag" sheetId="5" r:id="rId5"/>
    <sheet name="Objectinformatie" sheetId="6" r:id="rId6"/>
    <sheet name="Objecten" sheetId="7" r:id="rId7"/>
    <sheet name="Totaalblad Objecten" sheetId="8" r:id="rId8"/>
    <sheet name="Additioneel werk" sheetId="9" r:id="rId9"/>
    <sheet name="Afroep incidenteel" sheetId="10" r:id="rId10"/>
    <sheet name="Regiewerk" sheetId="11" r:id="rId11"/>
    <sheet name="Glas" sheetId="12" r:id="rId12"/>
    <sheet name="Glas werkdag" sheetId="13" r:id="rId13"/>
    <sheet name="Totaal" sheetId="14" r:id="rId14"/>
  </sheets>
  <definedNames>
    <definedName name="_xlnm._FilterDatabase" localSheetId="12" hidden="1">'Glas werkdag'!$A$3:$R$38</definedName>
    <definedName name="_xlnm._FilterDatabase" localSheetId="4" hidden="1">'Ruimten werkdag'!$A$3:$V$384</definedName>
    <definedName name="_xlnm.Print_Titles" localSheetId="8">'Additioneel werk'!$1:$3</definedName>
    <definedName name="_xlnm.Print_Titles" localSheetId="9">'Afroep incidenteel'!$1:$3</definedName>
    <definedName name="_xlnm.Print_Titles" localSheetId="2">Categorienormen!$1:$3</definedName>
    <definedName name="_xlnm.Print_Titles" localSheetId="11">Glas!$1:$3</definedName>
    <definedName name="_xlnm.Print_Titles" localSheetId="12">'Glas werkdag'!$1:$3</definedName>
    <definedName name="_xlnm.Print_Titles" localSheetId="6">Objecten!$1:$3</definedName>
    <definedName name="_xlnm.Print_Titles" localSheetId="5">Objectinformatie!$A:$D,Objectinformatie!$1:$4</definedName>
    <definedName name="_xlnm.Print_Titles" localSheetId="10">Regiewerk!$1:$3</definedName>
    <definedName name="_xlnm.Print_Titles" localSheetId="3">'Regulier werk'!$1:$3</definedName>
    <definedName name="_xlnm.Print_Titles" localSheetId="4">'Ruimten werkdag'!$1:$3</definedName>
    <definedName name="_xlnm.Print_Titles" localSheetId="1">Tariefopbouw!$A:$A,Tariefopbouw!$1:$2</definedName>
    <definedName name="_xlnm.Print_Titles" localSheetId="13">Totaal!$1:$3</definedName>
    <definedName name="_xlnm.Print_Titles" localSheetId="7">'Totaalblad Objecten'!$A:$A,'Totaalblad Objecten'!$1:$3</definedName>
    <definedName name="catdw_1_BKHB_1">Categorienormen!$F$46</definedName>
    <definedName name="catdw_1_BKHV_51">Categorienormen!$F$47</definedName>
    <definedName name="catdw_1_BKZB_1">Categorienormen!$F$48</definedName>
    <definedName name="catdw_1_BKZV_51">Categorienormen!$F$49</definedName>
    <definedName name="catdw_1_BRHB_1">Categorienormen!$F$50</definedName>
    <definedName name="catdw_1_BRHV_51">Categorienormen!$F$51</definedName>
    <definedName name="catdw_1_BSHB_1">Categorienormen!$F$52</definedName>
    <definedName name="catdw_1_BSHV_51">Categorienormen!$F$53</definedName>
    <definedName name="catdw_1_BSZB_1">Categorienormen!$F$54</definedName>
    <definedName name="catdw_1_BSZV_51">Categorienormen!$F$55</definedName>
    <definedName name="catdw_1_BVZB_1">Categorienormen!$F$56</definedName>
    <definedName name="catdw_1_BVZV_51">Categorienormen!$F$57</definedName>
    <definedName name="catdw_1_KPHB_1">Categorienormen!$F$16</definedName>
    <definedName name="catdw_1_KPHV_51">Categorienormen!$F$17</definedName>
    <definedName name="catdw_1_KRHB_1">Categorienormen!$F$18</definedName>
    <definedName name="catdw_1_KRHV_51">Categorienormen!$F$19</definedName>
    <definedName name="catdw_1_OAHB_1">Categorienormen!$F$20</definedName>
    <definedName name="catdw_1_OAHV_12">Categorienormen!$F$21</definedName>
    <definedName name="catdw_1_OAHV_51">Categorienormen!$F$22</definedName>
    <definedName name="catdw_1_OAZV_1">Categorienormen!$F$23</definedName>
    <definedName name="catdw_1_OAZV_12">Categorienormen!$F$24</definedName>
    <definedName name="catdw_1_OAZV_51">Categorienormen!$F$25</definedName>
    <definedName name="catdw_1_SDHB_1">Categorienormen!$F$10</definedName>
    <definedName name="catdw_1_SDHV_51">Categorienormen!$F$11</definedName>
    <definedName name="catdw_1_SKHB_1">Categorienormen!$F$12</definedName>
    <definedName name="catdw_1_SKHV_51">Categorienormen!$F$13</definedName>
    <definedName name="catdw_1_STHB_1">Categorienormen!$F$14</definedName>
    <definedName name="catdw_1_STHV_51">Categorienormen!$F$15</definedName>
    <definedName name="catdw_1_VAHB_1">Categorienormen!$F$26</definedName>
    <definedName name="catdw_1_VAHV_51">Categorienormen!$F$27</definedName>
    <definedName name="catdw_1_VAZB_1">Categorienormen!$F$28</definedName>
    <definedName name="catdw_1_VAZV_51">Categorienormen!$F$29</definedName>
    <definedName name="catdw_1_VBZB_1">Categorienormen!$F$30</definedName>
    <definedName name="catdw_1_VBZV_51">Categorienormen!$F$31</definedName>
    <definedName name="catdw_1_VEHB_1">Categorienormen!$F$32</definedName>
    <definedName name="catdw_1_VEHV_51">Categorienormen!$F$33</definedName>
    <definedName name="catdw_1_VKHB_1">Categorienormen!$F$34</definedName>
    <definedName name="catdw_1_VKHV_51">Categorienormen!$F$35</definedName>
    <definedName name="catdw_1_VKZB_1">Categorienormen!$F$36</definedName>
    <definedName name="catdw_1_VKZV_51">Categorienormen!$F$37</definedName>
    <definedName name="catdw_1_VLHB_1">Categorienormen!$F$38</definedName>
    <definedName name="catdw_1_VLHV_51">Categorienormen!$F$39</definedName>
    <definedName name="catdw_1_VPHB_1">Categorienormen!$F$6</definedName>
    <definedName name="catdw_1_VPHV_1">Categorienormen!$F$7</definedName>
    <definedName name="catdw_1_VPZB_1">Categorienormen!$F$8</definedName>
    <definedName name="catdw_1_VPZV_1">Categorienormen!$F$9</definedName>
    <definedName name="catdw_1_VTHB_1">Categorienormen!$F$40</definedName>
    <definedName name="catdw_1_VTHV_12">Categorienormen!$F$41</definedName>
    <definedName name="catdw_1_VTHV_51">Categorienormen!$F$42</definedName>
    <definedName name="catdw_1_VTZB_1">Categorienormen!$F$43</definedName>
    <definedName name="catdw_1_VTZV_12">Categorienormen!$F$44</definedName>
    <definedName name="catdw_1_VTZV_51">Categorienormen!$F$45</definedName>
    <definedName name="catfd_1_BKHB_1">Categorienormen!$C$46</definedName>
    <definedName name="catfd_1_BKHV_51">Categorienormen!$C$47</definedName>
    <definedName name="catfd_1_BKZB_1">Categorienormen!$C$48</definedName>
    <definedName name="catfd_1_BKZV_51">Categorienormen!$C$49</definedName>
    <definedName name="catfd_1_BRHB_1">Categorienormen!$C$50</definedName>
    <definedName name="catfd_1_BRHV_51">Categorienormen!$C$51</definedName>
    <definedName name="catfd_1_BSHB_1">Categorienormen!$C$52</definedName>
    <definedName name="catfd_1_BSHV_51">Categorienormen!$C$53</definedName>
    <definedName name="catfd_1_BSZB_1">Categorienormen!$C$54</definedName>
    <definedName name="catfd_1_BSZV_51">Categorienormen!$C$55</definedName>
    <definedName name="catfd_1_BVZB_1">Categorienormen!$C$56</definedName>
    <definedName name="catfd_1_BVZV_51">Categorienormen!$C$57</definedName>
    <definedName name="catfd_1_KPHB_1">Categorienormen!$C$16</definedName>
    <definedName name="catfd_1_KPHV_51">Categorienormen!$C$17</definedName>
    <definedName name="catfd_1_KRHB_1">Categorienormen!$C$18</definedName>
    <definedName name="catfd_1_KRHV_51">Categorienormen!$C$19</definedName>
    <definedName name="catfd_1_OAHB_1">Categorienormen!$C$20</definedName>
    <definedName name="catfd_1_OAHV_12">Categorienormen!$C$21</definedName>
    <definedName name="catfd_1_OAHV_51">Categorienormen!$C$22</definedName>
    <definedName name="catfd_1_OAZV_1">Categorienormen!$C$23</definedName>
    <definedName name="catfd_1_OAZV_12">Categorienormen!$C$24</definedName>
    <definedName name="catfd_1_OAZV_51">Categorienormen!$C$25</definedName>
    <definedName name="catfd_1_SDHB_1">Categorienormen!$C$10</definedName>
    <definedName name="catfd_1_SDHV_51">Categorienormen!$C$11</definedName>
    <definedName name="catfd_1_SKHB_1">Categorienormen!$C$12</definedName>
    <definedName name="catfd_1_SKHV_51">Categorienormen!$C$13</definedName>
    <definedName name="catfd_1_STHB_1">Categorienormen!$C$14</definedName>
    <definedName name="catfd_1_STHV_51">Categorienormen!$C$15</definedName>
    <definedName name="catfd_1_VAHB_1">Categorienormen!$C$26</definedName>
    <definedName name="catfd_1_VAHV_51">Categorienormen!$C$27</definedName>
    <definedName name="catfd_1_VAZB_1">Categorienormen!$C$28</definedName>
    <definedName name="catfd_1_VAZV_51">Categorienormen!$C$29</definedName>
    <definedName name="catfd_1_VBZB_1">Categorienormen!$C$30</definedName>
    <definedName name="catfd_1_VBZV_51">Categorienormen!$C$31</definedName>
    <definedName name="catfd_1_VEHB_1">Categorienormen!$C$32</definedName>
    <definedName name="catfd_1_VEHV_51">Categorienormen!$C$33</definedName>
    <definedName name="catfd_1_VKHB_1">Categorienormen!$C$34</definedName>
    <definedName name="catfd_1_VKHV_51">Categorienormen!$C$35</definedName>
    <definedName name="catfd_1_VKZB_1">Categorienormen!$C$36</definedName>
    <definedName name="catfd_1_VKZV_51">Categorienormen!$C$37</definedName>
    <definedName name="catfd_1_VLHB_1">Categorienormen!$C$38</definedName>
    <definedName name="catfd_1_VLHV_51">Categorienormen!$C$39</definedName>
    <definedName name="catfd_1_VPHB_1">Categorienormen!$C$6</definedName>
    <definedName name="catfd_1_VPHV_1">Categorienormen!$C$7</definedName>
    <definedName name="catfd_1_VPZB_1">Categorienormen!$C$8</definedName>
    <definedName name="catfd_1_VPZV_1">Categorienormen!$C$9</definedName>
    <definedName name="catfd_1_VTHB_1">Categorienormen!$C$40</definedName>
    <definedName name="catfd_1_VTHV_12">Categorienormen!$C$41</definedName>
    <definedName name="catfd_1_VTHV_51">Categorienormen!$C$42</definedName>
    <definedName name="catfd_1_VTZB_1">Categorienormen!$C$43</definedName>
    <definedName name="catfd_1_VTZV_12">Categorienormen!$C$44</definedName>
    <definedName name="catfd_1_VTZV_51">Categorienormen!$C$45</definedName>
    <definedName name="catpn_1_BKHB_1">Categorienormen!$E$46</definedName>
    <definedName name="catpn_1_BKHV_51">Categorienormen!$E$47</definedName>
    <definedName name="catpn_1_BKZB_1">Categorienormen!$E$48</definedName>
    <definedName name="catpn_1_BKZV_51">Categorienormen!$E$49</definedName>
    <definedName name="catpn_1_BRHB_1">Categorienormen!$E$50</definedName>
    <definedName name="catpn_1_BRHV_51">Categorienormen!$E$51</definedName>
    <definedName name="catpn_1_BSHB_1">Categorienormen!$E$52</definedName>
    <definedName name="catpn_1_BSHV_51">Categorienormen!$E$53</definedName>
    <definedName name="catpn_1_BSZB_1">Categorienormen!$E$54</definedName>
    <definedName name="catpn_1_BSZV_51">Categorienormen!$E$55</definedName>
    <definedName name="catpn_1_BVZB_1">Categorienormen!$E$56</definedName>
    <definedName name="catpn_1_BVZV_51">Categorienormen!$E$57</definedName>
    <definedName name="catpn_1_KPHB_1">Categorienormen!$E$16</definedName>
    <definedName name="catpn_1_KPHV_51">Categorienormen!$E$17</definedName>
    <definedName name="catpn_1_KRHB_1">Categorienormen!$E$18</definedName>
    <definedName name="catpn_1_KRHV_51">Categorienormen!$E$19</definedName>
    <definedName name="catpn_1_OAHB_1">Categorienormen!$E$20</definedName>
    <definedName name="catpn_1_OAHV_12">Categorienormen!$E$21</definedName>
    <definedName name="catpn_1_OAHV_51">Categorienormen!$E$22</definedName>
    <definedName name="catpn_1_OAZV_1">Categorienormen!$E$23</definedName>
    <definedName name="catpn_1_OAZV_12">Categorienormen!$E$24</definedName>
    <definedName name="catpn_1_OAZV_51">Categorienormen!$E$25</definedName>
    <definedName name="catpn_1_SDHB_1">Categorienormen!$E$10</definedName>
    <definedName name="catpn_1_SDHV_51">Categorienormen!$E$11</definedName>
    <definedName name="catpn_1_SKHB_1">Categorienormen!$E$12</definedName>
    <definedName name="catpn_1_SKHV_51">Categorienormen!$E$13</definedName>
    <definedName name="catpn_1_STHB_1">Categorienormen!$E$14</definedName>
    <definedName name="catpn_1_STHV_51">Categorienormen!$E$15</definedName>
    <definedName name="catpn_1_VAHB_1">Categorienormen!$E$26</definedName>
    <definedName name="catpn_1_VAHV_51">Categorienormen!$E$27</definedName>
    <definedName name="catpn_1_VAZB_1">Categorienormen!$E$28</definedName>
    <definedName name="catpn_1_VAZV_51">Categorienormen!$E$29</definedName>
    <definedName name="catpn_1_VBZB_1">Categorienormen!$E$30</definedName>
    <definedName name="catpn_1_VBZV_51">Categorienormen!$E$31</definedName>
    <definedName name="catpn_1_VEHB_1">Categorienormen!$E$32</definedName>
    <definedName name="catpn_1_VEHV_51">Categorienormen!$E$33</definedName>
    <definedName name="catpn_1_VKHB_1">Categorienormen!$E$34</definedName>
    <definedName name="catpn_1_VKHV_51">Categorienormen!$E$35</definedName>
    <definedName name="catpn_1_VKZB_1">Categorienormen!$E$36</definedName>
    <definedName name="catpn_1_VKZV_51">Categorienormen!$E$37</definedName>
    <definedName name="catpn_1_VLHB_1">Categorienormen!$E$38</definedName>
    <definedName name="catpn_1_VLHV_51">Categorienormen!$E$39</definedName>
    <definedName name="catpn_1_VPHB_1">Categorienormen!$E$6</definedName>
    <definedName name="catpn_1_VPHV_1">Categorienormen!$E$7</definedName>
    <definedName name="catpn_1_VPZB_1">Categorienormen!$E$8</definedName>
    <definedName name="catpn_1_VPZV_1">Categorienormen!$E$9</definedName>
    <definedName name="catpn_1_VTHB_1">Categorienormen!$E$40</definedName>
    <definedName name="catpn_1_VTHV_12">Categorienormen!$E$41</definedName>
    <definedName name="catpn_1_VTHV_51">Categorienormen!$E$42</definedName>
    <definedName name="catpn_1_VTZB_1">Categorienormen!$E$43</definedName>
    <definedName name="catpn_1_VTZV_12">Categorienormen!$E$44</definedName>
    <definedName name="catpn_1_VTZV_51">Categorienormen!$E$45</definedName>
    <definedName name="cattf_1_BKHB_1">Categorienormen!$H$46</definedName>
    <definedName name="cattf_1_BKHV_51">Categorienormen!$H$47</definedName>
    <definedName name="cattf_1_BKZB_1">Categorienormen!$H$48</definedName>
    <definedName name="cattf_1_BKZV_51">Categorienormen!$H$49</definedName>
    <definedName name="cattf_1_BRHB_1">Categorienormen!$H$50</definedName>
    <definedName name="cattf_1_BRHV_51">Categorienormen!$H$51</definedName>
    <definedName name="cattf_1_BSHB_1">Categorienormen!$H$52</definedName>
    <definedName name="cattf_1_BSHV_51">Categorienormen!$H$53</definedName>
    <definedName name="cattf_1_BSZB_1">Categorienormen!$H$54</definedName>
    <definedName name="cattf_1_BSZV_51">Categorienormen!$H$55</definedName>
    <definedName name="cattf_1_BVZB_1">Categorienormen!$H$56</definedName>
    <definedName name="cattf_1_BVZV_51">Categorienormen!$H$57</definedName>
    <definedName name="cattf_1_KPHB_1">Categorienormen!$H$16</definedName>
    <definedName name="cattf_1_KPHV_51">Categorienormen!$H$17</definedName>
    <definedName name="cattf_1_KRHB_1">Categorienormen!$H$18</definedName>
    <definedName name="cattf_1_KRHV_51">Categorienormen!$H$19</definedName>
    <definedName name="cattf_1_OAHB_1">Categorienormen!$H$20</definedName>
    <definedName name="cattf_1_OAHV_12">Categorienormen!$H$21</definedName>
    <definedName name="cattf_1_OAHV_51">Categorienormen!$H$22</definedName>
    <definedName name="cattf_1_OAZV_1">Categorienormen!$H$23</definedName>
    <definedName name="cattf_1_OAZV_12">Categorienormen!$H$24</definedName>
    <definedName name="cattf_1_OAZV_51">Categorienormen!$H$25</definedName>
    <definedName name="cattf_1_SDHB_1">Categorienormen!$H$10</definedName>
    <definedName name="cattf_1_SDHV_51">Categorienormen!$H$11</definedName>
    <definedName name="cattf_1_SKHB_1">Categorienormen!$H$12</definedName>
    <definedName name="cattf_1_SKHV_51">Categorienormen!$H$13</definedName>
    <definedName name="cattf_1_STHB_1">Categorienormen!$H$14</definedName>
    <definedName name="cattf_1_STHV_51">Categorienormen!$H$15</definedName>
    <definedName name="cattf_1_VAHB_1">Categorienormen!$H$26</definedName>
    <definedName name="cattf_1_VAHV_51">Categorienormen!$H$27</definedName>
    <definedName name="cattf_1_VAZB_1">Categorienormen!$H$28</definedName>
    <definedName name="cattf_1_VAZV_51">Categorienormen!$H$29</definedName>
    <definedName name="cattf_1_VBZB_1">Categorienormen!$H$30</definedName>
    <definedName name="cattf_1_VBZV_51">Categorienormen!$H$31</definedName>
    <definedName name="cattf_1_VEHB_1">Categorienormen!$H$32</definedName>
    <definedName name="cattf_1_VEHV_51">Categorienormen!$H$33</definedName>
    <definedName name="cattf_1_VKHB_1">Categorienormen!$H$34</definedName>
    <definedName name="cattf_1_VKHV_51">Categorienormen!$H$35</definedName>
    <definedName name="cattf_1_VKZB_1">Categorienormen!$H$36</definedName>
    <definedName name="cattf_1_VKZV_51">Categorienormen!$H$37</definedName>
    <definedName name="cattf_1_VLHB_1">Categorienormen!$H$38</definedName>
    <definedName name="cattf_1_VLHV_51">Categorienormen!$H$39</definedName>
    <definedName name="cattf_1_VPHB_1">Categorienormen!$H$6</definedName>
    <definedName name="cattf_1_VPHV_1">Categorienormen!$H$7</definedName>
    <definedName name="cattf_1_VPZB_1">Categorienormen!$H$8</definedName>
    <definedName name="cattf_1_VPZV_1">Categorienormen!$H$9</definedName>
    <definedName name="cattf_1_VTHB_1">Categorienormen!$H$40</definedName>
    <definedName name="cattf_1_VTHV_12">Categorienormen!$H$41</definedName>
    <definedName name="cattf_1_VTHV_51">Categorienormen!$H$42</definedName>
    <definedName name="cattf_1_VTZB_1">Categorienormen!$H$43</definedName>
    <definedName name="cattf_1_VTZV_12">Categorienormen!$H$44</definedName>
    <definedName name="cattf_1_VTZV_51">Categorienormen!$H$45</definedName>
    <definedName name="dagenperjaar1">Omreken!$B$9</definedName>
    <definedName name="dagenperweek1">Omreken!$B$10</definedName>
    <definedName name="dagsoorttabel1">Omreken!$A$13:$B$24</definedName>
    <definedName name="gemuurtarief1">'Regulier werk'!$I$54</definedName>
    <definedName name="kengetaltabel1">Objectinformatie!$G$5:$G$46</definedName>
    <definedName name="object1_gemuurtarief1">'Glas werkdag'!$N$38</definedName>
    <definedName name="object1_opptabel1">Objectinformatie!$I$5:$I$46</definedName>
    <definedName name="object1_prijsdag1">'Glas werkdag'!$P$38</definedName>
    <definedName name="object1_prijsjaar1">'Glas werkdag'!$R$38</definedName>
    <definedName name="object1_urendag1">'Glas werkdag'!$O$38</definedName>
    <definedName name="object1_urenjaar1">'Glas werkdag'!$Q$38</definedName>
    <definedName name="objectprijs1_1">Objecten!$J$6</definedName>
    <definedName name="objecturen1_1">Objecten!$I$6</definedName>
    <definedName name="prijsdag1">'Regulier werk'!$K$52</definedName>
    <definedName name="prijsjaar">'Regulier werk'!$M$57</definedName>
    <definedName name="prijsjaar1">'Regulier werk'!$M$52</definedName>
    <definedName name="prijsjaaradditioneel">'Additioneel werk'!$K$10</definedName>
    <definedName name="prijsjaaradditioneel1">'Additioneel werk'!$K$8</definedName>
    <definedName name="prijsjaarglas">Glas!$K$20</definedName>
    <definedName name="prijsjaarglas1">Glas!$K$18</definedName>
    <definedName name="prijsjaarregie">Regiewerk!$K$10</definedName>
    <definedName name="prijsjaarregie1">Regiewerk!$K$8</definedName>
    <definedName name="prijsjaartotaal">Objecten!$J$10</definedName>
    <definedName name="prijsjaartotaal1">Objecten!$J$7</definedName>
    <definedName name="prijsjaartotaaloverzicht">'Totaalblad Objecten'!$B$11</definedName>
    <definedName name="prijsmaandtotaal1">Objecten!$K$7</definedName>
    <definedName name="prodnorm0">Regiewerk!$H$7</definedName>
    <definedName name="prodnorm1">Glas!$H$6</definedName>
    <definedName name="prodnorm10">Glas!$H$15</definedName>
    <definedName name="prodnorm11">Glas!$H$16</definedName>
    <definedName name="prodnorm12">Glas!$H$17</definedName>
    <definedName name="prodnorm13">'Regulier werk'!$G$43</definedName>
    <definedName name="prodnorm14">'Regulier werk'!$G$44</definedName>
    <definedName name="prodnorm15">'Regulier werk'!$G$45</definedName>
    <definedName name="prodnorm16">'Regulier werk'!$G$46</definedName>
    <definedName name="prodnorm17">'Regulier werk'!$G$47</definedName>
    <definedName name="prodnorm18">'Regulier werk'!$G$48</definedName>
    <definedName name="prodnorm19">'Regulier werk'!$G$49</definedName>
    <definedName name="prodnorm2">Glas!$H$7</definedName>
    <definedName name="prodnorm20">'Regulier werk'!$G$50</definedName>
    <definedName name="prodnorm21">'Regulier werk'!$G$51</definedName>
    <definedName name="prodnorm22">'Regulier werk'!$G$6</definedName>
    <definedName name="prodnorm23">'Regulier werk'!$G$7</definedName>
    <definedName name="prodnorm24">'Regulier werk'!$G$8</definedName>
    <definedName name="prodnorm25">'Regulier werk'!$G$9</definedName>
    <definedName name="prodnorm26">'Regulier werk'!$G$10</definedName>
    <definedName name="prodnorm27">'Regulier werk'!$G$11</definedName>
    <definedName name="prodnorm28">'Regulier werk'!$G$12</definedName>
    <definedName name="prodnorm29">'Regulier werk'!$G$13</definedName>
    <definedName name="prodnorm3">Glas!$H$8</definedName>
    <definedName name="prodnorm30">'Regulier werk'!$G$14</definedName>
    <definedName name="prodnorm31">'Regulier werk'!$G$15</definedName>
    <definedName name="prodnorm32">'Regulier werk'!$G$16</definedName>
    <definedName name="prodnorm33">'Regulier werk'!$G$17</definedName>
    <definedName name="prodnorm34">'Regulier werk'!$G$18</definedName>
    <definedName name="prodnorm35">'Regulier werk'!$G$19</definedName>
    <definedName name="prodnorm36">'Regulier werk'!$G$20</definedName>
    <definedName name="prodnorm37">'Regulier werk'!$G$21</definedName>
    <definedName name="prodnorm38">'Regulier werk'!$G$22</definedName>
    <definedName name="prodnorm39">'Regulier werk'!$G$23</definedName>
    <definedName name="prodnorm4">Glas!$H$9</definedName>
    <definedName name="prodnorm40">'Regulier werk'!$G$24</definedName>
    <definedName name="prodnorm41">'Regulier werk'!$G$25</definedName>
    <definedName name="prodnorm42">'Regulier werk'!$G$26</definedName>
    <definedName name="prodnorm43">'Regulier werk'!$G$27</definedName>
    <definedName name="prodnorm44">'Regulier werk'!$G$28</definedName>
    <definedName name="prodnorm45">'Regulier werk'!$G$29</definedName>
    <definedName name="prodnorm46">'Regulier werk'!$G$30</definedName>
    <definedName name="prodnorm47">'Regulier werk'!$G$31</definedName>
    <definedName name="prodnorm48">'Regulier werk'!$G$32</definedName>
    <definedName name="prodnorm49">'Regulier werk'!$G$33</definedName>
    <definedName name="prodnorm5">Glas!$H$10</definedName>
    <definedName name="prodnorm50">'Regulier werk'!$G$34</definedName>
    <definedName name="prodnorm51">'Regulier werk'!$G$35</definedName>
    <definedName name="prodnorm52">'Regulier werk'!$G$36</definedName>
    <definedName name="prodnorm53">'Regulier werk'!$G$37</definedName>
    <definedName name="prodnorm54">'Regulier werk'!$G$38</definedName>
    <definedName name="prodnorm55">'Regulier werk'!$G$39</definedName>
    <definedName name="prodnorm56">'Regulier werk'!$G$40</definedName>
    <definedName name="prodnorm57">'Regulier werk'!$G$41</definedName>
    <definedName name="prodnorm58">'Regulier werk'!$G$42</definedName>
    <definedName name="prodnorm6">Glas!$H$11</definedName>
    <definedName name="prodnorm7">Glas!$H$12</definedName>
    <definedName name="prodnorm8">Glas!$H$13</definedName>
    <definedName name="prodnorm9">Glas!$H$14</definedName>
    <definedName name="taakfreqtabel1">Objectinformatie!$E$5:$E$46</definedName>
    <definedName name="tabeltype">Omreken!$B$5:$B$5</definedName>
    <definedName name="Tariefopbouw1">Tariefopbouw!$B$53</definedName>
    <definedName name="Tariefopbouw2">Tariefopbouw!$D$53</definedName>
    <definedName name="Tariefopbouw3">Tariefopbouw!$B$61</definedName>
    <definedName name="Tariefopbouw4">Tariefopbouw!$D$61</definedName>
    <definedName name="TariefOpbouwBasisloon1">Tariefopbouw!$B$9</definedName>
    <definedName name="TariefOpbouwBasisloon2">Tariefopbouw!$D$9</definedName>
    <definedName name="TariefOpbouwBasisloon3">Tariefopbouw!$F$9</definedName>
    <definedName name="TariefOpbouwBasisloon4">Tariefopbouw!$H$9</definedName>
    <definedName name="TariefOpbouwBasisloon5">Tariefopbouw!$J$9</definedName>
    <definedName name="TariefOpbouwBasisloon6">Tariefopbouw!$L$9</definedName>
    <definedName name="TariefOpbouwBasisloon7">Tariefopbouw!$N$9</definedName>
    <definedName name="TariefOpbouwBasisloon8">Tariefopbouw!$P$9</definedName>
    <definedName name="TariefOpbouwDirecteKosten1">Tariefopbouw!$B$26</definedName>
    <definedName name="TariefOpbouwDirecteKosten2">Tariefopbouw!$D$26</definedName>
    <definedName name="TariefOpbouwDirecteKosten3">Tariefopbouw!$F$26</definedName>
    <definedName name="TariefOpbouwDirecteKosten4">Tariefopbouw!$H$26</definedName>
    <definedName name="TariefOpbouwDirecteKosten5">Tariefopbouw!$J$26</definedName>
    <definedName name="TariefOpbouwDirecteKosten6">Tariefopbouw!$L$26</definedName>
    <definedName name="TariefOpbouwDirecteKosten7">Tariefopbouw!$N$26</definedName>
    <definedName name="TariefOpbouwDirecteKosten8">Tariefopbouw!$P$26</definedName>
    <definedName name="TariefOpbouwErvaring1">Tariefopbouw!$B$6</definedName>
    <definedName name="TariefOpbouwErvaring2">Tariefopbouw!$D$6</definedName>
    <definedName name="TariefOpbouwErvaring3">Tariefopbouw!$F$6</definedName>
    <definedName name="TariefOpbouwErvaring4">Tariefopbouw!$H$6</definedName>
    <definedName name="TariefOpbouwErvaring5">Tariefopbouw!$J$6</definedName>
    <definedName name="TariefOpbouwErvaring6">Tariefopbouw!$L$6</definedName>
    <definedName name="TariefOpbouwErvaring7">Tariefopbouw!$N$6</definedName>
    <definedName name="TariefOpbouwErvaring8">Tariefopbouw!$P$6</definedName>
    <definedName name="TariefOpbouwIndirecteKosten1">Tariefopbouw!$B$35</definedName>
    <definedName name="TariefOpbouwIndirecteKosten2">Tariefopbouw!$D$35</definedName>
    <definedName name="TariefOpbouwIndirecteKosten3">Tariefopbouw!$F$35</definedName>
    <definedName name="TariefOpbouwIndirecteKosten4">Tariefopbouw!$H$35</definedName>
    <definedName name="TariefOpbouwIndirecteKosten5">Tariefopbouw!$J$35</definedName>
    <definedName name="TariefOpbouwIndirecteKosten6">Tariefopbouw!$L$35</definedName>
    <definedName name="TariefOpbouwIndirecteKosten7">Tariefopbouw!$N$35</definedName>
    <definedName name="TariefOpbouwIndirecteKosten8">Tariefopbouw!$P$35</definedName>
    <definedName name="TariefOpbouwNaam1">Tariefopbouw!$B$5</definedName>
    <definedName name="TariefOpbouwNaam2">Tariefopbouw!$D$5</definedName>
    <definedName name="TariefOpbouwNaam3">Tariefopbouw!$F$5</definedName>
    <definedName name="TariefOpbouwNaam4">Tariefopbouw!$H$5</definedName>
    <definedName name="TariefOpbouwNaam5">Tariefopbouw!$J$5</definedName>
    <definedName name="TariefOpbouwNaam6">Tariefopbouw!$L$5</definedName>
    <definedName name="TariefOpbouwNaam7">Tariefopbouw!$N$5</definedName>
    <definedName name="TariefOpbouwNaam8">Tariefopbouw!$P$5</definedName>
    <definedName name="TariefOpbouwRisicoWinst1">Tariefopbouw!$C$37</definedName>
    <definedName name="TariefOpbouwRisicoWinst2">Tariefopbouw!$E$37</definedName>
    <definedName name="TariefOpbouwRisicoWinst3">Tariefopbouw!$G$37</definedName>
    <definedName name="TariefOpbouwRisicoWinst4">Tariefopbouw!$I$37</definedName>
    <definedName name="TariefOpbouwRisicoWinst5">Tariefopbouw!$K$37</definedName>
    <definedName name="TariefOpbouwRisicoWinst6">Tariefopbouw!$M$37</definedName>
    <definedName name="TariefOpbouwRisicoWinst7">Tariefopbouw!$O$37</definedName>
    <definedName name="TariefOpbouwRisicoWinst8">Tariefopbouw!$Q$37</definedName>
    <definedName name="TariefOpbouwRisicoWinstPercentage1">Tariefopbouw!$B$37</definedName>
    <definedName name="TariefOpbouwRisicoWinstPercentage2">Tariefopbouw!$D$37</definedName>
    <definedName name="TariefOpbouwRisicoWinstPercentage3">Tariefopbouw!$F$37</definedName>
    <definedName name="TariefOpbouwRisicoWinstPercentage4">Tariefopbouw!$H$37</definedName>
    <definedName name="TariefOpbouwRisicoWinstPercentage5">Tariefopbouw!$J$37</definedName>
    <definedName name="TariefOpbouwRisicoWinstPercentage6">Tariefopbouw!$L$37</definedName>
    <definedName name="TariefOpbouwRisicoWinstPercentage7">Tariefopbouw!$N$37</definedName>
    <definedName name="TariefOpbouwRisicoWinstPercentage8">Tariefopbouw!$P$37</definedName>
    <definedName name="TariefOpbouwTarief1">Tariefopbouw!$B$39</definedName>
    <definedName name="TariefOpbouwTarief1DN">Tariefopbouw!$C$41</definedName>
    <definedName name="TariefOpbouwTarief1W">Tariefopbouw!$C$42</definedName>
    <definedName name="TariefOpbouwTarief1X">Tariefopbouw!$C$43</definedName>
    <definedName name="TariefOpbouwTarief2">Tariefopbouw!$D$39</definedName>
    <definedName name="TariefOpbouwTarief2DN">Tariefopbouw!$E$41</definedName>
    <definedName name="TariefOpbouwTarief2W">Tariefopbouw!$E$42</definedName>
    <definedName name="TariefOpbouwTarief2X">Tariefopbouw!$E$43</definedName>
    <definedName name="TariefOpbouwTarief3">Tariefopbouw!$F$39</definedName>
    <definedName name="TariefOpbouwTarief3DN">Tariefopbouw!$G$41</definedName>
    <definedName name="TariefOpbouwTarief3W">Tariefopbouw!$G$42</definedName>
    <definedName name="TariefOpbouwTarief3X">Tariefopbouw!$G$43</definedName>
    <definedName name="TariefOpbouwTarief4">Tariefopbouw!$H$39</definedName>
    <definedName name="TariefOpbouwTarief4DN">Tariefopbouw!$I$41</definedName>
    <definedName name="TariefOpbouwTarief4W">Tariefopbouw!$I$42</definedName>
    <definedName name="TariefOpbouwTarief4X">Tariefopbouw!$I$43</definedName>
    <definedName name="TariefOpbouwTarief5">Tariefopbouw!$J$39</definedName>
    <definedName name="TariefOpbouwTarief5DN">Tariefopbouw!$K$41</definedName>
    <definedName name="TariefOpbouwTarief5W">Tariefopbouw!$K$42</definedName>
    <definedName name="TariefOpbouwTarief5X">Tariefopbouw!$K$43</definedName>
    <definedName name="TariefOpbouwTarief6">Tariefopbouw!$L$39</definedName>
    <definedName name="TariefOpbouwTarief6DN">Tariefopbouw!$M$41</definedName>
    <definedName name="TariefOpbouwTarief6W">Tariefopbouw!$M$42</definedName>
    <definedName name="TariefOpbouwTarief6X">Tariefopbouw!$M$43</definedName>
    <definedName name="TariefOpbouwTarief7">Tariefopbouw!$N$39</definedName>
    <definedName name="TariefOpbouwTarief7DN">Tariefopbouw!$O$41</definedName>
    <definedName name="TariefOpbouwTarief7W">Tariefopbouw!$O$42</definedName>
    <definedName name="TariefOpbouwTarief7X">Tariefopbouw!$O$43</definedName>
    <definedName name="TariefOpbouwTarief8">Tariefopbouw!$P$39</definedName>
    <definedName name="TariefOpbouwTarief8DN">Tariefopbouw!$Q$41</definedName>
    <definedName name="TariefOpbouwTarief8W">Tariefopbouw!$Q$42</definedName>
    <definedName name="TariefOpbouwTarief8X">Tariefopbouw!$Q$43</definedName>
    <definedName name="TariefOpbouwTotaalLoonkosten1">Tariefopbouw!$B$19</definedName>
    <definedName name="TariefOpbouwTotaalLoonkosten2">Tariefopbouw!$D$19</definedName>
    <definedName name="TariefOpbouwTotaalLoonkosten3">Tariefopbouw!$F$19</definedName>
    <definedName name="TariefOpbouwTotaalLoonkosten4">Tariefopbouw!$H$19</definedName>
    <definedName name="TariefOpbouwTotaalLoonkosten5">Tariefopbouw!$J$19</definedName>
    <definedName name="TariefOpbouwTotaalLoonkosten6">Tariefopbouw!$L$19</definedName>
    <definedName name="TariefOpbouwTotaalLoonkosten7">Tariefopbouw!$N$19</definedName>
    <definedName name="TariefOpbouwTotaalLoonkosten8">Tariefopbouw!$P$19</definedName>
    <definedName name="TariefOpbouwUurloon1">Tariefopbouw!$B$12</definedName>
    <definedName name="TariefOpbouwUurloon2">Tariefopbouw!$D$12</definedName>
    <definedName name="TariefOpbouwUurloon3">Tariefopbouw!$F$12</definedName>
    <definedName name="TariefOpbouwUurloon4">Tariefopbouw!$H$12</definedName>
    <definedName name="TariefOpbouwUurloon5">Tariefopbouw!$J$12</definedName>
    <definedName name="TariefOpbouwUurloon6">Tariefopbouw!$L$12</definedName>
    <definedName name="TariefOpbouwUurloon7">Tariefopbouw!$N$12</definedName>
    <definedName name="TariefOpbouwUurloon8">Tariefopbouw!$P$12</definedName>
    <definedName name="TariefOpbouwUurloonkosten1">Tariefopbouw!$B$14</definedName>
    <definedName name="TariefOpbouwUurloonkosten2">Tariefopbouw!$D$14</definedName>
    <definedName name="TariefOpbouwUurloonkosten3">Tariefopbouw!$F$14</definedName>
    <definedName name="TariefOpbouwUurloonkosten4">Tariefopbouw!$H$14</definedName>
    <definedName name="TariefOpbouwUurloonkosten5">Tariefopbouw!$J$14</definedName>
    <definedName name="TariefOpbouwUurloonkosten6">Tariefopbouw!$L$14</definedName>
    <definedName name="TariefOpbouwUurloonkosten7">Tariefopbouw!$N$14</definedName>
    <definedName name="TariefOpbouwUurloonkosten8">Tariefopbouw!$P$14</definedName>
    <definedName name="tarieftabel1">Objectinformatie!$H$5:$H$46</definedName>
    <definedName name="TariefUitvoering1">Tariefopbouw!$C$50</definedName>
    <definedName name="TariefUitvoering2">Tariefopbouw!$E$50</definedName>
    <definedName name="TariefUitvoering3">Tariefopbouw!$C$59</definedName>
    <definedName name="TariefUitvoering4">Tariefopbouw!$E$59</definedName>
    <definedName name="urendag1">'Regulier werk'!$J$52</definedName>
    <definedName name="urenjaar">'Regulier werk'!$L$57</definedName>
    <definedName name="urenjaar1">'Regulier werk'!$L$52</definedName>
    <definedName name="urenjaartotaal">Objecten!$I$10</definedName>
    <definedName name="urenjaartotaal1">Objecten!$I$7</definedName>
    <definedName name="urenjaartotaaloverzicht">'Totaalblad Objecten'!$B$9</definedName>
    <definedName name="uurfactortabel1">Objectinformatie!$F$5:$F$46</definedName>
    <definedName name="uurtarief0">Regiewerk!$I$7</definedName>
    <definedName name="uurtarief1">Glas!$I$6</definedName>
    <definedName name="uurtarief10">Glas!$I$15</definedName>
    <definedName name="uurtarief11">Glas!$I$16</definedName>
    <definedName name="uurtarief12">Glas!$I$17</definedName>
    <definedName name="uurtarief13">'Regulier werk'!$I$43</definedName>
    <definedName name="uurtarief14">'Regulier werk'!$I$44</definedName>
    <definedName name="uurtarief15">'Regulier werk'!$I$45</definedName>
    <definedName name="uurtarief16">'Regulier werk'!$I$46</definedName>
    <definedName name="uurtarief17">'Regulier werk'!$I$47</definedName>
    <definedName name="uurtarief18">'Regulier werk'!$I$48</definedName>
    <definedName name="uurtarief19">'Regulier werk'!$I$49</definedName>
    <definedName name="uurtarief2">Glas!$I$7</definedName>
    <definedName name="uurtarief20">'Regulier werk'!$I$50</definedName>
    <definedName name="uurtarief21">'Regulier werk'!$I$51</definedName>
    <definedName name="uurtarief22">'Regulier werk'!$I$6</definedName>
    <definedName name="uurtarief23">'Regulier werk'!$I$7</definedName>
    <definedName name="uurtarief24">'Regulier werk'!$I$8</definedName>
    <definedName name="uurtarief25">'Regulier werk'!$I$9</definedName>
    <definedName name="uurtarief26">'Regulier werk'!$I$10</definedName>
    <definedName name="uurtarief27">'Regulier werk'!$I$11</definedName>
    <definedName name="uurtarief28">'Regulier werk'!$I$12</definedName>
    <definedName name="uurtarief29">'Regulier werk'!$I$13</definedName>
    <definedName name="uurtarief3">Glas!$I$8</definedName>
    <definedName name="uurtarief30">'Regulier werk'!$I$14</definedName>
    <definedName name="uurtarief31">'Regulier werk'!$I$15</definedName>
    <definedName name="uurtarief32">'Regulier werk'!$I$16</definedName>
    <definedName name="uurtarief33">'Regulier werk'!$I$17</definedName>
    <definedName name="uurtarief34">'Regulier werk'!$I$18</definedName>
    <definedName name="uurtarief35">'Regulier werk'!$I$19</definedName>
    <definedName name="uurtarief36">'Regulier werk'!$I$20</definedName>
    <definedName name="uurtarief37">'Regulier werk'!$I$21</definedName>
    <definedName name="uurtarief38">'Regulier werk'!$I$22</definedName>
    <definedName name="uurtarief39">'Regulier werk'!$I$23</definedName>
    <definedName name="uurtarief4">Glas!$I$9</definedName>
    <definedName name="uurtarief40">'Regulier werk'!$I$24</definedName>
    <definedName name="uurtarief41">'Regulier werk'!$I$25</definedName>
    <definedName name="uurtarief42">'Regulier werk'!$I$26</definedName>
    <definedName name="uurtarief43">'Regulier werk'!$I$27</definedName>
    <definedName name="uurtarief44">'Regulier werk'!$I$28</definedName>
    <definedName name="uurtarief45">'Regulier werk'!$I$29</definedName>
    <definedName name="uurtarief46">'Regulier werk'!$I$30</definedName>
    <definedName name="uurtarief47">'Regulier werk'!$I$31</definedName>
    <definedName name="uurtarief48">'Regulier werk'!$I$32</definedName>
    <definedName name="uurtarief49">'Regulier werk'!$I$33</definedName>
    <definedName name="uurtarief5">Glas!$I$10</definedName>
    <definedName name="uurtarief50">'Regulier werk'!$I$34</definedName>
    <definedName name="uurtarief51">'Regulier werk'!$I$35</definedName>
    <definedName name="uurtarief52">'Regulier werk'!$I$36</definedName>
    <definedName name="uurtarief53">'Regulier werk'!$I$37</definedName>
    <definedName name="uurtarief54">'Regulier werk'!$I$38</definedName>
    <definedName name="uurtarief55">'Regulier werk'!$I$39</definedName>
    <definedName name="uurtarief56">'Regulier werk'!$I$40</definedName>
    <definedName name="uurtarief57">'Regulier werk'!$I$41</definedName>
    <definedName name="uurtarief58">'Regulier werk'!$I$42</definedName>
    <definedName name="uurtarief6">Glas!$I$11</definedName>
    <definedName name="uurtarief7">Glas!$I$12</definedName>
    <definedName name="uurtarief8">Glas!$I$13</definedName>
    <definedName name="uurtarief9">Glas!$I$14</definedName>
    <definedName name="vp_additioneel">Totaal!$C$5</definedName>
    <definedName name="vp_regie">Totaal!$C$6</definedName>
    <definedName name="vp_regulier">Totaal!$C$4</definedName>
    <definedName name="vp_variant">Totaal!$C$12</definedName>
    <definedName name="vu_regulier">Totaal!$B$4</definedName>
    <definedName name="vu_variant">Totaal!$B$9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4" l="1"/>
  <c r="Q38" i="13"/>
  <c r="O38" i="13"/>
  <c r="N38" i="13"/>
  <c r="N37" i="13"/>
  <c r="N36" i="13"/>
  <c r="N35" i="13"/>
  <c r="N34" i="13"/>
  <c r="N33" i="13"/>
  <c r="N32" i="13"/>
  <c r="N31" i="13"/>
  <c r="N30" i="13"/>
  <c r="N29" i="13"/>
  <c r="N28" i="13"/>
  <c r="N27" i="13"/>
  <c r="N26" i="13"/>
  <c r="N25" i="13"/>
  <c r="N24" i="13"/>
  <c r="N23" i="13"/>
  <c r="N22" i="13"/>
  <c r="N20" i="13"/>
  <c r="N19" i="13"/>
  <c r="N18" i="13"/>
  <c r="N17" i="13"/>
  <c r="N16" i="13"/>
  <c r="N15" i="13"/>
  <c r="N14" i="13"/>
  <c r="N13" i="13"/>
  <c r="N12" i="13"/>
  <c r="N11" i="13"/>
  <c r="N10" i="13"/>
  <c r="N9" i="13"/>
  <c r="N8" i="13"/>
  <c r="N7" i="13"/>
  <c r="N6" i="13"/>
  <c r="N5" i="13"/>
  <c r="A1" i="13"/>
  <c r="J17" i="12"/>
  <c r="J16" i="12"/>
  <c r="J15" i="12"/>
  <c r="J14" i="12"/>
  <c r="J13" i="12"/>
  <c r="J12" i="12"/>
  <c r="J11" i="12"/>
  <c r="J10" i="12"/>
  <c r="J9" i="12"/>
  <c r="J8" i="12"/>
  <c r="J7" i="12"/>
  <c r="J6" i="12"/>
  <c r="A1" i="12"/>
  <c r="A1" i="11"/>
  <c r="A1" i="10"/>
  <c r="A1" i="9"/>
  <c r="B7" i="8"/>
  <c r="A1" i="8"/>
  <c r="A1" i="7"/>
  <c r="G46" i="6"/>
  <c r="G45" i="6"/>
  <c r="G44" i="6"/>
  <c r="G43" i="6"/>
  <c r="G42" i="6"/>
  <c r="G41" i="6"/>
  <c r="G40" i="6"/>
  <c r="G39" i="6"/>
  <c r="R384" i="5"/>
  <c r="P367" i="5"/>
  <c r="P358" i="5"/>
  <c r="P318" i="5"/>
  <c r="S304" i="5"/>
  <c r="P295" i="5"/>
  <c r="P284" i="5"/>
  <c r="P283" i="5"/>
  <c r="P277" i="5"/>
  <c r="P276" i="5"/>
  <c r="P275" i="5"/>
  <c r="P274" i="5"/>
  <c r="P270" i="5"/>
  <c r="P259" i="5"/>
  <c r="P258" i="5"/>
  <c r="P257" i="5"/>
  <c r="P255" i="5"/>
  <c r="P253" i="5"/>
  <c r="P245" i="5"/>
  <c r="P242" i="5"/>
  <c r="P241" i="5"/>
  <c r="P240" i="5"/>
  <c r="P239" i="5"/>
  <c r="P238" i="5"/>
  <c r="P237" i="5"/>
  <c r="P223" i="5"/>
  <c r="P200" i="5"/>
  <c r="P198" i="5"/>
  <c r="P173" i="5"/>
  <c r="P171" i="5"/>
  <c r="P165" i="5"/>
  <c r="P157" i="5"/>
  <c r="P145" i="5"/>
  <c r="P140" i="5"/>
  <c r="P131" i="5"/>
  <c r="P126" i="5"/>
  <c r="P103" i="5"/>
  <c r="P77" i="5"/>
  <c r="P70" i="5"/>
  <c r="P21" i="5"/>
  <c r="P20" i="5"/>
  <c r="P9" i="5"/>
  <c r="P8" i="5"/>
  <c r="P7" i="5"/>
  <c r="P6" i="5"/>
  <c r="A1" i="5"/>
  <c r="J50" i="4"/>
  <c r="L50" i="4" s="1"/>
  <c r="J46" i="4"/>
  <c r="L46" i="4" s="1"/>
  <c r="I42" i="4"/>
  <c r="G42" i="4"/>
  <c r="I41" i="4"/>
  <c r="G41" i="4"/>
  <c r="G40" i="4"/>
  <c r="J40" i="4" s="1"/>
  <c r="L40" i="4" s="1"/>
  <c r="I39" i="4"/>
  <c r="G39" i="4"/>
  <c r="I38" i="4"/>
  <c r="G38" i="4"/>
  <c r="G37" i="4"/>
  <c r="J37" i="4" s="1"/>
  <c r="L37" i="4" s="1"/>
  <c r="I36" i="4"/>
  <c r="G36" i="4"/>
  <c r="I35" i="4"/>
  <c r="G35" i="4"/>
  <c r="I34" i="4"/>
  <c r="G34" i="4"/>
  <c r="I33" i="4"/>
  <c r="G33" i="4"/>
  <c r="I32" i="4"/>
  <c r="G32" i="4"/>
  <c r="I31" i="4"/>
  <c r="G31" i="4"/>
  <c r="I30" i="4"/>
  <c r="G30" i="4"/>
  <c r="I29" i="4"/>
  <c r="G29" i="4"/>
  <c r="I28" i="4"/>
  <c r="G28" i="4"/>
  <c r="I27" i="4"/>
  <c r="G27" i="4"/>
  <c r="I26" i="4"/>
  <c r="G26" i="4"/>
  <c r="I25" i="4"/>
  <c r="G25" i="4"/>
  <c r="G24" i="4"/>
  <c r="I23" i="4"/>
  <c r="G23" i="4"/>
  <c r="I22" i="4"/>
  <c r="G22" i="4"/>
  <c r="I21" i="4"/>
  <c r="G21" i="4"/>
  <c r="I20" i="4"/>
  <c r="G20" i="4"/>
  <c r="J20" i="4" s="1"/>
  <c r="L20" i="4" s="1"/>
  <c r="M20" i="4" s="1"/>
  <c r="G19" i="4"/>
  <c r="I18" i="4"/>
  <c r="G18" i="4"/>
  <c r="J18" i="4" s="1"/>
  <c r="L18" i="4" s="1"/>
  <c r="M18" i="4" s="1"/>
  <c r="G17" i="4"/>
  <c r="I16" i="4"/>
  <c r="G16" i="4"/>
  <c r="I15" i="4"/>
  <c r="G15" i="4"/>
  <c r="I14" i="4"/>
  <c r="G14" i="4"/>
  <c r="I13" i="4"/>
  <c r="G13" i="4"/>
  <c r="I12" i="4"/>
  <c r="G12" i="4"/>
  <c r="I11" i="4"/>
  <c r="G11" i="4"/>
  <c r="I10" i="4"/>
  <c r="G10" i="4"/>
  <c r="I9" i="4"/>
  <c r="G9" i="4"/>
  <c r="I8" i="4"/>
  <c r="G8" i="4"/>
  <c r="I7" i="4"/>
  <c r="G7" i="4"/>
  <c r="I6" i="4"/>
  <c r="G6" i="4"/>
  <c r="A1" i="4"/>
  <c r="A1" i="3"/>
  <c r="A60" i="2"/>
  <c r="D59" i="2"/>
  <c r="B59" i="2"/>
  <c r="A58" i="2"/>
  <c r="A57" i="2"/>
  <c r="A52" i="2"/>
  <c r="A51" i="2"/>
  <c r="D50" i="2"/>
  <c r="B50" i="2"/>
  <c r="A49" i="2"/>
  <c r="A48" i="2"/>
  <c r="A47" i="2"/>
  <c r="P9" i="2"/>
  <c r="N9" i="2"/>
  <c r="L9" i="2"/>
  <c r="J9" i="2"/>
  <c r="H9" i="2"/>
  <c r="F9" i="2"/>
  <c r="D9" i="2"/>
  <c r="B9" i="2"/>
  <c r="B24" i="1"/>
  <c r="B23" i="1"/>
  <c r="B22" i="1"/>
  <c r="B21" i="1"/>
  <c r="B20" i="1"/>
  <c r="B19" i="1"/>
  <c r="B18" i="1"/>
  <c r="B17" i="1"/>
  <c r="B16" i="1"/>
  <c r="B15" i="1"/>
  <c r="B14" i="1"/>
  <c r="B13" i="1"/>
  <c r="C7" i="9" l="1"/>
  <c r="E40" i="6"/>
  <c r="E39" i="6"/>
  <c r="E35" i="6"/>
  <c r="E31" i="6"/>
  <c r="E30" i="6"/>
  <c r="E27" i="6"/>
  <c r="E26" i="6"/>
  <c r="E25" i="6"/>
  <c r="E23" i="6"/>
  <c r="E20" i="6"/>
  <c r="E19" i="6"/>
  <c r="E18" i="6"/>
  <c r="E15" i="6"/>
  <c r="E14" i="6"/>
  <c r="E13" i="6"/>
  <c r="E9" i="6"/>
  <c r="E8" i="6"/>
  <c r="E6" i="6"/>
  <c r="O370" i="5"/>
  <c r="O367" i="5"/>
  <c r="S367" i="5" s="1"/>
  <c r="U367" i="5" s="1"/>
  <c r="O348" i="5"/>
  <c r="O341" i="5"/>
  <c r="O311" i="5"/>
  <c r="O297" i="5"/>
  <c r="O295" i="5"/>
  <c r="S295" i="5" s="1"/>
  <c r="U295" i="5" s="1"/>
  <c r="O294" i="5"/>
  <c r="O293" i="5"/>
  <c r="O289" i="5"/>
  <c r="O288" i="5"/>
  <c r="O287" i="5"/>
  <c r="O286" i="5"/>
  <c r="O278" i="5"/>
  <c r="O274" i="5"/>
  <c r="S274" i="5" s="1"/>
  <c r="U274" i="5" s="1"/>
  <c r="O260" i="5"/>
  <c r="O257" i="5"/>
  <c r="S257" i="5" s="1"/>
  <c r="U257" i="5" s="1"/>
  <c r="O252" i="5"/>
  <c r="O251" i="5"/>
  <c r="O249" i="5"/>
  <c r="O248" i="5"/>
  <c r="O247" i="5"/>
  <c r="O246" i="5"/>
  <c r="O245" i="5"/>
  <c r="S245" i="5" s="1"/>
  <c r="U245" i="5" s="1"/>
  <c r="O231" i="5"/>
  <c r="O230" i="5"/>
  <c r="O229" i="5"/>
  <c r="O226" i="5"/>
  <c r="O225" i="5"/>
  <c r="O181" i="5"/>
  <c r="O179" i="5"/>
  <c r="O172" i="5"/>
  <c r="O171" i="5"/>
  <c r="S171" i="5" s="1"/>
  <c r="U171" i="5" s="1"/>
  <c r="O162" i="5"/>
  <c r="O161" i="5"/>
  <c r="O160" i="5"/>
  <c r="O157" i="5"/>
  <c r="S157" i="5" s="1"/>
  <c r="U157" i="5" s="1"/>
  <c r="O156" i="5"/>
  <c r="O154" i="5"/>
  <c r="O152" i="5"/>
  <c r="O150" i="5"/>
  <c r="O148" i="5"/>
  <c r="O146" i="5"/>
  <c r="O142" i="5"/>
  <c r="O141" i="5"/>
  <c r="O140" i="5"/>
  <c r="S140" i="5" s="1"/>
  <c r="U140" i="5" s="1"/>
  <c r="O136" i="5"/>
  <c r="O126" i="5"/>
  <c r="S126" i="5" s="1"/>
  <c r="U126" i="5" s="1"/>
  <c r="O124" i="5"/>
  <c r="O122" i="5"/>
  <c r="O120" i="5"/>
  <c r="O108" i="5"/>
  <c r="O104" i="5"/>
  <c r="O103" i="5"/>
  <c r="S103" i="5" s="1"/>
  <c r="U103" i="5" s="1"/>
  <c r="O77" i="5"/>
  <c r="S77" i="5" s="1"/>
  <c r="U77" i="5" s="1"/>
  <c r="O71" i="5"/>
  <c r="O70" i="5"/>
  <c r="S70" i="5" s="1"/>
  <c r="U70" i="5" s="1"/>
  <c r="O68" i="5"/>
  <c r="O66" i="5"/>
  <c r="O64" i="5"/>
  <c r="O53" i="5"/>
  <c r="O42" i="5"/>
  <c r="O37" i="5"/>
  <c r="O36" i="5"/>
  <c r="O34" i="5"/>
  <c r="O32" i="5"/>
  <c r="O30" i="5"/>
  <c r="O28" i="5"/>
  <c r="O27" i="5"/>
  <c r="O26" i="5"/>
  <c r="O24" i="5"/>
  <c r="O23" i="5"/>
  <c r="O22" i="5"/>
  <c r="O21" i="5"/>
  <c r="S21" i="5" s="1"/>
  <c r="U21" i="5" s="1"/>
  <c r="O20" i="5"/>
  <c r="S20" i="5" s="1"/>
  <c r="U20" i="5" s="1"/>
  <c r="O19" i="5"/>
  <c r="O17" i="5"/>
  <c r="O16" i="5"/>
  <c r="O15" i="5"/>
  <c r="O14" i="5"/>
  <c r="O13" i="5"/>
  <c r="O12" i="5"/>
  <c r="O11" i="5"/>
  <c r="O9" i="5"/>
  <c r="S9" i="5" s="1"/>
  <c r="U9" i="5" s="1"/>
  <c r="F45" i="4"/>
  <c r="J45" i="4" s="1"/>
  <c r="L45" i="4" s="1"/>
  <c r="F44" i="4"/>
  <c r="J44" i="4" s="1"/>
  <c r="L44" i="4" s="1"/>
  <c r="F39" i="4"/>
  <c r="F34" i="4"/>
  <c r="F33" i="4"/>
  <c r="F30" i="4"/>
  <c r="F29" i="4"/>
  <c r="F28" i="4"/>
  <c r="F26" i="4"/>
  <c r="F23" i="4"/>
  <c r="F22" i="4"/>
  <c r="F21" i="4"/>
  <c r="F16" i="4"/>
  <c r="F15" i="4"/>
  <c r="F14" i="4"/>
  <c r="F10" i="4"/>
  <c r="F9" i="4"/>
  <c r="F7" i="4"/>
  <c r="E37" i="6"/>
  <c r="E29" i="6"/>
  <c r="E28" i="6"/>
  <c r="E24" i="6"/>
  <c r="E22" i="6"/>
  <c r="E21" i="6"/>
  <c r="E12" i="6"/>
  <c r="E11" i="6"/>
  <c r="E10" i="6"/>
  <c r="E7" i="6"/>
  <c r="E5" i="6"/>
  <c r="O381" i="5"/>
  <c r="O380" i="5"/>
  <c r="O378" i="5"/>
  <c r="O377" i="5"/>
  <c r="O376" i="5"/>
  <c r="O375" i="5"/>
  <c r="O374" i="5"/>
  <c r="O373" i="5"/>
  <c r="O372" i="5"/>
  <c r="O371" i="5"/>
  <c r="O369" i="5"/>
  <c r="O368" i="5"/>
  <c r="O366" i="5"/>
  <c r="O365" i="5"/>
  <c r="O362" i="5"/>
  <c r="O359" i="5"/>
  <c r="O357" i="5"/>
  <c r="O356" i="5"/>
  <c r="O355" i="5"/>
  <c r="O354" i="5"/>
  <c r="O353" i="5"/>
  <c r="O352" i="5"/>
  <c r="O351" i="5"/>
  <c r="O350" i="5"/>
  <c r="O309" i="5"/>
  <c r="O308" i="5"/>
  <c r="O307" i="5"/>
  <c r="O306" i="5"/>
  <c r="O305" i="5"/>
  <c r="O304" i="5"/>
  <c r="O303" i="5"/>
  <c r="O302" i="5"/>
  <c r="O301" i="5"/>
  <c r="O300" i="5"/>
  <c r="O299" i="5"/>
  <c r="O298" i="5"/>
  <c r="O296" i="5"/>
  <c r="O292" i="5"/>
  <c r="O291" i="5"/>
  <c r="O290" i="5"/>
  <c r="O282" i="5"/>
  <c r="O281" i="5"/>
  <c r="O280" i="5"/>
  <c r="O279" i="5"/>
  <c r="O271" i="5"/>
  <c r="O232" i="5"/>
  <c r="O197" i="5"/>
  <c r="O195" i="5"/>
  <c r="O194" i="5"/>
  <c r="O193" i="5"/>
  <c r="O192" i="5"/>
  <c r="O191" i="5"/>
  <c r="O189" i="5"/>
  <c r="O188" i="5"/>
  <c r="O187" i="5"/>
  <c r="O186" i="5"/>
  <c r="O185" i="5"/>
  <c r="O184" i="5"/>
  <c r="O182" i="5"/>
  <c r="O180" i="5"/>
  <c r="O177" i="5"/>
  <c r="O176" i="5"/>
  <c r="O175" i="5"/>
  <c r="O174" i="5"/>
  <c r="O169" i="5"/>
  <c r="O168" i="5"/>
  <c r="O167" i="5"/>
  <c r="O163" i="5"/>
  <c r="O159" i="5"/>
  <c r="O158" i="5"/>
  <c r="O153" i="5"/>
  <c r="O151" i="5"/>
  <c r="O149" i="5"/>
  <c r="O127" i="5"/>
  <c r="O125" i="5"/>
  <c r="O123" i="5"/>
  <c r="O121" i="5"/>
  <c r="O118" i="5"/>
  <c r="O117" i="5"/>
  <c r="O116" i="5"/>
  <c r="O115" i="5"/>
  <c r="O114" i="5"/>
  <c r="O113" i="5"/>
  <c r="O112" i="5"/>
  <c r="O111" i="5"/>
  <c r="O110" i="5"/>
  <c r="O109" i="5"/>
  <c r="O82" i="5"/>
  <c r="O81" i="5"/>
  <c r="O80" i="5"/>
  <c r="O79" i="5"/>
  <c r="O78" i="5"/>
  <c r="O76" i="5"/>
  <c r="O75" i="5"/>
  <c r="O74" i="5"/>
  <c r="O73" i="5"/>
  <c r="O69" i="5"/>
  <c r="O67" i="5"/>
  <c r="O65" i="5"/>
  <c r="O62" i="5"/>
  <c r="O61" i="5"/>
  <c r="O60" i="5"/>
  <c r="O59" i="5"/>
  <c r="O58" i="5"/>
  <c r="O57" i="5"/>
  <c r="O56" i="5"/>
  <c r="O55" i="5"/>
  <c r="O54" i="5"/>
  <c r="O52" i="5"/>
  <c r="O51" i="5"/>
  <c r="O50" i="5"/>
  <c r="O49" i="5"/>
  <c r="O48" i="5"/>
  <c r="O47" i="5"/>
  <c r="O46" i="5"/>
  <c r="O45" i="5"/>
  <c r="O44" i="5"/>
  <c r="O43" i="5"/>
  <c r="O41" i="5"/>
  <c r="O40" i="5"/>
  <c r="O39" i="5"/>
  <c r="O38" i="5"/>
  <c r="O35" i="5"/>
  <c r="O33" i="5"/>
  <c r="O31" i="5"/>
  <c r="F42" i="4"/>
  <c r="F32" i="4"/>
  <c r="F31" i="4"/>
  <c r="F27" i="4"/>
  <c r="F25" i="4"/>
  <c r="F24" i="4"/>
  <c r="F13" i="4"/>
  <c r="F12" i="4"/>
  <c r="F11" i="4"/>
  <c r="F8" i="4"/>
  <c r="F6" i="4"/>
  <c r="E36" i="6"/>
  <c r="E34" i="6"/>
  <c r="O382" i="5"/>
  <c r="O361" i="5"/>
  <c r="O349" i="5"/>
  <c r="O320" i="5"/>
  <c r="O312" i="5"/>
  <c r="O269" i="5"/>
  <c r="O250" i="5"/>
  <c r="O244" i="5"/>
  <c r="O236" i="5"/>
  <c r="O217" i="5"/>
  <c r="O190" i="5"/>
  <c r="O166" i="5"/>
  <c r="O135" i="5"/>
  <c r="O134" i="5"/>
  <c r="F41" i="4"/>
  <c r="F38" i="4"/>
  <c r="F20" i="4"/>
  <c r="F18" i="4"/>
  <c r="E46" i="6"/>
  <c r="E17" i="6"/>
  <c r="E16" i="6"/>
  <c r="O273" i="5"/>
  <c r="O272" i="5"/>
  <c r="O233" i="5"/>
  <c r="O228" i="5"/>
  <c r="O227" i="5"/>
  <c r="O183" i="5"/>
  <c r="O178" i="5"/>
  <c r="O170" i="5"/>
  <c r="O139" i="5"/>
  <c r="O138" i="5"/>
  <c r="O137" i="5"/>
  <c r="O25" i="5"/>
  <c r="O6" i="5"/>
  <c r="S6" i="5" s="1"/>
  <c r="U6" i="5" s="1"/>
  <c r="F51" i="4"/>
  <c r="J51" i="4" s="1"/>
  <c r="L51" i="4" s="1"/>
  <c r="F40" i="4"/>
  <c r="F37" i="4"/>
  <c r="F19" i="4"/>
  <c r="F17" i="4"/>
  <c r="E44" i="6"/>
  <c r="E43" i="6"/>
  <c r="E33" i="6"/>
  <c r="E32" i="6"/>
  <c r="O276" i="5"/>
  <c r="S276" i="5" s="1"/>
  <c r="U276" i="5" s="1"/>
  <c r="O275" i="5"/>
  <c r="S275" i="5" s="1"/>
  <c r="U275" i="5" s="1"/>
  <c r="O258" i="5"/>
  <c r="S258" i="5" s="1"/>
  <c r="U258" i="5" s="1"/>
  <c r="O133" i="5"/>
  <c r="O132" i="5"/>
  <c r="O129" i="5"/>
  <c r="O10" i="5"/>
  <c r="F49" i="4"/>
  <c r="J49" i="4" s="1"/>
  <c r="L49" i="4" s="1"/>
  <c r="F48" i="4"/>
  <c r="J48" i="4" s="1"/>
  <c r="L48" i="4" s="1"/>
  <c r="F36" i="4"/>
  <c r="F35" i="4"/>
  <c r="E38" i="6"/>
  <c r="O5" i="5"/>
  <c r="S5" i="5" s="1"/>
  <c r="F43" i="4"/>
  <c r="J43" i="4" s="1"/>
  <c r="L43" i="4" s="1"/>
  <c r="K37" i="13"/>
  <c r="K36" i="13"/>
  <c r="K35" i="13"/>
  <c r="K34" i="13"/>
  <c r="K33" i="13"/>
  <c r="K32" i="13"/>
  <c r="K31" i="13"/>
  <c r="K30" i="13"/>
  <c r="K29" i="13"/>
  <c r="K28" i="13"/>
  <c r="K27" i="13"/>
  <c r="K26" i="13"/>
  <c r="K25" i="13"/>
  <c r="K24" i="13"/>
  <c r="K23" i="13"/>
  <c r="K22" i="13"/>
  <c r="K21" i="13"/>
  <c r="P21" i="13" s="1"/>
  <c r="R21" i="13" s="1"/>
  <c r="K20" i="13"/>
  <c r="K19" i="13"/>
  <c r="K18" i="13"/>
  <c r="K17" i="13"/>
  <c r="K16" i="13"/>
  <c r="K15" i="13"/>
  <c r="K14" i="13"/>
  <c r="K13" i="13"/>
  <c r="K12" i="13"/>
  <c r="K11" i="13"/>
  <c r="K10" i="13"/>
  <c r="K9" i="13"/>
  <c r="K8" i="13"/>
  <c r="K7" i="13"/>
  <c r="K6" i="13"/>
  <c r="K5" i="13"/>
  <c r="C17" i="12"/>
  <c r="K17" i="12" s="1"/>
  <c r="L17" i="12" s="1"/>
  <c r="C16" i="12"/>
  <c r="K16" i="12" s="1"/>
  <c r="L16" i="12" s="1"/>
  <c r="C15" i="12"/>
  <c r="K15" i="12" s="1"/>
  <c r="L15" i="12" s="1"/>
  <c r="C14" i="12"/>
  <c r="K14" i="12" s="1"/>
  <c r="L14" i="12" s="1"/>
  <c r="C13" i="12"/>
  <c r="K13" i="12" s="1"/>
  <c r="L13" i="12" s="1"/>
  <c r="C12" i="12"/>
  <c r="K12" i="12" s="1"/>
  <c r="L12" i="12" s="1"/>
  <c r="C11" i="12"/>
  <c r="K11" i="12" s="1"/>
  <c r="L11" i="12" s="1"/>
  <c r="C10" i="12"/>
  <c r="K10" i="12" s="1"/>
  <c r="L10" i="12" s="1"/>
  <c r="C9" i="12"/>
  <c r="K9" i="12" s="1"/>
  <c r="L9" i="12" s="1"/>
  <c r="C8" i="12"/>
  <c r="K8" i="12" s="1"/>
  <c r="L8" i="12" s="1"/>
  <c r="C7" i="12"/>
  <c r="K7" i="12" s="1"/>
  <c r="L7" i="12" s="1"/>
  <c r="C6" i="12"/>
  <c r="K6" i="12" s="1"/>
  <c r="C7" i="11"/>
  <c r="C6" i="11"/>
  <c r="C6" i="9"/>
  <c r="E45" i="6"/>
  <c r="E42" i="6"/>
  <c r="E41" i="6"/>
  <c r="O358" i="5"/>
  <c r="O318" i="5"/>
  <c r="O284" i="5"/>
  <c r="O283" i="5"/>
  <c r="O277" i="5"/>
  <c r="O270" i="5"/>
  <c r="O259" i="5"/>
  <c r="O255" i="5"/>
  <c r="O253" i="5"/>
  <c r="O242" i="5"/>
  <c r="O241" i="5"/>
  <c r="O240" i="5"/>
  <c r="O239" i="5"/>
  <c r="S239" i="5" s="1"/>
  <c r="U239" i="5" s="1"/>
  <c r="O238" i="5"/>
  <c r="O237" i="5"/>
  <c r="O223" i="5"/>
  <c r="O200" i="5"/>
  <c r="O198" i="5"/>
  <c r="O173" i="5"/>
  <c r="O165" i="5"/>
  <c r="O145" i="5"/>
  <c r="O131" i="5"/>
  <c r="O8" i="5"/>
  <c r="O7" i="5"/>
  <c r="F50" i="4"/>
  <c r="F47" i="4"/>
  <c r="J47" i="4" s="1"/>
  <c r="L47" i="4" s="1"/>
  <c r="F46" i="4"/>
  <c r="C11" i="2"/>
  <c r="C10" i="2"/>
  <c r="B12" i="2" s="1"/>
  <c r="E11" i="2"/>
  <c r="E10" i="2"/>
  <c r="D12" i="2" s="1"/>
  <c r="G11" i="2"/>
  <c r="G10" i="2"/>
  <c r="F12" i="2" s="1"/>
  <c r="I11" i="2"/>
  <c r="I10" i="2"/>
  <c r="H12" i="2" s="1"/>
  <c r="K11" i="2"/>
  <c r="K10" i="2"/>
  <c r="J12" i="2" s="1"/>
  <c r="M11" i="2"/>
  <c r="M10" i="2"/>
  <c r="L12" i="2" s="1"/>
  <c r="O11" i="2"/>
  <c r="O10" i="2"/>
  <c r="N12" i="2" s="1"/>
  <c r="Q11" i="2"/>
  <c r="Q10" i="2"/>
  <c r="P12" i="2" s="1"/>
  <c r="G5" i="6"/>
  <c r="P127" i="5"/>
  <c r="S127" i="5" s="1"/>
  <c r="U127" i="5" s="1"/>
  <c r="P78" i="5"/>
  <c r="S78" i="5" s="1"/>
  <c r="U78" i="5" s="1"/>
  <c r="J6" i="4"/>
  <c r="H5" i="6"/>
  <c r="R127" i="5"/>
  <c r="T127" i="5" s="1"/>
  <c r="R78" i="5"/>
  <c r="T78" i="5" s="1"/>
  <c r="K6" i="4"/>
  <c r="G6" i="6"/>
  <c r="P71" i="5"/>
  <c r="S71" i="5" s="1"/>
  <c r="U71" i="5" s="1"/>
  <c r="J7" i="4"/>
  <c r="L7" i="4" s="1"/>
  <c r="M7" i="4" s="1"/>
  <c r="H6" i="6"/>
  <c r="R71" i="5"/>
  <c r="T71" i="5" s="1"/>
  <c r="K7" i="4"/>
  <c r="G7" i="6"/>
  <c r="P380" i="5"/>
  <c r="S380" i="5" s="1"/>
  <c r="U380" i="5" s="1"/>
  <c r="P378" i="5"/>
  <c r="S378" i="5" s="1"/>
  <c r="U378" i="5" s="1"/>
  <c r="P376" i="5"/>
  <c r="S376" i="5" s="1"/>
  <c r="U376" i="5" s="1"/>
  <c r="P375" i="5"/>
  <c r="S375" i="5" s="1"/>
  <c r="U375" i="5" s="1"/>
  <c r="P374" i="5"/>
  <c r="S374" i="5" s="1"/>
  <c r="U374" i="5" s="1"/>
  <c r="P372" i="5"/>
  <c r="S372" i="5" s="1"/>
  <c r="U372" i="5" s="1"/>
  <c r="P371" i="5"/>
  <c r="S371" i="5" s="1"/>
  <c r="U371" i="5" s="1"/>
  <c r="P369" i="5"/>
  <c r="S369" i="5" s="1"/>
  <c r="U369" i="5" s="1"/>
  <c r="P366" i="5"/>
  <c r="S366" i="5" s="1"/>
  <c r="U366" i="5" s="1"/>
  <c r="P365" i="5"/>
  <c r="S365" i="5" s="1"/>
  <c r="U365" i="5" s="1"/>
  <c r="P356" i="5"/>
  <c r="S356" i="5" s="1"/>
  <c r="U356" i="5" s="1"/>
  <c r="P354" i="5"/>
  <c r="S354" i="5" s="1"/>
  <c r="U354" i="5" s="1"/>
  <c r="P352" i="5"/>
  <c r="S352" i="5" s="1"/>
  <c r="U352" i="5" s="1"/>
  <c r="P351" i="5"/>
  <c r="S351" i="5" s="1"/>
  <c r="U351" i="5" s="1"/>
  <c r="P350" i="5"/>
  <c r="S350" i="5" s="1"/>
  <c r="U350" i="5" s="1"/>
  <c r="P309" i="5"/>
  <c r="S309" i="5" s="1"/>
  <c r="U309" i="5" s="1"/>
  <c r="P307" i="5"/>
  <c r="S307" i="5" s="1"/>
  <c r="U307" i="5" s="1"/>
  <c r="P303" i="5"/>
  <c r="S303" i="5" s="1"/>
  <c r="U303" i="5" s="1"/>
  <c r="P302" i="5"/>
  <c r="S302" i="5" s="1"/>
  <c r="U302" i="5" s="1"/>
  <c r="P301" i="5"/>
  <c r="S301" i="5" s="1"/>
  <c r="U301" i="5" s="1"/>
  <c r="P300" i="5"/>
  <c r="S300" i="5" s="1"/>
  <c r="U300" i="5" s="1"/>
  <c r="P298" i="5"/>
  <c r="S298" i="5" s="1"/>
  <c r="U298" i="5" s="1"/>
  <c r="P197" i="5"/>
  <c r="S197" i="5" s="1"/>
  <c r="U197" i="5" s="1"/>
  <c r="P195" i="5"/>
  <c r="S195" i="5" s="1"/>
  <c r="U195" i="5" s="1"/>
  <c r="P193" i="5"/>
  <c r="S193" i="5" s="1"/>
  <c r="U193" i="5" s="1"/>
  <c r="P192" i="5"/>
  <c r="S192" i="5" s="1"/>
  <c r="U192" i="5" s="1"/>
  <c r="P189" i="5"/>
  <c r="S189" i="5" s="1"/>
  <c r="U189" i="5" s="1"/>
  <c r="P187" i="5"/>
  <c r="S187" i="5" s="1"/>
  <c r="U187" i="5" s="1"/>
  <c r="P185" i="5"/>
  <c r="S185" i="5" s="1"/>
  <c r="U185" i="5" s="1"/>
  <c r="P184" i="5"/>
  <c r="S184" i="5" s="1"/>
  <c r="U184" i="5" s="1"/>
  <c r="P177" i="5"/>
  <c r="S177" i="5" s="1"/>
  <c r="U177" i="5" s="1"/>
  <c r="P169" i="5"/>
  <c r="S169" i="5" s="1"/>
  <c r="U169" i="5" s="1"/>
  <c r="P168" i="5"/>
  <c r="S168" i="5" s="1"/>
  <c r="U168" i="5" s="1"/>
  <c r="P163" i="5"/>
  <c r="S163" i="5" s="1"/>
  <c r="U163" i="5" s="1"/>
  <c r="P159" i="5"/>
  <c r="S159" i="5" s="1"/>
  <c r="U159" i="5" s="1"/>
  <c r="P118" i="5"/>
  <c r="S118" i="5" s="1"/>
  <c r="U118" i="5" s="1"/>
  <c r="P117" i="5"/>
  <c r="S117" i="5" s="1"/>
  <c r="U117" i="5" s="1"/>
  <c r="P116" i="5"/>
  <c r="S116" i="5" s="1"/>
  <c r="U116" i="5" s="1"/>
  <c r="P115" i="5"/>
  <c r="S115" i="5" s="1"/>
  <c r="U115" i="5" s="1"/>
  <c r="P114" i="5"/>
  <c r="S114" i="5" s="1"/>
  <c r="U114" i="5" s="1"/>
  <c r="P113" i="5"/>
  <c r="S113" i="5" s="1"/>
  <c r="U113" i="5" s="1"/>
  <c r="P112" i="5"/>
  <c r="S112" i="5" s="1"/>
  <c r="U112" i="5" s="1"/>
  <c r="P81" i="5"/>
  <c r="S81" i="5" s="1"/>
  <c r="U81" i="5" s="1"/>
  <c r="P80" i="5"/>
  <c r="S80" i="5" s="1"/>
  <c r="U80" i="5" s="1"/>
  <c r="P79" i="5"/>
  <c r="S79" i="5" s="1"/>
  <c r="U79" i="5" s="1"/>
  <c r="P75" i="5"/>
  <c r="S75" i="5" s="1"/>
  <c r="U75" i="5" s="1"/>
  <c r="P73" i="5"/>
  <c r="S73" i="5" s="1"/>
  <c r="U73" i="5" s="1"/>
  <c r="P62" i="5"/>
  <c r="S62" i="5" s="1"/>
  <c r="U62" i="5" s="1"/>
  <c r="P61" i="5"/>
  <c r="S61" i="5" s="1"/>
  <c r="U61" i="5" s="1"/>
  <c r="P60" i="5"/>
  <c r="S60" i="5" s="1"/>
  <c r="U60" i="5" s="1"/>
  <c r="P59" i="5"/>
  <c r="S59" i="5" s="1"/>
  <c r="U59" i="5" s="1"/>
  <c r="P58" i="5"/>
  <c r="S58" i="5" s="1"/>
  <c r="U58" i="5" s="1"/>
  <c r="P57" i="5"/>
  <c r="S57" i="5" s="1"/>
  <c r="U57" i="5" s="1"/>
  <c r="P56" i="5"/>
  <c r="S56" i="5" s="1"/>
  <c r="U56" i="5" s="1"/>
  <c r="P55" i="5"/>
  <c r="S55" i="5" s="1"/>
  <c r="U55" i="5" s="1"/>
  <c r="P50" i="5"/>
  <c r="S50" i="5" s="1"/>
  <c r="U50" i="5" s="1"/>
  <c r="P49" i="5"/>
  <c r="S49" i="5" s="1"/>
  <c r="U49" i="5" s="1"/>
  <c r="P48" i="5"/>
  <c r="S48" i="5" s="1"/>
  <c r="U48" i="5" s="1"/>
  <c r="P47" i="5"/>
  <c r="S47" i="5" s="1"/>
  <c r="U47" i="5" s="1"/>
  <c r="P45" i="5"/>
  <c r="S45" i="5" s="1"/>
  <c r="U45" i="5" s="1"/>
  <c r="P44" i="5"/>
  <c r="S44" i="5" s="1"/>
  <c r="U44" i="5" s="1"/>
  <c r="P43" i="5"/>
  <c r="S43" i="5" s="1"/>
  <c r="U43" i="5" s="1"/>
  <c r="J8" i="4"/>
  <c r="L8" i="4" s="1"/>
  <c r="M8" i="4" s="1"/>
  <c r="H7" i="6"/>
  <c r="R380" i="5"/>
  <c r="T380" i="5" s="1"/>
  <c r="R378" i="5"/>
  <c r="T378" i="5" s="1"/>
  <c r="R376" i="5"/>
  <c r="T376" i="5" s="1"/>
  <c r="R375" i="5"/>
  <c r="T375" i="5" s="1"/>
  <c r="R374" i="5"/>
  <c r="T374" i="5" s="1"/>
  <c r="R372" i="5"/>
  <c r="T372" i="5" s="1"/>
  <c r="R371" i="5"/>
  <c r="T371" i="5" s="1"/>
  <c r="R369" i="5"/>
  <c r="T369" i="5" s="1"/>
  <c r="R366" i="5"/>
  <c r="T366" i="5" s="1"/>
  <c r="R365" i="5"/>
  <c r="T365" i="5" s="1"/>
  <c r="R356" i="5"/>
  <c r="T356" i="5" s="1"/>
  <c r="R354" i="5"/>
  <c r="T354" i="5" s="1"/>
  <c r="R352" i="5"/>
  <c r="T352" i="5" s="1"/>
  <c r="R351" i="5"/>
  <c r="T351" i="5" s="1"/>
  <c r="R350" i="5"/>
  <c r="T350" i="5" s="1"/>
  <c r="R309" i="5"/>
  <c r="T309" i="5" s="1"/>
  <c r="R307" i="5"/>
  <c r="T307" i="5" s="1"/>
  <c r="R303" i="5"/>
  <c r="T303" i="5" s="1"/>
  <c r="R302" i="5"/>
  <c r="T302" i="5" s="1"/>
  <c r="R301" i="5"/>
  <c r="T301" i="5" s="1"/>
  <c r="R300" i="5"/>
  <c r="T300" i="5" s="1"/>
  <c r="R298" i="5"/>
  <c r="T298" i="5" s="1"/>
  <c r="R197" i="5"/>
  <c r="T197" i="5" s="1"/>
  <c r="R195" i="5"/>
  <c r="T195" i="5" s="1"/>
  <c r="R193" i="5"/>
  <c r="T193" i="5" s="1"/>
  <c r="R192" i="5"/>
  <c r="T192" i="5" s="1"/>
  <c r="R189" i="5"/>
  <c r="T189" i="5" s="1"/>
  <c r="R187" i="5"/>
  <c r="T187" i="5" s="1"/>
  <c r="R185" i="5"/>
  <c r="T185" i="5" s="1"/>
  <c r="R184" i="5"/>
  <c r="T184" i="5" s="1"/>
  <c r="R177" i="5"/>
  <c r="T177" i="5" s="1"/>
  <c r="R169" i="5"/>
  <c r="T169" i="5" s="1"/>
  <c r="R168" i="5"/>
  <c r="T168" i="5" s="1"/>
  <c r="R163" i="5"/>
  <c r="T163" i="5" s="1"/>
  <c r="R159" i="5"/>
  <c r="T159" i="5" s="1"/>
  <c r="R118" i="5"/>
  <c r="T118" i="5" s="1"/>
  <c r="R117" i="5"/>
  <c r="T117" i="5" s="1"/>
  <c r="R116" i="5"/>
  <c r="T116" i="5" s="1"/>
  <c r="R115" i="5"/>
  <c r="T115" i="5" s="1"/>
  <c r="R114" i="5"/>
  <c r="T114" i="5" s="1"/>
  <c r="R113" i="5"/>
  <c r="T113" i="5" s="1"/>
  <c r="R112" i="5"/>
  <c r="T112" i="5" s="1"/>
  <c r="R81" i="5"/>
  <c r="T81" i="5" s="1"/>
  <c r="R80" i="5"/>
  <c r="T80" i="5" s="1"/>
  <c r="R79" i="5"/>
  <c r="T79" i="5" s="1"/>
  <c r="R75" i="5"/>
  <c r="T75" i="5" s="1"/>
  <c r="R73" i="5"/>
  <c r="T73" i="5" s="1"/>
  <c r="R62" i="5"/>
  <c r="T62" i="5" s="1"/>
  <c r="R61" i="5"/>
  <c r="T61" i="5" s="1"/>
  <c r="R60" i="5"/>
  <c r="T60" i="5" s="1"/>
  <c r="R59" i="5"/>
  <c r="T59" i="5" s="1"/>
  <c r="R58" i="5"/>
  <c r="T58" i="5" s="1"/>
  <c r="R57" i="5"/>
  <c r="T57" i="5" s="1"/>
  <c r="R56" i="5"/>
  <c r="T56" i="5" s="1"/>
  <c r="R55" i="5"/>
  <c r="T55" i="5" s="1"/>
  <c r="R50" i="5"/>
  <c r="T50" i="5" s="1"/>
  <c r="R49" i="5"/>
  <c r="T49" i="5" s="1"/>
  <c r="R48" i="5"/>
  <c r="T48" i="5" s="1"/>
  <c r="R47" i="5"/>
  <c r="T47" i="5" s="1"/>
  <c r="R45" i="5"/>
  <c r="T45" i="5" s="1"/>
  <c r="R44" i="5"/>
  <c r="T44" i="5" s="1"/>
  <c r="R43" i="5"/>
  <c r="T43" i="5" s="1"/>
  <c r="K8" i="4"/>
  <c r="G8" i="6"/>
  <c r="P294" i="5"/>
  <c r="S294" i="5" s="1"/>
  <c r="U294" i="5" s="1"/>
  <c r="P293" i="5"/>
  <c r="S293" i="5" s="1"/>
  <c r="U293" i="5" s="1"/>
  <c r="P288" i="5"/>
  <c r="S288" i="5" s="1"/>
  <c r="U288" i="5" s="1"/>
  <c r="P287" i="5"/>
  <c r="S287" i="5" s="1"/>
  <c r="U287" i="5" s="1"/>
  <c r="P23" i="5"/>
  <c r="S23" i="5" s="1"/>
  <c r="U23" i="5" s="1"/>
  <c r="J9" i="4"/>
  <c r="L9" i="4" s="1"/>
  <c r="M9" i="4" s="1"/>
  <c r="H8" i="6"/>
  <c r="R294" i="5"/>
  <c r="T294" i="5" s="1"/>
  <c r="R293" i="5"/>
  <c r="T293" i="5" s="1"/>
  <c r="R288" i="5"/>
  <c r="T288" i="5" s="1"/>
  <c r="R287" i="5"/>
  <c r="T287" i="5" s="1"/>
  <c r="R23" i="5"/>
  <c r="T23" i="5" s="1"/>
  <c r="K9" i="4"/>
  <c r="G9" i="6"/>
  <c r="P154" i="5"/>
  <c r="S154" i="5" s="1"/>
  <c r="U154" i="5" s="1"/>
  <c r="P146" i="5"/>
  <c r="S146" i="5" s="1"/>
  <c r="U146" i="5" s="1"/>
  <c r="J10" i="4"/>
  <c r="L10" i="4" s="1"/>
  <c r="M10" i="4" s="1"/>
  <c r="H9" i="6"/>
  <c r="R154" i="5"/>
  <c r="T154" i="5" s="1"/>
  <c r="R146" i="5"/>
  <c r="T146" i="5" s="1"/>
  <c r="K10" i="4"/>
  <c r="G10" i="6"/>
  <c r="P290" i="5"/>
  <c r="S290" i="5" s="1"/>
  <c r="U290" i="5" s="1"/>
  <c r="P281" i="5"/>
  <c r="S281" i="5" s="1"/>
  <c r="U281" i="5" s="1"/>
  <c r="P280" i="5"/>
  <c r="S280" i="5" s="1"/>
  <c r="U280" i="5" s="1"/>
  <c r="J11" i="4"/>
  <c r="L11" i="4" s="1"/>
  <c r="M11" i="4" s="1"/>
  <c r="H10" i="6"/>
  <c r="R290" i="5"/>
  <c r="T290" i="5" s="1"/>
  <c r="R281" i="5"/>
  <c r="T281" i="5" s="1"/>
  <c r="R280" i="5"/>
  <c r="T280" i="5" s="1"/>
  <c r="K11" i="4"/>
  <c r="G11" i="6"/>
  <c r="P292" i="5"/>
  <c r="S292" i="5" s="1"/>
  <c r="U292" i="5" s="1"/>
  <c r="P291" i="5"/>
  <c r="S291" i="5" s="1"/>
  <c r="U291" i="5" s="1"/>
  <c r="J12" i="4"/>
  <c r="L12" i="4" s="1"/>
  <c r="M12" i="4" s="1"/>
  <c r="H11" i="6"/>
  <c r="R292" i="5"/>
  <c r="T292" i="5" s="1"/>
  <c r="R291" i="5"/>
  <c r="T291" i="5" s="1"/>
  <c r="K12" i="4"/>
  <c r="G12" i="6"/>
  <c r="P377" i="5"/>
  <c r="S377" i="5" s="1"/>
  <c r="U377" i="5" s="1"/>
  <c r="P373" i="5"/>
  <c r="S373" i="5" s="1"/>
  <c r="U373" i="5" s="1"/>
  <c r="P357" i="5"/>
  <c r="S357" i="5" s="1"/>
  <c r="U357" i="5" s="1"/>
  <c r="P353" i="5"/>
  <c r="S353" i="5" s="1"/>
  <c r="U353" i="5" s="1"/>
  <c r="P308" i="5"/>
  <c r="S308" i="5" s="1"/>
  <c r="U308" i="5" s="1"/>
  <c r="P306" i="5"/>
  <c r="S306" i="5" s="1"/>
  <c r="U306" i="5" s="1"/>
  <c r="P305" i="5"/>
  <c r="S305" i="5" s="1"/>
  <c r="U305" i="5" s="1"/>
  <c r="P299" i="5"/>
  <c r="S299" i="5" s="1"/>
  <c r="U299" i="5" s="1"/>
  <c r="P194" i="5"/>
  <c r="S194" i="5" s="1"/>
  <c r="U194" i="5" s="1"/>
  <c r="P191" i="5"/>
  <c r="S191" i="5" s="1"/>
  <c r="U191" i="5" s="1"/>
  <c r="P186" i="5"/>
  <c r="S186" i="5" s="1"/>
  <c r="U186" i="5" s="1"/>
  <c r="P176" i="5"/>
  <c r="S176" i="5" s="1"/>
  <c r="U176" i="5" s="1"/>
  <c r="P174" i="5"/>
  <c r="S174" i="5" s="1"/>
  <c r="U174" i="5" s="1"/>
  <c r="P111" i="5"/>
  <c r="S111" i="5" s="1"/>
  <c r="U111" i="5" s="1"/>
  <c r="P110" i="5"/>
  <c r="S110" i="5" s="1"/>
  <c r="U110" i="5" s="1"/>
  <c r="P76" i="5"/>
  <c r="S76" i="5" s="1"/>
  <c r="U76" i="5" s="1"/>
  <c r="P41" i="5"/>
  <c r="S41" i="5" s="1"/>
  <c r="U41" i="5" s="1"/>
  <c r="P40" i="5"/>
  <c r="S40" i="5" s="1"/>
  <c r="U40" i="5" s="1"/>
  <c r="P38" i="5"/>
  <c r="S38" i="5" s="1"/>
  <c r="U38" i="5" s="1"/>
  <c r="J13" i="4"/>
  <c r="L13" i="4" s="1"/>
  <c r="M13" i="4" s="1"/>
  <c r="H12" i="6"/>
  <c r="R377" i="5"/>
  <c r="T377" i="5" s="1"/>
  <c r="R373" i="5"/>
  <c r="T373" i="5" s="1"/>
  <c r="R357" i="5"/>
  <c r="T357" i="5" s="1"/>
  <c r="R353" i="5"/>
  <c r="T353" i="5" s="1"/>
  <c r="R308" i="5"/>
  <c r="T308" i="5" s="1"/>
  <c r="R306" i="5"/>
  <c r="T306" i="5" s="1"/>
  <c r="R305" i="5"/>
  <c r="T305" i="5" s="1"/>
  <c r="R299" i="5"/>
  <c r="T299" i="5" s="1"/>
  <c r="R194" i="5"/>
  <c r="T194" i="5" s="1"/>
  <c r="R191" i="5"/>
  <c r="T191" i="5" s="1"/>
  <c r="R186" i="5"/>
  <c r="T186" i="5" s="1"/>
  <c r="R176" i="5"/>
  <c r="T176" i="5" s="1"/>
  <c r="R174" i="5"/>
  <c r="T174" i="5" s="1"/>
  <c r="R111" i="5"/>
  <c r="T111" i="5" s="1"/>
  <c r="R110" i="5"/>
  <c r="T110" i="5" s="1"/>
  <c r="R76" i="5"/>
  <c r="T76" i="5" s="1"/>
  <c r="R41" i="5"/>
  <c r="T41" i="5" s="1"/>
  <c r="R40" i="5"/>
  <c r="T40" i="5" s="1"/>
  <c r="R38" i="5"/>
  <c r="T38" i="5" s="1"/>
  <c r="K13" i="4"/>
  <c r="G13" i="6"/>
  <c r="P289" i="5"/>
  <c r="S289" i="5" s="1"/>
  <c r="U289" i="5" s="1"/>
  <c r="P252" i="5"/>
  <c r="S252" i="5" s="1"/>
  <c r="U252" i="5" s="1"/>
  <c r="P251" i="5"/>
  <c r="S251" i="5" s="1"/>
  <c r="U251" i="5" s="1"/>
  <c r="P249" i="5"/>
  <c r="S249" i="5" s="1"/>
  <c r="U249" i="5" s="1"/>
  <c r="P248" i="5"/>
  <c r="S248" i="5" s="1"/>
  <c r="U248" i="5" s="1"/>
  <c r="P247" i="5"/>
  <c r="S247" i="5" s="1"/>
  <c r="U247" i="5" s="1"/>
  <c r="P162" i="5"/>
  <c r="S162" i="5" s="1"/>
  <c r="U162" i="5" s="1"/>
  <c r="P161" i="5"/>
  <c r="S161" i="5" s="1"/>
  <c r="U161" i="5" s="1"/>
  <c r="P160" i="5"/>
  <c r="S160" i="5" s="1"/>
  <c r="U160" i="5" s="1"/>
  <c r="P42" i="5"/>
  <c r="S42" i="5" s="1"/>
  <c r="U42" i="5" s="1"/>
  <c r="P37" i="5"/>
  <c r="S37" i="5" s="1"/>
  <c r="U37" i="5" s="1"/>
  <c r="P36" i="5"/>
  <c r="S36" i="5" s="1"/>
  <c r="U36" i="5" s="1"/>
  <c r="P28" i="5"/>
  <c r="S28" i="5" s="1"/>
  <c r="U28" i="5" s="1"/>
  <c r="P27" i="5"/>
  <c r="S27" i="5" s="1"/>
  <c r="U27" i="5" s="1"/>
  <c r="P26" i="5"/>
  <c r="S26" i="5" s="1"/>
  <c r="U26" i="5" s="1"/>
  <c r="J14" i="4"/>
  <c r="L14" i="4" s="1"/>
  <c r="M14" i="4" s="1"/>
  <c r="H13" i="6"/>
  <c r="R289" i="5"/>
  <c r="T289" i="5" s="1"/>
  <c r="R252" i="5"/>
  <c r="T252" i="5" s="1"/>
  <c r="R251" i="5"/>
  <c r="T251" i="5" s="1"/>
  <c r="R249" i="5"/>
  <c r="T249" i="5" s="1"/>
  <c r="R248" i="5"/>
  <c r="T248" i="5" s="1"/>
  <c r="R247" i="5"/>
  <c r="T247" i="5" s="1"/>
  <c r="R162" i="5"/>
  <c r="T162" i="5" s="1"/>
  <c r="R161" i="5"/>
  <c r="T161" i="5" s="1"/>
  <c r="R160" i="5"/>
  <c r="T160" i="5" s="1"/>
  <c r="R42" i="5"/>
  <c r="T42" i="5" s="1"/>
  <c r="R37" i="5"/>
  <c r="T37" i="5" s="1"/>
  <c r="R36" i="5"/>
  <c r="T36" i="5" s="1"/>
  <c r="R28" i="5"/>
  <c r="T28" i="5" s="1"/>
  <c r="R27" i="5"/>
  <c r="T27" i="5" s="1"/>
  <c r="R26" i="5"/>
  <c r="T26" i="5" s="1"/>
  <c r="K14" i="4"/>
  <c r="G14" i="6"/>
  <c r="P172" i="5"/>
  <c r="S172" i="5" s="1"/>
  <c r="U172" i="5" s="1"/>
  <c r="P108" i="5"/>
  <c r="S108" i="5" s="1"/>
  <c r="U108" i="5" s="1"/>
  <c r="J15" i="4"/>
  <c r="L15" i="4" s="1"/>
  <c r="M15" i="4" s="1"/>
  <c r="H14" i="6"/>
  <c r="R172" i="5"/>
  <c r="T172" i="5" s="1"/>
  <c r="R108" i="5"/>
  <c r="T108" i="5" s="1"/>
  <c r="K15" i="4"/>
  <c r="G15" i="6"/>
  <c r="P278" i="5"/>
  <c r="S278" i="5" s="1"/>
  <c r="U278" i="5" s="1"/>
  <c r="P260" i="5"/>
  <c r="S260" i="5" s="1"/>
  <c r="U260" i="5" s="1"/>
  <c r="J16" i="4"/>
  <c r="L16" i="4" s="1"/>
  <c r="M16" i="4" s="1"/>
  <c r="H15" i="6"/>
  <c r="R278" i="5"/>
  <c r="T278" i="5" s="1"/>
  <c r="R260" i="5"/>
  <c r="T260" i="5" s="1"/>
  <c r="K16" i="4"/>
  <c r="G16" i="6"/>
  <c r="P273" i="5"/>
  <c r="S273" i="5" s="1"/>
  <c r="U273" i="5" s="1"/>
  <c r="P272" i="5"/>
  <c r="S272" i="5" s="1"/>
  <c r="U272" i="5" s="1"/>
  <c r="P233" i="5"/>
  <c r="S233" i="5" s="1"/>
  <c r="U233" i="5" s="1"/>
  <c r="P228" i="5"/>
  <c r="S228" i="5" s="1"/>
  <c r="U228" i="5" s="1"/>
  <c r="P227" i="5"/>
  <c r="S227" i="5" s="1"/>
  <c r="U227" i="5" s="1"/>
  <c r="P183" i="5"/>
  <c r="S183" i="5" s="1"/>
  <c r="U183" i="5" s="1"/>
  <c r="P178" i="5"/>
  <c r="S178" i="5" s="1"/>
  <c r="U178" i="5" s="1"/>
  <c r="P170" i="5"/>
  <c r="S170" i="5" s="1"/>
  <c r="U170" i="5" s="1"/>
  <c r="P139" i="5"/>
  <c r="S139" i="5" s="1"/>
  <c r="U139" i="5" s="1"/>
  <c r="P138" i="5"/>
  <c r="S138" i="5" s="1"/>
  <c r="U138" i="5" s="1"/>
  <c r="P137" i="5"/>
  <c r="S137" i="5" s="1"/>
  <c r="U137" i="5" s="1"/>
  <c r="J17" i="4"/>
  <c r="L17" i="4" s="1"/>
  <c r="K18" i="4"/>
  <c r="G17" i="6"/>
  <c r="P25" i="5"/>
  <c r="S25" i="5" s="1"/>
  <c r="U25" i="5" s="1"/>
  <c r="J19" i="4"/>
  <c r="L19" i="4" s="1"/>
  <c r="K20" i="4"/>
  <c r="G18" i="6"/>
  <c r="P230" i="5"/>
  <c r="S230" i="5" s="1"/>
  <c r="U230" i="5" s="1"/>
  <c r="P229" i="5"/>
  <c r="S229" i="5" s="1"/>
  <c r="U229" i="5" s="1"/>
  <c r="P13" i="5"/>
  <c r="S13" i="5" s="1"/>
  <c r="U13" i="5" s="1"/>
  <c r="P12" i="5"/>
  <c r="S12" i="5" s="1"/>
  <c r="U12" i="5" s="1"/>
  <c r="J21" i="4"/>
  <c r="L21" i="4" s="1"/>
  <c r="M21" i="4" s="1"/>
  <c r="H18" i="6"/>
  <c r="R230" i="5"/>
  <c r="T230" i="5" s="1"/>
  <c r="R229" i="5"/>
  <c r="T229" i="5" s="1"/>
  <c r="R13" i="5"/>
  <c r="T13" i="5" s="1"/>
  <c r="R12" i="5"/>
  <c r="T12" i="5" s="1"/>
  <c r="K21" i="4"/>
  <c r="G19" i="6"/>
  <c r="P11" i="5"/>
  <c r="S11" i="5" s="1"/>
  <c r="U11" i="5" s="1"/>
  <c r="J22" i="4"/>
  <c r="L22" i="4" s="1"/>
  <c r="M22" i="4" s="1"/>
  <c r="H19" i="6"/>
  <c r="R11" i="5"/>
  <c r="T11" i="5" s="1"/>
  <c r="K22" i="4"/>
  <c r="G20" i="6"/>
  <c r="P231" i="5"/>
  <c r="S231" i="5" s="1"/>
  <c r="U231" i="5" s="1"/>
  <c r="P181" i="5"/>
  <c r="S181" i="5" s="1"/>
  <c r="U181" i="5" s="1"/>
  <c r="P179" i="5"/>
  <c r="S179" i="5" s="1"/>
  <c r="U179" i="5" s="1"/>
  <c r="P152" i="5"/>
  <c r="S152" i="5" s="1"/>
  <c r="U152" i="5" s="1"/>
  <c r="P150" i="5"/>
  <c r="S150" i="5" s="1"/>
  <c r="U150" i="5" s="1"/>
  <c r="P148" i="5"/>
  <c r="S148" i="5" s="1"/>
  <c r="U148" i="5" s="1"/>
  <c r="P124" i="5"/>
  <c r="S124" i="5" s="1"/>
  <c r="U124" i="5" s="1"/>
  <c r="P122" i="5"/>
  <c r="S122" i="5" s="1"/>
  <c r="U122" i="5" s="1"/>
  <c r="P120" i="5"/>
  <c r="S120" i="5" s="1"/>
  <c r="U120" i="5" s="1"/>
  <c r="P68" i="5"/>
  <c r="S68" i="5" s="1"/>
  <c r="U68" i="5" s="1"/>
  <c r="P66" i="5"/>
  <c r="S66" i="5" s="1"/>
  <c r="U66" i="5" s="1"/>
  <c r="P64" i="5"/>
  <c r="S64" i="5" s="1"/>
  <c r="U64" i="5" s="1"/>
  <c r="P34" i="5"/>
  <c r="S34" i="5" s="1"/>
  <c r="U34" i="5" s="1"/>
  <c r="P32" i="5"/>
  <c r="S32" i="5" s="1"/>
  <c r="U32" i="5" s="1"/>
  <c r="P30" i="5"/>
  <c r="S30" i="5" s="1"/>
  <c r="U30" i="5" s="1"/>
  <c r="J23" i="4"/>
  <c r="L23" i="4" s="1"/>
  <c r="M23" i="4" s="1"/>
  <c r="H20" i="6"/>
  <c r="R231" i="5"/>
  <c r="T231" i="5" s="1"/>
  <c r="R181" i="5"/>
  <c r="T181" i="5" s="1"/>
  <c r="R179" i="5"/>
  <c r="T179" i="5" s="1"/>
  <c r="R152" i="5"/>
  <c r="T152" i="5" s="1"/>
  <c r="R150" i="5"/>
  <c r="T150" i="5" s="1"/>
  <c r="R148" i="5"/>
  <c r="T148" i="5" s="1"/>
  <c r="R124" i="5"/>
  <c r="T124" i="5" s="1"/>
  <c r="R122" i="5"/>
  <c r="T122" i="5" s="1"/>
  <c r="R120" i="5"/>
  <c r="T120" i="5" s="1"/>
  <c r="R68" i="5"/>
  <c r="T68" i="5" s="1"/>
  <c r="R66" i="5"/>
  <c r="T66" i="5" s="1"/>
  <c r="R64" i="5"/>
  <c r="T64" i="5" s="1"/>
  <c r="R34" i="5"/>
  <c r="T34" i="5" s="1"/>
  <c r="R32" i="5"/>
  <c r="T32" i="5" s="1"/>
  <c r="R30" i="5"/>
  <c r="T30" i="5" s="1"/>
  <c r="K23" i="4"/>
  <c r="G21" i="6"/>
  <c r="P232" i="5"/>
  <c r="S232" i="5" s="1"/>
  <c r="U232" i="5" s="1"/>
  <c r="P182" i="5"/>
  <c r="S182" i="5" s="1"/>
  <c r="U182" i="5" s="1"/>
  <c r="P180" i="5"/>
  <c r="S180" i="5" s="1"/>
  <c r="U180" i="5" s="1"/>
  <c r="P153" i="5"/>
  <c r="S153" i="5" s="1"/>
  <c r="U153" i="5" s="1"/>
  <c r="P151" i="5"/>
  <c r="S151" i="5" s="1"/>
  <c r="U151" i="5" s="1"/>
  <c r="P149" i="5"/>
  <c r="S149" i="5" s="1"/>
  <c r="U149" i="5" s="1"/>
  <c r="P125" i="5"/>
  <c r="S125" i="5" s="1"/>
  <c r="U125" i="5" s="1"/>
  <c r="P123" i="5"/>
  <c r="S123" i="5" s="1"/>
  <c r="U123" i="5" s="1"/>
  <c r="P121" i="5"/>
  <c r="S121" i="5" s="1"/>
  <c r="U121" i="5" s="1"/>
  <c r="P69" i="5"/>
  <c r="S69" i="5" s="1"/>
  <c r="U69" i="5" s="1"/>
  <c r="P67" i="5"/>
  <c r="S67" i="5" s="1"/>
  <c r="U67" i="5" s="1"/>
  <c r="P65" i="5"/>
  <c r="S65" i="5" s="1"/>
  <c r="U65" i="5" s="1"/>
  <c r="P35" i="5"/>
  <c r="S35" i="5" s="1"/>
  <c r="U35" i="5" s="1"/>
  <c r="P33" i="5"/>
  <c r="S33" i="5" s="1"/>
  <c r="U33" i="5" s="1"/>
  <c r="P31" i="5"/>
  <c r="S31" i="5" s="1"/>
  <c r="U31" i="5" s="1"/>
  <c r="J24" i="4"/>
  <c r="L24" i="4" s="1"/>
  <c r="G22" i="6"/>
  <c r="P381" i="5"/>
  <c r="S381" i="5" s="1"/>
  <c r="U381" i="5" s="1"/>
  <c r="P271" i="5"/>
  <c r="S271" i="5" s="1"/>
  <c r="U271" i="5" s="1"/>
  <c r="P82" i="5"/>
  <c r="S82" i="5" s="1"/>
  <c r="U82" i="5" s="1"/>
  <c r="J25" i="4"/>
  <c r="L25" i="4" s="1"/>
  <c r="M25" i="4" s="1"/>
  <c r="H22" i="6"/>
  <c r="R381" i="5"/>
  <c r="T381" i="5" s="1"/>
  <c r="R271" i="5"/>
  <c r="T271" i="5" s="1"/>
  <c r="R82" i="5"/>
  <c r="T82" i="5" s="1"/>
  <c r="K25" i="4"/>
  <c r="G23" i="6"/>
  <c r="P348" i="5"/>
  <c r="S348" i="5" s="1"/>
  <c r="U348" i="5" s="1"/>
  <c r="P311" i="5"/>
  <c r="S311" i="5" s="1"/>
  <c r="U311" i="5" s="1"/>
  <c r="P226" i="5"/>
  <c r="S226" i="5" s="1"/>
  <c r="U226" i="5" s="1"/>
  <c r="P142" i="5"/>
  <c r="S142" i="5" s="1"/>
  <c r="U142" i="5" s="1"/>
  <c r="P141" i="5"/>
  <c r="S141" i="5" s="1"/>
  <c r="U141" i="5" s="1"/>
  <c r="P136" i="5"/>
  <c r="S136" i="5" s="1"/>
  <c r="U136" i="5" s="1"/>
  <c r="P104" i="5"/>
  <c r="S104" i="5" s="1"/>
  <c r="U104" i="5" s="1"/>
  <c r="P53" i="5"/>
  <c r="S53" i="5" s="1"/>
  <c r="U53" i="5" s="1"/>
  <c r="P15" i="5"/>
  <c r="S15" i="5" s="1"/>
  <c r="U15" i="5" s="1"/>
  <c r="P14" i="5"/>
  <c r="S14" i="5" s="1"/>
  <c r="U14" i="5" s="1"/>
  <c r="J26" i="4"/>
  <c r="L26" i="4" s="1"/>
  <c r="M26" i="4" s="1"/>
  <c r="H23" i="6"/>
  <c r="R348" i="5"/>
  <c r="T348" i="5" s="1"/>
  <c r="R311" i="5"/>
  <c r="T311" i="5" s="1"/>
  <c r="R226" i="5"/>
  <c r="T226" i="5" s="1"/>
  <c r="R142" i="5"/>
  <c r="T142" i="5" s="1"/>
  <c r="R141" i="5"/>
  <c r="T141" i="5" s="1"/>
  <c r="R136" i="5"/>
  <c r="T136" i="5" s="1"/>
  <c r="R104" i="5"/>
  <c r="T104" i="5" s="1"/>
  <c r="R53" i="5"/>
  <c r="T53" i="5" s="1"/>
  <c r="R15" i="5"/>
  <c r="T15" i="5" s="1"/>
  <c r="R14" i="5"/>
  <c r="T14" i="5" s="1"/>
  <c r="K26" i="4"/>
  <c r="G24" i="6"/>
  <c r="P359" i="5"/>
  <c r="S359" i="5" s="1"/>
  <c r="U359" i="5" s="1"/>
  <c r="P51" i="5"/>
  <c r="S51" i="5" s="1"/>
  <c r="U51" i="5" s="1"/>
  <c r="P46" i="5"/>
  <c r="S46" i="5" s="1"/>
  <c r="U46" i="5" s="1"/>
  <c r="P39" i="5"/>
  <c r="S39" i="5" s="1"/>
  <c r="U39" i="5" s="1"/>
  <c r="J27" i="4"/>
  <c r="L27" i="4" s="1"/>
  <c r="M27" i="4" s="1"/>
  <c r="H24" i="6"/>
  <c r="R359" i="5"/>
  <c r="T359" i="5" s="1"/>
  <c r="R51" i="5"/>
  <c r="T51" i="5" s="1"/>
  <c r="R46" i="5"/>
  <c r="T46" i="5" s="1"/>
  <c r="R39" i="5"/>
  <c r="T39" i="5" s="1"/>
  <c r="K27" i="4"/>
  <c r="G25" i="6"/>
  <c r="P156" i="5"/>
  <c r="S156" i="5" s="1"/>
  <c r="U156" i="5" s="1"/>
  <c r="P24" i="5"/>
  <c r="S24" i="5" s="1"/>
  <c r="U24" i="5" s="1"/>
  <c r="J28" i="4"/>
  <c r="L28" i="4" s="1"/>
  <c r="M28" i="4" s="1"/>
  <c r="H25" i="6"/>
  <c r="R156" i="5"/>
  <c r="T156" i="5" s="1"/>
  <c r="R24" i="5"/>
  <c r="T24" i="5" s="1"/>
  <c r="K28" i="4"/>
  <c r="G26" i="6"/>
  <c r="P370" i="5"/>
  <c r="S370" i="5" s="1"/>
  <c r="U370" i="5" s="1"/>
  <c r="P341" i="5"/>
  <c r="S341" i="5" s="1"/>
  <c r="U341" i="5" s="1"/>
  <c r="P297" i="5"/>
  <c r="S297" i="5" s="1"/>
  <c r="U297" i="5" s="1"/>
  <c r="J29" i="4"/>
  <c r="L29" i="4" s="1"/>
  <c r="M29" i="4" s="1"/>
  <c r="H26" i="6"/>
  <c r="R370" i="5"/>
  <c r="T370" i="5" s="1"/>
  <c r="R341" i="5"/>
  <c r="T341" i="5" s="1"/>
  <c r="R297" i="5"/>
  <c r="T297" i="5" s="1"/>
  <c r="K29" i="4"/>
  <c r="G27" i="6"/>
  <c r="P22" i="5"/>
  <c r="S22" i="5" s="1"/>
  <c r="U22" i="5" s="1"/>
  <c r="J30" i="4"/>
  <c r="L30" i="4" s="1"/>
  <c r="M30" i="4" s="1"/>
  <c r="H27" i="6"/>
  <c r="R22" i="5"/>
  <c r="T22" i="5" s="1"/>
  <c r="K30" i="4"/>
  <c r="G28" i="6"/>
  <c r="P52" i="5"/>
  <c r="S52" i="5" s="1"/>
  <c r="U52" i="5" s="1"/>
  <c r="J31" i="4"/>
  <c r="L31" i="4" s="1"/>
  <c r="M31" i="4" s="1"/>
  <c r="H28" i="6"/>
  <c r="R52" i="5"/>
  <c r="T52" i="5" s="1"/>
  <c r="K31" i="4"/>
  <c r="G29" i="6"/>
  <c r="P368" i="5"/>
  <c r="S368" i="5" s="1"/>
  <c r="U368" i="5" s="1"/>
  <c r="P362" i="5"/>
  <c r="S362" i="5" s="1"/>
  <c r="U362" i="5" s="1"/>
  <c r="P355" i="5"/>
  <c r="S355" i="5" s="1"/>
  <c r="U355" i="5" s="1"/>
  <c r="P296" i="5"/>
  <c r="S296" i="5" s="1"/>
  <c r="U296" i="5" s="1"/>
  <c r="P279" i="5"/>
  <c r="S279" i="5" s="1"/>
  <c r="U279" i="5" s="1"/>
  <c r="P188" i="5"/>
  <c r="S188" i="5" s="1"/>
  <c r="U188" i="5" s="1"/>
  <c r="P175" i="5"/>
  <c r="S175" i="5" s="1"/>
  <c r="U175" i="5" s="1"/>
  <c r="P167" i="5"/>
  <c r="S167" i="5" s="1"/>
  <c r="U167" i="5" s="1"/>
  <c r="P158" i="5"/>
  <c r="S158" i="5" s="1"/>
  <c r="U158" i="5" s="1"/>
  <c r="P109" i="5"/>
  <c r="S109" i="5" s="1"/>
  <c r="U109" i="5" s="1"/>
  <c r="P74" i="5"/>
  <c r="S74" i="5" s="1"/>
  <c r="U74" i="5" s="1"/>
  <c r="P54" i="5"/>
  <c r="S54" i="5" s="1"/>
  <c r="U54" i="5" s="1"/>
  <c r="J32" i="4"/>
  <c r="L32" i="4" s="1"/>
  <c r="M32" i="4" s="1"/>
  <c r="H29" i="6"/>
  <c r="R368" i="5"/>
  <c r="T368" i="5" s="1"/>
  <c r="R362" i="5"/>
  <c r="T362" i="5" s="1"/>
  <c r="R355" i="5"/>
  <c r="T355" i="5" s="1"/>
  <c r="R296" i="5"/>
  <c r="T296" i="5" s="1"/>
  <c r="R279" i="5"/>
  <c r="T279" i="5" s="1"/>
  <c r="R188" i="5"/>
  <c r="T188" i="5" s="1"/>
  <c r="R175" i="5"/>
  <c r="T175" i="5" s="1"/>
  <c r="R167" i="5"/>
  <c r="T167" i="5" s="1"/>
  <c r="R158" i="5"/>
  <c r="T158" i="5" s="1"/>
  <c r="R109" i="5"/>
  <c r="T109" i="5" s="1"/>
  <c r="R74" i="5"/>
  <c r="T74" i="5" s="1"/>
  <c r="R54" i="5"/>
  <c r="T54" i="5" s="1"/>
  <c r="K32" i="4"/>
  <c r="G30" i="6"/>
  <c r="P286" i="5"/>
  <c r="S286" i="5" s="1"/>
  <c r="U286" i="5" s="1"/>
  <c r="P246" i="5"/>
  <c r="S246" i="5" s="1"/>
  <c r="U246" i="5" s="1"/>
  <c r="J33" i="4"/>
  <c r="L33" i="4" s="1"/>
  <c r="M33" i="4" s="1"/>
  <c r="H30" i="6"/>
  <c r="R286" i="5"/>
  <c r="T286" i="5" s="1"/>
  <c r="R246" i="5"/>
  <c r="T246" i="5" s="1"/>
  <c r="K33" i="4"/>
  <c r="G31" i="6"/>
  <c r="P225" i="5"/>
  <c r="S225" i="5" s="1"/>
  <c r="U225" i="5" s="1"/>
  <c r="P19" i="5"/>
  <c r="S19" i="5" s="1"/>
  <c r="U19" i="5" s="1"/>
  <c r="P16" i="5"/>
  <c r="S16" i="5" s="1"/>
  <c r="U16" i="5" s="1"/>
  <c r="J34" i="4"/>
  <c r="L34" i="4" s="1"/>
  <c r="M34" i="4" s="1"/>
  <c r="H31" i="6"/>
  <c r="R225" i="5"/>
  <c r="T225" i="5" s="1"/>
  <c r="R19" i="5"/>
  <c r="T19" i="5" s="1"/>
  <c r="R16" i="5"/>
  <c r="T16" i="5" s="1"/>
  <c r="K34" i="4"/>
  <c r="G32" i="6"/>
  <c r="P132" i="5"/>
  <c r="S132" i="5" s="1"/>
  <c r="U132" i="5" s="1"/>
  <c r="P129" i="5"/>
  <c r="S129" i="5" s="1"/>
  <c r="U129" i="5" s="1"/>
  <c r="P10" i="5"/>
  <c r="S10" i="5" s="1"/>
  <c r="U10" i="5" s="1"/>
  <c r="J35" i="4"/>
  <c r="L35" i="4" s="1"/>
  <c r="M35" i="4" s="1"/>
  <c r="H32" i="6"/>
  <c r="R132" i="5"/>
  <c r="T132" i="5" s="1"/>
  <c r="R129" i="5"/>
  <c r="T129" i="5" s="1"/>
  <c r="R10" i="5"/>
  <c r="T10" i="5" s="1"/>
  <c r="K35" i="4"/>
  <c r="G33" i="6"/>
  <c r="P133" i="5"/>
  <c r="S133" i="5" s="1"/>
  <c r="U133" i="5" s="1"/>
  <c r="J36" i="4"/>
  <c r="L36" i="4" s="1"/>
  <c r="M36" i="4" s="1"/>
  <c r="H33" i="6"/>
  <c r="R133" i="5"/>
  <c r="T133" i="5" s="1"/>
  <c r="K36" i="4"/>
  <c r="G34" i="6"/>
  <c r="P236" i="5"/>
  <c r="S236" i="5" s="1"/>
  <c r="U236" i="5" s="1"/>
  <c r="J38" i="4"/>
  <c r="L38" i="4" s="1"/>
  <c r="M38" i="4" s="1"/>
  <c r="H34" i="6"/>
  <c r="R236" i="5"/>
  <c r="T236" i="5" s="1"/>
  <c r="K38" i="4"/>
  <c r="G35" i="6"/>
  <c r="P17" i="5"/>
  <c r="S17" i="5" s="1"/>
  <c r="U17" i="5" s="1"/>
  <c r="J39" i="4"/>
  <c r="L39" i="4" s="1"/>
  <c r="M39" i="4" s="1"/>
  <c r="H35" i="6"/>
  <c r="R17" i="5"/>
  <c r="T17" i="5" s="1"/>
  <c r="K39" i="4"/>
  <c r="G36" i="6"/>
  <c r="P382" i="5"/>
  <c r="S382" i="5" s="1"/>
  <c r="U382" i="5" s="1"/>
  <c r="P361" i="5"/>
  <c r="S361" i="5" s="1"/>
  <c r="U361" i="5" s="1"/>
  <c r="P349" i="5"/>
  <c r="S349" i="5" s="1"/>
  <c r="U349" i="5" s="1"/>
  <c r="P320" i="5"/>
  <c r="S320" i="5" s="1"/>
  <c r="U320" i="5" s="1"/>
  <c r="P312" i="5"/>
  <c r="S312" i="5" s="1"/>
  <c r="U312" i="5" s="1"/>
  <c r="P269" i="5"/>
  <c r="S269" i="5" s="1"/>
  <c r="U269" i="5" s="1"/>
  <c r="P250" i="5"/>
  <c r="S250" i="5" s="1"/>
  <c r="U250" i="5" s="1"/>
  <c r="P244" i="5"/>
  <c r="S244" i="5" s="1"/>
  <c r="U244" i="5" s="1"/>
  <c r="P217" i="5"/>
  <c r="S217" i="5" s="1"/>
  <c r="U217" i="5" s="1"/>
  <c r="P190" i="5"/>
  <c r="S190" i="5" s="1"/>
  <c r="U190" i="5" s="1"/>
  <c r="P166" i="5"/>
  <c r="S166" i="5" s="1"/>
  <c r="U166" i="5" s="1"/>
  <c r="P135" i="5"/>
  <c r="S135" i="5" s="1"/>
  <c r="U135" i="5" s="1"/>
  <c r="P134" i="5"/>
  <c r="S134" i="5" s="1"/>
  <c r="U134" i="5" s="1"/>
  <c r="J41" i="4"/>
  <c r="L41" i="4" s="1"/>
  <c r="M41" i="4" s="1"/>
  <c r="H36" i="6"/>
  <c r="R382" i="5"/>
  <c r="T382" i="5" s="1"/>
  <c r="R361" i="5"/>
  <c r="T361" i="5" s="1"/>
  <c r="R349" i="5"/>
  <c r="T349" i="5" s="1"/>
  <c r="R320" i="5"/>
  <c r="T320" i="5" s="1"/>
  <c r="R312" i="5"/>
  <c r="T312" i="5" s="1"/>
  <c r="R269" i="5"/>
  <c r="T269" i="5" s="1"/>
  <c r="R250" i="5"/>
  <c r="T250" i="5" s="1"/>
  <c r="R244" i="5"/>
  <c r="T244" i="5" s="1"/>
  <c r="R217" i="5"/>
  <c r="T217" i="5" s="1"/>
  <c r="R190" i="5"/>
  <c r="T190" i="5" s="1"/>
  <c r="R166" i="5"/>
  <c r="T166" i="5" s="1"/>
  <c r="R135" i="5"/>
  <c r="T135" i="5" s="1"/>
  <c r="R134" i="5"/>
  <c r="T134" i="5" s="1"/>
  <c r="K41" i="4"/>
  <c r="G37" i="6"/>
  <c r="P282" i="5"/>
  <c r="S282" i="5" s="1"/>
  <c r="U282" i="5" s="1"/>
  <c r="J42" i="4"/>
  <c r="L42" i="4" s="1"/>
  <c r="M42" i="4" s="1"/>
  <c r="H37" i="6"/>
  <c r="R282" i="5"/>
  <c r="T282" i="5" s="1"/>
  <c r="K42" i="4"/>
  <c r="S7" i="5"/>
  <c r="U7" i="5" s="1"/>
  <c r="S8" i="5"/>
  <c r="U8" i="5" s="1"/>
  <c r="S131" i="5"/>
  <c r="U131" i="5" s="1"/>
  <c r="S145" i="5"/>
  <c r="U145" i="5" s="1"/>
  <c r="S165" i="5"/>
  <c r="U165" i="5" s="1"/>
  <c r="S173" i="5"/>
  <c r="U173" i="5" s="1"/>
  <c r="S198" i="5"/>
  <c r="U198" i="5" s="1"/>
  <c r="S200" i="5"/>
  <c r="U200" i="5" s="1"/>
  <c r="S223" i="5"/>
  <c r="U223" i="5" s="1"/>
  <c r="S237" i="5"/>
  <c r="U237" i="5" s="1"/>
  <c r="S238" i="5"/>
  <c r="U238" i="5" s="1"/>
  <c r="S240" i="5"/>
  <c r="U240" i="5" s="1"/>
  <c r="S241" i="5"/>
  <c r="U241" i="5" s="1"/>
  <c r="S242" i="5"/>
  <c r="U242" i="5" s="1"/>
  <c r="S253" i="5"/>
  <c r="U253" i="5" s="1"/>
  <c r="S255" i="5"/>
  <c r="U255" i="5" s="1"/>
  <c r="S259" i="5"/>
  <c r="U259" i="5" s="1"/>
  <c r="S270" i="5"/>
  <c r="U270" i="5" s="1"/>
  <c r="S277" i="5"/>
  <c r="U277" i="5" s="1"/>
  <c r="S283" i="5"/>
  <c r="U283" i="5" s="1"/>
  <c r="S284" i="5"/>
  <c r="U284" i="5" s="1"/>
  <c r="U304" i="5"/>
  <c r="V304" i="5" s="1"/>
  <c r="T304" i="5"/>
  <c r="S318" i="5"/>
  <c r="U318" i="5" s="1"/>
  <c r="S358" i="5"/>
  <c r="U358" i="5" s="1"/>
  <c r="P5" i="13"/>
  <c r="P6" i="13"/>
  <c r="R6" i="13" s="1"/>
  <c r="P7" i="13"/>
  <c r="R7" i="13" s="1"/>
  <c r="P8" i="13"/>
  <c r="R8" i="13" s="1"/>
  <c r="P9" i="13"/>
  <c r="R9" i="13" s="1"/>
  <c r="P10" i="13"/>
  <c r="R10" i="13" s="1"/>
  <c r="P11" i="13"/>
  <c r="R11" i="13" s="1"/>
  <c r="P12" i="13"/>
  <c r="R12" i="13" s="1"/>
  <c r="P13" i="13"/>
  <c r="R13" i="13" s="1"/>
  <c r="P14" i="13"/>
  <c r="R14" i="13" s="1"/>
  <c r="P15" i="13"/>
  <c r="R15" i="13" s="1"/>
  <c r="P16" i="13"/>
  <c r="R16" i="13" s="1"/>
  <c r="P17" i="13"/>
  <c r="R17" i="13" s="1"/>
  <c r="P18" i="13"/>
  <c r="R18" i="13" s="1"/>
  <c r="P19" i="13"/>
  <c r="R19" i="13" s="1"/>
  <c r="P20" i="13"/>
  <c r="R20" i="13" s="1"/>
  <c r="P22" i="13"/>
  <c r="R22" i="13" s="1"/>
  <c r="P23" i="13"/>
  <c r="R23" i="13" s="1"/>
  <c r="P24" i="13"/>
  <c r="R24" i="13" s="1"/>
  <c r="P25" i="13"/>
  <c r="R25" i="13" s="1"/>
  <c r="P26" i="13"/>
  <c r="R26" i="13" s="1"/>
  <c r="P27" i="13"/>
  <c r="R27" i="13" s="1"/>
  <c r="P28" i="13"/>
  <c r="R28" i="13" s="1"/>
  <c r="P29" i="13"/>
  <c r="R29" i="13" s="1"/>
  <c r="P30" i="13"/>
  <c r="R30" i="13" s="1"/>
  <c r="P31" i="13"/>
  <c r="R31" i="13" s="1"/>
  <c r="P32" i="13"/>
  <c r="R32" i="13" s="1"/>
  <c r="P33" i="13"/>
  <c r="R33" i="13" s="1"/>
  <c r="P34" i="13"/>
  <c r="R34" i="13" s="1"/>
  <c r="P35" i="13"/>
  <c r="R35" i="13" s="1"/>
  <c r="P36" i="13"/>
  <c r="R36" i="13" s="1"/>
  <c r="P37" i="13"/>
  <c r="R37" i="13" s="1"/>
  <c r="P38" i="13" l="1"/>
  <c r="R5" i="13"/>
  <c r="R38" i="13" s="1"/>
  <c r="V282" i="5"/>
  <c r="V134" i="5"/>
  <c r="V135" i="5"/>
  <c r="V166" i="5"/>
  <c r="V190" i="5"/>
  <c r="V217" i="5"/>
  <c r="V244" i="5"/>
  <c r="V250" i="5"/>
  <c r="V269" i="5"/>
  <c r="V312" i="5"/>
  <c r="V320" i="5"/>
  <c r="V349" i="5"/>
  <c r="V361" i="5"/>
  <c r="V382" i="5"/>
  <c r="V17" i="5"/>
  <c r="V236" i="5"/>
  <c r="V133" i="5"/>
  <c r="V10" i="5"/>
  <c r="V129" i="5"/>
  <c r="V132" i="5"/>
  <c r="V16" i="5"/>
  <c r="V19" i="5"/>
  <c r="V225" i="5"/>
  <c r="V246" i="5"/>
  <c r="V286" i="5"/>
  <c r="V54" i="5"/>
  <c r="V74" i="5"/>
  <c r="V109" i="5"/>
  <c r="V158" i="5"/>
  <c r="V167" i="5"/>
  <c r="V175" i="5"/>
  <c r="V188" i="5"/>
  <c r="V279" i="5"/>
  <c r="V296" i="5"/>
  <c r="V355" i="5"/>
  <c r="V362" i="5"/>
  <c r="V368" i="5"/>
  <c r="V52" i="5"/>
  <c r="V22" i="5"/>
  <c r="V297" i="5"/>
  <c r="V341" i="5"/>
  <c r="V370" i="5"/>
  <c r="V24" i="5"/>
  <c r="V156" i="5"/>
  <c r="V39" i="5"/>
  <c r="V46" i="5"/>
  <c r="V51" i="5"/>
  <c r="V359" i="5"/>
  <c r="V14" i="5"/>
  <c r="V15" i="5"/>
  <c r="V53" i="5"/>
  <c r="V104" i="5"/>
  <c r="V136" i="5"/>
  <c r="V141" i="5"/>
  <c r="V142" i="5"/>
  <c r="V226" i="5"/>
  <c r="V311" i="5"/>
  <c r="V348" i="5"/>
  <c r="V82" i="5"/>
  <c r="V271" i="5"/>
  <c r="V381" i="5"/>
  <c r="V30" i="5"/>
  <c r="V32" i="5"/>
  <c r="V34" i="5"/>
  <c r="V64" i="5"/>
  <c r="V66" i="5"/>
  <c r="V68" i="5"/>
  <c r="V120" i="5"/>
  <c r="V122" i="5"/>
  <c r="V124" i="5"/>
  <c r="V148" i="5"/>
  <c r="V150" i="5"/>
  <c r="V152" i="5"/>
  <c r="V179" i="5"/>
  <c r="V181" i="5"/>
  <c r="V231" i="5"/>
  <c r="V11" i="5"/>
  <c r="V12" i="5"/>
  <c r="V13" i="5"/>
  <c r="V229" i="5"/>
  <c r="V230" i="5"/>
  <c r="V260" i="5"/>
  <c r="V278" i="5"/>
  <c r="V108" i="5"/>
  <c r="V172" i="5"/>
  <c r="V26" i="5"/>
  <c r="V27" i="5"/>
  <c r="V28" i="5"/>
  <c r="V36" i="5"/>
  <c r="V37" i="5"/>
  <c r="V42" i="5"/>
  <c r="V160" i="5"/>
  <c r="V161" i="5"/>
  <c r="V162" i="5"/>
  <c r="V247" i="5"/>
  <c r="V248" i="5"/>
  <c r="V249" i="5"/>
  <c r="V251" i="5"/>
  <c r="V252" i="5"/>
  <c r="V289" i="5"/>
  <c r="V38" i="5"/>
  <c r="V40" i="5"/>
  <c r="V41" i="5"/>
  <c r="V76" i="5"/>
  <c r="V110" i="5"/>
  <c r="V111" i="5"/>
  <c r="V174" i="5"/>
  <c r="V176" i="5"/>
  <c r="V186" i="5"/>
  <c r="V191" i="5"/>
  <c r="V194" i="5"/>
  <c r="V299" i="5"/>
  <c r="V305" i="5"/>
  <c r="V306" i="5"/>
  <c r="V308" i="5"/>
  <c r="V353" i="5"/>
  <c r="V357" i="5"/>
  <c r="V373" i="5"/>
  <c r="V377" i="5"/>
  <c r="V291" i="5"/>
  <c r="V292" i="5"/>
  <c r="V280" i="5"/>
  <c r="V281" i="5"/>
  <c r="V290" i="5"/>
  <c r="V146" i="5"/>
  <c r="V154" i="5"/>
  <c r="V23" i="5"/>
  <c r="V287" i="5"/>
  <c r="V288" i="5"/>
  <c r="V293" i="5"/>
  <c r="V294" i="5"/>
  <c r="V43" i="5"/>
  <c r="V44" i="5"/>
  <c r="V45" i="5"/>
  <c r="V47" i="5"/>
  <c r="V48" i="5"/>
  <c r="V49" i="5"/>
  <c r="V50" i="5"/>
  <c r="V55" i="5"/>
  <c r="V56" i="5"/>
  <c r="V57" i="5"/>
  <c r="V58" i="5"/>
  <c r="V59" i="5"/>
  <c r="V60" i="5"/>
  <c r="V61" i="5"/>
  <c r="V62" i="5"/>
  <c r="V73" i="5"/>
  <c r="V75" i="5"/>
  <c r="V79" i="5"/>
  <c r="V80" i="5"/>
  <c r="V81" i="5"/>
  <c r="V112" i="5"/>
  <c r="V113" i="5"/>
  <c r="V114" i="5"/>
  <c r="V115" i="5"/>
  <c r="V116" i="5"/>
  <c r="V117" i="5"/>
  <c r="V118" i="5"/>
  <c r="V159" i="5"/>
  <c r="V163" i="5"/>
  <c r="V168" i="5"/>
  <c r="V169" i="5"/>
  <c r="V177" i="5"/>
  <c r="V184" i="5"/>
  <c r="V185" i="5"/>
  <c r="V187" i="5"/>
  <c r="V189" i="5"/>
  <c r="V192" i="5"/>
  <c r="V193" i="5"/>
  <c r="V195" i="5"/>
  <c r="V197" i="5"/>
  <c r="V298" i="5"/>
  <c r="V300" i="5"/>
  <c r="V301" i="5"/>
  <c r="V302" i="5"/>
  <c r="V303" i="5"/>
  <c r="V307" i="5"/>
  <c r="V309" i="5"/>
  <c r="V350" i="5"/>
  <c r="V351" i="5"/>
  <c r="V352" i="5"/>
  <c r="V354" i="5"/>
  <c r="V356" i="5"/>
  <c r="V365" i="5"/>
  <c r="V366" i="5"/>
  <c r="V369" i="5"/>
  <c r="V371" i="5"/>
  <c r="V372" i="5"/>
  <c r="V374" i="5"/>
  <c r="V375" i="5"/>
  <c r="V376" i="5"/>
  <c r="V378" i="5"/>
  <c r="V380" i="5"/>
  <c r="V71" i="5"/>
  <c r="J52" i="4"/>
  <c r="L6" i="4"/>
  <c r="V78" i="5"/>
  <c r="V127" i="5"/>
  <c r="Q13" i="2"/>
  <c r="P14" i="2" s="1"/>
  <c r="O13" i="2"/>
  <c r="N14" i="2" s="1"/>
  <c r="M13" i="2"/>
  <c r="L14" i="2" s="1"/>
  <c r="K13" i="2"/>
  <c r="J14" i="2" s="1"/>
  <c r="I13" i="2"/>
  <c r="H14" i="2" s="1"/>
  <c r="G13" i="2"/>
  <c r="F14" i="2" s="1"/>
  <c r="E13" i="2"/>
  <c r="D14" i="2" s="1"/>
  <c r="C13" i="2"/>
  <c r="B14" i="2" s="1"/>
  <c r="K18" i="12"/>
  <c r="L6" i="12"/>
  <c r="S384" i="5"/>
  <c r="U5" i="5"/>
  <c r="U384" i="5" l="1"/>
  <c r="K20" i="12"/>
  <c r="L18" i="12"/>
  <c r="C18" i="2"/>
  <c r="C17" i="2"/>
  <c r="C16" i="2"/>
  <c r="C15" i="2"/>
  <c r="B19" i="2" s="1"/>
  <c r="E18" i="2"/>
  <c r="E17" i="2"/>
  <c r="E16" i="2"/>
  <c r="E15" i="2"/>
  <c r="D19" i="2" s="1"/>
  <c r="G18" i="2"/>
  <c r="G17" i="2"/>
  <c r="G16" i="2"/>
  <c r="G15" i="2"/>
  <c r="F19" i="2" s="1"/>
  <c r="I18" i="2"/>
  <c r="I17" i="2"/>
  <c r="I16" i="2"/>
  <c r="I15" i="2"/>
  <c r="H19" i="2" s="1"/>
  <c r="K18" i="2"/>
  <c r="K17" i="2"/>
  <c r="K16" i="2"/>
  <c r="K15" i="2"/>
  <c r="J19" i="2" s="1"/>
  <c r="M18" i="2"/>
  <c r="M17" i="2"/>
  <c r="M16" i="2"/>
  <c r="M15" i="2"/>
  <c r="L19" i="2" s="1"/>
  <c r="O18" i="2"/>
  <c r="O17" i="2"/>
  <c r="O16" i="2"/>
  <c r="O15" i="2"/>
  <c r="N19" i="2" s="1"/>
  <c r="Q18" i="2"/>
  <c r="Q17" i="2"/>
  <c r="Q16" i="2"/>
  <c r="Q15" i="2"/>
  <c r="P19" i="2" s="1"/>
  <c r="L52" i="4"/>
  <c r="M6" i="4"/>
  <c r="L57" i="4" l="1"/>
  <c r="Q25" i="2"/>
  <c r="Q24" i="2"/>
  <c r="Q23" i="2"/>
  <c r="Q22" i="2"/>
  <c r="Q21" i="2"/>
  <c r="Q20" i="2"/>
  <c r="P26" i="2" s="1"/>
  <c r="O25" i="2"/>
  <c r="O24" i="2"/>
  <c r="O23" i="2"/>
  <c r="O22" i="2"/>
  <c r="O21" i="2"/>
  <c r="O20" i="2"/>
  <c r="N26" i="2" s="1"/>
  <c r="M25" i="2"/>
  <c r="M24" i="2"/>
  <c r="M23" i="2"/>
  <c r="M22" i="2"/>
  <c r="M21" i="2"/>
  <c r="M20" i="2"/>
  <c r="L26" i="2" s="1"/>
  <c r="K25" i="2"/>
  <c r="K24" i="2"/>
  <c r="K23" i="2"/>
  <c r="K22" i="2"/>
  <c r="K21" i="2"/>
  <c r="K20" i="2"/>
  <c r="J26" i="2" s="1"/>
  <c r="I25" i="2"/>
  <c r="I24" i="2"/>
  <c r="I23" i="2"/>
  <c r="I22" i="2"/>
  <c r="I21" i="2"/>
  <c r="I20" i="2"/>
  <c r="H26" i="2" s="1"/>
  <c r="G25" i="2"/>
  <c r="G24" i="2"/>
  <c r="G23" i="2"/>
  <c r="G22" i="2"/>
  <c r="G21" i="2"/>
  <c r="G20" i="2"/>
  <c r="F26" i="2" s="1"/>
  <c r="E25" i="2"/>
  <c r="E24" i="2"/>
  <c r="E23" i="2"/>
  <c r="E22" i="2"/>
  <c r="E21" i="2"/>
  <c r="E20" i="2"/>
  <c r="D26" i="2" s="1"/>
  <c r="C25" i="2"/>
  <c r="C24" i="2"/>
  <c r="C23" i="2"/>
  <c r="C22" i="2"/>
  <c r="C21" i="2"/>
  <c r="C20" i="2"/>
  <c r="B26" i="2" s="1"/>
  <c r="C7" i="14"/>
  <c r="L20" i="12"/>
  <c r="C34" i="2" l="1"/>
  <c r="C33" i="2"/>
  <c r="C32" i="2"/>
  <c r="C31" i="2"/>
  <c r="C30" i="2"/>
  <c r="C29" i="2"/>
  <c r="C28" i="2"/>
  <c r="B35" i="2" s="1"/>
  <c r="C43" i="2"/>
  <c r="C42" i="2"/>
  <c r="C41" i="2"/>
  <c r="E34" i="2"/>
  <c r="E33" i="2"/>
  <c r="E32" i="2"/>
  <c r="E31" i="2"/>
  <c r="E30" i="2"/>
  <c r="E29" i="2"/>
  <c r="E28" i="2"/>
  <c r="D35" i="2" s="1"/>
  <c r="E43" i="2"/>
  <c r="E42" i="2"/>
  <c r="E41" i="2"/>
  <c r="G34" i="2"/>
  <c r="G33" i="2"/>
  <c r="G32" i="2"/>
  <c r="G31" i="2"/>
  <c r="G30" i="2"/>
  <c r="G29" i="2"/>
  <c r="G28" i="2"/>
  <c r="F35" i="2" s="1"/>
  <c r="G43" i="2"/>
  <c r="G42" i="2"/>
  <c r="G41" i="2"/>
  <c r="I34" i="2"/>
  <c r="I33" i="2"/>
  <c r="I32" i="2"/>
  <c r="I31" i="2"/>
  <c r="I30" i="2"/>
  <c r="I29" i="2"/>
  <c r="I28" i="2"/>
  <c r="H35" i="2" s="1"/>
  <c r="I43" i="2"/>
  <c r="I42" i="2"/>
  <c r="I41" i="2"/>
  <c r="K34" i="2"/>
  <c r="K33" i="2"/>
  <c r="K32" i="2"/>
  <c r="K31" i="2"/>
  <c r="K30" i="2"/>
  <c r="K29" i="2"/>
  <c r="K28" i="2"/>
  <c r="J35" i="2" s="1"/>
  <c r="K43" i="2"/>
  <c r="K42" i="2"/>
  <c r="K41" i="2"/>
  <c r="M34" i="2"/>
  <c r="M33" i="2"/>
  <c r="M32" i="2"/>
  <c r="M31" i="2"/>
  <c r="M30" i="2"/>
  <c r="M29" i="2"/>
  <c r="M28" i="2"/>
  <c r="L35" i="2" s="1"/>
  <c r="M43" i="2"/>
  <c r="M42" i="2"/>
  <c r="M41" i="2"/>
  <c r="O34" i="2"/>
  <c r="O33" i="2"/>
  <c r="O32" i="2"/>
  <c r="O31" i="2"/>
  <c r="O30" i="2"/>
  <c r="O29" i="2"/>
  <c r="O28" i="2"/>
  <c r="N35" i="2" s="1"/>
  <c r="O43" i="2"/>
  <c r="O42" i="2"/>
  <c r="O41" i="2"/>
  <c r="Q34" i="2"/>
  <c r="Q33" i="2"/>
  <c r="Q32" i="2"/>
  <c r="Q31" i="2"/>
  <c r="Q30" i="2"/>
  <c r="Q29" i="2"/>
  <c r="Q28" i="2"/>
  <c r="P35" i="2" s="1"/>
  <c r="Q43" i="2"/>
  <c r="Q42" i="2"/>
  <c r="Q41" i="2"/>
  <c r="Q37" i="2" l="1"/>
  <c r="P39" i="2" s="1"/>
  <c r="O37" i="2"/>
  <c r="N39" i="2" s="1"/>
  <c r="M37" i="2"/>
  <c r="L39" i="2" s="1"/>
  <c r="K37" i="2"/>
  <c r="J39" i="2" s="1"/>
  <c r="I37" i="2"/>
  <c r="H39" i="2" s="1"/>
  <c r="G37" i="2"/>
  <c r="F39" i="2" s="1"/>
  <c r="E37" i="2"/>
  <c r="D39" i="2" s="1"/>
  <c r="C37" i="2"/>
  <c r="B39" i="2" s="1"/>
  <c r="E47" i="2" l="1"/>
  <c r="C47" i="2"/>
  <c r="E48" i="2"/>
  <c r="C48" i="2"/>
  <c r="E49" i="2"/>
  <c r="C49" i="2"/>
  <c r="E51" i="2"/>
  <c r="C51" i="2"/>
  <c r="E52" i="2"/>
  <c r="C52" i="2"/>
  <c r="E57" i="2"/>
  <c r="C57" i="2"/>
  <c r="E58" i="2"/>
  <c r="C58" i="2"/>
  <c r="E60" i="2"/>
  <c r="C60" i="2"/>
  <c r="C50" i="2"/>
  <c r="B53" i="2"/>
  <c r="H21" i="3"/>
  <c r="I17" i="4"/>
  <c r="H16" i="6"/>
  <c r="H24" i="3"/>
  <c r="I19" i="4"/>
  <c r="H17" i="6"/>
  <c r="H14" i="3"/>
  <c r="I24" i="4"/>
  <c r="H21" i="6"/>
  <c r="I43" i="4"/>
  <c r="H38" i="6"/>
  <c r="I44" i="4"/>
  <c r="H39" i="6"/>
  <c r="I45" i="4"/>
  <c r="H40" i="6"/>
  <c r="I46" i="4"/>
  <c r="H41" i="6"/>
  <c r="I47" i="4"/>
  <c r="H42" i="6"/>
  <c r="I48" i="4"/>
  <c r="H43" i="6"/>
  <c r="I49" i="4"/>
  <c r="H44" i="6"/>
  <c r="I50" i="4"/>
  <c r="H45" i="6"/>
  <c r="I51" i="4"/>
  <c r="H46" i="6"/>
  <c r="H6" i="7"/>
  <c r="J6" i="7"/>
  <c r="K6" i="7"/>
  <c r="K7" i="7"/>
  <c r="K10" i="7"/>
  <c r="J7" i="7"/>
  <c r="J10" i="7"/>
  <c r="C11" i="8"/>
  <c r="C12" i="8"/>
  <c r="B12" i="8"/>
  <c r="C15" i="8"/>
  <c r="B11" i="8"/>
  <c r="C4" i="14"/>
  <c r="E50" i="2"/>
  <c r="D53" i="2"/>
  <c r="G6" i="9"/>
  <c r="I6" i="9"/>
  <c r="J6" i="9"/>
  <c r="K6" i="9"/>
  <c r="G7" i="9"/>
  <c r="I7" i="9"/>
  <c r="J7" i="9"/>
  <c r="K7" i="9"/>
  <c r="K8" i="9"/>
  <c r="K10" i="9"/>
  <c r="C5" i="14"/>
  <c r="C59" i="2"/>
  <c r="B61" i="2"/>
  <c r="G6" i="11"/>
  <c r="I6" i="11"/>
  <c r="J6" i="11"/>
  <c r="K6" i="11"/>
  <c r="E59" i="2"/>
  <c r="D61" i="2"/>
  <c r="G7" i="11"/>
  <c r="I7" i="11"/>
  <c r="J7" i="11"/>
  <c r="K7" i="11"/>
  <c r="K8" i="11"/>
  <c r="K10" i="11"/>
  <c r="C6" i="14"/>
  <c r="C9" i="14"/>
  <c r="C12" i="14"/>
  <c r="G6" i="7"/>
  <c r="I6" i="7"/>
  <c r="I7" i="7"/>
  <c r="I10" i="7"/>
  <c r="B10" i="8"/>
  <c r="C9" i="8"/>
  <c r="B9" i="8"/>
  <c r="B4" i="14"/>
  <c r="B9" i="14"/>
  <c r="C10" i="8"/>
  <c r="H6" i="3"/>
  <c r="H7" i="3"/>
  <c r="H8" i="3"/>
  <c r="H9" i="3"/>
  <c r="H10" i="3"/>
  <c r="H11" i="3"/>
  <c r="H12" i="3"/>
  <c r="H13" i="3"/>
  <c r="K24" i="4"/>
  <c r="R31" i="5"/>
  <c r="T31" i="5"/>
  <c r="R33" i="5"/>
  <c r="T33" i="5"/>
  <c r="R35" i="5"/>
  <c r="T35" i="5"/>
  <c r="R65" i="5"/>
  <c r="T65" i="5"/>
  <c r="R67" i="5"/>
  <c r="T67" i="5"/>
  <c r="R69" i="5"/>
  <c r="T69" i="5"/>
  <c r="R121" i="5"/>
  <c r="T121" i="5"/>
  <c r="R123" i="5"/>
  <c r="T123" i="5"/>
  <c r="R125" i="5"/>
  <c r="T125" i="5"/>
  <c r="R149" i="5"/>
  <c r="T149" i="5"/>
  <c r="R151" i="5"/>
  <c r="T151" i="5"/>
  <c r="R153" i="5"/>
  <c r="T153" i="5"/>
  <c r="R180" i="5"/>
  <c r="T180" i="5"/>
  <c r="R182" i="5"/>
  <c r="T182" i="5"/>
  <c r="R232" i="5"/>
  <c r="T232" i="5"/>
  <c r="H15" i="3"/>
  <c r="H16" i="3"/>
  <c r="H17" i="3"/>
  <c r="H18" i="3"/>
  <c r="H19" i="3"/>
  <c r="H20" i="3"/>
  <c r="K17" i="4"/>
  <c r="R137" i="5"/>
  <c r="T137" i="5"/>
  <c r="R138" i="5"/>
  <c r="T138" i="5"/>
  <c r="R139" i="5"/>
  <c r="T139" i="5"/>
  <c r="R170" i="5"/>
  <c r="T170" i="5"/>
  <c r="R178" i="5"/>
  <c r="T178" i="5"/>
  <c r="R183" i="5"/>
  <c r="T183" i="5"/>
  <c r="R227" i="5"/>
  <c r="T227" i="5"/>
  <c r="R228" i="5"/>
  <c r="T228" i="5"/>
  <c r="R233" i="5"/>
  <c r="T233" i="5"/>
  <c r="R272" i="5"/>
  <c r="T272" i="5"/>
  <c r="R273" i="5"/>
  <c r="T273" i="5"/>
  <c r="H22" i="3"/>
  <c r="H23" i="3"/>
  <c r="K19" i="4"/>
  <c r="R25" i="5"/>
  <c r="T25" i="5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I37" i="4"/>
  <c r="K37" i="4"/>
  <c r="H42" i="3"/>
  <c r="H43" i="3"/>
  <c r="H44" i="3"/>
  <c r="I40" i="4"/>
  <c r="K40" i="4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K43" i="4"/>
  <c r="R5" i="5"/>
  <c r="T5" i="5"/>
  <c r="R6" i="5"/>
  <c r="T6" i="5"/>
  <c r="R7" i="5"/>
  <c r="T7" i="5"/>
  <c r="T384" i="5"/>
  <c r="K44" i="4"/>
  <c r="R9" i="5"/>
  <c r="T9" i="5"/>
  <c r="R21" i="5"/>
  <c r="T21" i="5"/>
  <c r="R70" i="5"/>
  <c r="T70" i="5"/>
  <c r="R77" i="5"/>
  <c r="T77" i="5"/>
  <c r="R103" i="5"/>
  <c r="T103" i="5"/>
  <c r="R126" i="5"/>
  <c r="T126" i="5"/>
  <c r="R140" i="5"/>
  <c r="T140" i="5"/>
  <c r="R157" i="5"/>
  <c r="T157" i="5"/>
  <c r="R171" i="5"/>
  <c r="T171" i="5"/>
  <c r="R245" i="5"/>
  <c r="T245" i="5"/>
  <c r="R257" i="5"/>
  <c r="T257" i="5"/>
  <c r="R274" i="5"/>
  <c r="T274" i="5"/>
  <c r="R295" i="5"/>
  <c r="T295" i="5"/>
  <c r="R367" i="5"/>
  <c r="T367" i="5"/>
  <c r="K45" i="4"/>
  <c r="R20" i="5"/>
  <c r="T20" i="5"/>
  <c r="K46" i="4"/>
  <c r="R8" i="5"/>
  <c r="T8" i="5"/>
  <c r="R131" i="5"/>
  <c r="T131" i="5"/>
  <c r="R145" i="5"/>
  <c r="T145" i="5"/>
  <c r="R165" i="5"/>
  <c r="T165" i="5"/>
  <c r="R173" i="5"/>
  <c r="T173" i="5"/>
  <c r="R198" i="5"/>
  <c r="T198" i="5"/>
  <c r="R200" i="5"/>
  <c r="T200" i="5"/>
  <c r="R223" i="5"/>
  <c r="T223" i="5"/>
  <c r="R237" i="5"/>
  <c r="T237" i="5"/>
  <c r="R238" i="5"/>
  <c r="T238" i="5"/>
  <c r="R240" i="5"/>
  <c r="T240" i="5"/>
  <c r="R241" i="5"/>
  <c r="T241" i="5"/>
  <c r="R242" i="5"/>
  <c r="T242" i="5"/>
  <c r="R253" i="5"/>
  <c r="T253" i="5"/>
  <c r="R255" i="5"/>
  <c r="T255" i="5"/>
  <c r="R283" i="5"/>
  <c r="T283" i="5"/>
  <c r="R284" i="5"/>
  <c r="T284" i="5"/>
  <c r="R318" i="5"/>
  <c r="T318" i="5"/>
  <c r="R358" i="5"/>
  <c r="T358" i="5"/>
  <c r="K47" i="4"/>
  <c r="R239" i="5"/>
  <c r="T239" i="5"/>
  <c r="K48" i="4"/>
  <c r="R275" i="5"/>
  <c r="T275" i="5"/>
  <c r="K49" i="4"/>
  <c r="R258" i="5"/>
  <c r="T258" i="5"/>
  <c r="R276" i="5"/>
  <c r="T276" i="5"/>
  <c r="K50" i="4"/>
  <c r="R259" i="5"/>
  <c r="T259" i="5"/>
  <c r="R270" i="5"/>
  <c r="T270" i="5"/>
  <c r="R277" i="5"/>
  <c r="T277" i="5"/>
  <c r="K51" i="4"/>
  <c r="L7" i="9"/>
  <c r="V367" i="5"/>
  <c r="V295" i="5"/>
  <c r="V274" i="5"/>
  <c r="V257" i="5"/>
  <c r="V245" i="5"/>
  <c r="V171" i="5"/>
  <c r="V157" i="5"/>
  <c r="V140" i="5"/>
  <c r="V126" i="5"/>
  <c r="V103" i="5"/>
  <c r="V77" i="5"/>
  <c r="V70" i="5"/>
  <c r="V21" i="5"/>
  <c r="V20" i="5"/>
  <c r="V9" i="5"/>
  <c r="M45" i="4"/>
  <c r="M44" i="4"/>
  <c r="V6" i="5"/>
  <c r="M51" i="4"/>
  <c r="V276" i="5"/>
  <c r="V275" i="5"/>
  <c r="V258" i="5"/>
  <c r="M49" i="4"/>
  <c r="M48" i="4"/>
  <c r="M43" i="4"/>
  <c r="L7" i="11"/>
  <c r="L6" i="11"/>
  <c r="L8" i="11"/>
  <c r="L10" i="11"/>
  <c r="L6" i="9"/>
  <c r="L8" i="9"/>
  <c r="L10" i="9"/>
  <c r="V239" i="5"/>
  <c r="M47" i="4"/>
  <c r="V273" i="5"/>
  <c r="V272" i="5"/>
  <c r="V233" i="5"/>
  <c r="V228" i="5"/>
  <c r="V227" i="5"/>
  <c r="V183" i="5"/>
  <c r="V178" i="5"/>
  <c r="V170" i="5"/>
  <c r="V139" i="5"/>
  <c r="V138" i="5"/>
  <c r="V137" i="5"/>
  <c r="M17" i="4"/>
  <c r="V25" i="5"/>
  <c r="M19" i="4"/>
  <c r="V232" i="5"/>
  <c r="V182" i="5"/>
  <c r="V180" i="5"/>
  <c r="V153" i="5"/>
  <c r="V151" i="5"/>
  <c r="V149" i="5"/>
  <c r="V125" i="5"/>
  <c r="V123" i="5"/>
  <c r="V121" i="5"/>
  <c r="V69" i="5"/>
  <c r="V67" i="5"/>
  <c r="V65" i="5"/>
  <c r="V35" i="5"/>
  <c r="V33" i="5"/>
  <c r="V31" i="5"/>
  <c r="M24" i="4"/>
  <c r="M37" i="4"/>
  <c r="M40" i="4"/>
  <c r="M46" i="4"/>
  <c r="M50" i="4"/>
  <c r="V7" i="5"/>
  <c r="V8" i="5"/>
  <c r="V131" i="5"/>
  <c r="V145" i="5"/>
  <c r="V165" i="5"/>
  <c r="V173" i="5"/>
  <c r="V198" i="5"/>
  <c r="V200" i="5"/>
  <c r="V223" i="5"/>
  <c r="V237" i="5"/>
  <c r="V238" i="5"/>
  <c r="V240" i="5"/>
  <c r="V241" i="5"/>
  <c r="V242" i="5"/>
  <c r="V253" i="5"/>
  <c r="V255" i="5"/>
  <c r="V259" i="5"/>
  <c r="V270" i="5"/>
  <c r="V277" i="5"/>
  <c r="V283" i="5"/>
  <c r="V284" i="5"/>
  <c r="V318" i="5"/>
  <c r="V358" i="5"/>
  <c r="B15" i="8"/>
  <c r="K52" i="4"/>
  <c r="V5" i="5"/>
  <c r="V384" i="5"/>
  <c r="M52" i="4"/>
  <c r="M57" i="4"/>
  <c r="I54" i="4"/>
  <c r="F6" i="7"/>
</calcChain>
</file>

<file path=xl/sharedStrings.xml><?xml version="1.0" encoding="utf-8"?>
<sst xmlns="http://schemas.openxmlformats.org/spreadsheetml/2006/main" count="6448" uniqueCount="1069">
  <si>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</si>
  <si>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</si>
  <si>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</si>
  <si>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</si>
  <si>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</si>
  <si>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</si>
  <si>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</si>
  <si>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</si>
  <si>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</si>
  <si>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</si>
  <si>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4W</t>
  </si>
  <si>
    <t>3W</t>
  </si>
  <si>
    <t>2W</t>
  </si>
  <si>
    <t>1W</t>
  </si>
  <si>
    <t>26J</t>
  </si>
  <si>
    <t>12J</t>
  </si>
  <si>
    <t>6J</t>
  </si>
  <si>
    <t>4J</t>
  </si>
  <si>
    <t>3J</t>
  </si>
  <si>
    <t>2J</t>
  </si>
  <si>
    <t>1J</t>
  </si>
  <si>
    <t>Opbouw uurtarief</t>
  </si>
  <si>
    <t>Regulier werk</t>
  </si>
  <si>
    <t>Regie werk</t>
  </si>
  <si>
    <t>Uitvoering</t>
  </si>
  <si>
    <t>Directe leiding</t>
  </si>
  <si>
    <t>ONDERDEEL</t>
  </si>
  <si>
    <t>Vakvolwassene</t>
  </si>
  <si>
    <t>Leiding (meewerkend)</t>
  </si>
  <si>
    <t>Leiding (niet-meewerkend)</t>
  </si>
  <si>
    <t>Vakvolwassene regie</t>
  </si>
  <si>
    <t>Leiding regie</t>
  </si>
  <si>
    <t>Loongroep/ervaring</t>
  </si>
  <si>
    <t>&gt;3 dienstjaren</t>
  </si>
  <si>
    <t/>
  </si>
  <si>
    <t>voorman/vrouw</t>
  </si>
  <si>
    <t>objectleider</t>
  </si>
  <si>
    <t>specialistisch</t>
  </si>
  <si>
    <t>Basis uurloon (CAO)</t>
  </si>
  <si>
    <t>Basis toeslagen</t>
  </si>
  <si>
    <t>Totaal basisloon</t>
  </si>
  <si>
    <t>Vakantietoeslag</t>
  </si>
  <si>
    <t>Overige structurele uitkeringen</t>
  </si>
  <si>
    <t>Totaal uurloon inclusief toeslagen</t>
  </si>
  <si>
    <t>Sociale lasten</t>
  </si>
  <si>
    <t>Totaal uurloon inclusief sociale lasten</t>
  </si>
  <si>
    <t>Vakantiedagen</t>
  </si>
  <si>
    <t>Betaalde feestdagen</t>
  </si>
  <si>
    <t>Ziektedagen</t>
  </si>
  <si>
    <t>Overige niet werkbare dagen</t>
  </si>
  <si>
    <t>TOTAAL LOONKOSTEN PER UUR</t>
  </si>
  <si>
    <t>Materialen en middelen</t>
  </si>
  <si>
    <t>Machinekosten</t>
  </si>
  <si>
    <t>Werkkleding en uitrusting</t>
  </si>
  <si>
    <t>Afvalzakken</t>
  </si>
  <si>
    <t>Reiskosten/vervoerskosten/parkeergelden</t>
  </si>
  <si>
    <t>Overige directe kosten</t>
  </si>
  <si>
    <t>TOTAAL DIRECTE KOSTEN</t>
  </si>
  <si>
    <t>Indirecte leiding</t>
  </si>
  <si>
    <t>Managementkosten</t>
  </si>
  <si>
    <t>P.Z. kosten</t>
  </si>
  <si>
    <t>Opleiding</t>
  </si>
  <si>
    <t>Huisvesting</t>
  </si>
  <si>
    <t>Administratiekosten</t>
  </si>
  <si>
    <t>Overige overhead</t>
  </si>
  <si>
    <t>TOTAAL INDIRECTE KOSTEN</t>
  </si>
  <si>
    <t>RISICO EN WINST</t>
  </si>
  <si>
    <t>TOTAAL UURTARIEF (excl. BTW)</t>
  </si>
  <si>
    <t>Onregelmatigheids tijdstip:</t>
  </si>
  <si>
    <t>toeslag</t>
  </si>
  <si>
    <t>tarief</t>
  </si>
  <si>
    <t>- DN: ma-vr nacht</t>
  </si>
  <si>
    <t>- W: weekend</t>
  </si>
  <si>
    <t>- X: feestdag</t>
  </si>
  <si>
    <t>TARIEVEN REGULIER WERK</t>
  </si>
  <si>
    <t>Werkdag</t>
  </si>
  <si>
    <t>Ondersteuning keuken</t>
  </si>
  <si>
    <t>Aandeel</t>
  </si>
  <si>
    <t>Tarief</t>
  </si>
  <si>
    <t>Gewogen tarief uitvoering</t>
  </si>
  <si>
    <t>Tarieven regulier werk</t>
  </si>
  <si>
    <t>TARIEVEN REGIE WERK</t>
  </si>
  <si>
    <t>Niet-specialistisch</t>
  </si>
  <si>
    <t>Specialistisch</t>
  </si>
  <si>
    <t>Tarieven regie werk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</si>
  <si>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</si>
  <si>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</si>
  <si>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</si>
  <si>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</si>
  <si>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</si>
  <si>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</si>
  <si>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</si>
  <si>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</si>
  <si>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     </t>
  </si>
  <si>
    <t>VPHB</t>
  </si>
  <si>
    <t xml:space="preserve">P    </t>
  </si>
  <si>
    <t>Parkeergarage - harde vloeren (basis)</t>
  </si>
  <si>
    <t>m²/uur</t>
  </si>
  <si>
    <t>VPHV</t>
  </si>
  <si>
    <t>Parkeergarage - harde vloeren (volledig)</t>
  </si>
  <si>
    <t>VPZB</t>
  </si>
  <si>
    <t>Parkeergarage - zachte vloeren (basis)</t>
  </si>
  <si>
    <t>VPZV</t>
  </si>
  <si>
    <t>Parkeergarage - zachte vloeren (volledig)</t>
  </si>
  <si>
    <t>SDHB</t>
  </si>
  <si>
    <t xml:space="preserve">S    </t>
  </si>
  <si>
    <t>Douche/badkamer - harde vloeren (basis)</t>
  </si>
  <si>
    <t>SDHV</t>
  </si>
  <si>
    <t>Douche/badkamer - harde vloeren (volledig)</t>
  </si>
  <si>
    <t>SKHB</t>
  </si>
  <si>
    <t>Kleedruimten - harde vloeren (basis)</t>
  </si>
  <si>
    <t>SKHV</t>
  </si>
  <si>
    <t>Kleedruimten - harde vloeren (volledig)</t>
  </si>
  <si>
    <t>STHB</t>
  </si>
  <si>
    <t>Toiletten - harde vloeren (basis)</t>
  </si>
  <si>
    <t>STHV</t>
  </si>
  <si>
    <t>Toiletten - harde vloeren (volledig)</t>
  </si>
  <si>
    <t>KPHB</t>
  </si>
  <si>
    <t xml:space="preserve">V    </t>
  </si>
  <si>
    <t>Pantry - harde vloeren (basis)</t>
  </si>
  <si>
    <t>KPHV</t>
  </si>
  <si>
    <t>Pantry - harde vloeren (volledig)</t>
  </si>
  <si>
    <t>KRHB</t>
  </si>
  <si>
    <t>Restaurant/kantine - harde vloeren (basis)</t>
  </si>
  <si>
    <t>KRHV</t>
  </si>
  <si>
    <t>Restaurant/kantine - harde vloeren (volledig)</t>
  </si>
  <si>
    <t>OAHB</t>
  </si>
  <si>
    <t>Opslag/archief/magazijn - harde vloeren (basis)</t>
  </si>
  <si>
    <t>OAHV</t>
  </si>
  <si>
    <t>Opslag/archief/magazijn - harde vloeren (volledig)</t>
  </si>
  <si>
    <t>OAZV</t>
  </si>
  <si>
    <t>Opslag/archief/magazijn - zachte vloeren (basis)</t>
  </si>
  <si>
    <t>Opslag/archief/magazijn - zachte vloeren (volledig)</t>
  </si>
  <si>
    <t>VAHB</t>
  </si>
  <si>
    <t>Verkeer algemeen - harde vloeren (basis)</t>
  </si>
  <si>
    <t>VAHV</t>
  </si>
  <si>
    <t>Verkeer algemeen - harde vloeren (volledig)</t>
  </si>
  <si>
    <t>VAZB</t>
  </si>
  <si>
    <t>Verkeer algemeen - zachte vloeren (basis)</t>
  </si>
  <si>
    <t>VAZV</t>
  </si>
  <si>
    <t>Verkeer algemeen - zachte vloeren (volledig)</t>
  </si>
  <si>
    <t>VBZB</t>
  </si>
  <si>
    <t>Loopbrug - zachte vloeren (basis)</t>
  </si>
  <si>
    <t>VBZV</t>
  </si>
  <si>
    <t>Loopbrug - zachte vloeren (volledig)</t>
  </si>
  <si>
    <t>VEHB</t>
  </si>
  <si>
    <t>Entree - harde vloeren (basis)</t>
  </si>
  <si>
    <t>VEHV</t>
  </si>
  <si>
    <t>Entree - harde vloeren (volledig)</t>
  </si>
  <si>
    <t>VKHB</t>
  </si>
  <si>
    <t>Verkeer kantoor - harde vloeren (basis)</t>
  </si>
  <si>
    <t>VKHV</t>
  </si>
  <si>
    <t>Verkeer kantoor - harde vloeren (volledig)</t>
  </si>
  <si>
    <t>VKZB</t>
  </si>
  <si>
    <t>Verkeer kantoor - zachte vloeren (basis)</t>
  </si>
  <si>
    <t>VKZV</t>
  </si>
  <si>
    <t>Verkeer kantoor - zachte vloeren (volledig)</t>
  </si>
  <si>
    <t>VLHB</t>
  </si>
  <si>
    <t>Liften - harde vloeren (basis)</t>
  </si>
  <si>
    <t>VLHV</t>
  </si>
  <si>
    <t>Liften - harde vloeren (volledig)</t>
  </si>
  <si>
    <t>VTHB</t>
  </si>
  <si>
    <t>Trap - harde vloeren (basis)</t>
  </si>
  <si>
    <t>VTHV</t>
  </si>
  <si>
    <t>Trap - harde vloeren (volledig)</t>
  </si>
  <si>
    <t>VTZB</t>
  </si>
  <si>
    <t>Trap - zachte vloeren (basis)</t>
  </si>
  <si>
    <t>VTZV</t>
  </si>
  <si>
    <t>Trap - zachte vloeren (volledig)</t>
  </si>
  <si>
    <t>BKHB</t>
  </si>
  <si>
    <t xml:space="preserve">W    </t>
  </si>
  <si>
    <t>Bureaukamers - harde vloeren (basis)</t>
  </si>
  <si>
    <t>BKHV</t>
  </si>
  <si>
    <t>Bureaukamers - harde vloeren (volledig)</t>
  </si>
  <si>
    <t>BKZB</t>
  </si>
  <si>
    <t>Bureaukamers - zachte vloeren (basis)</t>
  </si>
  <si>
    <t>BKZV</t>
  </si>
  <si>
    <t>Bureaukamers - zachte vloeren (volledig)</t>
  </si>
  <si>
    <t>BRHB</t>
  </si>
  <si>
    <t>Repro - harde vloeren (basis)</t>
  </si>
  <si>
    <t>BRHV</t>
  </si>
  <si>
    <t>Repro - harde vloeren (volledig)</t>
  </si>
  <si>
    <t>BSHB</t>
  </si>
  <si>
    <t>Studio - harde vloeren (basis)</t>
  </si>
  <si>
    <t>BSHV</t>
  </si>
  <si>
    <t>Studio - harde vloeren (volledig)</t>
  </si>
  <si>
    <t>BSZB</t>
  </si>
  <si>
    <t>Studio - zachte vloeren (basis)</t>
  </si>
  <si>
    <t>BSZV</t>
  </si>
  <si>
    <t>Studio - zachte vloeren (volledig)</t>
  </si>
  <si>
    <t>BVZB</t>
  </si>
  <si>
    <t>Vergaderruimten - zachte vloeren (basis)</t>
  </si>
  <si>
    <t>BVZV</t>
  </si>
  <si>
    <t>Vergaderruimten - zachte vloeren (volledig)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</si>
  <si>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</si>
  <si>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</si>
  <si>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</si>
  <si>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</si>
  <si>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</si>
  <si>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</si>
  <si>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</si>
  <si>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</si>
  <si>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BKH</t>
  </si>
  <si>
    <t>interieur</t>
  </si>
  <si>
    <t>Bureaukamers - harde vloeren</t>
  </si>
  <si>
    <t>BKZ</t>
  </si>
  <si>
    <t>Bureaukamers - zachte vloeren</t>
  </si>
  <si>
    <t>BRH</t>
  </si>
  <si>
    <t>Repro - harde vloeren</t>
  </si>
  <si>
    <t>BSH</t>
  </si>
  <si>
    <t>Studio - harde vloeren</t>
  </si>
  <si>
    <t>BSZ</t>
  </si>
  <si>
    <t>Studio - zachte vloeren</t>
  </si>
  <si>
    <t>BVZ</t>
  </si>
  <si>
    <t>Vergaderruimten - zachte vloeren</t>
  </si>
  <si>
    <t>KPH</t>
  </si>
  <si>
    <t>Pantry - harde vloeren</t>
  </si>
  <si>
    <t>KRH</t>
  </si>
  <si>
    <t>Restaurant/kantine - harde vloeren</t>
  </si>
  <si>
    <t>OAH</t>
  </si>
  <si>
    <t>Opslag/archief/magazijn - harde vloeren</t>
  </si>
  <si>
    <t>OAZ</t>
  </si>
  <si>
    <t>Opslag/archief/magazijn - zachte vloeren</t>
  </si>
  <si>
    <t>SDH</t>
  </si>
  <si>
    <t>Douche - harde vloeren</t>
  </si>
  <si>
    <t>SKH</t>
  </si>
  <si>
    <t>Kleedruimte - harde vloeren</t>
  </si>
  <si>
    <t>STH</t>
  </si>
  <si>
    <t>Toilet - harde vloeren</t>
  </si>
  <si>
    <t>STHN</t>
  </si>
  <si>
    <t>Toilet naloop - harde vloeren</t>
  </si>
  <si>
    <t>VAH</t>
  </si>
  <si>
    <t>Verkeer algemeen - harde vloeren</t>
  </si>
  <si>
    <t>VAZ</t>
  </si>
  <si>
    <t>Verkeer algemeen - zachte vloeren</t>
  </si>
  <si>
    <t>VBZ</t>
  </si>
  <si>
    <t>Loopbrug - zachte vloeren</t>
  </si>
  <si>
    <t>VEH</t>
  </si>
  <si>
    <t>Entree - harde vloeren</t>
  </si>
  <si>
    <t>VKH</t>
  </si>
  <si>
    <t>Verkeer kantoor - harde vloeren</t>
  </si>
  <si>
    <t>VKZ</t>
  </si>
  <si>
    <t>Verkeer kantoor - zachte vloeren</t>
  </si>
  <si>
    <t>VLH</t>
  </si>
  <si>
    <t>Liften - harde vloeren</t>
  </si>
  <si>
    <t>VPH</t>
  </si>
  <si>
    <t>Parkeergarage - harde vloeren</t>
  </si>
  <si>
    <t>VPZ</t>
  </si>
  <si>
    <t>Parkeergarage - zachte vloeren</t>
  </si>
  <si>
    <t>VTH</t>
  </si>
  <si>
    <t>Trap - harde vloeren</t>
  </si>
  <si>
    <t>VTZ</t>
  </si>
  <si>
    <t>Trap - zachte vloeren</t>
  </si>
  <si>
    <t>E001</t>
  </si>
  <si>
    <t>extra</t>
  </si>
  <si>
    <t>Reinigen stalen profielen noodtrappenhuizen</t>
  </si>
  <si>
    <t>uur</t>
  </si>
  <si>
    <t>E002</t>
  </si>
  <si>
    <t>Verzorging afvalpunten</t>
  </si>
  <si>
    <t>min./stuk</t>
  </si>
  <si>
    <t>E003</t>
  </si>
  <si>
    <t>Tourniquet</t>
  </si>
  <si>
    <t>min./keer</t>
  </si>
  <si>
    <t>E005</t>
  </si>
  <si>
    <t>Technische ruimten</t>
  </si>
  <si>
    <t>E006</t>
  </si>
  <si>
    <t>Technische ruimte - Luchtbehandeling</t>
  </si>
  <si>
    <t>E010</t>
  </si>
  <si>
    <t>Vergaderplekken - Treinzits - Periodiek</t>
  </si>
  <si>
    <t>E011</t>
  </si>
  <si>
    <t>Vergaderplekken - Verrijdbaar - Periodiek</t>
  </si>
  <si>
    <t>E020</t>
  </si>
  <si>
    <t>Vloer natuursteen schrobben</t>
  </si>
  <si>
    <t>E100</t>
  </si>
  <si>
    <t>Glasbewassing entreeglas</t>
  </si>
  <si>
    <t>min./m²</t>
  </si>
  <si>
    <t xml:space="preserve">Totaal werkdag                  </t>
  </si>
  <si>
    <t xml:space="preserve">Gemiddeld uurtarief werkdag     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</si>
  <si>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</si>
  <si>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</si>
  <si>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</si>
  <si>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</si>
  <si>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</si>
  <si>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</si>
  <si>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</si>
  <si>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DAGDEEL</t>
  </si>
  <si>
    <t>TAAK OMSCHRIJVING</t>
  </si>
  <si>
    <t>VSR</t>
  </si>
  <si>
    <t>DIVISIE</t>
  </si>
  <si>
    <t>KOSTENPLAATS</t>
  </si>
  <si>
    <t>1000 - Cito, Amsterdamseweg 13, Arnhem</t>
  </si>
  <si>
    <t>1000</t>
  </si>
  <si>
    <t>ALGEMENE WERKZAAMHEDEN</t>
  </si>
  <si>
    <t>dag</t>
  </si>
  <si>
    <t xml:space="preserve">ALG       </t>
  </si>
  <si>
    <t>9622</t>
  </si>
  <si>
    <t>BUITEN</t>
  </si>
  <si>
    <t>A</t>
  </si>
  <si>
    <t>-1</t>
  </si>
  <si>
    <t>-1.01</t>
  </si>
  <si>
    <t>Opslag; Hydrofor+Hoofd  Wateraansluiting</t>
  </si>
  <si>
    <t>beton</t>
  </si>
  <si>
    <t xml:space="preserve">ONV       </t>
  </si>
  <si>
    <t>-1.02</t>
  </si>
  <si>
    <t>Voorruimte + Bordes luchtbehandeling</t>
  </si>
  <si>
    <t>beton/bordes + trap ijzer</t>
  </si>
  <si>
    <t>-1.03</t>
  </si>
  <si>
    <t>Fietsers+Scooters+Motoren ruimte</t>
  </si>
  <si>
    <t xml:space="preserve">CITST     </t>
  </si>
  <si>
    <t>-1.04</t>
  </si>
  <si>
    <t>Open Kleedruimte</t>
  </si>
  <si>
    <t>ochtend</t>
  </si>
  <si>
    <t>S</t>
  </si>
  <si>
    <t>-1.05</t>
  </si>
  <si>
    <t>Douche rechts</t>
  </si>
  <si>
    <t>steen</t>
  </si>
  <si>
    <t>-1.06</t>
  </si>
  <si>
    <t>Douche links</t>
  </si>
  <si>
    <t>-1.07</t>
  </si>
  <si>
    <t>Hal/parkeergarage</t>
  </si>
  <si>
    <t>V</t>
  </si>
  <si>
    <t>-1.08</t>
  </si>
  <si>
    <t>Hal/MV</t>
  </si>
  <si>
    <t>-1.09</t>
  </si>
  <si>
    <t>Lift Links</t>
  </si>
  <si>
    <t>-1.10</t>
  </si>
  <si>
    <t>Hal/Trap Entree</t>
  </si>
  <si>
    <t>-2</t>
  </si>
  <si>
    <t>-2.01</t>
  </si>
  <si>
    <t>Liftschacht MV</t>
  </si>
  <si>
    <t>N.I.O.</t>
  </si>
  <si>
    <t>00</t>
  </si>
  <si>
    <t>00.01</t>
  </si>
  <si>
    <t>Lift rechts</t>
  </si>
  <si>
    <t>00.02</t>
  </si>
  <si>
    <t>schoonloopmaat</t>
  </si>
  <si>
    <t>00.03</t>
  </si>
  <si>
    <t>Entree</t>
  </si>
  <si>
    <t>pvc/tapijt</t>
  </si>
  <si>
    <t>00.04</t>
  </si>
  <si>
    <t>Receptie</t>
  </si>
  <si>
    <t>tapijt</t>
  </si>
  <si>
    <t>B</t>
  </si>
  <si>
    <t>00.05</t>
  </si>
  <si>
    <t>Gang</t>
  </si>
  <si>
    <t>00.06</t>
  </si>
  <si>
    <t>Opslag vergaderruimte</t>
  </si>
  <si>
    <t xml:space="preserve">CIT       </t>
  </si>
  <si>
    <t>9625</t>
  </si>
  <si>
    <t>00.07</t>
  </si>
  <si>
    <t>Vergaderzaal 1</t>
  </si>
  <si>
    <t>00.08</t>
  </si>
  <si>
    <t>Vergaderzaal 2</t>
  </si>
  <si>
    <t>00.09</t>
  </si>
  <si>
    <t>Vergaderzaal 3</t>
  </si>
  <si>
    <t>00.10</t>
  </si>
  <si>
    <t>Opslag schoonmaak</t>
  </si>
  <si>
    <t>00.11</t>
  </si>
  <si>
    <t>Toilet Rechts</t>
  </si>
  <si>
    <t>naloop</t>
  </si>
  <si>
    <t>00.12</t>
  </si>
  <si>
    <t>MV Toilet</t>
  </si>
  <si>
    <t>00.13</t>
  </si>
  <si>
    <t>Toilet links</t>
  </si>
  <si>
    <t>00.14</t>
  </si>
  <si>
    <t>Vergaderzaal 10</t>
  </si>
  <si>
    <t>00.15</t>
  </si>
  <si>
    <t>Vergaderzaal 4</t>
  </si>
  <si>
    <t>00E</t>
  </si>
  <si>
    <t>0E.01</t>
  </si>
  <si>
    <t>Projectruimte</t>
  </si>
  <si>
    <t>0E.02</t>
  </si>
  <si>
    <t>0E.03</t>
  </si>
  <si>
    <t>Overlegruimte verdieping links</t>
  </si>
  <si>
    <t xml:space="preserve">CITHRFIN  </t>
  </si>
  <si>
    <t>0E.04</t>
  </si>
  <si>
    <t>Overlegruimte verdieping rechts</t>
  </si>
  <si>
    <t>0E.05</t>
  </si>
  <si>
    <t>Vergaderruimte Groen</t>
  </si>
  <si>
    <t>0E.06</t>
  </si>
  <si>
    <t>Focusruimte rechts</t>
  </si>
  <si>
    <t>0E.07</t>
  </si>
  <si>
    <t>Focusruimte links</t>
  </si>
  <si>
    <t>0E.08</t>
  </si>
  <si>
    <t>Flex ruimte (stilteruimte) straatzijde</t>
  </si>
  <si>
    <t>0E.09</t>
  </si>
  <si>
    <t>Gang kantoorruimte</t>
  </si>
  <si>
    <t>0E.10</t>
  </si>
  <si>
    <t>Flex ruimte (stilteruimte) atriumzijde</t>
  </si>
  <si>
    <t>0E.11</t>
  </si>
  <si>
    <t>0E.12</t>
  </si>
  <si>
    <t>0E.13</t>
  </si>
  <si>
    <t>Focusruimte</t>
  </si>
  <si>
    <t>0E.14</t>
  </si>
  <si>
    <t>Voorportaal MV lift</t>
  </si>
  <si>
    <t>01</t>
  </si>
  <si>
    <t>01.01</t>
  </si>
  <si>
    <t>Bordes</t>
  </si>
  <si>
    <t>01.02</t>
  </si>
  <si>
    <t>Centrale Hal 1</t>
  </si>
  <si>
    <t>01.03</t>
  </si>
  <si>
    <t>Gang kantoor</t>
  </si>
  <si>
    <t xml:space="preserve">CITBV     </t>
  </si>
  <si>
    <t>01.04</t>
  </si>
  <si>
    <t>Kantoorruimte Woots</t>
  </si>
  <si>
    <t>01.05</t>
  </si>
  <si>
    <t>Focusrruimte links</t>
  </si>
  <si>
    <t>01.06</t>
  </si>
  <si>
    <t>Focusrruimte rechts</t>
  </si>
  <si>
    <t>01.07</t>
  </si>
  <si>
    <t>Overlegplek op kantoorruimte</t>
  </si>
  <si>
    <t>01.08</t>
  </si>
  <si>
    <t>01.09</t>
  </si>
  <si>
    <t>01.10</t>
  </si>
  <si>
    <t>Kantoorruimte Processupport</t>
  </si>
  <si>
    <t>01.11</t>
  </si>
  <si>
    <t>Kantoorruimte MS</t>
  </si>
  <si>
    <t>01.12</t>
  </si>
  <si>
    <t>01.13</t>
  </si>
  <si>
    <t>Toilet rechts</t>
  </si>
  <si>
    <t>01.14</t>
  </si>
  <si>
    <t>Toilet Links</t>
  </si>
  <si>
    <t>01.15</t>
  </si>
  <si>
    <t>01.16</t>
  </si>
  <si>
    <t>Kantoorruimte Belhokjes</t>
  </si>
  <si>
    <t>linoleum</t>
  </si>
  <si>
    <t>02</t>
  </si>
  <si>
    <t>02.01</t>
  </si>
  <si>
    <t>Balkon 2 verdieping</t>
  </si>
  <si>
    <t>stoeptegels</t>
  </si>
  <si>
    <t>02.02</t>
  </si>
  <si>
    <t>Stilteruimte CTE</t>
  </si>
  <si>
    <t xml:space="preserve">CTE       </t>
  </si>
  <si>
    <t>02.03</t>
  </si>
  <si>
    <t>02.04</t>
  </si>
  <si>
    <t>Kantoorruimte</t>
  </si>
  <si>
    <t>02.05</t>
  </si>
  <si>
    <t>Vergaderzaal Ad de Groot</t>
  </si>
  <si>
    <t xml:space="preserve">CITRVB    </t>
  </si>
  <si>
    <t>02.06</t>
  </si>
  <si>
    <t>Kantoorruimte met belhokjes</t>
  </si>
  <si>
    <t>02.07</t>
  </si>
  <si>
    <t>Kantoor Raad van bestuur</t>
  </si>
  <si>
    <t>02.08</t>
  </si>
  <si>
    <t>Bestuursecretariaat</t>
  </si>
  <si>
    <t>02.09</t>
  </si>
  <si>
    <t>02.10</t>
  </si>
  <si>
    <t>Centrale hal tweede verdieping</t>
  </si>
  <si>
    <t xml:space="preserve">PONCIT    </t>
  </si>
  <si>
    <t>02.11</t>
  </si>
  <si>
    <t>Gang + Pantry Pondera</t>
  </si>
  <si>
    <t xml:space="preserve">PON       </t>
  </si>
  <si>
    <t>Pondera</t>
  </si>
  <si>
    <t>02.12</t>
  </si>
  <si>
    <t>Ontvangst Pondera</t>
  </si>
  <si>
    <t>02.13</t>
  </si>
  <si>
    <t>02.14</t>
  </si>
  <si>
    <t>02.15</t>
  </si>
  <si>
    <t>Opslag Schoonmaak</t>
  </si>
  <si>
    <t>02.16</t>
  </si>
  <si>
    <t>02.17</t>
  </si>
  <si>
    <t>02.18</t>
  </si>
  <si>
    <t>Invalide Toilet</t>
  </si>
  <si>
    <t>03</t>
  </si>
  <si>
    <t>03.01</t>
  </si>
  <si>
    <t>Vergaderruimte</t>
  </si>
  <si>
    <t xml:space="preserve">ARC       </t>
  </si>
  <si>
    <t>Arcadis</t>
  </si>
  <si>
    <t>03.02</t>
  </si>
  <si>
    <t>03.03</t>
  </si>
  <si>
    <t>Ontvangst</t>
  </si>
  <si>
    <t>pvc</t>
  </si>
  <si>
    <t>03.04</t>
  </si>
  <si>
    <t>Opslag</t>
  </si>
  <si>
    <t>03.05</t>
  </si>
  <si>
    <t>03.06</t>
  </si>
  <si>
    <t>03.07</t>
  </si>
  <si>
    <t>03.08</t>
  </si>
  <si>
    <t>03.09</t>
  </si>
  <si>
    <t>03.10</t>
  </si>
  <si>
    <t>03.11</t>
  </si>
  <si>
    <t>03.12</t>
  </si>
  <si>
    <t>03.13</t>
  </si>
  <si>
    <t>Centrale hal verdieping 3</t>
  </si>
  <si>
    <t xml:space="preserve">ARCCIT    </t>
  </si>
  <si>
    <t>03.14</t>
  </si>
  <si>
    <t>03.15</t>
  </si>
  <si>
    <t>Toilet Midden</t>
  </si>
  <si>
    <t>03.16</t>
  </si>
  <si>
    <t>03.17</t>
  </si>
  <si>
    <t>Pantry derde verdieping</t>
  </si>
  <si>
    <t xml:space="preserve">CITLABST  </t>
  </si>
  <si>
    <t>03.18</t>
  </si>
  <si>
    <t xml:space="preserve">CITLAB    </t>
  </si>
  <si>
    <t>03.19</t>
  </si>
  <si>
    <t>Overleg verdieping</t>
  </si>
  <si>
    <t>03.20</t>
  </si>
  <si>
    <t>03.21</t>
  </si>
  <si>
    <t>Kantooruimte</t>
  </si>
  <si>
    <t>03.22</t>
  </si>
  <si>
    <t>03.23</t>
  </si>
  <si>
    <t>03.24</t>
  </si>
  <si>
    <t>03.25</t>
  </si>
  <si>
    <t>03.26</t>
  </si>
  <si>
    <t>03.27</t>
  </si>
  <si>
    <t>Stilteruimte</t>
  </si>
  <si>
    <t>03.28</t>
  </si>
  <si>
    <t>03.29</t>
  </si>
  <si>
    <t>03.30</t>
  </si>
  <si>
    <t>03.31</t>
  </si>
  <si>
    <t>Invalide toilet</t>
  </si>
  <si>
    <t>03.32</t>
  </si>
  <si>
    <t>Kantooruimte met belcellen</t>
  </si>
  <si>
    <t>-1.20</t>
  </si>
  <si>
    <t>Hoofdaansluiting gas</t>
  </si>
  <si>
    <t>-1.21</t>
  </si>
  <si>
    <t>Hellingbaan</t>
  </si>
  <si>
    <t>-1.22</t>
  </si>
  <si>
    <t>Transformatiehuis</t>
  </si>
  <si>
    <t xml:space="preserve">LIA       </t>
  </si>
  <si>
    <t>-1.23</t>
  </si>
  <si>
    <t>Opslag+ glasvezel</t>
  </si>
  <si>
    <t>-1.24</t>
  </si>
  <si>
    <t>Parkeergarage</t>
  </si>
  <si>
    <t>-1.25</t>
  </si>
  <si>
    <t>Open opslag + Koelinstallatie</t>
  </si>
  <si>
    <t>-1.26</t>
  </si>
  <si>
    <t>Noodtrappenhuis B1 voorportiek</t>
  </si>
  <si>
    <t>-1.27</t>
  </si>
  <si>
    <t>Noodtrappenhuis B1 achterportiek</t>
  </si>
  <si>
    <t>0E.19</t>
  </si>
  <si>
    <t>Expeditieruimte</t>
  </si>
  <si>
    <t>epoxyvloer</t>
  </si>
  <si>
    <t>0E.20</t>
  </si>
  <si>
    <t>Opslag Facilitair</t>
  </si>
  <si>
    <t>0E.21</t>
  </si>
  <si>
    <t>Magazijn BV Processupport</t>
  </si>
  <si>
    <t>0E.22</t>
  </si>
  <si>
    <t>Magazijn BV Repro</t>
  </si>
  <si>
    <t>0E.23</t>
  </si>
  <si>
    <t>Gang naar expeditieruimte</t>
  </si>
  <si>
    <t>0E.24</t>
  </si>
  <si>
    <t>Gang E</t>
  </si>
  <si>
    <t>0E.25</t>
  </si>
  <si>
    <t>Magazijn Pondera</t>
  </si>
  <si>
    <t>0E.26</t>
  </si>
  <si>
    <t>Magazijn Arcadis</t>
  </si>
  <si>
    <t>0E.27</t>
  </si>
  <si>
    <t>Meterkast</t>
  </si>
  <si>
    <t>9621</t>
  </si>
  <si>
    <t>0E.28</t>
  </si>
  <si>
    <t>Testruimte ICT</t>
  </si>
  <si>
    <t>0E.29</t>
  </si>
  <si>
    <t>0E.30</t>
  </si>
  <si>
    <t>0E.31</t>
  </si>
  <si>
    <t>0E.32</t>
  </si>
  <si>
    <t>Kolfruimte</t>
  </si>
  <si>
    <t>0E.33</t>
  </si>
  <si>
    <t>Repro</t>
  </si>
  <si>
    <t>0E.34</t>
  </si>
  <si>
    <t>Serverruimte</t>
  </si>
  <si>
    <t>0E.35</t>
  </si>
  <si>
    <t>Gang Atrium</t>
  </si>
  <si>
    <t>0E.36</t>
  </si>
  <si>
    <t>Gang met flexibele overlegruimtes</t>
  </si>
  <si>
    <t>0E.37</t>
  </si>
  <si>
    <t>Kantoorruimte HR/FIN.</t>
  </si>
  <si>
    <t>0E.38</t>
  </si>
  <si>
    <t>Vergaderzaal Rood</t>
  </si>
  <si>
    <t>0E.39</t>
  </si>
  <si>
    <t>Vergaderzaal Geel</t>
  </si>
  <si>
    <t>0E.40</t>
  </si>
  <si>
    <t>Vergaderzaal Blauw</t>
  </si>
  <si>
    <t>0E.41</t>
  </si>
  <si>
    <t>Garderobe</t>
  </si>
  <si>
    <t>0E.42</t>
  </si>
  <si>
    <t>Schacht</t>
  </si>
  <si>
    <t>0E.43</t>
  </si>
  <si>
    <t>0E.44</t>
  </si>
  <si>
    <t>Noodtrappenhuis B</t>
  </si>
  <si>
    <t>02.61</t>
  </si>
  <si>
    <t>02.62</t>
  </si>
  <si>
    <t>02.63</t>
  </si>
  <si>
    <t>Kantoor</t>
  </si>
  <si>
    <t>02.64</t>
  </si>
  <si>
    <t>Kluis CTE</t>
  </si>
  <si>
    <t>02.65</t>
  </si>
  <si>
    <t>Pantry</t>
  </si>
  <si>
    <t xml:space="preserve">CTERVB    </t>
  </si>
  <si>
    <t>02.66</t>
  </si>
  <si>
    <t>02.67</t>
  </si>
  <si>
    <t>Overlegruimte verdieping</t>
  </si>
  <si>
    <t>02.68</t>
  </si>
  <si>
    <t>02.69</t>
  </si>
  <si>
    <t>02.70</t>
  </si>
  <si>
    <t>02.71</t>
  </si>
  <si>
    <t>Opslag Koffie</t>
  </si>
  <si>
    <t>02.72</t>
  </si>
  <si>
    <t>02.73</t>
  </si>
  <si>
    <t>02.74</t>
  </si>
  <si>
    <t>Opslag Boeken</t>
  </si>
  <si>
    <t>02.75</t>
  </si>
  <si>
    <t>02.76</t>
  </si>
  <si>
    <t>02.77</t>
  </si>
  <si>
    <t>02.78</t>
  </si>
  <si>
    <t>02.79</t>
  </si>
  <si>
    <t>02.80</t>
  </si>
  <si>
    <t>Noodtrappenhuis B1</t>
  </si>
  <si>
    <t>02.81</t>
  </si>
  <si>
    <t>02.82</t>
  </si>
  <si>
    <t>02.83</t>
  </si>
  <si>
    <t>02.84</t>
  </si>
  <si>
    <t>02.85</t>
  </si>
  <si>
    <t>02.86</t>
  </si>
  <si>
    <t>02.87</t>
  </si>
  <si>
    <t>Gaderobe</t>
  </si>
  <si>
    <t>02.88</t>
  </si>
  <si>
    <t>03.61</t>
  </si>
  <si>
    <t>03.62</t>
  </si>
  <si>
    <t>03.63</t>
  </si>
  <si>
    <t>03.64</t>
  </si>
  <si>
    <t>03.65</t>
  </si>
  <si>
    <t>03.66</t>
  </si>
  <si>
    <t>03.67</t>
  </si>
  <si>
    <t>03.68</t>
  </si>
  <si>
    <t>03.69</t>
  </si>
  <si>
    <t>03.70</t>
  </si>
  <si>
    <t>03.71</t>
  </si>
  <si>
    <t>03.72</t>
  </si>
  <si>
    <t>Rekenkamer</t>
  </si>
  <si>
    <t>03.73</t>
  </si>
  <si>
    <t>03.74</t>
  </si>
  <si>
    <t>03.75</t>
  </si>
  <si>
    <t>03.76</t>
  </si>
  <si>
    <t>03.77</t>
  </si>
  <si>
    <t>03.78</t>
  </si>
  <si>
    <t>03.79</t>
  </si>
  <si>
    <t>03.80</t>
  </si>
  <si>
    <t>Overlegruimte</t>
  </si>
  <si>
    <t>03.81</t>
  </si>
  <si>
    <t>03.82</t>
  </si>
  <si>
    <t>03.83</t>
  </si>
  <si>
    <t>Opslag kantoorartikelen</t>
  </si>
  <si>
    <t>03.84</t>
  </si>
  <si>
    <t>03.85</t>
  </si>
  <si>
    <t>C</t>
  </si>
  <si>
    <t>-1.11</t>
  </si>
  <si>
    <t>Ruimte verwarmingspompen</t>
  </si>
  <si>
    <t>-1.12</t>
  </si>
  <si>
    <t>Expeditielift</t>
  </si>
  <si>
    <t>-1.13</t>
  </si>
  <si>
    <t>-1.14</t>
  </si>
  <si>
    <t>Opslag Keuken</t>
  </si>
  <si>
    <t>-1.15</t>
  </si>
  <si>
    <t>Opslag gereedschap/techn. verbruiksmidde</t>
  </si>
  <si>
    <t>-1.16</t>
  </si>
  <si>
    <t>WC+ Douche Vrouw</t>
  </si>
  <si>
    <t>-1.17</t>
  </si>
  <si>
    <t>WC+ Douche Man</t>
  </si>
  <si>
    <t>-1.18</t>
  </si>
  <si>
    <t>Kleed + wasruimte keuken</t>
  </si>
  <si>
    <t>-1.19</t>
  </si>
  <si>
    <t>Vuilopslag</t>
  </si>
  <si>
    <t>-2.02</t>
  </si>
  <si>
    <t>Prorail</t>
  </si>
  <si>
    <t>-2.03</t>
  </si>
  <si>
    <t>Schacht Prorail</t>
  </si>
  <si>
    <t>-2.04</t>
  </si>
  <si>
    <t>Noodtrappenhuis C1</t>
  </si>
  <si>
    <t>-2.05</t>
  </si>
  <si>
    <t>Luchtbehandelingruimte 1</t>
  </si>
  <si>
    <t>-2.06</t>
  </si>
  <si>
    <t>Luchtbehandeling</t>
  </si>
  <si>
    <t>-2.07</t>
  </si>
  <si>
    <t>Voorruimte luchtbehandeling</t>
  </si>
  <si>
    <t>-2.08</t>
  </si>
  <si>
    <t>Luchtbehandelingruimte 2</t>
  </si>
  <si>
    <t>-2.09</t>
  </si>
  <si>
    <t>Ketelruimte</t>
  </si>
  <si>
    <t>-2.10</t>
  </si>
  <si>
    <t>Verdeelunit Luchtbehandeling</t>
  </si>
  <si>
    <t>-2.11</t>
  </si>
  <si>
    <t>Liftschacht Expeditie</t>
  </si>
  <si>
    <t>-2.12</t>
  </si>
  <si>
    <t>Noodtrappenhuis C2</t>
  </si>
  <si>
    <t>00.16</t>
  </si>
  <si>
    <t>00.17</t>
  </si>
  <si>
    <t>Vergaderzaal 5</t>
  </si>
  <si>
    <t>00.18</t>
  </si>
  <si>
    <t>Vergaderzaal 6</t>
  </si>
  <si>
    <t>00.19</t>
  </si>
  <si>
    <t>Vergaderzaal 7</t>
  </si>
  <si>
    <t>00.20</t>
  </si>
  <si>
    <t>Noodtrappenhuis</t>
  </si>
  <si>
    <t>00.21</t>
  </si>
  <si>
    <t>Vergaderzaal 8</t>
  </si>
  <si>
    <t>00.22</t>
  </si>
  <si>
    <t>Vergaderzaal 9</t>
  </si>
  <si>
    <t>00.23</t>
  </si>
  <si>
    <t>Voorruimte Schacht</t>
  </si>
  <si>
    <t>00.24</t>
  </si>
  <si>
    <t>00.25</t>
  </si>
  <si>
    <t>00.26</t>
  </si>
  <si>
    <t>00.27</t>
  </si>
  <si>
    <t>Atrium incl trap</t>
  </si>
  <si>
    <t>00.28</t>
  </si>
  <si>
    <t>Kast met ontharder</t>
  </si>
  <si>
    <t>9650</t>
  </si>
  <si>
    <t>00.29</t>
  </si>
  <si>
    <t>Spoelkeuken</t>
  </si>
  <si>
    <t>epoxyvloer?</t>
  </si>
  <si>
    <t>00.30</t>
  </si>
  <si>
    <t>Buffet bedrijfsrestaurant</t>
  </si>
  <si>
    <t>00.31</t>
  </si>
  <si>
    <t>Afvalruimte</t>
  </si>
  <si>
    <t>00.32</t>
  </si>
  <si>
    <t>00.33</t>
  </si>
  <si>
    <t>Werkruimte keuken</t>
  </si>
  <si>
    <t>00.34</t>
  </si>
  <si>
    <t>Koelruimte</t>
  </si>
  <si>
    <t>epoxyvloer/mdf</t>
  </si>
  <si>
    <t>00.35</t>
  </si>
  <si>
    <t>Voorraadkast keuken</t>
  </si>
  <si>
    <t>00.36</t>
  </si>
  <si>
    <t>0E.15</t>
  </si>
  <si>
    <t>Gang voor expeditielift</t>
  </si>
  <si>
    <t>0E.16</t>
  </si>
  <si>
    <t>Kluisruimte BV</t>
  </si>
  <si>
    <t>0E.17</t>
  </si>
  <si>
    <t>Inpakruimte processupport</t>
  </si>
  <si>
    <t>0E.18</t>
  </si>
  <si>
    <t>Atrium boven zijde</t>
  </si>
  <si>
    <t>01.17</t>
  </si>
  <si>
    <t>01.18</t>
  </si>
  <si>
    <t>Greenroom</t>
  </si>
  <si>
    <t>01.19</t>
  </si>
  <si>
    <t>Audiovisuele ruimte</t>
  </si>
  <si>
    <t>01.20</t>
  </si>
  <si>
    <t>01.21</t>
  </si>
  <si>
    <t>01.22</t>
  </si>
  <si>
    <t>Voorrruimte schacht</t>
  </si>
  <si>
    <t>01.23</t>
  </si>
  <si>
    <t>01.24</t>
  </si>
  <si>
    <t>01.25</t>
  </si>
  <si>
    <t>Klantenservice stationzijde</t>
  </si>
  <si>
    <t>01.26</t>
  </si>
  <si>
    <t>01.27</t>
  </si>
  <si>
    <t>Overlegruimte verdiepingen</t>
  </si>
  <si>
    <t>01.28</t>
  </si>
  <si>
    <t>Montage ruimte</t>
  </si>
  <si>
    <t>01.29</t>
  </si>
  <si>
    <t>Geluidsstudio</t>
  </si>
  <si>
    <t>01.30</t>
  </si>
  <si>
    <t>Kantoorruimte geluidstudio</t>
  </si>
  <si>
    <t>01.31</t>
  </si>
  <si>
    <t>Formulierenverwerking</t>
  </si>
  <si>
    <t>01.32</t>
  </si>
  <si>
    <t>Klantenservice Atriumzijde</t>
  </si>
  <si>
    <t>01.33</t>
  </si>
  <si>
    <t>01.34</t>
  </si>
  <si>
    <t>Loopbrug verdieping 1 (incl. trap)</t>
  </si>
  <si>
    <t>tapijt/hout/pvc</t>
  </si>
  <si>
    <t>01.35</t>
  </si>
  <si>
    <t>01.36</t>
  </si>
  <si>
    <t>Overleg ruimte verdieping</t>
  </si>
  <si>
    <t>01.37</t>
  </si>
  <si>
    <t>Kantoor BV stationzijde</t>
  </si>
  <si>
    <t>01.38</t>
  </si>
  <si>
    <t>Focusruimte Stationzijde</t>
  </si>
  <si>
    <t>01.39</t>
  </si>
  <si>
    <t>Focusruimte Midden</t>
  </si>
  <si>
    <t>01.40</t>
  </si>
  <si>
    <t>01.41</t>
  </si>
  <si>
    <t>01.42</t>
  </si>
  <si>
    <t>01.43</t>
  </si>
  <si>
    <t>01.44</t>
  </si>
  <si>
    <t>Kantoor BV atriumzijde</t>
  </si>
  <si>
    <t>01.45</t>
  </si>
  <si>
    <t>01.46</t>
  </si>
  <si>
    <t>01.47</t>
  </si>
  <si>
    <t>01.48</t>
  </si>
  <si>
    <t>Gang Expeditie verdieping 1</t>
  </si>
  <si>
    <t>01.49</t>
  </si>
  <si>
    <t>Noodtrappenhuis C2 verdieping 1</t>
  </si>
  <si>
    <t>02.19</t>
  </si>
  <si>
    <t>02.20</t>
  </si>
  <si>
    <t>02.21</t>
  </si>
  <si>
    <t>02.22</t>
  </si>
  <si>
    <t>02.23</t>
  </si>
  <si>
    <t>02.24</t>
  </si>
  <si>
    <t>02.25</t>
  </si>
  <si>
    <t>02.26</t>
  </si>
  <si>
    <t>02.27</t>
  </si>
  <si>
    <t>02.28</t>
  </si>
  <si>
    <t>Kantoorruimte (open)</t>
  </si>
  <si>
    <t>02.29</t>
  </si>
  <si>
    <t>02.30</t>
  </si>
  <si>
    <t>02.31</t>
  </si>
  <si>
    <t>02.32</t>
  </si>
  <si>
    <t>02.33</t>
  </si>
  <si>
    <t>02.34</t>
  </si>
  <si>
    <t>02.35</t>
  </si>
  <si>
    <t>02.36</t>
  </si>
  <si>
    <t>02.37</t>
  </si>
  <si>
    <t>02.38</t>
  </si>
  <si>
    <t>02.39</t>
  </si>
  <si>
    <t>02.40</t>
  </si>
  <si>
    <t>02.41</t>
  </si>
  <si>
    <t>02.42</t>
  </si>
  <si>
    <t>02.43</t>
  </si>
  <si>
    <t>02.44</t>
  </si>
  <si>
    <t>02.45</t>
  </si>
  <si>
    <t>02.46</t>
  </si>
  <si>
    <t>02.47</t>
  </si>
  <si>
    <t>Loopbrug verdieping 2 (incl. Trap)</t>
  </si>
  <si>
    <t>02.48</t>
  </si>
  <si>
    <t>02.49</t>
  </si>
  <si>
    <t>02.50</t>
  </si>
  <si>
    <t>02.51</t>
  </si>
  <si>
    <t>02.52</t>
  </si>
  <si>
    <t>02.53</t>
  </si>
  <si>
    <t>Opslag Kantoorartikelen</t>
  </si>
  <si>
    <t>02.54</t>
  </si>
  <si>
    <t>Hal expeditielift 2</t>
  </si>
  <si>
    <t>02.55</t>
  </si>
  <si>
    <t>02.56</t>
  </si>
  <si>
    <t>Kantoorruimte CTE</t>
  </si>
  <si>
    <t>02.57</t>
  </si>
  <si>
    <t>02.58</t>
  </si>
  <si>
    <t>02.59</t>
  </si>
  <si>
    <t>02.60</t>
  </si>
  <si>
    <t>03.33</t>
  </si>
  <si>
    <t>03.34</t>
  </si>
  <si>
    <t>Bedrijfsarts</t>
  </si>
  <si>
    <t>03.35</t>
  </si>
  <si>
    <t>03.36</t>
  </si>
  <si>
    <t>03.37</t>
  </si>
  <si>
    <t>Voorruimte schacht</t>
  </si>
  <si>
    <t>03.38</t>
  </si>
  <si>
    <t>03.39</t>
  </si>
  <si>
    <t>03.40</t>
  </si>
  <si>
    <t xml:space="preserve">CITIVIT   </t>
  </si>
  <si>
    <t>03.41</t>
  </si>
  <si>
    <t>Technische ruimte buiten</t>
  </si>
  <si>
    <t>03.42</t>
  </si>
  <si>
    <t>Terras 3 verdieping</t>
  </si>
  <si>
    <t>03.43</t>
  </si>
  <si>
    <t>Focusruimte Atriumzijde</t>
  </si>
  <si>
    <t>03.44</t>
  </si>
  <si>
    <t>Focusruimte Gangzijde</t>
  </si>
  <si>
    <t>03.45</t>
  </si>
  <si>
    <t>03.46</t>
  </si>
  <si>
    <t>03.47</t>
  </si>
  <si>
    <t>Loopbrug verdieping 3 (incl. trap)</t>
  </si>
  <si>
    <t>03.48</t>
  </si>
  <si>
    <t>03.49</t>
  </si>
  <si>
    <t>03.50</t>
  </si>
  <si>
    <t>03.51</t>
  </si>
  <si>
    <t>Focusruimte midden</t>
  </si>
  <si>
    <t>03.52</t>
  </si>
  <si>
    <t>03.53</t>
  </si>
  <si>
    <t>03.54</t>
  </si>
  <si>
    <t>Overleg verdieping /servicedesk</t>
  </si>
  <si>
    <t>03.55</t>
  </si>
  <si>
    <t>03.56</t>
  </si>
  <si>
    <t>03.57</t>
  </si>
  <si>
    <t>03.58</t>
  </si>
  <si>
    <t>Hal expeditie verdieping 3</t>
  </si>
  <si>
    <t>03.59</t>
  </si>
  <si>
    <t>03.60</t>
  </si>
  <si>
    <t>Totaal werkdag</t>
  </si>
  <si>
    <t>Omrekentabel t.b.v. Invultabel Objecten (niet afdrukken)</t>
  </si>
  <si>
    <t>DAGSOORT</t>
  </si>
  <si>
    <t>WERKSOORT</t>
  </si>
  <si>
    <t>FREQ DECIMAAL</t>
  </si>
  <si>
    <t>UURFACTOR</t>
  </si>
  <si>
    <t xml:space="preserve">KENGETAL </t>
  </si>
  <si>
    <t>TARIEF</t>
  </si>
  <si>
    <t xml:space="preserve">    1000</t>
  </si>
  <si>
    <t>werkdag</t>
  </si>
  <si>
    <t>NAAM</t>
  </si>
  <si>
    <t>ADRES</t>
  </si>
  <si>
    <t>PLAATS</t>
  </si>
  <si>
    <t>BASIS UUR- TARIEF</t>
  </si>
  <si>
    <t>UREN/ UITVOERING</t>
  </si>
  <si>
    <t>PRIJS/ UITVOERING</t>
  </si>
  <si>
    <t>PRIJS/ MAAND (EURO)</t>
  </si>
  <si>
    <t>Cito</t>
  </si>
  <si>
    <t>Amsterdamseweg 13</t>
  </si>
  <si>
    <t>Arnhem</t>
  </si>
  <si>
    <t>Totaal regulier werk incl. suppleties (excl. BTW)</t>
  </si>
  <si>
    <t>Object</t>
  </si>
  <si>
    <t>Naam</t>
  </si>
  <si>
    <t>Adres</t>
  </si>
  <si>
    <t>Plaats</t>
  </si>
  <si>
    <t>Oppervlakte in onderhoud</t>
  </si>
  <si>
    <t xml:space="preserve">Uren/ jaar werkdag                  </t>
  </si>
  <si>
    <t xml:space="preserve">Gemiddelde productienorm werkdag                  </t>
  </si>
  <si>
    <t>Prijs/ jaar</t>
  </si>
  <si>
    <t>Prijs/ maand excl.BTW</t>
  </si>
  <si>
    <t>Prijs per m² per jaar</t>
  </si>
  <si>
    <t>TOTAAL (excl. BTW)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</si>
  <si>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</si>
  <si>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</si>
  <si>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</si>
  <si>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</si>
  <si>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</si>
  <si>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</si>
  <si>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</si>
  <si>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1001</t>
  </si>
  <si>
    <t>Flexibele ondersteuning keuken</t>
  </si>
  <si>
    <t>prijs per uur</t>
  </si>
  <si>
    <t>1002</t>
  </si>
  <si>
    <t>Verzorging afwassen koffiebekers</t>
  </si>
  <si>
    <t>Totaal additioneel werk excl. BTW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</si>
  <si>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</si>
  <si>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</si>
  <si>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</si>
  <si>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</si>
  <si>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</si>
  <si>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</si>
  <si>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</si>
  <si>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</si>
  <si>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</si>
  <si>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</si>
  <si>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</si>
  <si>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2030A</t>
  </si>
  <si>
    <t>Toetsenbord reinigen</t>
  </si>
  <si>
    <t>2030B</t>
  </si>
  <si>
    <t>2030C</t>
  </si>
  <si>
    <t>2030D</t>
  </si>
  <si>
    <t>2500A</t>
  </si>
  <si>
    <t>Luxaflex reinigen</t>
  </si>
  <si>
    <t>prijs per m²</t>
  </si>
  <si>
    <t>&lt; 5 m²</t>
  </si>
  <si>
    <t>2500B</t>
  </si>
  <si>
    <t>5 &lt; 25 m²</t>
  </si>
  <si>
    <t>2500C</t>
  </si>
  <si>
    <t>25 &lt; 100 m²</t>
  </si>
  <si>
    <t>2500D</t>
  </si>
  <si>
    <t>&gt;=100 m²</t>
  </si>
  <si>
    <t>3000A</t>
  </si>
  <si>
    <t>Lamellen (horizontaal) reinigen (alumin)</t>
  </si>
  <si>
    <t>3000B</t>
  </si>
  <si>
    <t>3000C</t>
  </si>
  <si>
    <t>3000D</t>
  </si>
  <si>
    <t>3010A</t>
  </si>
  <si>
    <t>Lamellen (verticaal) reinigen (alumin)</t>
  </si>
  <si>
    <t>3010B</t>
  </si>
  <si>
    <t>3010C</t>
  </si>
  <si>
    <t>3010D</t>
  </si>
  <si>
    <t>3030</t>
  </si>
  <si>
    <t>Graffiti verwijderen</t>
  </si>
  <si>
    <t>3040</t>
  </si>
  <si>
    <t>Graffiti verwijderen spec.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</si>
  <si>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</si>
  <si>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</si>
  <si>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</si>
  <si>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</si>
  <si>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</si>
  <si>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</si>
  <si>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</si>
  <si>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</si>
  <si>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</si>
  <si>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4020A</t>
  </si>
  <si>
    <t>Linoleum sprayen /opwrijven</t>
  </si>
  <si>
    <t>4020B</t>
  </si>
  <si>
    <t>4020C</t>
  </si>
  <si>
    <t>4020D</t>
  </si>
  <si>
    <t>4030A</t>
  </si>
  <si>
    <t>Linoleum vloeren strippen/conserveren excl. uitruimen/inruimen</t>
  </si>
  <si>
    <t>4030B</t>
  </si>
  <si>
    <t>4030C</t>
  </si>
  <si>
    <t>4030D</t>
  </si>
  <si>
    <t>4031A</t>
  </si>
  <si>
    <t>Linoleum vloeren strippen/conserveren incl. uitruimen/inruimen</t>
  </si>
  <si>
    <t>4031B</t>
  </si>
  <si>
    <t>4031C</t>
  </si>
  <si>
    <t>4031D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</si>
  <si>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</si>
  <si>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</si>
  <si>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</si>
  <si>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</si>
  <si>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</si>
  <si>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</si>
  <si>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</si>
  <si>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</si>
  <si>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</si>
  <si>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</si>
  <si>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</si>
  <si>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 excl. uitruimen/inruimen</t>
  </si>
  <si>
    <t>4060B</t>
  </si>
  <si>
    <t>4060C</t>
  </si>
  <si>
    <t>4060D</t>
  </si>
  <si>
    <t>4061A</t>
  </si>
  <si>
    <t>Tapijt reinigen sproei/extractie methode incl. uitruimen/inruimen</t>
  </si>
  <si>
    <t>4061B</t>
  </si>
  <si>
    <t>4061C</t>
  </si>
  <si>
    <t>4061D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</si>
  <si>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</si>
  <si>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</si>
  <si>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</si>
  <si>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</si>
  <si>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</si>
  <si>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</si>
  <si>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</si>
  <si>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</si>
  <si>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</si>
  <si>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</si>
  <si>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Totaal afroep incidenteel excl. BTW</t>
  </si>
  <si>
    <t>9000</t>
  </si>
  <si>
    <t>Medewerker regiewerkzaamheden</t>
  </si>
  <si>
    <t>9100</t>
  </si>
  <si>
    <t>Medewerker specialistische werkzaamheden</t>
  </si>
  <si>
    <t>Totaal regiewerk excl. BTW</t>
  </si>
  <si>
    <t>8000</t>
  </si>
  <si>
    <t>Gevelglas buitenzijde</t>
  </si>
  <si>
    <t>8005</t>
  </si>
  <si>
    <t>Hoogwerker gevelglas/beplating buitenzijde</t>
  </si>
  <si>
    <t>prijs per dag</t>
  </si>
  <si>
    <t>8006</t>
  </si>
  <si>
    <t>Aanvraag vergunning glas buitenzijde (excl.vergunning)</t>
  </si>
  <si>
    <t>8010</t>
  </si>
  <si>
    <t>Gevelglas binnenzijde</t>
  </si>
  <si>
    <t>8011</t>
  </si>
  <si>
    <t>Gevelglas binnenzijde hoog</t>
  </si>
  <si>
    <t>8020</t>
  </si>
  <si>
    <t>Separatieglas (m² is totaal)</t>
  </si>
  <si>
    <t>8021</t>
  </si>
  <si>
    <t>Separatieglas hoog (m² is totaal)</t>
  </si>
  <si>
    <t>8030</t>
  </si>
  <si>
    <t>Atrium dakglas buitenzijde</t>
  </si>
  <si>
    <t>8031</t>
  </si>
  <si>
    <t>Atrium dakglas binnenzijde</t>
  </si>
  <si>
    <t>8040</t>
  </si>
  <si>
    <t>Hoogwerker atrium dakglas (binnenzijde)</t>
  </si>
  <si>
    <t>8041</t>
  </si>
  <si>
    <t>Hoogwerker atrium binnenglas</t>
  </si>
  <si>
    <t>8042</t>
  </si>
  <si>
    <t>Hoogwerker atrium binnenglas (achter treinsits)</t>
  </si>
  <si>
    <t>Totaal glas excl. BTW</t>
  </si>
  <si>
    <t>WERK-SOORT</t>
  </si>
  <si>
    <t>GLAS BUITEN ENTR/TOURNIQ/ACHTER BLOEMBAK</t>
  </si>
  <si>
    <t>beurt</t>
  </si>
  <si>
    <t>tarief/m²/uitvoering</t>
  </si>
  <si>
    <t>n.v.t.</t>
  </si>
  <si>
    <t>GLAS BUITEN VERGADERCENTRUM</t>
  </si>
  <si>
    <t>GLAS BUITEN OVERIG GEVEL</t>
  </si>
  <si>
    <t>GLAS BUITEN ATRIUM DAK</t>
  </si>
  <si>
    <t>GLAS ENTREE</t>
  </si>
  <si>
    <t>GLAS VERGADERCENTRUM</t>
  </si>
  <si>
    <t>GLAS ATRIUM BENEDEN (restaurant)</t>
  </si>
  <si>
    <t>GLAS ATRIUM BOVEN (tot reikhoogte)</t>
  </si>
  <si>
    <t>GLAS ATRIUM HOOG (INCL. LOOPBRUG)</t>
  </si>
  <si>
    <t>GLAS ATRIUM DAK</t>
  </si>
  <si>
    <t>GLAS MAGAZIJNEN+REPRO</t>
  </si>
  <si>
    <t>GLAS OVERIG</t>
  </si>
  <si>
    <t>GLAS HAL+LOOPBRUG</t>
  </si>
  <si>
    <t>GLAS OVERIG PONDERA</t>
  </si>
  <si>
    <t>GLAS OVERIG ARCADIS</t>
  </si>
  <si>
    <t>Soort werk</t>
  </si>
  <si>
    <t>Uren per jaar uitvoering</t>
  </si>
  <si>
    <t>Bedrag per jaar excl. BTW (euro)</t>
  </si>
  <si>
    <t xml:space="preserve">Regulier werk </t>
  </si>
  <si>
    <t>Additioneel werk</t>
  </si>
  <si>
    <t>Regie (geschat)</t>
  </si>
  <si>
    <t>Glas</t>
  </si>
  <si>
    <t>Totaal generaal</t>
  </si>
  <si>
    <t>VERGELIJKINGSPRIJS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</si>
</sst>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1" fillId="3" borderId="12" xfId="0" applyNumberFormat="1" applyFont="1" applyFill="1" applyBorder="1"/>
    <xf numFmtId="49" fontId="1" fillId="3" borderId="13" xfId="0" applyNumberFormat="1" applyFont="1" applyFill="1" applyBorder="1"/>
    <xf numFmtId="49" fontId="1" fillId="3" borderId="14" xfId="0" applyNumberFormat="1" applyFont="1" applyFill="1" applyBorder="1"/>
    <xf numFmtId="49" fontId="1" fillId="3" borderId="15" xfId="0" applyNumberFormat="1" applyFont="1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49" fontId="1" fillId="3" borderId="15" xfId="0" applyNumberFormat="1" applyFont="1" applyFill="1" applyBorder="1" applyAlignment="1">
      <alignment wrapText="1"/>
    </xf>
    <xf numFmtId="49" fontId="1" fillId="4" borderId="16" xfId="0" applyNumberFormat="1" applyFont="1" applyFill="1" applyBorder="1" applyAlignment="1">
      <alignment wrapText="1"/>
    </xf>
    <xf numFmtId="49" fontId="1" fillId="4" borderId="17" xfId="0" applyNumberFormat="1" applyFon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1" fillId="0" borderId="16" xfId="0" applyNumberFormat="1" applyFont="1" applyBorder="1" applyAlignment="1" applyProtection="1">
      <alignment wrapText="1"/>
      <protection locked="0"/>
    </xf>
    <xf numFmtId="49" fontId="1" fillId="0" borderId="17" xfId="0" applyNumberFormat="1" applyFont="1" applyBorder="1" applyAlignment="1" applyProtection="1">
      <alignment wrapText="1"/>
      <protection locked="0"/>
    </xf>
    <xf numFmtId="49" fontId="0" fillId="3" borderId="15" xfId="0" applyNumberFormat="1" applyFill="1" applyBorder="1"/>
    <xf numFmtId="164" fontId="0" fillId="0" borderId="16" xfId="0" applyNumberFormat="1" applyBorder="1" applyProtection="1">
      <protection locked="0"/>
    </xf>
    <xf numFmtId="164" fontId="0" fillId="0" borderId="17" xfId="0" applyNumberFormat="1" applyBorder="1" applyProtection="1">
      <protection locked="0"/>
    </xf>
    <xf numFmtId="164" fontId="0" fillId="2" borderId="16" xfId="0" applyNumberFormat="1" applyFill="1" applyBorder="1"/>
    <xf numFmtId="164" fontId="0" fillId="2" borderId="17" xfId="0" applyNumberFormat="1" applyFill="1" applyBorder="1"/>
    <xf numFmtId="10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164" fontId="0" fillId="2" borderId="17" xfId="0" applyNumberFormat="1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10" fontId="0" fillId="4" borderId="16" xfId="0" applyNumberFormat="1" applyFill="1" applyBorder="1" applyProtection="1">
      <protection locked="0"/>
    </xf>
    <xf numFmtId="49" fontId="1" fillId="3" borderId="18" xfId="0" applyNumberFormat="1" applyFont="1" applyFill="1" applyBorder="1"/>
    <xf numFmtId="10" fontId="0" fillId="4" borderId="19" xfId="0" applyNumberFormat="1" applyFill="1" applyBorder="1" applyProtection="1">
      <protection locked="0"/>
    </xf>
    <xf numFmtId="164" fontId="0" fillId="2" borderId="19" xfId="0" applyNumberFormat="1" applyFill="1" applyBorder="1"/>
    <xf numFmtId="164" fontId="0" fillId="2" borderId="20" xfId="0" applyNumberFormat="1" applyFill="1" applyBorder="1"/>
    <xf numFmtId="49" fontId="1" fillId="3" borderId="13" xfId="0" applyNumberFormat="1" applyFont="1" applyFill="1" applyBorder="1" applyAlignment="1">
      <alignment wrapText="1"/>
    </xf>
    <xf numFmtId="49" fontId="1" fillId="3" borderId="14" xfId="0" applyNumberFormat="1" applyFont="1" applyFill="1" applyBorder="1" applyAlignment="1">
      <alignment wrapText="1"/>
    </xf>
    <xf numFmtId="0" fontId="0" fillId="2" borderId="15" xfId="0" applyFill="1" applyBorder="1" applyAlignment="1">
      <alignment wrapText="1"/>
    </xf>
    <xf numFmtId="10" fontId="0" fillId="2" borderId="16" xfId="0" applyNumberFormat="1" applyFill="1" applyBorder="1"/>
    <xf numFmtId="164" fontId="1" fillId="2" borderId="19" xfId="0" applyNumberFormat="1" applyFont="1" applyFill="1" applyBorder="1"/>
    <xf numFmtId="164" fontId="1" fillId="2" borderId="20" xfId="0" applyNumberFormat="1" applyFont="1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0" xfId="0" applyFill="1" applyBorder="1"/>
    <xf numFmtId="0" fontId="0" fillId="3" borderId="8" xfId="0" applyFill="1" applyBorder="1"/>
    <xf numFmtId="49" fontId="0" fillId="2" borderId="24" xfId="0" applyNumberFormat="1" applyFill="1" applyBorder="1"/>
    <xf numFmtId="1" fontId="0" fillId="2" borderId="24" xfId="0" applyNumberFormat="1" applyFill="1" applyBorder="1"/>
    <xf numFmtId="4" fontId="0" fillId="0" borderId="24" xfId="0" applyNumberFormat="1" applyBorder="1" applyProtection="1">
      <protection locked="0"/>
    </xf>
    <xf numFmtId="10" fontId="0" fillId="0" borderId="24" xfId="0" applyNumberFormat="1" applyBorder="1" applyProtection="1">
      <protection locked="0"/>
    </xf>
    <xf numFmtId="164" fontId="0" fillId="2" borderId="24" xfId="0" applyNumberFormat="1" applyFill="1" applyBorder="1"/>
    <xf numFmtId="49" fontId="0" fillId="2" borderId="25" xfId="0" applyNumberFormat="1" applyFill="1" applyBorder="1"/>
    <xf numFmtId="1" fontId="0" fillId="2" borderId="25" xfId="0" applyNumberFormat="1" applyFill="1" applyBorder="1"/>
    <xf numFmtId="4" fontId="0" fillId="0" borderId="25" xfId="0" applyNumberFormat="1" applyBorder="1" applyProtection="1">
      <protection locked="0"/>
    </xf>
    <xf numFmtId="10" fontId="0" fillId="0" borderId="25" xfId="0" applyNumberFormat="1" applyBorder="1" applyProtection="1">
      <protection locked="0"/>
    </xf>
    <xf numFmtId="164" fontId="0" fillId="2" borderId="25" xfId="0" applyNumberFormat="1" applyFill="1" applyBorder="1"/>
    <xf numFmtId="49" fontId="0" fillId="2" borderId="26" xfId="0" applyNumberFormat="1" applyFill="1" applyBorder="1"/>
    <xf numFmtId="1" fontId="0" fillId="2" borderId="26" xfId="0" applyNumberFormat="1" applyFill="1" applyBorder="1"/>
    <xf numFmtId="4" fontId="0" fillId="0" borderId="26" xfId="0" applyNumberFormat="1" applyBorder="1" applyProtection="1">
      <protection locked="0"/>
    </xf>
    <xf numFmtId="10" fontId="0" fillId="0" borderId="26" xfId="0" applyNumberFormat="1" applyBorder="1" applyProtection="1">
      <protection locked="0"/>
    </xf>
    <xf numFmtId="164" fontId="0" fillId="2" borderId="26" xfId="0" applyNumberFormat="1" applyFill="1" applyBorder="1"/>
    <xf numFmtId="4" fontId="0" fillId="2" borderId="24" xfId="0" applyNumberFormat="1" applyFill="1" applyBorder="1"/>
    <xf numFmtId="165" fontId="0" fillId="2" borderId="24" xfId="0" applyNumberFormat="1" applyFill="1" applyBorder="1"/>
    <xf numFmtId="4" fontId="0" fillId="2" borderId="25" xfId="0" applyNumberFormat="1" applyFill="1" applyBorder="1"/>
    <xf numFmtId="165" fontId="0" fillId="2" borderId="25" xfId="0" applyNumberFormat="1" applyFill="1" applyBorder="1"/>
    <xf numFmtId="165" fontId="0" fillId="0" borderId="25" xfId="0" applyNumberFormat="1" applyBorder="1" applyProtection="1">
      <protection locked="0"/>
    </xf>
    <xf numFmtId="4" fontId="0" fillId="2" borderId="26" xfId="0" applyNumberFormat="1" applyFill="1" applyBorder="1"/>
    <xf numFmtId="165" fontId="0" fillId="0" borderId="26" xfId="0" applyNumberFormat="1" applyBorder="1" applyProtection="1">
      <protection locked="0"/>
    </xf>
    <xf numFmtId="0" fontId="0" fillId="3" borderId="28" xfId="0" applyFill="1" applyBorder="1"/>
    <xf numFmtId="49" fontId="0" fillId="3" borderId="21" xfId="0" applyNumberFormat="1" applyFill="1" applyBorder="1"/>
    <xf numFmtId="0" fontId="0" fillId="3" borderId="22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27" xfId="0" applyNumberFormat="1" applyFill="1" applyBorder="1"/>
    <xf numFmtId="0" fontId="0" fillId="3" borderId="21" xfId="0" applyFill="1" applyBorder="1"/>
    <xf numFmtId="0" fontId="0" fillId="3" borderId="29" xfId="0" applyFill="1" applyBorder="1"/>
    <xf numFmtId="49" fontId="0" fillId="3" borderId="30" xfId="0" applyNumberFormat="1" applyFill="1" applyBorder="1" applyAlignment="1">
      <alignment wrapText="1"/>
    </xf>
    <xf numFmtId="49" fontId="0" fillId="3" borderId="27" xfId="0" applyNumberFormat="1" applyFill="1" applyBorder="1" applyAlignment="1">
      <alignment wrapText="1"/>
    </xf>
    <xf numFmtId="0" fontId="0" fillId="3" borderId="31" xfId="0" applyFill="1" applyBorder="1"/>
    <xf numFmtId="49" fontId="0" fillId="2" borderId="12" xfId="0" applyNumberFormat="1" applyFill="1" applyBorder="1"/>
    <xf numFmtId="49" fontId="0" fillId="2" borderId="13" xfId="0" applyNumberFormat="1" applyFill="1" applyBorder="1"/>
    <xf numFmtId="49" fontId="0" fillId="2" borderId="13" xfId="0" applyNumberFormat="1" applyFill="1" applyBorder="1" applyAlignment="1">
      <alignment wrapText="1"/>
    </xf>
    <xf numFmtId="4" fontId="0" fillId="2" borderId="13" xfId="0" applyNumberFormat="1" applyFill="1" applyBorder="1"/>
    <xf numFmtId="165" fontId="0" fillId="2" borderId="13" xfId="0" applyNumberFormat="1" applyFill="1" applyBorder="1"/>
    <xf numFmtId="164" fontId="0" fillId="2" borderId="13" xfId="0" applyNumberFormat="1" applyFill="1" applyBorder="1"/>
    <xf numFmtId="164" fontId="0" fillId="2" borderId="14" xfId="0" applyNumberFormat="1" applyFill="1" applyBorder="1"/>
    <xf numFmtId="49" fontId="0" fillId="2" borderId="15" xfId="0" applyNumberFormat="1" applyFill="1" applyBorder="1"/>
    <xf numFmtId="49" fontId="0" fillId="2" borderId="16" xfId="0" applyNumberFormat="1" applyFill="1" applyBorder="1"/>
    <xf numFmtId="49" fontId="0" fillId="2" borderId="16" xfId="0" applyNumberFormat="1" applyFill="1" applyBorder="1" applyAlignment="1">
      <alignment wrapText="1"/>
    </xf>
    <xf numFmtId="4" fontId="0" fillId="2" borderId="16" xfId="0" applyNumberFormat="1" applyFill="1" applyBorder="1"/>
    <xf numFmtId="165" fontId="0" fillId="2" borderId="16" xfId="0" applyNumberFormat="1" applyFill="1" applyBorder="1"/>
    <xf numFmtId="0" fontId="0" fillId="2" borderId="16" xfId="0" applyFill="1" applyBorder="1"/>
    <xf numFmtId="49" fontId="0" fillId="2" borderId="18" xfId="0" applyNumberFormat="1" applyFill="1" applyBorder="1"/>
    <xf numFmtId="49" fontId="0" fillId="2" borderId="19" xfId="0" applyNumberFormat="1" applyFill="1" applyBorder="1"/>
    <xf numFmtId="49" fontId="0" fillId="2" borderId="19" xfId="0" applyNumberFormat="1" applyFill="1" applyBorder="1" applyAlignment="1">
      <alignment wrapText="1"/>
    </xf>
    <xf numFmtId="4" fontId="0" fillId="2" borderId="19" xfId="0" applyNumberFormat="1" applyFill="1" applyBorder="1"/>
    <xf numFmtId="165" fontId="0" fillId="2" borderId="19" xfId="0" applyNumberFormat="1" applyFill="1" applyBorder="1"/>
    <xf numFmtId="0" fontId="0" fillId="2" borderId="19" xfId="0" applyFill="1" applyBorder="1"/>
    <xf numFmtId="49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  <xf numFmtId="0" fontId="0" fillId="3" borderId="11" xfId="0" applyFill="1" applyBorder="1"/>
    <xf numFmtId="49" fontId="0" fillId="3" borderId="11" xfId="0" applyNumberFormat="1" applyFill="1" applyBorder="1"/>
    <xf numFmtId="0" fontId="0" fillId="3" borderId="6" xfId="0" applyFill="1" applyBorder="1"/>
    <xf numFmtId="49" fontId="0" fillId="2" borderId="6" xfId="0" applyNumberFormat="1" applyFill="1" applyBorder="1"/>
    <xf numFmtId="49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4" fontId="0" fillId="2" borderId="6" xfId="0" applyNumberFormat="1" applyFill="1" applyBorder="1"/>
    <xf numFmtId="164" fontId="0" fillId="2" borderId="6" xfId="0" applyNumberFormat="1" applyFill="1" applyBorder="1"/>
    <xf numFmtId="49" fontId="0" fillId="3" borderId="24" xfId="0" applyNumberFormat="1" applyFill="1" applyBorder="1" applyAlignment="1">
      <alignment wrapText="1"/>
    </xf>
    <xf numFmtId="49" fontId="0" fillId="3" borderId="25" xfId="0" applyNumberFormat="1" applyFill="1" applyBorder="1" applyAlignment="1">
      <alignment wrapText="1"/>
    </xf>
    <xf numFmtId="49" fontId="0" fillId="3" borderId="26" xfId="0" applyNumberFormat="1" applyFill="1" applyBorder="1" applyAlignment="1">
      <alignment wrapText="1"/>
    </xf>
    <xf numFmtId="0" fontId="0" fillId="3" borderId="23" xfId="0" applyFill="1" applyBorder="1"/>
    <xf numFmtId="49" fontId="0" fillId="3" borderId="24" xfId="0" applyNumberFormat="1" applyFill="1" applyBorder="1"/>
    <xf numFmtId="49" fontId="0" fillId="3" borderId="25" xfId="0" applyNumberFormat="1" applyFill="1" applyBorder="1"/>
    <xf numFmtId="4" fontId="0" fillId="3" borderId="25" xfId="0" applyNumberFormat="1" applyFill="1" applyBorder="1"/>
    <xf numFmtId="0" fontId="0" fillId="3" borderId="25" xfId="0" applyFill="1" applyBorder="1"/>
    <xf numFmtId="4" fontId="0" fillId="4" borderId="24" xfId="0" applyNumberFormat="1" applyFill="1" applyBorder="1"/>
    <xf numFmtId="164" fontId="0" fillId="2" borderId="24" xfId="0" applyNumberFormat="1" applyFill="1" applyBorder="1" applyProtection="1"/>
    <xf numFmtId="4" fontId="0" fillId="3" borderId="24" xfId="0" applyNumberFormat="1" applyFill="1" applyBorder="1" applyProtection="1"/>
    <xf numFmtId="4" fontId="0" fillId="4" borderId="26" xfId="0" applyNumberFormat="1" applyFill="1" applyBorder="1"/>
    <xf numFmtId="164" fontId="0" fillId="2" borderId="26" xfId="0" applyNumberFormat="1" applyFill="1" applyBorder="1" applyProtection="1"/>
    <xf numFmtId="4" fontId="0" fillId="3" borderId="26" xfId="0" applyNumberFormat="1" applyFill="1" applyBorder="1" applyProtection="1"/>
    <xf numFmtId="164" fontId="0" fillId="3" borderId="23" xfId="0" applyNumberFormat="1" applyFill="1" applyBorder="1"/>
    <xf numFmtId="164" fontId="0" fillId="0" borderId="24" xfId="0" applyNumberFormat="1" applyBorder="1" applyProtection="1">
      <protection locked="0"/>
    </xf>
    <xf numFmtId="164" fontId="0" fillId="0" borderId="25" xfId="0" applyNumberFormat="1" applyBorder="1" applyProtection="1">
      <protection locked="0"/>
    </xf>
    <xf numFmtId="164" fontId="0" fillId="0" borderId="26" xfId="0" applyNumberFormat="1" applyBorder="1" applyProtection="1">
      <protection locked="0"/>
    </xf>
    <xf numFmtId="4" fontId="0" fillId="4" borderId="25" xfId="0" applyNumberFormat="1" applyFill="1" applyBorder="1"/>
    <xf numFmtId="4" fontId="0" fillId="3" borderId="25" xfId="0" applyNumberFormat="1" applyFill="1" applyBorder="1" applyProtection="1"/>
    <xf numFmtId="4" fontId="0" fillId="3" borderId="26" xfId="0" applyNumberFormat="1" applyFill="1" applyBorder="1"/>
    <xf numFmtId="49" fontId="1" fillId="3" borderId="6" xfId="0" applyNumberFormat="1" applyFont="1" applyFill="1" applyBorder="1"/>
    <xf numFmtId="164" fontId="1" fillId="2" borderId="6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0AE34-A991-4A59-83EF-D752272310ED}">
  <dimension ref="A1:B24"/>
  <sheetViews>
    <sheetView workbookViewId="0"/>
  </sheetViews>
  <sheetFormatPr defaultRowHeight="14.6" x14ac:dyDescent="0.4"/>
  <sheetData>
    <row r="1" spans="1:2" x14ac:dyDescent="0.4">
      <c r="A1" s="1" t="s">
        <v>0</v>
      </c>
    </row>
    <row r="3" spans="1:2" x14ac:dyDescent="0.4">
      <c r="A3" t="s">
        <v>1</v>
      </c>
    </row>
    <row r="5" spans="1:2" x14ac:dyDescent="0.4">
      <c r="A5" t="s">
        <v>2</v>
      </c>
      <c r="B5" t="s">
        <v>3</v>
      </c>
    </row>
    <row r="7" spans="1:2" x14ac:dyDescent="0.4">
      <c r="A7" s="4" t="s">
        <v>4</v>
      </c>
      <c r="B7" s="5"/>
    </row>
    <row r="8" spans="1:2" x14ac:dyDescent="0.4">
      <c r="A8" s="2"/>
      <c r="B8" s="3"/>
    </row>
    <row r="9" spans="1:2" x14ac:dyDescent="0.4">
      <c r="A9" s="2" t="s">
        <v>5</v>
      </c>
      <c r="B9" s="3">
        <v>255</v>
      </c>
    </row>
    <row r="10" spans="1:2" x14ac:dyDescent="0.4">
      <c r="A10" s="2" t="s">
        <v>6</v>
      </c>
      <c r="B10" s="3">
        <v>5</v>
      </c>
    </row>
    <row r="11" spans="1:2" x14ac:dyDescent="0.4">
      <c r="A11" s="2"/>
      <c r="B11" s="3"/>
    </row>
    <row r="12" spans="1:2" x14ac:dyDescent="0.4">
      <c r="A12" s="2" t="s">
        <v>7</v>
      </c>
      <c r="B12" s="3" t="s">
        <v>8</v>
      </c>
    </row>
    <row r="13" spans="1:2" x14ac:dyDescent="0.4">
      <c r="A13" s="2" t="s">
        <v>9</v>
      </c>
      <c r="B13" s="3">
        <f>IF(A13="2½W",2.5/dagenperweek1,IF(RIGHT(A13,1)="W",VALUE(LEFT(A13,LEN(A13)-1))/dagenperweek1,IF(RIGHT(A13,1)="J",VALUE(LEFT(A13,LEN(A13)-1))/dagenperjaar1,"handmatig!")))</f>
        <v>1</v>
      </c>
    </row>
    <row r="14" spans="1:2" x14ac:dyDescent="0.4">
      <c r="A14" s="2" t="s">
        <v>10</v>
      </c>
      <c r="B14" s="3">
        <f>IF(A14="2½W",2.5/dagenperweek1,IF(RIGHT(A14,1)="W",VALUE(LEFT(A14,LEN(A14)-1))/dagenperweek1,IF(RIGHT(A14,1)="J",VALUE(LEFT(A14,LEN(A14)-1))/dagenperjaar1,"handmatig!")))</f>
        <v>0.8</v>
      </c>
    </row>
    <row r="15" spans="1:2" x14ac:dyDescent="0.4">
      <c r="A15" s="2" t="s">
        <v>11</v>
      </c>
      <c r="B15" s="3">
        <f>IF(A15="2½W",2.5/dagenperweek1,IF(RIGHT(A15,1)="W",VALUE(LEFT(A15,LEN(A15)-1))/dagenperweek1,IF(RIGHT(A15,1)="J",VALUE(LEFT(A15,LEN(A15)-1))/dagenperjaar1,"handmatig!")))</f>
        <v>0.6</v>
      </c>
    </row>
    <row r="16" spans="1:2" x14ac:dyDescent="0.4">
      <c r="A16" s="2" t="s">
        <v>12</v>
      </c>
      <c r="B16" s="3">
        <f>IF(A16="2½W",2.5/dagenperweek1,IF(RIGHT(A16,1)="W",VALUE(LEFT(A16,LEN(A16)-1))/dagenperweek1,IF(RIGHT(A16,1)="J",VALUE(LEFT(A16,LEN(A16)-1))/dagenperjaar1,"handmatig!")))</f>
        <v>0.4</v>
      </c>
    </row>
    <row r="17" spans="1:2" x14ac:dyDescent="0.4">
      <c r="A17" s="2" t="s">
        <v>13</v>
      </c>
      <c r="B17" s="3">
        <f>IF(A17="2½W",2.5/dagenperweek1,IF(RIGHT(A17,1)="W",VALUE(LEFT(A17,LEN(A17)-1))/dagenperweek1,IF(RIGHT(A17,1)="J",VALUE(LEFT(A17,LEN(A17)-1))/dagenperjaar1,"handmatig!")))</f>
        <v>0.2</v>
      </c>
    </row>
    <row r="18" spans="1:2" x14ac:dyDescent="0.4">
      <c r="A18" s="2" t="s">
        <v>14</v>
      </c>
      <c r="B18" s="3">
        <f>IF(A18="2½W",2.5/dagenperweek1,IF(RIGHT(A18,1)="W",VALUE(LEFT(A18,LEN(A18)-1))/dagenperweek1,IF(RIGHT(A18,1)="J",VALUE(LEFT(A18,LEN(A18)-1))/dagenperjaar1,"handmatig!")))</f>
        <v>0.10196078431372549</v>
      </c>
    </row>
    <row r="19" spans="1:2" x14ac:dyDescent="0.4">
      <c r="A19" s="2" t="s">
        <v>15</v>
      </c>
      <c r="B19" s="3">
        <f>IF(A19="2½W",2.5/dagenperweek1,IF(RIGHT(A19,1)="W",VALUE(LEFT(A19,LEN(A19)-1))/dagenperweek1,IF(RIGHT(A19,1)="J",VALUE(LEFT(A19,LEN(A19)-1))/dagenperjaar1,"handmatig!")))</f>
        <v>4.7058823529411764E-2</v>
      </c>
    </row>
    <row r="20" spans="1:2" x14ac:dyDescent="0.4">
      <c r="A20" s="2" t="s">
        <v>16</v>
      </c>
      <c r="B20" s="3">
        <f>IF(A20="2½W",2.5/dagenperweek1,IF(RIGHT(A20,1)="W",VALUE(LEFT(A20,LEN(A20)-1))/dagenperweek1,IF(RIGHT(A20,1)="J",VALUE(LEFT(A20,LEN(A20)-1))/dagenperjaar1,"handmatig!")))</f>
        <v>2.3529411764705882E-2</v>
      </c>
    </row>
    <row r="21" spans="1:2" x14ac:dyDescent="0.4">
      <c r="A21" s="2" t="s">
        <v>17</v>
      </c>
      <c r="B21" s="3">
        <f>IF(A21="2½W",2.5/dagenperweek1,IF(RIGHT(A21,1)="W",VALUE(LEFT(A21,LEN(A21)-1))/dagenperweek1,IF(RIGHT(A21,1)="J",VALUE(LEFT(A21,LEN(A21)-1))/dagenperjaar1,"handmatig!")))</f>
        <v>1.5686274509803921E-2</v>
      </c>
    </row>
    <row r="22" spans="1:2" x14ac:dyDescent="0.4">
      <c r="A22" s="2" t="s">
        <v>18</v>
      </c>
      <c r="B22" s="3">
        <f>IF(A22="2½W",2.5/dagenperweek1,IF(RIGHT(A22,1)="W",VALUE(LEFT(A22,LEN(A22)-1))/dagenperweek1,IF(RIGHT(A22,1)="J",VALUE(LEFT(A22,LEN(A22)-1))/dagenperjaar1,"handmatig!")))</f>
        <v>1.1764705882352941E-2</v>
      </c>
    </row>
    <row r="23" spans="1:2" x14ac:dyDescent="0.4">
      <c r="A23" s="2" t="s">
        <v>19</v>
      </c>
      <c r="B23" s="3">
        <f>IF(A23="2½W",2.5/dagenperweek1,IF(RIGHT(A23,1)="W",VALUE(LEFT(A23,LEN(A23)-1))/dagenperweek1,IF(RIGHT(A23,1)="J",VALUE(LEFT(A23,LEN(A23)-1))/dagenperjaar1,"handmatig!")))</f>
        <v>7.8431372549019607E-3</v>
      </c>
    </row>
    <row r="24" spans="1:2" x14ac:dyDescent="0.4">
      <c r="A24" s="6" t="s">
        <v>20</v>
      </c>
      <c r="B24" s="7">
        <f>IF(A24="2½W",2.5/dagenperweek1,IF(RIGHT(A24,1)="W",VALUE(LEFT(A24,LEN(A24)-1))/dagenperweek1,IF(RIGHT(A24,1)="J",VALUE(LEFT(A24,LEN(A24)-1))/dagenperjaar1,"handmatig!")))</f>
        <v>3.9215686274509803E-3</v>
      </c>
    </row>
  </sheetData>
  <sheetProtection algorithmName="SHA-512" hashValue="RI+LcejR689vcDqSfXWgHS+tHwdlEn5JGKblF2Tm5vUyVRoKG613UDve/90WATHEE+zx/BDcpQh5W3T04M/Ibw==" saltValue="rY1Z5GO3SPeAWrvL+r4www==" spinCount="100000" sheet="1" objects="1" scenarios="1" autoFilter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11803-F639-43F5-A017-E49D94A6A370}">
  <dimension ref="A1:E70"/>
  <sheetViews>
    <sheetView topLeftCell="A14" workbookViewId="0"/>
  </sheetViews>
  <sheetFormatPr defaultRowHeight="14.6" x14ac:dyDescent="0.4"/>
  <cols>
    <col min="1" max="1" width="7.69140625" customWidth="1"/>
    <col min="2" max="2" width="40.69140625" customWidth="1"/>
    <col min="3" max="3" width="18.69140625" customWidth="1"/>
    <col min="4" max="4" width="20.69140625" customWidth="1"/>
    <col min="5" max="5" width="15.69140625" customWidth="1"/>
  </cols>
  <sheetData>
    <row r="1" spans="1:5" x14ac:dyDescent="0.4">
      <c r="A1" s="1" t="str">
        <f>CONCATENATE("Bijlage F.7: ",tabeltype," afroep incidenteel")</f>
        <v>Bijlage F.7: Invultabel afroep incidenteel</v>
      </c>
    </row>
    <row r="3" spans="1:5" ht="43.75" x14ac:dyDescent="0.4">
      <c r="A3" s="44" t="s">
        <v>902</v>
      </c>
      <c r="B3" s="44" t="s">
        <v>88</v>
      </c>
      <c r="C3" s="44" t="s">
        <v>91</v>
      </c>
      <c r="D3" s="44" t="s">
        <v>915</v>
      </c>
      <c r="E3" s="44" t="s">
        <v>907</v>
      </c>
    </row>
    <row r="4" spans="1:5" x14ac:dyDescent="0.4">
      <c r="A4" s="45"/>
      <c r="B4" s="46"/>
      <c r="C4" s="46"/>
      <c r="D4" s="46"/>
      <c r="E4" s="47"/>
    </row>
    <row r="5" spans="1:5" x14ac:dyDescent="0.4">
      <c r="A5" s="48" t="s">
        <v>93</v>
      </c>
      <c r="B5" s="49"/>
      <c r="C5" s="49"/>
      <c r="D5" s="49"/>
      <c r="E5" s="50"/>
    </row>
    <row r="6" spans="1:5" x14ac:dyDescent="0.4">
      <c r="A6" s="51" t="s">
        <v>916</v>
      </c>
      <c r="B6" s="51" t="s">
        <v>917</v>
      </c>
      <c r="C6" s="51" t="s">
        <v>918</v>
      </c>
      <c r="D6" s="51" t="s">
        <v>919</v>
      </c>
      <c r="E6" s="128"/>
    </row>
    <row r="7" spans="1:5" x14ac:dyDescent="0.4">
      <c r="A7" s="56" t="s">
        <v>920</v>
      </c>
      <c r="B7" s="56" t="s">
        <v>917</v>
      </c>
      <c r="C7" s="56" t="s">
        <v>918</v>
      </c>
      <c r="D7" s="56" t="s">
        <v>921</v>
      </c>
      <c r="E7" s="129"/>
    </row>
    <row r="8" spans="1:5" x14ac:dyDescent="0.4">
      <c r="A8" s="56" t="s">
        <v>922</v>
      </c>
      <c r="B8" s="56" t="s">
        <v>917</v>
      </c>
      <c r="C8" s="56" t="s">
        <v>918</v>
      </c>
      <c r="D8" s="56" t="s">
        <v>923</v>
      </c>
      <c r="E8" s="129"/>
    </row>
    <row r="9" spans="1:5" x14ac:dyDescent="0.4">
      <c r="A9" s="56" t="s">
        <v>924</v>
      </c>
      <c r="B9" s="56" t="s">
        <v>917</v>
      </c>
      <c r="C9" s="56" t="s">
        <v>918</v>
      </c>
      <c r="D9" s="56" t="s">
        <v>925</v>
      </c>
      <c r="E9" s="129"/>
    </row>
    <row r="10" spans="1:5" x14ac:dyDescent="0.4">
      <c r="A10" s="56" t="s">
        <v>926</v>
      </c>
      <c r="B10" s="56" t="s">
        <v>927</v>
      </c>
      <c r="C10" s="56" t="s">
        <v>918</v>
      </c>
      <c r="D10" s="56" t="s">
        <v>919</v>
      </c>
      <c r="E10" s="129"/>
    </row>
    <row r="11" spans="1:5" x14ac:dyDescent="0.4">
      <c r="A11" s="56" t="s">
        <v>928</v>
      </c>
      <c r="B11" s="56" t="s">
        <v>927</v>
      </c>
      <c r="C11" s="56" t="s">
        <v>918</v>
      </c>
      <c r="D11" s="56" t="s">
        <v>921</v>
      </c>
      <c r="E11" s="129"/>
    </row>
    <row r="12" spans="1:5" x14ac:dyDescent="0.4">
      <c r="A12" s="56" t="s">
        <v>929</v>
      </c>
      <c r="B12" s="56" t="s">
        <v>927</v>
      </c>
      <c r="C12" s="56" t="s">
        <v>918</v>
      </c>
      <c r="D12" s="56" t="s">
        <v>923</v>
      </c>
      <c r="E12" s="129"/>
    </row>
    <row r="13" spans="1:5" x14ac:dyDescent="0.4">
      <c r="A13" s="56" t="s">
        <v>930</v>
      </c>
      <c r="B13" s="56" t="s">
        <v>927</v>
      </c>
      <c r="C13" s="56" t="s">
        <v>918</v>
      </c>
      <c r="D13" s="56" t="s">
        <v>925</v>
      </c>
      <c r="E13" s="129"/>
    </row>
    <row r="14" spans="1:5" x14ac:dyDescent="0.4">
      <c r="A14" s="56" t="s">
        <v>931</v>
      </c>
      <c r="B14" s="56" t="s">
        <v>932</v>
      </c>
      <c r="C14" s="56" t="s">
        <v>933</v>
      </c>
      <c r="D14" s="56" t="s">
        <v>934</v>
      </c>
      <c r="E14" s="129"/>
    </row>
    <row r="15" spans="1:5" x14ac:dyDescent="0.4">
      <c r="A15" s="56" t="s">
        <v>935</v>
      </c>
      <c r="B15" s="56" t="s">
        <v>932</v>
      </c>
      <c r="C15" s="56" t="s">
        <v>933</v>
      </c>
      <c r="D15" s="56" t="s">
        <v>936</v>
      </c>
      <c r="E15" s="129"/>
    </row>
    <row r="16" spans="1:5" x14ac:dyDescent="0.4">
      <c r="A16" s="56" t="s">
        <v>937</v>
      </c>
      <c r="B16" s="56" t="s">
        <v>932</v>
      </c>
      <c r="C16" s="56" t="s">
        <v>933</v>
      </c>
      <c r="D16" s="56" t="s">
        <v>938</v>
      </c>
      <c r="E16" s="129"/>
    </row>
    <row r="17" spans="1:5" x14ac:dyDescent="0.4">
      <c r="A17" s="56" t="s">
        <v>939</v>
      </c>
      <c r="B17" s="56" t="s">
        <v>932</v>
      </c>
      <c r="C17" s="56" t="s">
        <v>933</v>
      </c>
      <c r="D17" s="56" t="s">
        <v>940</v>
      </c>
      <c r="E17" s="129"/>
    </row>
    <row r="18" spans="1:5" x14ac:dyDescent="0.4">
      <c r="A18" s="56" t="s">
        <v>941</v>
      </c>
      <c r="B18" s="56" t="s">
        <v>942</v>
      </c>
      <c r="C18" s="56" t="s">
        <v>933</v>
      </c>
      <c r="D18" s="56" t="s">
        <v>934</v>
      </c>
      <c r="E18" s="129"/>
    </row>
    <row r="19" spans="1:5" x14ac:dyDescent="0.4">
      <c r="A19" s="56" t="s">
        <v>943</v>
      </c>
      <c r="B19" s="56" t="s">
        <v>942</v>
      </c>
      <c r="C19" s="56" t="s">
        <v>933</v>
      </c>
      <c r="D19" s="56" t="s">
        <v>936</v>
      </c>
      <c r="E19" s="129"/>
    </row>
    <row r="20" spans="1:5" x14ac:dyDescent="0.4">
      <c r="A20" s="56" t="s">
        <v>944</v>
      </c>
      <c r="B20" s="56" t="s">
        <v>942</v>
      </c>
      <c r="C20" s="56" t="s">
        <v>933</v>
      </c>
      <c r="D20" s="56" t="s">
        <v>938</v>
      </c>
      <c r="E20" s="129"/>
    </row>
    <row r="21" spans="1:5" x14ac:dyDescent="0.4">
      <c r="A21" s="56" t="s">
        <v>945</v>
      </c>
      <c r="B21" s="56" t="s">
        <v>942</v>
      </c>
      <c r="C21" s="56" t="s">
        <v>933</v>
      </c>
      <c r="D21" s="56" t="s">
        <v>940</v>
      </c>
      <c r="E21" s="129"/>
    </row>
    <row r="22" spans="1:5" x14ac:dyDescent="0.4">
      <c r="A22" s="56" t="s">
        <v>946</v>
      </c>
      <c r="B22" s="56" t="s">
        <v>947</v>
      </c>
      <c r="C22" s="56" t="s">
        <v>933</v>
      </c>
      <c r="D22" s="56" t="s">
        <v>934</v>
      </c>
      <c r="E22" s="129"/>
    </row>
    <row r="23" spans="1:5" x14ac:dyDescent="0.4">
      <c r="A23" s="56" t="s">
        <v>948</v>
      </c>
      <c r="B23" s="56" t="s">
        <v>947</v>
      </c>
      <c r="C23" s="56" t="s">
        <v>933</v>
      </c>
      <c r="D23" s="56" t="s">
        <v>936</v>
      </c>
      <c r="E23" s="129"/>
    </row>
    <row r="24" spans="1:5" x14ac:dyDescent="0.4">
      <c r="A24" s="56" t="s">
        <v>949</v>
      </c>
      <c r="B24" s="56" t="s">
        <v>947</v>
      </c>
      <c r="C24" s="56" t="s">
        <v>933</v>
      </c>
      <c r="D24" s="56" t="s">
        <v>938</v>
      </c>
      <c r="E24" s="129"/>
    </row>
    <row r="25" spans="1:5" x14ac:dyDescent="0.4">
      <c r="A25" s="56" t="s">
        <v>950</v>
      </c>
      <c r="B25" s="56" t="s">
        <v>947</v>
      </c>
      <c r="C25" s="56" t="s">
        <v>933</v>
      </c>
      <c r="D25" s="56" t="s">
        <v>940</v>
      </c>
      <c r="E25" s="129"/>
    </row>
    <row r="26" spans="1:5" x14ac:dyDescent="0.4">
      <c r="A26" s="56" t="s">
        <v>951</v>
      </c>
      <c r="B26" s="56" t="s">
        <v>952</v>
      </c>
      <c r="C26" s="56" t="s">
        <v>933</v>
      </c>
      <c r="D26" s="56" t="s">
        <v>34</v>
      </c>
      <c r="E26" s="129"/>
    </row>
    <row r="27" spans="1:5" x14ac:dyDescent="0.4">
      <c r="A27" s="56" t="s">
        <v>953</v>
      </c>
      <c r="B27" s="56" t="s">
        <v>954</v>
      </c>
      <c r="C27" s="56" t="s">
        <v>911</v>
      </c>
      <c r="D27" s="56" t="s">
        <v>34</v>
      </c>
      <c r="E27" s="129"/>
    </row>
    <row r="28" spans="1:5" x14ac:dyDescent="0.4">
      <c r="A28" s="56" t="s">
        <v>955</v>
      </c>
      <c r="B28" s="56" t="s">
        <v>956</v>
      </c>
      <c r="C28" s="56" t="s">
        <v>933</v>
      </c>
      <c r="D28" s="56" t="s">
        <v>957</v>
      </c>
      <c r="E28" s="129"/>
    </row>
    <row r="29" spans="1:5" x14ac:dyDescent="0.4">
      <c r="A29" s="56" t="s">
        <v>958</v>
      </c>
      <c r="B29" s="56" t="s">
        <v>956</v>
      </c>
      <c r="C29" s="56" t="s">
        <v>933</v>
      </c>
      <c r="D29" s="56" t="s">
        <v>959</v>
      </c>
      <c r="E29" s="129"/>
    </row>
    <row r="30" spans="1:5" x14ac:dyDescent="0.4">
      <c r="A30" s="56" t="s">
        <v>960</v>
      </c>
      <c r="B30" s="56" t="s">
        <v>956</v>
      </c>
      <c r="C30" s="56" t="s">
        <v>933</v>
      </c>
      <c r="D30" s="56" t="s">
        <v>961</v>
      </c>
      <c r="E30" s="129"/>
    </row>
    <row r="31" spans="1:5" x14ac:dyDescent="0.4">
      <c r="A31" s="56" t="s">
        <v>962</v>
      </c>
      <c r="B31" s="56" t="s">
        <v>956</v>
      </c>
      <c r="C31" s="56" t="s">
        <v>933</v>
      </c>
      <c r="D31" s="56" t="s">
        <v>963</v>
      </c>
      <c r="E31" s="129"/>
    </row>
    <row r="32" spans="1:5" x14ac:dyDescent="0.4">
      <c r="A32" s="56" t="s">
        <v>964</v>
      </c>
      <c r="B32" s="56" t="s">
        <v>965</v>
      </c>
      <c r="C32" s="56" t="s">
        <v>933</v>
      </c>
      <c r="D32" s="56" t="s">
        <v>957</v>
      </c>
      <c r="E32" s="129"/>
    </row>
    <row r="33" spans="1:5" x14ac:dyDescent="0.4">
      <c r="A33" s="56" t="s">
        <v>966</v>
      </c>
      <c r="B33" s="56" t="s">
        <v>965</v>
      </c>
      <c r="C33" s="56" t="s">
        <v>933</v>
      </c>
      <c r="D33" s="56" t="s">
        <v>959</v>
      </c>
      <c r="E33" s="129"/>
    </row>
    <row r="34" spans="1:5" x14ac:dyDescent="0.4">
      <c r="A34" s="56" t="s">
        <v>967</v>
      </c>
      <c r="B34" s="56" t="s">
        <v>965</v>
      </c>
      <c r="C34" s="56" t="s">
        <v>933</v>
      </c>
      <c r="D34" s="56" t="s">
        <v>961</v>
      </c>
      <c r="E34" s="129"/>
    </row>
    <row r="35" spans="1:5" x14ac:dyDescent="0.4">
      <c r="A35" s="56" t="s">
        <v>968</v>
      </c>
      <c r="B35" s="56" t="s">
        <v>965</v>
      </c>
      <c r="C35" s="56" t="s">
        <v>933</v>
      </c>
      <c r="D35" s="56" t="s">
        <v>963</v>
      </c>
      <c r="E35" s="129"/>
    </row>
    <row r="36" spans="1:5" x14ac:dyDescent="0.4">
      <c r="A36" s="56" t="s">
        <v>969</v>
      </c>
      <c r="B36" s="56" t="s">
        <v>970</v>
      </c>
      <c r="C36" s="56" t="s">
        <v>933</v>
      </c>
      <c r="D36" s="56" t="s">
        <v>957</v>
      </c>
      <c r="E36" s="129"/>
    </row>
    <row r="37" spans="1:5" x14ac:dyDescent="0.4">
      <c r="A37" s="56" t="s">
        <v>971</v>
      </c>
      <c r="B37" s="56" t="s">
        <v>970</v>
      </c>
      <c r="C37" s="56" t="s">
        <v>933</v>
      </c>
      <c r="D37" s="56" t="s">
        <v>959</v>
      </c>
      <c r="E37" s="129"/>
    </row>
    <row r="38" spans="1:5" x14ac:dyDescent="0.4">
      <c r="A38" s="56" t="s">
        <v>972</v>
      </c>
      <c r="B38" s="56" t="s">
        <v>970</v>
      </c>
      <c r="C38" s="56" t="s">
        <v>933</v>
      </c>
      <c r="D38" s="56" t="s">
        <v>961</v>
      </c>
      <c r="E38" s="129"/>
    </row>
    <row r="39" spans="1:5" x14ac:dyDescent="0.4">
      <c r="A39" s="56" t="s">
        <v>973</v>
      </c>
      <c r="B39" s="56" t="s">
        <v>970</v>
      </c>
      <c r="C39" s="56" t="s">
        <v>933</v>
      </c>
      <c r="D39" s="56" t="s">
        <v>963</v>
      </c>
      <c r="E39" s="129"/>
    </row>
    <row r="40" spans="1:5" x14ac:dyDescent="0.4">
      <c r="A40" s="56" t="s">
        <v>974</v>
      </c>
      <c r="B40" s="56" t="s">
        <v>975</v>
      </c>
      <c r="C40" s="56" t="s">
        <v>933</v>
      </c>
      <c r="D40" s="56" t="s">
        <v>957</v>
      </c>
      <c r="E40" s="129"/>
    </row>
    <row r="41" spans="1:5" x14ac:dyDescent="0.4">
      <c r="A41" s="56" t="s">
        <v>976</v>
      </c>
      <c r="B41" s="56" t="s">
        <v>975</v>
      </c>
      <c r="C41" s="56" t="s">
        <v>933</v>
      </c>
      <c r="D41" s="56" t="s">
        <v>959</v>
      </c>
      <c r="E41" s="129"/>
    </row>
    <row r="42" spans="1:5" x14ac:dyDescent="0.4">
      <c r="A42" s="56" t="s">
        <v>977</v>
      </c>
      <c r="B42" s="56" t="s">
        <v>975</v>
      </c>
      <c r="C42" s="56" t="s">
        <v>933</v>
      </c>
      <c r="D42" s="56" t="s">
        <v>961</v>
      </c>
      <c r="E42" s="129"/>
    </row>
    <row r="43" spans="1:5" x14ac:dyDescent="0.4">
      <c r="A43" s="56" t="s">
        <v>978</v>
      </c>
      <c r="B43" s="56" t="s">
        <v>975</v>
      </c>
      <c r="C43" s="56" t="s">
        <v>933</v>
      </c>
      <c r="D43" s="56" t="s">
        <v>963</v>
      </c>
      <c r="E43" s="129"/>
    </row>
    <row r="44" spans="1:5" x14ac:dyDescent="0.4">
      <c r="A44" s="56" t="s">
        <v>979</v>
      </c>
      <c r="B44" s="56" t="s">
        <v>980</v>
      </c>
      <c r="C44" s="56" t="s">
        <v>933</v>
      </c>
      <c r="D44" s="56" t="s">
        <v>957</v>
      </c>
      <c r="E44" s="129"/>
    </row>
    <row r="45" spans="1:5" x14ac:dyDescent="0.4">
      <c r="A45" s="56" t="s">
        <v>981</v>
      </c>
      <c r="B45" s="56" t="s">
        <v>980</v>
      </c>
      <c r="C45" s="56" t="s">
        <v>933</v>
      </c>
      <c r="D45" s="56" t="s">
        <v>959</v>
      </c>
      <c r="E45" s="129"/>
    </row>
    <row r="46" spans="1:5" x14ac:dyDescent="0.4">
      <c r="A46" s="56" t="s">
        <v>982</v>
      </c>
      <c r="B46" s="56" t="s">
        <v>980</v>
      </c>
      <c r="C46" s="56" t="s">
        <v>933</v>
      </c>
      <c r="D46" s="56" t="s">
        <v>961</v>
      </c>
      <c r="E46" s="129"/>
    </row>
    <row r="47" spans="1:5" x14ac:dyDescent="0.4">
      <c r="A47" s="56" t="s">
        <v>983</v>
      </c>
      <c r="B47" s="56" t="s">
        <v>980</v>
      </c>
      <c r="C47" s="56" t="s">
        <v>933</v>
      </c>
      <c r="D47" s="56" t="s">
        <v>963</v>
      </c>
      <c r="E47" s="129"/>
    </row>
    <row r="48" spans="1:5" x14ac:dyDescent="0.4">
      <c r="A48" s="56" t="s">
        <v>984</v>
      </c>
      <c r="B48" s="56" t="s">
        <v>985</v>
      </c>
      <c r="C48" s="56" t="s">
        <v>933</v>
      </c>
      <c r="D48" s="56" t="s">
        <v>957</v>
      </c>
      <c r="E48" s="129"/>
    </row>
    <row r="49" spans="1:5" x14ac:dyDescent="0.4">
      <c r="A49" s="56" t="s">
        <v>986</v>
      </c>
      <c r="B49" s="56" t="s">
        <v>985</v>
      </c>
      <c r="C49" s="56" t="s">
        <v>933</v>
      </c>
      <c r="D49" s="56" t="s">
        <v>959</v>
      </c>
      <c r="E49" s="129"/>
    </row>
    <row r="50" spans="1:5" x14ac:dyDescent="0.4">
      <c r="A50" s="56" t="s">
        <v>987</v>
      </c>
      <c r="B50" s="56" t="s">
        <v>985</v>
      </c>
      <c r="C50" s="56" t="s">
        <v>933</v>
      </c>
      <c r="D50" s="56" t="s">
        <v>961</v>
      </c>
      <c r="E50" s="129"/>
    </row>
    <row r="51" spans="1:5" x14ac:dyDescent="0.4">
      <c r="A51" s="56" t="s">
        <v>988</v>
      </c>
      <c r="B51" s="56" t="s">
        <v>985</v>
      </c>
      <c r="C51" s="56" t="s">
        <v>933</v>
      </c>
      <c r="D51" s="56" t="s">
        <v>963</v>
      </c>
      <c r="E51" s="129"/>
    </row>
    <row r="52" spans="1:5" x14ac:dyDescent="0.4">
      <c r="A52" s="56" t="s">
        <v>989</v>
      </c>
      <c r="B52" s="56" t="s">
        <v>990</v>
      </c>
      <c r="C52" s="56" t="s">
        <v>933</v>
      </c>
      <c r="D52" s="56" t="s">
        <v>957</v>
      </c>
      <c r="E52" s="129"/>
    </row>
    <row r="53" spans="1:5" x14ac:dyDescent="0.4">
      <c r="A53" s="56" t="s">
        <v>991</v>
      </c>
      <c r="B53" s="56" t="s">
        <v>990</v>
      </c>
      <c r="C53" s="56" t="s">
        <v>933</v>
      </c>
      <c r="D53" s="56" t="s">
        <v>959</v>
      </c>
      <c r="E53" s="129"/>
    </row>
    <row r="54" spans="1:5" x14ac:dyDescent="0.4">
      <c r="A54" s="56" t="s">
        <v>992</v>
      </c>
      <c r="B54" s="56" t="s">
        <v>990</v>
      </c>
      <c r="C54" s="56" t="s">
        <v>933</v>
      </c>
      <c r="D54" s="56" t="s">
        <v>961</v>
      </c>
      <c r="E54" s="129"/>
    </row>
    <row r="55" spans="1:5" x14ac:dyDescent="0.4">
      <c r="A55" s="56" t="s">
        <v>993</v>
      </c>
      <c r="B55" s="56" t="s">
        <v>990</v>
      </c>
      <c r="C55" s="56" t="s">
        <v>933</v>
      </c>
      <c r="D55" s="56" t="s">
        <v>963</v>
      </c>
      <c r="E55" s="129"/>
    </row>
    <row r="56" spans="1:5" x14ac:dyDescent="0.4">
      <c r="A56" s="56" t="s">
        <v>994</v>
      </c>
      <c r="B56" s="56" t="s">
        <v>995</v>
      </c>
      <c r="C56" s="56" t="s">
        <v>933</v>
      </c>
      <c r="D56" s="56" t="s">
        <v>957</v>
      </c>
      <c r="E56" s="129"/>
    </row>
    <row r="57" spans="1:5" x14ac:dyDescent="0.4">
      <c r="A57" s="56" t="s">
        <v>996</v>
      </c>
      <c r="B57" s="56" t="s">
        <v>995</v>
      </c>
      <c r="C57" s="56" t="s">
        <v>933</v>
      </c>
      <c r="D57" s="56" t="s">
        <v>959</v>
      </c>
      <c r="E57" s="129"/>
    </row>
    <row r="58" spans="1:5" x14ac:dyDescent="0.4">
      <c r="A58" s="56" t="s">
        <v>997</v>
      </c>
      <c r="B58" s="56" t="s">
        <v>995</v>
      </c>
      <c r="C58" s="56" t="s">
        <v>933</v>
      </c>
      <c r="D58" s="56" t="s">
        <v>961</v>
      </c>
      <c r="E58" s="129"/>
    </row>
    <row r="59" spans="1:5" x14ac:dyDescent="0.4">
      <c r="A59" s="56" t="s">
        <v>998</v>
      </c>
      <c r="B59" s="56" t="s">
        <v>995</v>
      </c>
      <c r="C59" s="56" t="s">
        <v>933</v>
      </c>
      <c r="D59" s="56" t="s">
        <v>963</v>
      </c>
      <c r="E59" s="129"/>
    </row>
    <row r="60" spans="1:5" x14ac:dyDescent="0.4">
      <c r="A60" s="56" t="s">
        <v>999</v>
      </c>
      <c r="B60" s="56" t="s">
        <v>1000</v>
      </c>
      <c r="C60" s="56" t="s">
        <v>933</v>
      </c>
      <c r="D60" s="56" t="s">
        <v>957</v>
      </c>
      <c r="E60" s="129"/>
    </row>
    <row r="61" spans="1:5" x14ac:dyDescent="0.4">
      <c r="A61" s="56" t="s">
        <v>1001</v>
      </c>
      <c r="B61" s="56" t="s">
        <v>1000</v>
      </c>
      <c r="C61" s="56" t="s">
        <v>933</v>
      </c>
      <c r="D61" s="56" t="s">
        <v>959</v>
      </c>
      <c r="E61" s="129"/>
    </row>
    <row r="62" spans="1:5" x14ac:dyDescent="0.4">
      <c r="A62" s="56" t="s">
        <v>1002</v>
      </c>
      <c r="B62" s="56" t="s">
        <v>1000</v>
      </c>
      <c r="C62" s="56" t="s">
        <v>933</v>
      </c>
      <c r="D62" s="56" t="s">
        <v>961</v>
      </c>
      <c r="E62" s="129"/>
    </row>
    <row r="63" spans="1:5" x14ac:dyDescent="0.4">
      <c r="A63" s="56" t="s">
        <v>1003</v>
      </c>
      <c r="B63" s="56" t="s">
        <v>1000</v>
      </c>
      <c r="C63" s="56" t="s">
        <v>933</v>
      </c>
      <c r="D63" s="56" t="s">
        <v>963</v>
      </c>
      <c r="E63" s="129"/>
    </row>
    <row r="64" spans="1:5" x14ac:dyDescent="0.4">
      <c r="A64" s="56" t="s">
        <v>1004</v>
      </c>
      <c r="B64" s="56" t="s">
        <v>1005</v>
      </c>
      <c r="C64" s="56" t="s">
        <v>933</v>
      </c>
      <c r="D64" s="56" t="s">
        <v>957</v>
      </c>
      <c r="E64" s="129"/>
    </row>
    <row r="65" spans="1:5" x14ac:dyDescent="0.4">
      <c r="A65" s="56" t="s">
        <v>1006</v>
      </c>
      <c r="B65" s="56" t="s">
        <v>1005</v>
      </c>
      <c r="C65" s="56" t="s">
        <v>933</v>
      </c>
      <c r="D65" s="56" t="s">
        <v>959</v>
      </c>
      <c r="E65" s="129"/>
    </row>
    <row r="66" spans="1:5" x14ac:dyDescent="0.4">
      <c r="A66" s="56" t="s">
        <v>1007</v>
      </c>
      <c r="B66" s="56" t="s">
        <v>1005</v>
      </c>
      <c r="C66" s="56" t="s">
        <v>933</v>
      </c>
      <c r="D66" s="56" t="s">
        <v>961</v>
      </c>
      <c r="E66" s="129"/>
    </row>
    <row r="67" spans="1:5" x14ac:dyDescent="0.4">
      <c r="A67" s="61" t="s">
        <v>1008</v>
      </c>
      <c r="B67" s="61" t="s">
        <v>1005</v>
      </c>
      <c r="C67" s="61" t="s">
        <v>933</v>
      </c>
      <c r="D67" s="61" t="s">
        <v>963</v>
      </c>
      <c r="E67" s="130"/>
    </row>
    <row r="68" spans="1:5" x14ac:dyDescent="0.4">
      <c r="A68" s="74" t="s">
        <v>276</v>
      </c>
      <c r="B68" s="75"/>
      <c r="C68" s="75"/>
      <c r="D68" s="75"/>
      <c r="E68" s="116"/>
    </row>
    <row r="70" spans="1:5" x14ac:dyDescent="0.4">
      <c r="A70" s="74" t="s">
        <v>1009</v>
      </c>
      <c r="B70" s="75"/>
      <c r="C70" s="75"/>
      <c r="D70" s="75"/>
      <c r="E70" s="116"/>
    </row>
  </sheetData>
  <sheetProtection algorithmName="SHA-512" hashValue="ndHabHts+YHv9GElq/HFVurJ0sj21Eu08Vm/GAVhy4g7cEit+ZPcBQIKhe3T8FmNuFJIZmKIal8rj27j8oPEzg==" saltValue="qHEiNM+md56IlkWg6RZeiw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&amp;LCito                                                        &amp;ROpmaakdatum: 12-02-2025
Intexso - Plantageweg 23E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36B2E-01CF-4DAA-9433-B672ED11F43D}">
  <dimension ref="A1:L10"/>
  <sheetViews>
    <sheetView workbookViewId="0">
      <selection activeCell="I6" sqref="I6"/>
    </sheetView>
  </sheetViews>
  <sheetFormatPr defaultRowHeight="14.6" x14ac:dyDescent="0.4"/>
  <cols>
    <col min="1" max="1" width="7.69140625" customWidth="1"/>
    <col min="2" max="2" width="6.69140625" customWidth="1"/>
    <col min="3" max="3" width="7.69140625" customWidth="1"/>
    <col min="4" max="4" width="50.69140625" customWidth="1"/>
    <col min="5" max="6" width="14.69140625" customWidth="1"/>
    <col min="7" max="9" width="11.69140625" customWidth="1"/>
    <col min="10" max="10" width="12.69140625" customWidth="1"/>
    <col min="11" max="11" width="14.69140625" customWidth="1"/>
    <col min="12" max="12" width="13.69140625" customWidth="1"/>
  </cols>
  <sheetData>
    <row r="1" spans="1:12" x14ac:dyDescent="0.4">
      <c r="A1" s="1" t="str">
        <f>CONCATENATE("Bijlage F.8: ",tabeltype," regiewerk")</f>
        <v>Bijlage F.8: Invultabel regiewerk</v>
      </c>
    </row>
    <row r="3" spans="1:12" ht="43.75" x14ac:dyDescent="0.4">
      <c r="A3" s="44" t="s">
        <v>902</v>
      </c>
      <c r="B3" s="44" t="s">
        <v>7</v>
      </c>
      <c r="C3" s="44" t="s">
        <v>903</v>
      </c>
      <c r="D3" s="44" t="s">
        <v>88</v>
      </c>
      <c r="E3" s="44" t="s">
        <v>91</v>
      </c>
      <c r="F3" s="44" t="s">
        <v>904</v>
      </c>
      <c r="G3" s="44" t="s">
        <v>905</v>
      </c>
      <c r="H3" s="44" t="s">
        <v>906</v>
      </c>
      <c r="I3" s="44" t="s">
        <v>907</v>
      </c>
      <c r="J3" s="44" t="s">
        <v>908</v>
      </c>
      <c r="K3" s="44" t="s">
        <v>201</v>
      </c>
      <c r="L3" s="44" t="s">
        <v>886</v>
      </c>
    </row>
    <row r="4" spans="1:12" x14ac:dyDescent="0.4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x14ac:dyDescent="0.4">
      <c r="A5" s="48" t="s">
        <v>93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2" x14ac:dyDescent="0.4">
      <c r="A6" s="51" t="s">
        <v>1010</v>
      </c>
      <c r="B6" s="51" t="s">
        <v>20</v>
      </c>
      <c r="C6" s="52">
        <f>IF(ISBLANK(B6),0,IF(ISERROR(VALUE(B6)),VLOOKUP(B6,dagsoorttabel1,2,FALSE)*dagenperjaar1,VALUE(B6)))</f>
        <v>1</v>
      </c>
      <c r="D6" s="51" t="s">
        <v>1011</v>
      </c>
      <c r="E6" s="51" t="s">
        <v>911</v>
      </c>
      <c r="F6" s="121">
        <v>25</v>
      </c>
      <c r="G6" s="122">
        <f>Tariefopbouw3</f>
        <v>0</v>
      </c>
      <c r="H6" s="123"/>
      <c r="I6" s="122">
        <f>G6</f>
        <v>0</v>
      </c>
      <c r="J6" s="55">
        <f>IF(ISBLANK(F6),0,F6)*ROUND(I6,2)</f>
        <v>0</v>
      </c>
      <c r="K6" s="55">
        <f>C6*J6</f>
        <v>0</v>
      </c>
      <c r="L6" s="55">
        <f>K6/12</f>
        <v>0</v>
      </c>
    </row>
    <row r="7" spans="1:12" x14ac:dyDescent="0.4">
      <c r="A7" s="61" t="s">
        <v>1012</v>
      </c>
      <c r="B7" s="61" t="s">
        <v>20</v>
      </c>
      <c r="C7" s="62">
        <f>IF(ISBLANK(B7),0,IF(ISERROR(VALUE(B7)),VLOOKUP(B7,dagsoorttabel1,2,FALSE)*dagenperjaar1,VALUE(B7)))</f>
        <v>1</v>
      </c>
      <c r="D7" s="61" t="s">
        <v>1013</v>
      </c>
      <c r="E7" s="61" t="s">
        <v>911</v>
      </c>
      <c r="F7" s="124">
        <v>5</v>
      </c>
      <c r="G7" s="125">
        <f>Tariefopbouw4</f>
        <v>0</v>
      </c>
      <c r="H7" s="126"/>
      <c r="I7" s="125">
        <f>G7</f>
        <v>0</v>
      </c>
      <c r="J7" s="65">
        <f>IF(ISBLANK(F7),0,F7)*ROUND(I7,2)</f>
        <v>0</v>
      </c>
      <c r="K7" s="65">
        <f>C7*J7</f>
        <v>0</v>
      </c>
      <c r="L7" s="65">
        <f>K7/12</f>
        <v>0</v>
      </c>
    </row>
    <row r="8" spans="1:12" x14ac:dyDescent="0.4">
      <c r="A8" s="74" t="s">
        <v>276</v>
      </c>
      <c r="B8" s="75"/>
      <c r="C8" s="75"/>
      <c r="D8" s="75"/>
      <c r="E8" s="75"/>
      <c r="F8" s="75"/>
      <c r="G8" s="75"/>
      <c r="H8" s="75"/>
      <c r="I8" s="75"/>
      <c r="J8" s="75"/>
      <c r="K8" s="77">
        <f>SUM(K6:K7)</f>
        <v>0</v>
      </c>
      <c r="L8" s="127">
        <f>K8/12</f>
        <v>0</v>
      </c>
    </row>
    <row r="10" spans="1:12" x14ac:dyDescent="0.4">
      <c r="A10" s="74" t="s">
        <v>1014</v>
      </c>
      <c r="B10" s="75"/>
      <c r="C10" s="75"/>
      <c r="D10" s="75"/>
      <c r="E10" s="75"/>
      <c r="F10" s="75"/>
      <c r="G10" s="75"/>
      <c r="H10" s="75"/>
      <c r="I10" s="75"/>
      <c r="J10" s="75"/>
      <c r="K10" s="77">
        <f>prijsjaarregie1</f>
        <v>0</v>
      </c>
      <c r="L10" s="127">
        <f>K10/12</f>
        <v>0</v>
      </c>
    </row>
  </sheetData>
  <sheetProtection algorithmName="SHA-512" hashValue="DV8QVU8nlB8KVzkli48MBsSpsqHmi2bUmBhd0Gr8wItJKwTpSyAj8k9r1eD/4X0k/Tpb2ne4m5oXBIEC/WwOfQ==" saltValue="GBaaHzR+o4sJ2TYF2nUlPA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&amp;LCito                                                        &amp;ROpmaakdatum: 12-02-2025
Intexso - Plantageweg 23E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4D5AD-A73A-471A-81E9-C36ACB60CDE8}">
  <dimension ref="A1:L20"/>
  <sheetViews>
    <sheetView workbookViewId="0">
      <selection activeCell="F15" sqref="F15"/>
    </sheetView>
  </sheetViews>
  <sheetFormatPr defaultRowHeight="14.6" x14ac:dyDescent="0.4"/>
  <cols>
    <col min="1" max="1" width="7.69140625" customWidth="1"/>
    <col min="2" max="2" width="6.69140625" customWidth="1"/>
    <col min="3" max="3" width="7.69140625" customWidth="1"/>
    <col min="4" max="4" width="50.69140625" customWidth="1"/>
    <col min="5" max="6" width="14.69140625" customWidth="1"/>
    <col min="7" max="9" width="11.69140625" customWidth="1"/>
    <col min="10" max="10" width="12.69140625" customWidth="1"/>
    <col min="11" max="11" width="14.69140625" customWidth="1"/>
    <col min="12" max="12" width="13.69140625" customWidth="1"/>
  </cols>
  <sheetData>
    <row r="1" spans="1:12" x14ac:dyDescent="0.4">
      <c r="A1" s="1" t="str">
        <f>CONCATENATE("Bijlage F.9: ",tabeltype," glas")</f>
        <v>Bijlage F.9: Invultabel glas</v>
      </c>
    </row>
    <row r="3" spans="1:12" ht="43.75" x14ac:dyDescent="0.4">
      <c r="A3" s="44" t="s">
        <v>902</v>
      </c>
      <c r="B3" s="44" t="s">
        <v>7</v>
      </c>
      <c r="C3" s="44" t="s">
        <v>903</v>
      </c>
      <c r="D3" s="44" t="s">
        <v>88</v>
      </c>
      <c r="E3" s="44" t="s">
        <v>91</v>
      </c>
      <c r="F3" s="44" t="s">
        <v>904</v>
      </c>
      <c r="G3" s="44" t="s">
        <v>905</v>
      </c>
      <c r="H3" s="44" t="s">
        <v>906</v>
      </c>
      <c r="I3" s="44" t="s">
        <v>907</v>
      </c>
      <c r="J3" s="44" t="s">
        <v>908</v>
      </c>
      <c r="K3" s="44" t="s">
        <v>201</v>
      </c>
      <c r="L3" s="44" t="s">
        <v>886</v>
      </c>
    </row>
    <row r="4" spans="1:12" x14ac:dyDescent="0.4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x14ac:dyDescent="0.4">
      <c r="A5" s="48" t="s">
        <v>93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2" x14ac:dyDescent="0.4">
      <c r="A6" s="51" t="s">
        <v>1015</v>
      </c>
      <c r="B6" s="51" t="s">
        <v>20</v>
      </c>
      <c r="C6" s="52">
        <f>IF(ISBLANK(B6),0,IF(ISERROR(VALUE(B6)),VLOOKUP(B6,dagsoorttabel1,2,FALSE)*dagenperjaar1,VALUE(B6)))</f>
        <v>1</v>
      </c>
      <c r="D6" s="51" t="s">
        <v>1016</v>
      </c>
      <c r="E6" s="51" t="s">
        <v>933</v>
      </c>
      <c r="F6" s="121">
        <v>2074</v>
      </c>
      <c r="G6" s="128"/>
      <c r="H6" s="123"/>
      <c r="I6" s="128"/>
      <c r="J6" s="55">
        <f>IF(ISBLANK(F6),0,F6)*ROUND(I6,2)</f>
        <v>0</v>
      </c>
      <c r="K6" s="55">
        <f>C6*J6</f>
        <v>0</v>
      </c>
      <c r="L6" s="55">
        <f>K6/12</f>
        <v>0</v>
      </c>
    </row>
    <row r="7" spans="1:12" x14ac:dyDescent="0.4">
      <c r="A7" s="56" t="s">
        <v>1017</v>
      </c>
      <c r="B7" s="56" t="s">
        <v>20</v>
      </c>
      <c r="C7" s="57">
        <f>IF(ISBLANK(B7),0,IF(ISERROR(VALUE(B7)),VLOOKUP(B7,dagsoorttabel1,2,FALSE)*dagenperjaar1,VALUE(B7)))</f>
        <v>1</v>
      </c>
      <c r="D7" s="56" t="s">
        <v>1018</v>
      </c>
      <c r="E7" s="56" t="s">
        <v>1019</v>
      </c>
      <c r="F7" s="131">
        <v>1</v>
      </c>
      <c r="G7" s="129"/>
      <c r="H7" s="132"/>
      <c r="I7" s="129"/>
      <c r="J7" s="60">
        <f>IF(ISBLANK(F7),0,F7)*ROUND(I7,2)</f>
        <v>0</v>
      </c>
      <c r="K7" s="60">
        <f>C7*J7</f>
        <v>0</v>
      </c>
      <c r="L7" s="60">
        <f>K7/12</f>
        <v>0</v>
      </c>
    </row>
    <row r="8" spans="1:12" x14ac:dyDescent="0.4">
      <c r="A8" s="56" t="s">
        <v>1020</v>
      </c>
      <c r="B8" s="56" t="s">
        <v>20</v>
      </c>
      <c r="C8" s="57">
        <f>IF(ISBLANK(B8),0,IF(ISERROR(VALUE(B8)),VLOOKUP(B8,dagsoorttabel1,2,FALSE)*dagenperjaar1,VALUE(B8)))</f>
        <v>1</v>
      </c>
      <c r="D8" s="56" t="s">
        <v>1021</v>
      </c>
      <c r="E8" s="56" t="s">
        <v>1019</v>
      </c>
      <c r="F8" s="131">
        <v>1</v>
      </c>
      <c r="G8" s="129"/>
      <c r="H8" s="132"/>
      <c r="I8" s="129"/>
      <c r="J8" s="60">
        <f>IF(ISBLANK(F8),0,F8)*ROUND(I8,2)</f>
        <v>0</v>
      </c>
      <c r="K8" s="60">
        <f>C8*J8</f>
        <v>0</v>
      </c>
      <c r="L8" s="60">
        <f>K8/12</f>
        <v>0</v>
      </c>
    </row>
    <row r="9" spans="1:12" x14ac:dyDescent="0.4">
      <c r="A9" s="56" t="s">
        <v>1022</v>
      </c>
      <c r="B9" s="56" t="s">
        <v>20</v>
      </c>
      <c r="C9" s="57">
        <f>IF(ISBLANK(B9),0,IF(ISERROR(VALUE(B9)),VLOOKUP(B9,dagsoorttabel1,2,FALSE)*dagenperjaar1,VALUE(B9)))</f>
        <v>1</v>
      </c>
      <c r="D9" s="56" t="s">
        <v>1023</v>
      </c>
      <c r="E9" s="56" t="s">
        <v>933</v>
      </c>
      <c r="F9" s="131">
        <v>2075</v>
      </c>
      <c r="G9" s="129"/>
      <c r="H9" s="132"/>
      <c r="I9" s="129"/>
      <c r="J9" s="60">
        <f>IF(ISBLANK(F9),0,F9)*ROUND(I9,2)</f>
        <v>0</v>
      </c>
      <c r="K9" s="60">
        <f>C9*J9</f>
        <v>0</v>
      </c>
      <c r="L9" s="60">
        <f>K9/12</f>
        <v>0</v>
      </c>
    </row>
    <row r="10" spans="1:12" x14ac:dyDescent="0.4">
      <c r="A10" s="56" t="s">
        <v>1024</v>
      </c>
      <c r="B10" s="56" t="s">
        <v>20</v>
      </c>
      <c r="C10" s="57">
        <f>IF(ISBLANK(B10),0,IF(ISERROR(VALUE(B10)),VLOOKUP(B10,dagsoorttabel1,2,FALSE)*dagenperjaar1,VALUE(B10)))</f>
        <v>1</v>
      </c>
      <c r="D10" s="56" t="s">
        <v>1025</v>
      </c>
      <c r="E10" s="56" t="s">
        <v>933</v>
      </c>
      <c r="F10" s="131">
        <v>321</v>
      </c>
      <c r="G10" s="129"/>
      <c r="H10" s="132"/>
      <c r="I10" s="129"/>
      <c r="J10" s="60">
        <f>IF(ISBLANK(F10),0,F10)*ROUND(I10,2)</f>
        <v>0</v>
      </c>
      <c r="K10" s="60">
        <f>C10*J10</f>
        <v>0</v>
      </c>
      <c r="L10" s="60">
        <f>K10/12</f>
        <v>0</v>
      </c>
    </row>
    <row r="11" spans="1:12" x14ac:dyDescent="0.4">
      <c r="A11" s="56" t="s">
        <v>1026</v>
      </c>
      <c r="B11" s="56" t="s">
        <v>20</v>
      </c>
      <c r="C11" s="57">
        <f>IF(ISBLANK(B11),0,IF(ISERROR(VALUE(B11)),VLOOKUP(B11,dagsoorttabel1,2,FALSE)*dagenperjaar1,VALUE(B11)))</f>
        <v>1</v>
      </c>
      <c r="D11" s="56" t="s">
        <v>1027</v>
      </c>
      <c r="E11" s="56" t="s">
        <v>933</v>
      </c>
      <c r="F11" s="131">
        <v>3001</v>
      </c>
      <c r="G11" s="129"/>
      <c r="H11" s="132"/>
      <c r="I11" s="129"/>
      <c r="J11" s="60">
        <f>IF(ISBLANK(F11),0,F11)*ROUND(I11,2)</f>
        <v>0</v>
      </c>
      <c r="K11" s="60">
        <f>C11*J11</f>
        <v>0</v>
      </c>
      <c r="L11" s="60">
        <f>K11/12</f>
        <v>0</v>
      </c>
    </row>
    <row r="12" spans="1:12" x14ac:dyDescent="0.4">
      <c r="A12" s="56" t="s">
        <v>1028</v>
      </c>
      <c r="B12" s="56" t="s">
        <v>20</v>
      </c>
      <c r="C12" s="57">
        <f>IF(ISBLANK(B12),0,IF(ISERROR(VALUE(B12)),VLOOKUP(B12,dagsoorttabel1,2,FALSE)*dagenperjaar1,VALUE(B12)))</f>
        <v>1</v>
      </c>
      <c r="D12" s="56" t="s">
        <v>1029</v>
      </c>
      <c r="E12" s="56" t="s">
        <v>933</v>
      </c>
      <c r="F12" s="131">
        <v>143</v>
      </c>
      <c r="G12" s="129"/>
      <c r="H12" s="132"/>
      <c r="I12" s="129"/>
      <c r="J12" s="60">
        <f>IF(ISBLANK(F12),0,F12)*ROUND(I12,2)</f>
        <v>0</v>
      </c>
      <c r="K12" s="60">
        <f>C12*J12</f>
        <v>0</v>
      </c>
      <c r="L12" s="60">
        <f>K12/12</f>
        <v>0</v>
      </c>
    </row>
    <row r="13" spans="1:12" x14ac:dyDescent="0.4">
      <c r="A13" s="56" t="s">
        <v>1030</v>
      </c>
      <c r="B13" s="56" t="s">
        <v>20</v>
      </c>
      <c r="C13" s="57">
        <f>IF(ISBLANK(B13),0,IF(ISERROR(VALUE(B13)),VLOOKUP(B13,dagsoorttabel1,2,FALSE)*dagenperjaar1,VALUE(B13)))</f>
        <v>1</v>
      </c>
      <c r="D13" s="56" t="s">
        <v>1031</v>
      </c>
      <c r="E13" s="56" t="s">
        <v>933</v>
      </c>
      <c r="F13" s="131">
        <v>450</v>
      </c>
      <c r="G13" s="129"/>
      <c r="H13" s="132"/>
      <c r="I13" s="129"/>
      <c r="J13" s="60">
        <f>IF(ISBLANK(F13),0,F13)*ROUND(I13,2)</f>
        <v>0</v>
      </c>
      <c r="K13" s="60">
        <f>C13*J13</f>
        <v>0</v>
      </c>
      <c r="L13" s="60">
        <f>K13/12</f>
        <v>0</v>
      </c>
    </row>
    <row r="14" spans="1:12" x14ac:dyDescent="0.4">
      <c r="A14" s="56" t="s">
        <v>1032</v>
      </c>
      <c r="B14" s="56" t="s">
        <v>20</v>
      </c>
      <c r="C14" s="57">
        <f>IF(ISBLANK(B14),0,IF(ISERROR(VALUE(B14)),VLOOKUP(B14,dagsoorttabel1,2,FALSE)*dagenperjaar1,VALUE(B14)))</f>
        <v>1</v>
      </c>
      <c r="D14" s="56" t="s">
        <v>1033</v>
      </c>
      <c r="E14" s="56" t="s">
        <v>933</v>
      </c>
      <c r="F14" s="131">
        <v>450</v>
      </c>
      <c r="G14" s="129"/>
      <c r="H14" s="132"/>
      <c r="I14" s="129"/>
      <c r="J14" s="60">
        <f>IF(ISBLANK(F14),0,F14)*ROUND(I14,2)</f>
        <v>0</v>
      </c>
      <c r="K14" s="60">
        <f>C14*J14</f>
        <v>0</v>
      </c>
      <c r="L14" s="60">
        <f>K14/12</f>
        <v>0</v>
      </c>
    </row>
    <row r="15" spans="1:12" x14ac:dyDescent="0.4">
      <c r="A15" s="56" t="s">
        <v>1034</v>
      </c>
      <c r="B15" s="56" t="s">
        <v>20</v>
      </c>
      <c r="C15" s="57">
        <f>IF(ISBLANK(B15),0,IF(ISERROR(VALUE(B15)),VLOOKUP(B15,dagsoorttabel1,2,FALSE)*dagenperjaar1,VALUE(B15)))</f>
        <v>1</v>
      </c>
      <c r="D15" s="56" t="s">
        <v>1035</v>
      </c>
      <c r="E15" s="56" t="s">
        <v>1019</v>
      </c>
      <c r="F15" s="131">
        <v>1</v>
      </c>
      <c r="G15" s="129"/>
      <c r="H15" s="132"/>
      <c r="I15" s="129"/>
      <c r="J15" s="60">
        <f>IF(ISBLANK(F15),0,F15)*ROUND(I15,2)</f>
        <v>0</v>
      </c>
      <c r="K15" s="60">
        <f>C15*J15</f>
        <v>0</v>
      </c>
      <c r="L15" s="60">
        <f>K15/12</f>
        <v>0</v>
      </c>
    </row>
    <row r="16" spans="1:12" x14ac:dyDescent="0.4">
      <c r="A16" s="56" t="s">
        <v>1036</v>
      </c>
      <c r="B16" s="56" t="s">
        <v>20</v>
      </c>
      <c r="C16" s="57">
        <f>IF(ISBLANK(B16),0,IF(ISERROR(VALUE(B16)),VLOOKUP(B16,dagsoorttabel1,2,FALSE)*dagenperjaar1,VALUE(B16)))</f>
        <v>1</v>
      </c>
      <c r="D16" s="56" t="s">
        <v>1037</v>
      </c>
      <c r="E16" s="56" t="s">
        <v>1019</v>
      </c>
      <c r="F16" s="131">
        <v>1</v>
      </c>
      <c r="G16" s="129"/>
      <c r="H16" s="132"/>
      <c r="I16" s="129"/>
      <c r="J16" s="60">
        <f>IF(ISBLANK(F16),0,F16)*ROUND(I16,2)</f>
        <v>0</v>
      </c>
      <c r="K16" s="60">
        <f>C16*J16</f>
        <v>0</v>
      </c>
      <c r="L16" s="60">
        <f>K16/12</f>
        <v>0</v>
      </c>
    </row>
    <row r="17" spans="1:12" x14ac:dyDescent="0.4">
      <c r="A17" s="61" t="s">
        <v>1038</v>
      </c>
      <c r="B17" s="61" t="s">
        <v>20</v>
      </c>
      <c r="C17" s="62">
        <f>IF(ISBLANK(B17),0,IF(ISERROR(VALUE(B17)),VLOOKUP(B17,dagsoorttabel1,2,FALSE)*dagenperjaar1,VALUE(B17)))</f>
        <v>1</v>
      </c>
      <c r="D17" s="61" t="s">
        <v>1039</v>
      </c>
      <c r="E17" s="61" t="s">
        <v>1019</v>
      </c>
      <c r="F17" s="124">
        <v>1</v>
      </c>
      <c r="G17" s="130"/>
      <c r="H17" s="126"/>
      <c r="I17" s="130"/>
      <c r="J17" s="65">
        <f>IF(ISBLANK(F17),0,F17)*ROUND(I17,2)</f>
        <v>0</v>
      </c>
      <c r="K17" s="65">
        <f>C17*J17</f>
        <v>0</v>
      </c>
      <c r="L17" s="65">
        <f>K17/12</f>
        <v>0</v>
      </c>
    </row>
    <row r="18" spans="1:12" x14ac:dyDescent="0.4">
      <c r="A18" s="74" t="s">
        <v>276</v>
      </c>
      <c r="B18" s="75"/>
      <c r="C18" s="75"/>
      <c r="D18" s="75"/>
      <c r="E18" s="75"/>
      <c r="F18" s="75"/>
      <c r="G18" s="75"/>
      <c r="H18" s="75"/>
      <c r="I18" s="75"/>
      <c r="J18" s="75"/>
      <c r="K18" s="77">
        <f>SUM(K6:K17)</f>
        <v>0</v>
      </c>
      <c r="L18" s="127">
        <f>K18/12</f>
        <v>0</v>
      </c>
    </row>
    <row r="20" spans="1:12" x14ac:dyDescent="0.4">
      <c r="A20" s="74" t="s">
        <v>1040</v>
      </c>
      <c r="B20" s="75"/>
      <c r="C20" s="75"/>
      <c r="D20" s="75"/>
      <c r="E20" s="75"/>
      <c r="F20" s="75"/>
      <c r="G20" s="75"/>
      <c r="H20" s="75"/>
      <c r="I20" s="75"/>
      <c r="J20" s="75"/>
      <c r="K20" s="77">
        <f>prijsjaarglas1</f>
        <v>0</v>
      </c>
      <c r="L20" s="127">
        <f>K20/12</f>
        <v>0</v>
      </c>
    </row>
  </sheetData>
  <sheetProtection algorithmName="SHA-512" hashValue="kpug4cOry7kilD5ZbXcs0/1zedDlYgkGgKWymAxaCUqTe6z91OSDkzAuwEyHnZOyCP3zdcL/qvsAlbLHOkXvOA==" saltValue="3nTUX0OhQOohFXxW90TgTw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&amp;LCito                                                        &amp;ROpmaakdatum: 12-02-2025
Intexso - Plantageweg 23E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78E33-405D-493B-8991-CE2CCCDA6A3D}">
  <dimension ref="A1:R38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4.6" x14ac:dyDescent="0.4"/>
  <cols>
    <col min="1" max="1" width="8.69140625" customWidth="1"/>
    <col min="2" max="2" width="30.69140625" customWidth="1"/>
    <col min="3" max="3" width="7.69140625" customWidth="1"/>
    <col min="4" max="4" width="10.69140625" customWidth="1"/>
    <col min="5" max="5" width="25.69140625" customWidth="1"/>
    <col min="6" max="6" width="7.69140625" customWidth="1"/>
    <col min="7" max="7" width="6.69140625" customWidth="1"/>
    <col min="8" max="8" width="8.69140625" customWidth="1"/>
    <col min="9" max="9" width="40.69140625" customWidth="1"/>
    <col min="10" max="11" width="10.69140625" customWidth="1"/>
    <col min="12" max="12" width="11.69140625" customWidth="1"/>
    <col min="13" max="13" width="9.69140625" customWidth="1"/>
    <col min="14" max="16" width="11.69140625" customWidth="1"/>
    <col min="17" max="17" width="12.69140625" customWidth="1"/>
    <col min="18" max="18" width="14.69140625" customWidth="1"/>
  </cols>
  <sheetData>
    <row r="1" spans="1:18" x14ac:dyDescent="0.4">
      <c r="A1" s="1" t="str">
        <f>CONCATENATE("Bijlage F.10: ",tabeltype," glas werkdag")</f>
        <v>Bijlage F.10: Invultabel glas werkdag</v>
      </c>
    </row>
    <row r="3" spans="1:18" ht="43.75" x14ac:dyDescent="0.4">
      <c r="A3" s="81" t="s">
        <v>279</v>
      </c>
      <c r="B3" s="44" t="s">
        <v>280</v>
      </c>
      <c r="C3" s="44" t="s">
        <v>281</v>
      </c>
      <c r="D3" s="44" t="s">
        <v>282</v>
      </c>
      <c r="E3" s="44" t="s">
        <v>283</v>
      </c>
      <c r="F3" s="44" t="s">
        <v>194</v>
      </c>
      <c r="G3" s="44" t="s">
        <v>7</v>
      </c>
      <c r="H3" s="44" t="s">
        <v>1041</v>
      </c>
      <c r="I3" s="44" t="s">
        <v>286</v>
      </c>
      <c r="J3" s="44" t="s">
        <v>196</v>
      </c>
      <c r="K3" s="44" t="s">
        <v>197</v>
      </c>
      <c r="L3" s="44" t="s">
        <v>89</v>
      </c>
      <c r="M3" s="44" t="s">
        <v>91</v>
      </c>
      <c r="N3" s="44" t="s">
        <v>92</v>
      </c>
      <c r="O3" s="44" t="s">
        <v>198</v>
      </c>
      <c r="P3" s="44" t="s">
        <v>199</v>
      </c>
      <c r="Q3" s="44" t="s">
        <v>200</v>
      </c>
      <c r="R3" s="82" t="s">
        <v>201</v>
      </c>
    </row>
    <row r="4" spans="1:18" x14ac:dyDescent="0.4">
      <c r="A4" s="83" t="s">
        <v>290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73"/>
    </row>
    <row r="5" spans="1:18" ht="43.75" x14ac:dyDescent="0.4">
      <c r="A5" s="84" t="s">
        <v>291</v>
      </c>
      <c r="B5" s="85" t="s">
        <v>34</v>
      </c>
      <c r="C5" s="85" t="s">
        <v>34</v>
      </c>
      <c r="D5" s="85" t="s">
        <v>34</v>
      </c>
      <c r="E5" s="86" t="s">
        <v>1042</v>
      </c>
      <c r="F5" s="85" t="s">
        <v>1015</v>
      </c>
      <c r="G5" s="85" t="s">
        <v>20</v>
      </c>
      <c r="H5" s="85" t="s">
        <v>1043</v>
      </c>
      <c r="I5" s="86" t="s">
        <v>1016</v>
      </c>
      <c r="J5" s="87">
        <v>69</v>
      </c>
      <c r="K5" s="87">
        <f>J5*VLOOKUP(G5,dagsoorttabel1,2,FALSE)</f>
        <v>0.27058823529411763</v>
      </c>
      <c r="L5" s="88"/>
      <c r="M5" s="85" t="s">
        <v>1044</v>
      </c>
      <c r="N5" s="89">
        <f>uurtarief1</f>
        <v>0</v>
      </c>
      <c r="O5" s="87" t="s">
        <v>1045</v>
      </c>
      <c r="P5" s="89">
        <f>ROUND(N5,2)*K5</f>
        <v>0</v>
      </c>
      <c r="Q5" s="87"/>
      <c r="R5" s="90">
        <f>P5*dagenperjaar1</f>
        <v>0</v>
      </c>
    </row>
    <row r="6" spans="1:18" ht="29.15" x14ac:dyDescent="0.4">
      <c r="A6" s="91" t="s">
        <v>291</v>
      </c>
      <c r="B6" s="92" t="s">
        <v>34</v>
      </c>
      <c r="C6" s="92" t="s">
        <v>34</v>
      </c>
      <c r="D6" s="92" t="s">
        <v>34</v>
      </c>
      <c r="E6" s="93" t="s">
        <v>1046</v>
      </c>
      <c r="F6" s="92" t="s">
        <v>1015</v>
      </c>
      <c r="G6" s="92" t="s">
        <v>20</v>
      </c>
      <c r="H6" s="92" t="s">
        <v>1043</v>
      </c>
      <c r="I6" s="93" t="s">
        <v>1016</v>
      </c>
      <c r="J6" s="94">
        <v>68</v>
      </c>
      <c r="K6" s="94">
        <f>J6*VLOOKUP(G6,dagsoorttabel1,2,FALSE)</f>
        <v>0.26666666666666666</v>
      </c>
      <c r="L6" s="95"/>
      <c r="M6" s="92" t="s">
        <v>1044</v>
      </c>
      <c r="N6" s="26">
        <f>uurtarief1</f>
        <v>0</v>
      </c>
      <c r="O6" s="94" t="s">
        <v>1045</v>
      </c>
      <c r="P6" s="26">
        <f>ROUND(N6,2)*K6</f>
        <v>0</v>
      </c>
      <c r="Q6" s="94"/>
      <c r="R6" s="27">
        <f>P6*dagenperjaar1</f>
        <v>0</v>
      </c>
    </row>
    <row r="7" spans="1:18" x14ac:dyDescent="0.4">
      <c r="A7" s="91" t="s">
        <v>291</v>
      </c>
      <c r="B7" s="92" t="s">
        <v>34</v>
      </c>
      <c r="C7" s="92" t="s">
        <v>34</v>
      </c>
      <c r="D7" s="92" t="s">
        <v>34</v>
      </c>
      <c r="E7" s="93" t="s">
        <v>1047</v>
      </c>
      <c r="F7" s="92" t="s">
        <v>1015</v>
      </c>
      <c r="G7" s="92" t="s">
        <v>20</v>
      </c>
      <c r="H7" s="92" t="s">
        <v>1043</v>
      </c>
      <c r="I7" s="93" t="s">
        <v>1016</v>
      </c>
      <c r="J7" s="94">
        <v>1937</v>
      </c>
      <c r="K7" s="94">
        <f>J7*VLOOKUP(G7,dagsoorttabel1,2,FALSE)</f>
        <v>7.5960784313725487</v>
      </c>
      <c r="L7" s="95"/>
      <c r="M7" s="92" t="s">
        <v>1044</v>
      </c>
      <c r="N7" s="26">
        <f>uurtarief1</f>
        <v>0</v>
      </c>
      <c r="O7" s="94" t="s">
        <v>1045</v>
      </c>
      <c r="P7" s="26">
        <f>ROUND(N7,2)*K7</f>
        <v>0</v>
      </c>
      <c r="Q7" s="94"/>
      <c r="R7" s="27">
        <f>P7*dagenperjaar1</f>
        <v>0</v>
      </c>
    </row>
    <row r="8" spans="1:18" x14ac:dyDescent="0.4">
      <c r="A8" s="91" t="s">
        <v>291</v>
      </c>
      <c r="B8" s="92" t="s">
        <v>34</v>
      </c>
      <c r="C8" s="92" t="s">
        <v>34</v>
      </c>
      <c r="D8" s="92" t="s">
        <v>34</v>
      </c>
      <c r="E8" s="93" t="s">
        <v>1047</v>
      </c>
      <c r="F8" s="92" t="s">
        <v>1017</v>
      </c>
      <c r="G8" s="92" t="s">
        <v>20</v>
      </c>
      <c r="H8" s="92" t="s">
        <v>1043</v>
      </c>
      <c r="I8" s="93" t="s">
        <v>1018</v>
      </c>
      <c r="J8" s="94">
        <v>1</v>
      </c>
      <c r="K8" s="94">
        <f>J8*VLOOKUP(G8,dagsoorttabel1,2,FALSE)</f>
        <v>3.9215686274509803E-3</v>
      </c>
      <c r="L8" s="95"/>
      <c r="M8" s="92" t="s">
        <v>293</v>
      </c>
      <c r="N8" s="26">
        <f>uurtarief2</f>
        <v>0</v>
      </c>
      <c r="O8" s="94" t="s">
        <v>1045</v>
      </c>
      <c r="P8" s="26">
        <f>ROUND(N8,2)*K8</f>
        <v>0</v>
      </c>
      <c r="Q8" s="94"/>
      <c r="R8" s="27">
        <f>P8*dagenperjaar1</f>
        <v>0</v>
      </c>
    </row>
    <row r="9" spans="1:18" ht="29.15" x14ac:dyDescent="0.4">
      <c r="A9" s="91" t="s">
        <v>291</v>
      </c>
      <c r="B9" s="92" t="s">
        <v>34</v>
      </c>
      <c r="C9" s="92" t="s">
        <v>34</v>
      </c>
      <c r="D9" s="92" t="s">
        <v>34</v>
      </c>
      <c r="E9" s="93" t="s">
        <v>1047</v>
      </c>
      <c r="F9" s="92" t="s">
        <v>1020</v>
      </c>
      <c r="G9" s="92" t="s">
        <v>20</v>
      </c>
      <c r="H9" s="92" t="s">
        <v>1043</v>
      </c>
      <c r="I9" s="93" t="s">
        <v>1021</v>
      </c>
      <c r="J9" s="94">
        <v>1</v>
      </c>
      <c r="K9" s="94">
        <f>J9*VLOOKUP(G9,dagsoorttabel1,2,FALSE)</f>
        <v>3.9215686274509803E-3</v>
      </c>
      <c r="L9" s="95"/>
      <c r="M9" s="92" t="s">
        <v>293</v>
      </c>
      <c r="N9" s="26">
        <f>uurtarief3</f>
        <v>0</v>
      </c>
      <c r="O9" s="94" t="s">
        <v>1045</v>
      </c>
      <c r="P9" s="26">
        <f>ROUND(N9,2)*K9</f>
        <v>0</v>
      </c>
      <c r="Q9" s="94"/>
      <c r="R9" s="27">
        <f>P9*dagenperjaar1</f>
        <v>0</v>
      </c>
    </row>
    <row r="10" spans="1:18" x14ac:dyDescent="0.4">
      <c r="A10" s="91" t="s">
        <v>291</v>
      </c>
      <c r="B10" s="92" t="s">
        <v>34</v>
      </c>
      <c r="C10" s="92" t="s">
        <v>34</v>
      </c>
      <c r="D10" s="92" t="s">
        <v>34</v>
      </c>
      <c r="E10" s="93" t="s">
        <v>1048</v>
      </c>
      <c r="F10" s="92" t="s">
        <v>1030</v>
      </c>
      <c r="G10" s="92" t="s">
        <v>20</v>
      </c>
      <c r="H10" s="92" t="s">
        <v>1043</v>
      </c>
      <c r="I10" s="93" t="s">
        <v>1031</v>
      </c>
      <c r="J10" s="94">
        <v>450</v>
      </c>
      <c r="K10" s="94">
        <f>J10*VLOOKUP(G10,dagsoorttabel1,2,FALSE)</f>
        <v>1.7647058823529411</v>
      </c>
      <c r="L10" s="95"/>
      <c r="M10" s="92" t="s">
        <v>1044</v>
      </c>
      <c r="N10" s="26">
        <f>uurtarief8</f>
        <v>0</v>
      </c>
      <c r="O10" s="94" t="s">
        <v>1045</v>
      </c>
      <c r="P10" s="26">
        <f>ROUND(N10,2)*K10</f>
        <v>0</v>
      </c>
      <c r="Q10" s="94"/>
      <c r="R10" s="27">
        <f>P10*dagenperjaar1</f>
        <v>0</v>
      </c>
    </row>
    <row r="11" spans="1:18" x14ac:dyDescent="0.4">
      <c r="A11" s="91" t="s">
        <v>291</v>
      </c>
      <c r="B11" s="92" t="s">
        <v>34</v>
      </c>
      <c r="C11" s="92" t="s">
        <v>331</v>
      </c>
      <c r="D11" s="92" t="s">
        <v>34</v>
      </c>
      <c r="E11" s="93" t="s">
        <v>1049</v>
      </c>
      <c r="F11" s="92" t="s">
        <v>1022</v>
      </c>
      <c r="G11" s="92" t="s">
        <v>20</v>
      </c>
      <c r="H11" s="92" t="s">
        <v>1043</v>
      </c>
      <c r="I11" s="93" t="s">
        <v>1023</v>
      </c>
      <c r="J11" s="94">
        <v>60</v>
      </c>
      <c r="K11" s="94">
        <f>J11*VLOOKUP(G11,dagsoorttabel1,2,FALSE)</f>
        <v>0.23529411764705882</v>
      </c>
      <c r="L11" s="95"/>
      <c r="M11" s="92" t="s">
        <v>1044</v>
      </c>
      <c r="N11" s="26">
        <f>uurtarief4</f>
        <v>0</v>
      </c>
      <c r="O11" s="94" t="s">
        <v>1045</v>
      </c>
      <c r="P11" s="26">
        <f>ROUND(N11,2)*K11</f>
        <v>0</v>
      </c>
      <c r="Q11" s="94"/>
      <c r="R11" s="27">
        <f>P11*dagenperjaar1</f>
        <v>0</v>
      </c>
    </row>
    <row r="12" spans="1:18" x14ac:dyDescent="0.4">
      <c r="A12" s="91" t="s">
        <v>291</v>
      </c>
      <c r="B12" s="92" t="s">
        <v>34</v>
      </c>
      <c r="C12" s="92" t="s">
        <v>331</v>
      </c>
      <c r="D12" s="92" t="s">
        <v>34</v>
      </c>
      <c r="E12" s="93" t="s">
        <v>1050</v>
      </c>
      <c r="F12" s="92" t="s">
        <v>1022</v>
      </c>
      <c r="G12" s="92" t="s">
        <v>20</v>
      </c>
      <c r="H12" s="92" t="s">
        <v>1043</v>
      </c>
      <c r="I12" s="93" t="s">
        <v>1023</v>
      </c>
      <c r="J12" s="94">
        <v>68</v>
      </c>
      <c r="K12" s="94">
        <f>J12*VLOOKUP(G12,dagsoorttabel1,2,FALSE)</f>
        <v>0.26666666666666666</v>
      </c>
      <c r="L12" s="95"/>
      <c r="M12" s="92" t="s">
        <v>1044</v>
      </c>
      <c r="N12" s="26">
        <f>uurtarief4</f>
        <v>0</v>
      </c>
      <c r="O12" s="94" t="s">
        <v>1045</v>
      </c>
      <c r="P12" s="26">
        <f>ROUND(N12,2)*K12</f>
        <v>0</v>
      </c>
      <c r="Q12" s="94"/>
      <c r="R12" s="27">
        <f>P12*dagenperjaar1</f>
        <v>0</v>
      </c>
    </row>
    <row r="13" spans="1:18" x14ac:dyDescent="0.4">
      <c r="A13" s="91" t="s">
        <v>291</v>
      </c>
      <c r="B13" s="92" t="s">
        <v>34</v>
      </c>
      <c r="C13" s="92" t="s">
        <v>331</v>
      </c>
      <c r="D13" s="92" t="s">
        <v>34</v>
      </c>
      <c r="E13" s="93" t="s">
        <v>1050</v>
      </c>
      <c r="F13" s="92" t="s">
        <v>1026</v>
      </c>
      <c r="G13" s="92" t="s">
        <v>20</v>
      </c>
      <c r="H13" s="92" t="s">
        <v>1043</v>
      </c>
      <c r="I13" s="93" t="s">
        <v>1027</v>
      </c>
      <c r="J13" s="94">
        <v>182</v>
      </c>
      <c r="K13" s="94">
        <f>J13*VLOOKUP(G13,dagsoorttabel1,2,FALSE)</f>
        <v>0.71372549019607845</v>
      </c>
      <c r="L13" s="95"/>
      <c r="M13" s="92" t="s">
        <v>1044</v>
      </c>
      <c r="N13" s="26">
        <f>uurtarief6</f>
        <v>0</v>
      </c>
      <c r="O13" s="94" t="s">
        <v>1045</v>
      </c>
      <c r="P13" s="26">
        <f>ROUND(N13,2)*K13</f>
        <v>0</v>
      </c>
      <c r="Q13" s="94"/>
      <c r="R13" s="27">
        <f>P13*dagenperjaar1</f>
        <v>0</v>
      </c>
    </row>
    <row r="14" spans="1:18" ht="29.15" x14ac:dyDescent="0.4">
      <c r="A14" s="91" t="s">
        <v>291</v>
      </c>
      <c r="B14" s="92" t="s">
        <v>34</v>
      </c>
      <c r="C14" s="92" t="s">
        <v>331</v>
      </c>
      <c r="D14" s="92" t="s">
        <v>34</v>
      </c>
      <c r="E14" s="93" t="s">
        <v>1051</v>
      </c>
      <c r="F14" s="92" t="s">
        <v>1022</v>
      </c>
      <c r="G14" s="92" t="s">
        <v>20</v>
      </c>
      <c r="H14" s="92" t="s">
        <v>1043</v>
      </c>
      <c r="I14" s="93" t="s">
        <v>1023</v>
      </c>
      <c r="J14" s="94">
        <v>55</v>
      </c>
      <c r="K14" s="94">
        <f>J14*VLOOKUP(G14,dagsoorttabel1,2,FALSE)</f>
        <v>0.21568627450980393</v>
      </c>
      <c r="L14" s="95"/>
      <c r="M14" s="92" t="s">
        <v>1044</v>
      </c>
      <c r="N14" s="26">
        <f>uurtarief4</f>
        <v>0</v>
      </c>
      <c r="O14" s="94" t="s">
        <v>1045</v>
      </c>
      <c r="P14" s="26">
        <f>ROUND(N14,2)*K14</f>
        <v>0</v>
      </c>
      <c r="Q14" s="94"/>
      <c r="R14" s="27">
        <f>P14*dagenperjaar1</f>
        <v>0</v>
      </c>
    </row>
    <row r="15" spans="1:18" ht="29.15" x14ac:dyDescent="0.4">
      <c r="A15" s="91" t="s">
        <v>291</v>
      </c>
      <c r="B15" s="92" t="s">
        <v>34</v>
      </c>
      <c r="C15" s="92" t="s">
        <v>331</v>
      </c>
      <c r="D15" s="92" t="s">
        <v>34</v>
      </c>
      <c r="E15" s="93" t="s">
        <v>1052</v>
      </c>
      <c r="F15" s="92" t="s">
        <v>1022</v>
      </c>
      <c r="G15" s="92" t="s">
        <v>20</v>
      </c>
      <c r="H15" s="92" t="s">
        <v>1043</v>
      </c>
      <c r="I15" s="93" t="s">
        <v>1023</v>
      </c>
      <c r="J15" s="94">
        <v>139</v>
      </c>
      <c r="K15" s="94">
        <f>J15*VLOOKUP(G15,dagsoorttabel1,2,FALSE)</f>
        <v>0.54509803921568623</v>
      </c>
      <c r="L15" s="95"/>
      <c r="M15" s="92" t="s">
        <v>1044</v>
      </c>
      <c r="N15" s="26">
        <f>uurtarief4</f>
        <v>0</v>
      </c>
      <c r="O15" s="94" t="s">
        <v>1045</v>
      </c>
      <c r="P15" s="26">
        <f>ROUND(N15,2)*K15</f>
        <v>0</v>
      </c>
      <c r="Q15" s="94"/>
      <c r="R15" s="27">
        <f>P15*dagenperjaar1</f>
        <v>0</v>
      </c>
    </row>
    <row r="16" spans="1:18" ht="29.15" x14ac:dyDescent="0.4">
      <c r="A16" s="91" t="s">
        <v>291</v>
      </c>
      <c r="B16" s="92" t="s">
        <v>34</v>
      </c>
      <c r="C16" s="92" t="s">
        <v>331</v>
      </c>
      <c r="D16" s="92" t="s">
        <v>34</v>
      </c>
      <c r="E16" s="93" t="s">
        <v>1053</v>
      </c>
      <c r="F16" s="92" t="s">
        <v>1024</v>
      </c>
      <c r="G16" s="92" t="s">
        <v>20</v>
      </c>
      <c r="H16" s="92" t="s">
        <v>1043</v>
      </c>
      <c r="I16" s="93" t="s">
        <v>1025</v>
      </c>
      <c r="J16" s="94">
        <v>321</v>
      </c>
      <c r="K16" s="94">
        <f>J16*VLOOKUP(G16,dagsoorttabel1,2,FALSE)</f>
        <v>1.2588235294117647</v>
      </c>
      <c r="L16" s="95"/>
      <c r="M16" s="92" t="s">
        <v>1044</v>
      </c>
      <c r="N16" s="26">
        <f>uurtarief5</f>
        <v>0</v>
      </c>
      <c r="O16" s="94" t="s">
        <v>1045</v>
      </c>
      <c r="P16" s="26">
        <f>ROUND(N16,2)*K16</f>
        <v>0</v>
      </c>
      <c r="Q16" s="94"/>
      <c r="R16" s="27">
        <f>P16*dagenperjaar1</f>
        <v>0</v>
      </c>
    </row>
    <row r="17" spans="1:18" ht="29.15" x14ac:dyDescent="0.4">
      <c r="A17" s="91" t="s">
        <v>291</v>
      </c>
      <c r="B17" s="92" t="s">
        <v>34</v>
      </c>
      <c r="C17" s="92" t="s">
        <v>331</v>
      </c>
      <c r="D17" s="92" t="s">
        <v>34</v>
      </c>
      <c r="E17" s="93" t="s">
        <v>1053</v>
      </c>
      <c r="F17" s="92" t="s">
        <v>1028</v>
      </c>
      <c r="G17" s="92" t="s">
        <v>20</v>
      </c>
      <c r="H17" s="92" t="s">
        <v>1043</v>
      </c>
      <c r="I17" s="93" t="s">
        <v>1029</v>
      </c>
      <c r="J17" s="94">
        <v>143</v>
      </c>
      <c r="K17" s="94">
        <f>J17*VLOOKUP(G17,dagsoorttabel1,2,FALSE)</f>
        <v>0.5607843137254902</v>
      </c>
      <c r="L17" s="95"/>
      <c r="M17" s="92" t="s">
        <v>1044</v>
      </c>
      <c r="N17" s="26">
        <f>uurtarief7</f>
        <v>0</v>
      </c>
      <c r="O17" s="94" t="s">
        <v>1045</v>
      </c>
      <c r="P17" s="26">
        <f>ROUND(N17,2)*K17</f>
        <v>0</v>
      </c>
      <c r="Q17" s="94"/>
      <c r="R17" s="27">
        <f>P17*dagenperjaar1</f>
        <v>0</v>
      </c>
    </row>
    <row r="18" spans="1:18" ht="29.15" x14ac:dyDescent="0.4">
      <c r="A18" s="91" t="s">
        <v>291</v>
      </c>
      <c r="B18" s="92" t="s">
        <v>34</v>
      </c>
      <c r="C18" s="92" t="s">
        <v>331</v>
      </c>
      <c r="D18" s="92" t="s">
        <v>34</v>
      </c>
      <c r="E18" s="93" t="s">
        <v>1053</v>
      </c>
      <c r="F18" s="92" t="s">
        <v>1036</v>
      </c>
      <c r="G18" s="92" t="s">
        <v>20</v>
      </c>
      <c r="H18" s="92" t="s">
        <v>1043</v>
      </c>
      <c r="I18" s="93" t="s">
        <v>1037</v>
      </c>
      <c r="J18" s="94">
        <v>1</v>
      </c>
      <c r="K18" s="94">
        <f>J18*VLOOKUP(G18,dagsoorttabel1,2,FALSE)</f>
        <v>3.9215686274509803E-3</v>
      </c>
      <c r="L18" s="95"/>
      <c r="M18" s="92" t="s">
        <v>293</v>
      </c>
      <c r="N18" s="26">
        <f>uurtarief11</f>
        <v>0</v>
      </c>
      <c r="O18" s="94" t="s">
        <v>1045</v>
      </c>
      <c r="P18" s="26">
        <f>ROUND(N18,2)*K18</f>
        <v>0</v>
      </c>
      <c r="Q18" s="94"/>
      <c r="R18" s="27">
        <f>P18*dagenperjaar1</f>
        <v>0</v>
      </c>
    </row>
    <row r="19" spans="1:18" ht="29.15" x14ac:dyDescent="0.4">
      <c r="A19" s="91" t="s">
        <v>291</v>
      </c>
      <c r="B19" s="92" t="s">
        <v>34</v>
      </c>
      <c r="C19" s="92" t="s">
        <v>331</v>
      </c>
      <c r="D19" s="92" t="s">
        <v>34</v>
      </c>
      <c r="E19" s="93" t="s">
        <v>1053</v>
      </c>
      <c r="F19" s="92" t="s">
        <v>1038</v>
      </c>
      <c r="G19" s="92" t="s">
        <v>20</v>
      </c>
      <c r="H19" s="92" t="s">
        <v>1043</v>
      </c>
      <c r="I19" s="93" t="s">
        <v>1039</v>
      </c>
      <c r="J19" s="94">
        <v>1</v>
      </c>
      <c r="K19" s="94">
        <f>J19*VLOOKUP(G19,dagsoorttabel1,2,FALSE)</f>
        <v>3.9215686274509803E-3</v>
      </c>
      <c r="L19" s="95"/>
      <c r="M19" s="92" t="s">
        <v>293</v>
      </c>
      <c r="N19" s="26">
        <f>uurtarief12</f>
        <v>0</v>
      </c>
      <c r="O19" s="94" t="s">
        <v>1045</v>
      </c>
      <c r="P19" s="26">
        <f>ROUND(N19,2)*K19</f>
        <v>0</v>
      </c>
      <c r="Q19" s="94"/>
      <c r="R19" s="27">
        <f>P19*dagenperjaar1</f>
        <v>0</v>
      </c>
    </row>
    <row r="20" spans="1:18" x14ac:dyDescent="0.4">
      <c r="A20" s="91" t="s">
        <v>291</v>
      </c>
      <c r="B20" s="92" t="s">
        <v>34</v>
      </c>
      <c r="C20" s="92" t="s">
        <v>331</v>
      </c>
      <c r="D20" s="92" t="s">
        <v>34</v>
      </c>
      <c r="E20" s="93" t="s">
        <v>1054</v>
      </c>
      <c r="F20" s="92" t="s">
        <v>1032</v>
      </c>
      <c r="G20" s="92" t="s">
        <v>20</v>
      </c>
      <c r="H20" s="92" t="s">
        <v>1043</v>
      </c>
      <c r="I20" s="93" t="s">
        <v>1033</v>
      </c>
      <c r="J20" s="94">
        <v>450</v>
      </c>
      <c r="K20" s="94">
        <f>J20*VLOOKUP(G20,dagsoorttabel1,2,FALSE)</f>
        <v>1.7647058823529411</v>
      </c>
      <c r="L20" s="95"/>
      <c r="M20" s="92" t="s">
        <v>1044</v>
      </c>
      <c r="N20" s="26">
        <f>uurtarief9</f>
        <v>0</v>
      </c>
      <c r="O20" s="94" t="s">
        <v>1045</v>
      </c>
      <c r="P20" s="26">
        <f>ROUND(N20,2)*K20</f>
        <v>0</v>
      </c>
      <c r="Q20" s="94"/>
      <c r="R20" s="27">
        <f>P20*dagenperjaar1</f>
        <v>0</v>
      </c>
    </row>
    <row r="21" spans="1:18" x14ac:dyDescent="0.4">
      <c r="A21" s="91" t="s">
        <v>291</v>
      </c>
      <c r="B21" s="92" t="s">
        <v>34</v>
      </c>
      <c r="C21" s="92" t="s">
        <v>331</v>
      </c>
      <c r="D21" s="92" t="s">
        <v>34</v>
      </c>
      <c r="E21" s="93" t="s">
        <v>1054</v>
      </c>
      <c r="F21" s="92" t="s">
        <v>1034</v>
      </c>
      <c r="G21" s="92" t="s">
        <v>20</v>
      </c>
      <c r="H21" s="92" t="s">
        <v>1043</v>
      </c>
      <c r="I21" s="93" t="s">
        <v>1035</v>
      </c>
      <c r="J21" s="94">
        <v>0</v>
      </c>
      <c r="K21" s="94">
        <f>J21*VLOOKUP(G21,dagsoorttabel1,2,FALSE)</f>
        <v>0</v>
      </c>
      <c r="L21" s="95"/>
      <c r="M21" s="92" t="s">
        <v>293</v>
      </c>
      <c r="N21" s="26"/>
      <c r="O21" s="94" t="s">
        <v>1045</v>
      </c>
      <c r="P21" s="26">
        <f>ROUND(N21,2)*K21</f>
        <v>0</v>
      </c>
      <c r="Q21" s="94"/>
      <c r="R21" s="27">
        <f>P21*dagenperjaar1</f>
        <v>0</v>
      </c>
    </row>
    <row r="22" spans="1:18" x14ac:dyDescent="0.4">
      <c r="A22" s="91" t="s">
        <v>291</v>
      </c>
      <c r="B22" s="92" t="s">
        <v>34</v>
      </c>
      <c r="C22" s="92" t="s">
        <v>368</v>
      </c>
      <c r="D22" s="92" t="s">
        <v>34</v>
      </c>
      <c r="E22" s="93" t="s">
        <v>1055</v>
      </c>
      <c r="F22" s="92" t="s">
        <v>1022</v>
      </c>
      <c r="G22" s="92" t="s">
        <v>20</v>
      </c>
      <c r="H22" s="92" t="s">
        <v>1043</v>
      </c>
      <c r="I22" s="93" t="s">
        <v>1023</v>
      </c>
      <c r="J22" s="94">
        <v>222</v>
      </c>
      <c r="K22" s="94">
        <f>J22*VLOOKUP(G22,dagsoorttabel1,2,FALSE)</f>
        <v>0.87058823529411766</v>
      </c>
      <c r="L22" s="95"/>
      <c r="M22" s="92" t="s">
        <v>1044</v>
      </c>
      <c r="N22" s="26">
        <f>uurtarief4</f>
        <v>0</v>
      </c>
      <c r="O22" s="94" t="s">
        <v>1045</v>
      </c>
      <c r="P22" s="26">
        <f>ROUND(N22,2)*K22</f>
        <v>0</v>
      </c>
      <c r="Q22" s="94"/>
      <c r="R22" s="27">
        <f>P22*dagenperjaar1</f>
        <v>0</v>
      </c>
    </row>
    <row r="23" spans="1:18" x14ac:dyDescent="0.4">
      <c r="A23" s="91" t="s">
        <v>291</v>
      </c>
      <c r="B23" s="92" t="s">
        <v>34</v>
      </c>
      <c r="C23" s="92" t="s">
        <v>368</v>
      </c>
      <c r="D23" s="92" t="s">
        <v>34</v>
      </c>
      <c r="E23" s="93" t="s">
        <v>1056</v>
      </c>
      <c r="F23" s="92" t="s">
        <v>1022</v>
      </c>
      <c r="G23" s="92" t="s">
        <v>20</v>
      </c>
      <c r="H23" s="92" t="s">
        <v>1043</v>
      </c>
      <c r="I23" s="93" t="s">
        <v>1023</v>
      </c>
      <c r="J23" s="94">
        <v>261</v>
      </c>
      <c r="K23" s="94">
        <f>J23*VLOOKUP(G23,dagsoorttabel1,2,FALSE)</f>
        <v>1.0235294117647058</v>
      </c>
      <c r="L23" s="95"/>
      <c r="M23" s="92" t="s">
        <v>1044</v>
      </c>
      <c r="N23" s="26">
        <f>uurtarief4</f>
        <v>0</v>
      </c>
      <c r="O23" s="94" t="s">
        <v>1045</v>
      </c>
      <c r="P23" s="26">
        <f>ROUND(N23,2)*K23</f>
        <v>0</v>
      </c>
      <c r="Q23" s="94"/>
      <c r="R23" s="27">
        <f>P23*dagenperjaar1</f>
        <v>0</v>
      </c>
    </row>
    <row r="24" spans="1:18" x14ac:dyDescent="0.4">
      <c r="A24" s="91" t="s">
        <v>291</v>
      </c>
      <c r="B24" s="92" t="s">
        <v>34</v>
      </c>
      <c r="C24" s="92" t="s">
        <v>368</v>
      </c>
      <c r="D24" s="92" t="s">
        <v>34</v>
      </c>
      <c r="E24" s="93" t="s">
        <v>1056</v>
      </c>
      <c r="F24" s="92" t="s">
        <v>1026</v>
      </c>
      <c r="G24" s="92" t="s">
        <v>20</v>
      </c>
      <c r="H24" s="92" t="s">
        <v>1043</v>
      </c>
      <c r="I24" s="93" t="s">
        <v>1027</v>
      </c>
      <c r="J24" s="94">
        <v>438</v>
      </c>
      <c r="K24" s="94">
        <f>J24*VLOOKUP(G24,dagsoorttabel1,2,FALSE)</f>
        <v>1.7176470588235293</v>
      </c>
      <c r="L24" s="95"/>
      <c r="M24" s="92" t="s">
        <v>1044</v>
      </c>
      <c r="N24" s="26">
        <f>uurtarief6</f>
        <v>0</v>
      </c>
      <c r="O24" s="94" t="s">
        <v>1045</v>
      </c>
      <c r="P24" s="26">
        <f>ROUND(N24,2)*K24</f>
        <v>0</v>
      </c>
      <c r="Q24" s="94"/>
      <c r="R24" s="27">
        <f>P24*dagenperjaar1</f>
        <v>0</v>
      </c>
    </row>
    <row r="25" spans="1:18" x14ac:dyDescent="0.4">
      <c r="A25" s="91" t="s">
        <v>291</v>
      </c>
      <c r="B25" s="92" t="s">
        <v>34</v>
      </c>
      <c r="C25" s="92" t="s">
        <v>395</v>
      </c>
      <c r="D25" s="92" t="s">
        <v>34</v>
      </c>
      <c r="E25" s="93" t="s">
        <v>1057</v>
      </c>
      <c r="F25" s="92" t="s">
        <v>1026</v>
      </c>
      <c r="G25" s="92" t="s">
        <v>20</v>
      </c>
      <c r="H25" s="92" t="s">
        <v>1043</v>
      </c>
      <c r="I25" s="93" t="s">
        <v>1027</v>
      </c>
      <c r="J25" s="94">
        <v>29</v>
      </c>
      <c r="K25" s="94">
        <f>J25*VLOOKUP(G25,dagsoorttabel1,2,FALSE)</f>
        <v>0.11372549019607843</v>
      </c>
      <c r="L25" s="95"/>
      <c r="M25" s="92" t="s">
        <v>1044</v>
      </c>
      <c r="N25" s="26">
        <f>uurtarief6</f>
        <v>0</v>
      </c>
      <c r="O25" s="94" t="s">
        <v>1045</v>
      </c>
      <c r="P25" s="26">
        <f>ROUND(N25,2)*K25</f>
        <v>0</v>
      </c>
      <c r="Q25" s="94"/>
      <c r="R25" s="27">
        <f>P25*dagenperjaar1</f>
        <v>0</v>
      </c>
    </row>
    <row r="26" spans="1:18" x14ac:dyDescent="0.4">
      <c r="A26" s="91" t="s">
        <v>291</v>
      </c>
      <c r="B26" s="92" t="s">
        <v>34</v>
      </c>
      <c r="C26" s="92" t="s">
        <v>395</v>
      </c>
      <c r="D26" s="92" t="s">
        <v>34</v>
      </c>
      <c r="E26" s="93" t="s">
        <v>1056</v>
      </c>
      <c r="F26" s="92" t="s">
        <v>1022</v>
      </c>
      <c r="G26" s="92" t="s">
        <v>20</v>
      </c>
      <c r="H26" s="92" t="s">
        <v>1043</v>
      </c>
      <c r="I26" s="93" t="s">
        <v>1023</v>
      </c>
      <c r="J26" s="94">
        <v>222</v>
      </c>
      <c r="K26" s="94">
        <f>J26*VLOOKUP(G26,dagsoorttabel1,2,FALSE)</f>
        <v>0.87058823529411766</v>
      </c>
      <c r="L26" s="95"/>
      <c r="M26" s="92" t="s">
        <v>1044</v>
      </c>
      <c r="N26" s="26">
        <f>uurtarief4</f>
        <v>0</v>
      </c>
      <c r="O26" s="94" t="s">
        <v>1045</v>
      </c>
      <c r="P26" s="26">
        <f>ROUND(N26,2)*K26</f>
        <v>0</v>
      </c>
      <c r="Q26" s="94"/>
      <c r="R26" s="27">
        <f>P26*dagenperjaar1</f>
        <v>0</v>
      </c>
    </row>
    <row r="27" spans="1:18" x14ac:dyDescent="0.4">
      <c r="A27" s="91" t="s">
        <v>291</v>
      </c>
      <c r="B27" s="92" t="s">
        <v>34</v>
      </c>
      <c r="C27" s="92" t="s">
        <v>395</v>
      </c>
      <c r="D27" s="92" t="s">
        <v>34</v>
      </c>
      <c r="E27" s="93" t="s">
        <v>1056</v>
      </c>
      <c r="F27" s="92" t="s">
        <v>1026</v>
      </c>
      <c r="G27" s="92" t="s">
        <v>20</v>
      </c>
      <c r="H27" s="92" t="s">
        <v>1043</v>
      </c>
      <c r="I27" s="93" t="s">
        <v>1027</v>
      </c>
      <c r="J27" s="94">
        <v>408</v>
      </c>
      <c r="K27" s="94">
        <f>J27*VLOOKUP(G27,dagsoorttabel1,2,FALSE)</f>
        <v>1.6</v>
      </c>
      <c r="L27" s="95"/>
      <c r="M27" s="92" t="s">
        <v>1044</v>
      </c>
      <c r="N27" s="26">
        <f>uurtarief6</f>
        <v>0</v>
      </c>
      <c r="O27" s="94" t="s">
        <v>1045</v>
      </c>
      <c r="P27" s="26">
        <f>ROUND(N27,2)*K27</f>
        <v>0</v>
      </c>
      <c r="Q27" s="94"/>
      <c r="R27" s="27">
        <f>P27*dagenperjaar1</f>
        <v>0</v>
      </c>
    </row>
    <row r="28" spans="1:18" x14ac:dyDescent="0.4">
      <c r="A28" s="91" t="s">
        <v>291</v>
      </c>
      <c r="B28" s="92" t="s">
        <v>34</v>
      </c>
      <c r="C28" s="92" t="s">
        <v>426</v>
      </c>
      <c r="D28" s="92" t="s">
        <v>34</v>
      </c>
      <c r="E28" s="93" t="s">
        <v>1057</v>
      </c>
      <c r="F28" s="92" t="s">
        <v>1026</v>
      </c>
      <c r="G28" s="92" t="s">
        <v>20</v>
      </c>
      <c r="H28" s="92" t="s">
        <v>1043</v>
      </c>
      <c r="I28" s="93" t="s">
        <v>1027</v>
      </c>
      <c r="J28" s="94">
        <v>61</v>
      </c>
      <c r="K28" s="94">
        <f>J28*VLOOKUP(G28,dagsoorttabel1,2,FALSE)</f>
        <v>0.23921568627450979</v>
      </c>
      <c r="L28" s="95"/>
      <c r="M28" s="92" t="s">
        <v>1044</v>
      </c>
      <c r="N28" s="26">
        <f>uurtarief6</f>
        <v>0</v>
      </c>
      <c r="O28" s="94" t="s">
        <v>1045</v>
      </c>
      <c r="P28" s="26">
        <f>ROUND(N28,2)*K28</f>
        <v>0</v>
      </c>
      <c r="Q28" s="94"/>
      <c r="R28" s="27">
        <f>P28*dagenperjaar1</f>
        <v>0</v>
      </c>
    </row>
    <row r="29" spans="1:18" x14ac:dyDescent="0.4">
      <c r="A29" s="91" t="s">
        <v>291</v>
      </c>
      <c r="B29" s="92" t="s">
        <v>34</v>
      </c>
      <c r="C29" s="92" t="s">
        <v>426</v>
      </c>
      <c r="D29" s="92" t="s">
        <v>34</v>
      </c>
      <c r="E29" s="93" t="s">
        <v>1056</v>
      </c>
      <c r="F29" s="92" t="s">
        <v>1022</v>
      </c>
      <c r="G29" s="92" t="s">
        <v>20</v>
      </c>
      <c r="H29" s="92" t="s">
        <v>1043</v>
      </c>
      <c r="I29" s="93" t="s">
        <v>1023</v>
      </c>
      <c r="J29" s="94">
        <v>293</v>
      </c>
      <c r="K29" s="94">
        <f>J29*VLOOKUP(G29,dagsoorttabel1,2,FALSE)</f>
        <v>1.1490196078431372</v>
      </c>
      <c r="L29" s="95"/>
      <c r="M29" s="92" t="s">
        <v>1044</v>
      </c>
      <c r="N29" s="26">
        <f>uurtarief4</f>
        <v>0</v>
      </c>
      <c r="O29" s="94" t="s">
        <v>1045</v>
      </c>
      <c r="P29" s="26">
        <f>ROUND(N29,2)*K29</f>
        <v>0</v>
      </c>
      <c r="Q29" s="94"/>
      <c r="R29" s="27">
        <f>P29*dagenperjaar1</f>
        <v>0</v>
      </c>
    </row>
    <row r="30" spans="1:18" x14ac:dyDescent="0.4">
      <c r="A30" s="91" t="s">
        <v>291</v>
      </c>
      <c r="B30" s="92" t="s">
        <v>34</v>
      </c>
      <c r="C30" s="92" t="s">
        <v>426</v>
      </c>
      <c r="D30" s="92" t="s">
        <v>34</v>
      </c>
      <c r="E30" s="93" t="s">
        <v>1056</v>
      </c>
      <c r="F30" s="92" t="s">
        <v>1026</v>
      </c>
      <c r="G30" s="92" t="s">
        <v>20</v>
      </c>
      <c r="H30" s="92" t="s">
        <v>1043</v>
      </c>
      <c r="I30" s="93" t="s">
        <v>1027</v>
      </c>
      <c r="J30" s="94">
        <v>562</v>
      </c>
      <c r="K30" s="94">
        <f>J30*VLOOKUP(G30,dagsoorttabel1,2,FALSE)</f>
        <v>2.2039215686274511</v>
      </c>
      <c r="L30" s="95"/>
      <c r="M30" s="92" t="s">
        <v>1044</v>
      </c>
      <c r="N30" s="26">
        <f>uurtarief6</f>
        <v>0</v>
      </c>
      <c r="O30" s="94" t="s">
        <v>1045</v>
      </c>
      <c r="P30" s="26">
        <f>ROUND(N30,2)*K30</f>
        <v>0</v>
      </c>
      <c r="Q30" s="94"/>
      <c r="R30" s="27">
        <f>P30*dagenperjaar1</f>
        <v>0</v>
      </c>
    </row>
    <row r="31" spans="1:18" x14ac:dyDescent="0.4">
      <c r="A31" s="91" t="s">
        <v>291</v>
      </c>
      <c r="B31" s="92" t="s">
        <v>34</v>
      </c>
      <c r="C31" s="92" t="s">
        <v>426</v>
      </c>
      <c r="D31" s="92" t="s">
        <v>34</v>
      </c>
      <c r="E31" s="93" t="s">
        <v>1058</v>
      </c>
      <c r="F31" s="92" t="s">
        <v>1022</v>
      </c>
      <c r="G31" s="92" t="s">
        <v>20</v>
      </c>
      <c r="H31" s="92" t="s">
        <v>1043</v>
      </c>
      <c r="I31" s="93" t="s">
        <v>1023</v>
      </c>
      <c r="J31" s="94">
        <v>216</v>
      </c>
      <c r="K31" s="94">
        <f>J31*VLOOKUP(G31,dagsoorttabel1,2,FALSE)</f>
        <v>0.84705882352941175</v>
      </c>
      <c r="L31" s="95"/>
      <c r="M31" s="92" t="s">
        <v>1044</v>
      </c>
      <c r="N31" s="26">
        <f>uurtarief4</f>
        <v>0</v>
      </c>
      <c r="O31" s="94" t="s">
        <v>1045</v>
      </c>
      <c r="P31" s="26">
        <f>ROUND(N31,2)*K31</f>
        <v>0</v>
      </c>
      <c r="Q31" s="94"/>
      <c r="R31" s="27">
        <f>P31*dagenperjaar1</f>
        <v>0</v>
      </c>
    </row>
    <row r="32" spans="1:18" x14ac:dyDescent="0.4">
      <c r="A32" s="91" t="s">
        <v>291</v>
      </c>
      <c r="B32" s="92" t="s">
        <v>34</v>
      </c>
      <c r="C32" s="92" t="s">
        <v>426</v>
      </c>
      <c r="D32" s="92" t="s">
        <v>34</v>
      </c>
      <c r="E32" s="93" t="s">
        <v>1058</v>
      </c>
      <c r="F32" s="92" t="s">
        <v>1026</v>
      </c>
      <c r="G32" s="92" t="s">
        <v>20</v>
      </c>
      <c r="H32" s="92" t="s">
        <v>1043</v>
      </c>
      <c r="I32" s="93" t="s">
        <v>1027</v>
      </c>
      <c r="J32" s="94">
        <v>600</v>
      </c>
      <c r="K32" s="94">
        <f>J32*VLOOKUP(G32,dagsoorttabel1,2,FALSE)</f>
        <v>2.3529411764705883</v>
      </c>
      <c r="L32" s="95"/>
      <c r="M32" s="92" t="s">
        <v>1044</v>
      </c>
      <c r="N32" s="26">
        <f>uurtarief6</f>
        <v>0</v>
      </c>
      <c r="O32" s="94" t="s">
        <v>1045</v>
      </c>
      <c r="P32" s="26">
        <f>ROUND(N32,2)*K32</f>
        <v>0</v>
      </c>
      <c r="Q32" s="94"/>
      <c r="R32" s="27">
        <f>P32*dagenperjaar1</f>
        <v>0</v>
      </c>
    </row>
    <row r="33" spans="1:18" x14ac:dyDescent="0.4">
      <c r="A33" s="91" t="s">
        <v>291</v>
      </c>
      <c r="B33" s="92" t="s">
        <v>34</v>
      </c>
      <c r="C33" s="92" t="s">
        <v>463</v>
      </c>
      <c r="D33" s="92" t="s">
        <v>34</v>
      </c>
      <c r="E33" s="93" t="s">
        <v>1057</v>
      </c>
      <c r="F33" s="92" t="s">
        <v>1026</v>
      </c>
      <c r="G33" s="92" t="s">
        <v>20</v>
      </c>
      <c r="H33" s="92" t="s">
        <v>1043</v>
      </c>
      <c r="I33" s="93" t="s">
        <v>1027</v>
      </c>
      <c r="J33" s="94">
        <v>53</v>
      </c>
      <c r="K33" s="94">
        <f>J33*VLOOKUP(G33,dagsoorttabel1,2,FALSE)</f>
        <v>0.20784313725490194</v>
      </c>
      <c r="L33" s="95"/>
      <c r="M33" s="92" t="s">
        <v>1044</v>
      </c>
      <c r="N33" s="26">
        <f>uurtarief6</f>
        <v>0</v>
      </c>
      <c r="O33" s="94" t="s">
        <v>1045</v>
      </c>
      <c r="P33" s="26">
        <f>ROUND(N33,2)*K33</f>
        <v>0</v>
      </c>
      <c r="Q33" s="94"/>
      <c r="R33" s="27">
        <f>P33*dagenperjaar1</f>
        <v>0</v>
      </c>
    </row>
    <row r="34" spans="1:18" x14ac:dyDescent="0.4">
      <c r="A34" s="91" t="s">
        <v>291</v>
      </c>
      <c r="B34" s="92" t="s">
        <v>34</v>
      </c>
      <c r="C34" s="92" t="s">
        <v>463</v>
      </c>
      <c r="D34" s="92" t="s">
        <v>34</v>
      </c>
      <c r="E34" s="93" t="s">
        <v>1056</v>
      </c>
      <c r="F34" s="92" t="s">
        <v>1022</v>
      </c>
      <c r="G34" s="92" t="s">
        <v>20</v>
      </c>
      <c r="H34" s="92" t="s">
        <v>1043</v>
      </c>
      <c r="I34" s="93" t="s">
        <v>1023</v>
      </c>
      <c r="J34" s="94">
        <v>297</v>
      </c>
      <c r="K34" s="94">
        <f>J34*VLOOKUP(G34,dagsoorttabel1,2,FALSE)</f>
        <v>1.1647058823529413</v>
      </c>
      <c r="L34" s="95"/>
      <c r="M34" s="92" t="s">
        <v>1044</v>
      </c>
      <c r="N34" s="26">
        <f>uurtarief4</f>
        <v>0</v>
      </c>
      <c r="O34" s="94" t="s">
        <v>1045</v>
      </c>
      <c r="P34" s="26">
        <f>ROUND(N34,2)*K34</f>
        <v>0</v>
      </c>
      <c r="Q34" s="94"/>
      <c r="R34" s="27">
        <f>P34*dagenperjaar1</f>
        <v>0</v>
      </c>
    </row>
    <row r="35" spans="1:18" x14ac:dyDescent="0.4">
      <c r="A35" s="91" t="s">
        <v>291</v>
      </c>
      <c r="B35" s="92" t="s">
        <v>34</v>
      </c>
      <c r="C35" s="92" t="s">
        <v>463</v>
      </c>
      <c r="D35" s="92" t="s">
        <v>34</v>
      </c>
      <c r="E35" s="93" t="s">
        <v>1056</v>
      </c>
      <c r="F35" s="92" t="s">
        <v>1026</v>
      </c>
      <c r="G35" s="92" t="s">
        <v>20</v>
      </c>
      <c r="H35" s="92" t="s">
        <v>1043</v>
      </c>
      <c r="I35" s="93" t="s">
        <v>1027</v>
      </c>
      <c r="J35" s="94">
        <v>412</v>
      </c>
      <c r="K35" s="94">
        <f>J35*VLOOKUP(G35,dagsoorttabel1,2,FALSE)</f>
        <v>1.615686274509804</v>
      </c>
      <c r="L35" s="95"/>
      <c r="M35" s="92" t="s">
        <v>1044</v>
      </c>
      <c r="N35" s="26">
        <f>uurtarief6</f>
        <v>0</v>
      </c>
      <c r="O35" s="94" t="s">
        <v>1045</v>
      </c>
      <c r="P35" s="26">
        <f>ROUND(N35,2)*K35</f>
        <v>0</v>
      </c>
      <c r="Q35" s="94"/>
      <c r="R35" s="27">
        <f>P35*dagenperjaar1</f>
        <v>0</v>
      </c>
    </row>
    <row r="36" spans="1:18" x14ac:dyDescent="0.4">
      <c r="A36" s="91" t="s">
        <v>291</v>
      </c>
      <c r="B36" s="92" t="s">
        <v>34</v>
      </c>
      <c r="C36" s="92" t="s">
        <v>463</v>
      </c>
      <c r="D36" s="92" t="s">
        <v>34</v>
      </c>
      <c r="E36" s="93" t="s">
        <v>1059</v>
      </c>
      <c r="F36" s="92" t="s">
        <v>1022</v>
      </c>
      <c r="G36" s="92" t="s">
        <v>20</v>
      </c>
      <c r="H36" s="92" t="s">
        <v>1043</v>
      </c>
      <c r="I36" s="93" t="s">
        <v>1023</v>
      </c>
      <c r="J36" s="94">
        <v>242</v>
      </c>
      <c r="K36" s="94">
        <f>J36*VLOOKUP(G36,dagsoorttabel1,2,FALSE)</f>
        <v>0.94901960784313721</v>
      </c>
      <c r="L36" s="95"/>
      <c r="M36" s="92" t="s">
        <v>1044</v>
      </c>
      <c r="N36" s="26">
        <f>uurtarief4</f>
        <v>0</v>
      </c>
      <c r="O36" s="94" t="s">
        <v>1045</v>
      </c>
      <c r="P36" s="26">
        <f>ROUND(N36,2)*K36</f>
        <v>0</v>
      </c>
      <c r="Q36" s="94"/>
      <c r="R36" s="27">
        <f>P36*dagenperjaar1</f>
        <v>0</v>
      </c>
    </row>
    <row r="37" spans="1:18" x14ac:dyDescent="0.4">
      <c r="A37" s="97" t="s">
        <v>291</v>
      </c>
      <c r="B37" s="98" t="s">
        <v>34</v>
      </c>
      <c r="C37" s="98" t="s">
        <v>463</v>
      </c>
      <c r="D37" s="98" t="s">
        <v>34</v>
      </c>
      <c r="E37" s="99" t="s">
        <v>1059</v>
      </c>
      <c r="F37" s="98" t="s">
        <v>1026</v>
      </c>
      <c r="G37" s="98" t="s">
        <v>20</v>
      </c>
      <c r="H37" s="98" t="s">
        <v>1043</v>
      </c>
      <c r="I37" s="99" t="s">
        <v>1027</v>
      </c>
      <c r="J37" s="100">
        <v>256</v>
      </c>
      <c r="K37" s="100">
        <f>J37*VLOOKUP(G37,dagsoorttabel1,2,FALSE)</f>
        <v>1.003921568627451</v>
      </c>
      <c r="L37" s="101"/>
      <c r="M37" s="98" t="s">
        <v>1044</v>
      </c>
      <c r="N37" s="36">
        <f>uurtarief6</f>
        <v>0</v>
      </c>
      <c r="O37" s="100" t="s">
        <v>1045</v>
      </c>
      <c r="P37" s="36">
        <f>ROUND(N37,2)*K37</f>
        <v>0</v>
      </c>
      <c r="Q37" s="100"/>
      <c r="R37" s="37">
        <f>P37*dagenperjaar1</f>
        <v>0</v>
      </c>
    </row>
    <row r="38" spans="1:18" x14ac:dyDescent="0.4">
      <c r="A38" s="74" t="s">
        <v>870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7">
        <f>IF(object1_urenjaar1&gt;0,object1_prijsjaar1/object1_urenjaar1,0)</f>
        <v>0</v>
      </c>
      <c r="O38" s="76">
        <f>SUM(O5:O37)</f>
        <v>0</v>
      </c>
      <c r="P38" s="77">
        <f>SUM(P5:P37)</f>
        <v>0</v>
      </c>
      <c r="Q38" s="76">
        <f>SUM(Q5:Q37)</f>
        <v>0</v>
      </c>
      <c r="R38" s="77">
        <f>SUM(R5:R37)</f>
        <v>0</v>
      </c>
    </row>
  </sheetData>
  <sheetProtection algorithmName="SHA-512" hashValue="126aUtT6ZhoKfWO9vSbONqSaINg5vkmgy9J/s3vDXntFeSbevOSaGPer8hm4Fa1b4ayaOoYNGv4Zd4cMYzwmAA==" saltValue="cABArndNIshrk6S5RaixhQ==" spinCount="100000" sheet="1" objects="1" scenarios="1" autoFilter="0"/>
  <autoFilter ref="A3:R38" xr:uid="{F0978E33-405D-493B-8991-CE2CCCDA6A3D}"/>
  <pageMargins left="0.7" right="0.7" top="0.75" bottom="0.75" header="0.3" footer="0.3"/>
  <pageSetup paperSize="9" scale="61" orientation="landscape" r:id="rId1"/>
  <headerFooter>
    <oddFooter>&amp;LCito                                                        &amp;ROpmaakdatum: 12-02-2025
Intexso - Plantageweg 23E - Leusden
+31 (33) 2778485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17646-7075-4568-B743-7B3FB3206BA2}">
  <dimension ref="A1:C12"/>
  <sheetViews>
    <sheetView workbookViewId="0"/>
  </sheetViews>
  <sheetFormatPr defaultRowHeight="14.6" x14ac:dyDescent="0.4"/>
  <cols>
    <col min="1" max="1" width="30.69140625" customWidth="1"/>
    <col min="2" max="3" width="20.69140625" customWidth="1"/>
  </cols>
  <sheetData>
    <row r="1" spans="1:3" x14ac:dyDescent="0.4">
      <c r="A1" s="1" t="str">
        <f>CONCATENATE("Bijlage F.11: ",tabeltype," totaalblad schoonmaakwerk")</f>
        <v>Bijlage F.11: Invultabel totaalblad schoonmaakwerk</v>
      </c>
    </row>
    <row r="3" spans="1:3" ht="29.15" x14ac:dyDescent="0.4">
      <c r="A3" s="44" t="s">
        <v>1060</v>
      </c>
      <c r="B3" s="44" t="s">
        <v>1061</v>
      </c>
      <c r="C3" s="44" t="s">
        <v>1062</v>
      </c>
    </row>
    <row r="4" spans="1:3" x14ac:dyDescent="0.4">
      <c r="A4" s="113" t="s">
        <v>1063</v>
      </c>
      <c r="B4" s="66">
        <f>urenjaartotaaloverzicht</f>
        <v>7</v>
      </c>
      <c r="C4" s="55">
        <f>prijsjaartotaaloverzicht</f>
        <v>0</v>
      </c>
    </row>
    <row r="5" spans="1:3" x14ac:dyDescent="0.4">
      <c r="A5" s="114" t="s">
        <v>1064</v>
      </c>
      <c r="B5" s="119"/>
      <c r="C5" s="60">
        <f>prijsjaaradditioneel</f>
        <v>0</v>
      </c>
    </row>
    <row r="6" spans="1:3" x14ac:dyDescent="0.4">
      <c r="A6" s="114" t="s">
        <v>1065</v>
      </c>
      <c r="B6" s="119"/>
      <c r="C6" s="60">
        <f>prijsjaarregie</f>
        <v>0</v>
      </c>
    </row>
    <row r="7" spans="1:3" x14ac:dyDescent="0.4">
      <c r="A7" s="115" t="s">
        <v>1066</v>
      </c>
      <c r="B7" s="133"/>
      <c r="C7" s="65">
        <f>prijsjaarglas</f>
        <v>0</v>
      </c>
    </row>
    <row r="9" spans="1:3" x14ac:dyDescent="0.4">
      <c r="A9" s="44" t="s">
        <v>1067</v>
      </c>
      <c r="B9" s="76">
        <f>SUM(B4:B7)</f>
        <v>7</v>
      </c>
      <c r="C9" s="77">
        <f>SUM(C4:C7)</f>
        <v>0</v>
      </c>
    </row>
    <row r="12" spans="1:3" x14ac:dyDescent="0.4">
      <c r="A12" s="134" t="s">
        <v>1068</v>
      </c>
      <c r="B12" s="76"/>
      <c r="C12" s="135">
        <f>ROUND(SUM(vp_regulier,vp_additioneel,vp_regie),2)</f>
        <v>0</v>
      </c>
    </row>
  </sheetData>
  <sheetProtection algorithmName="SHA-512" hashValue="n5SIIDx1ALx9j7fx6nX1HD2hv1cPPvErZ/xkDUS3A7Oc2S/UnmQKXQi/0KATAYNo9Q1/pY6nLQBArw2LweRRbg==" saltValue="edyivKggbufJPTSBBvt4+A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&amp;LCito                                                        &amp;ROpmaakdatum: 12-02-2025
Intexso - Plantageweg 23E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750DC-891B-4041-86A5-E26EFA238F1C}">
  <dimension ref="A1:Q61"/>
  <sheetViews>
    <sheetView tabSelected="1" workbookViewId="0"/>
  </sheetViews>
  <sheetFormatPr defaultRowHeight="14.6" x14ac:dyDescent="0.4"/>
  <cols>
    <col min="1" max="1" width="40.69140625" customWidth="1"/>
    <col min="2" max="2" width="8.23046875" customWidth="1"/>
    <col min="3" max="3" width="10.69140625" customWidth="1"/>
    <col min="4" max="4" width="8.23046875" customWidth="1"/>
    <col min="5" max="5" width="10.69140625" customWidth="1"/>
    <col min="6" max="6" width="8.23046875" customWidth="1"/>
    <col min="7" max="7" width="10.69140625" customWidth="1"/>
    <col min="8" max="8" width="8.23046875" customWidth="1"/>
    <col min="9" max="9" width="10.69140625" customWidth="1"/>
    <col min="10" max="10" width="8.23046875" customWidth="1"/>
    <col min="11" max="11" width="10.69140625" customWidth="1"/>
    <col min="12" max="12" width="8.23046875" customWidth="1"/>
    <col min="13" max="13" width="10.69140625" customWidth="1"/>
    <col min="14" max="14" width="8.23046875" customWidth="1"/>
    <col min="15" max="15" width="10.69140625" customWidth="1"/>
    <col min="16" max="16" width="8.23046875" customWidth="1"/>
    <col min="17" max="17" width="10.69140625" customWidth="1"/>
  </cols>
  <sheetData>
    <row r="1" spans="1:17" x14ac:dyDescent="0.4">
      <c r="A1" s="1" t="s">
        <v>21</v>
      </c>
    </row>
    <row r="3" spans="1:17" x14ac:dyDescent="0.4">
      <c r="A3" s="8"/>
      <c r="B3" s="9" t="s">
        <v>22</v>
      </c>
      <c r="C3" s="9"/>
      <c r="D3" s="9" t="s">
        <v>22</v>
      </c>
      <c r="E3" s="9"/>
      <c r="F3" s="9" t="s">
        <v>22</v>
      </c>
      <c r="G3" s="9"/>
      <c r="H3" s="9" t="s">
        <v>22</v>
      </c>
      <c r="I3" s="9"/>
      <c r="J3" s="9" t="s">
        <v>22</v>
      </c>
      <c r="K3" s="9"/>
      <c r="L3" s="9" t="s">
        <v>23</v>
      </c>
      <c r="M3" s="9"/>
      <c r="N3" s="9" t="s">
        <v>23</v>
      </c>
      <c r="O3" s="9"/>
      <c r="P3" s="9" t="s">
        <v>23</v>
      </c>
      <c r="Q3" s="10"/>
    </row>
    <row r="4" spans="1:17" x14ac:dyDescent="0.4">
      <c r="A4" s="11"/>
      <c r="B4" s="12" t="s">
        <v>24</v>
      </c>
      <c r="C4" s="12"/>
      <c r="D4" s="12" t="s">
        <v>24</v>
      </c>
      <c r="E4" s="12"/>
      <c r="F4" s="12" t="s">
        <v>24</v>
      </c>
      <c r="G4" s="12"/>
      <c r="H4" s="12" t="s">
        <v>25</v>
      </c>
      <c r="I4" s="12"/>
      <c r="J4" s="12" t="s">
        <v>25</v>
      </c>
      <c r="K4" s="12"/>
      <c r="L4" s="12" t="s">
        <v>24</v>
      </c>
      <c r="M4" s="12"/>
      <c r="N4" s="12" t="s">
        <v>24</v>
      </c>
      <c r="O4" s="12"/>
      <c r="P4" s="12" t="s">
        <v>25</v>
      </c>
      <c r="Q4" s="13"/>
    </row>
    <row r="5" spans="1:17" ht="29.15" customHeight="1" x14ac:dyDescent="0.4">
      <c r="A5" s="14" t="s">
        <v>26</v>
      </c>
      <c r="B5" s="15" t="s">
        <v>27</v>
      </c>
      <c r="C5" s="15"/>
      <c r="D5" s="15" t="s">
        <v>27</v>
      </c>
      <c r="E5" s="15"/>
      <c r="F5" s="15" t="s">
        <v>28</v>
      </c>
      <c r="G5" s="15"/>
      <c r="H5" s="15" t="s">
        <v>29</v>
      </c>
      <c r="I5" s="15"/>
      <c r="J5" s="15" t="s">
        <v>29</v>
      </c>
      <c r="K5" s="15"/>
      <c r="L5" s="15" t="s">
        <v>30</v>
      </c>
      <c r="M5" s="15"/>
      <c r="N5" s="15" t="s">
        <v>30</v>
      </c>
      <c r="O5" s="15"/>
      <c r="P5" s="15" t="s">
        <v>31</v>
      </c>
      <c r="Q5" s="16"/>
    </row>
    <row r="6" spans="1:17" ht="43.75" customHeight="1" x14ac:dyDescent="0.4">
      <c r="A6" s="17" t="s">
        <v>32</v>
      </c>
      <c r="B6" s="15" t="s">
        <v>33</v>
      </c>
      <c r="C6" s="15"/>
      <c r="D6" s="18" t="s">
        <v>34</v>
      </c>
      <c r="E6" s="18"/>
      <c r="F6" s="15" t="s">
        <v>35</v>
      </c>
      <c r="G6" s="15"/>
      <c r="H6" s="15" t="s">
        <v>35</v>
      </c>
      <c r="I6" s="15"/>
      <c r="J6" s="15" t="s">
        <v>36</v>
      </c>
      <c r="K6" s="15"/>
      <c r="L6" s="18" t="s">
        <v>34</v>
      </c>
      <c r="M6" s="18"/>
      <c r="N6" s="15" t="s">
        <v>37</v>
      </c>
      <c r="O6" s="15"/>
      <c r="P6" s="18" t="s">
        <v>34</v>
      </c>
      <c r="Q6" s="19"/>
    </row>
    <row r="7" spans="1:17" x14ac:dyDescent="0.4">
      <c r="A7" s="20" t="s">
        <v>38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2"/>
    </row>
    <row r="8" spans="1:17" x14ac:dyDescent="0.4">
      <c r="A8" s="20" t="s">
        <v>39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2"/>
    </row>
    <row r="9" spans="1:17" x14ac:dyDescent="0.4">
      <c r="A9" s="11" t="s">
        <v>40</v>
      </c>
      <c r="B9" s="23">
        <f>SUM(B7:B8)</f>
        <v>0</v>
      </c>
      <c r="C9" s="23"/>
      <c r="D9" s="23">
        <f>SUM(D7:D8)</f>
        <v>0</v>
      </c>
      <c r="E9" s="23"/>
      <c r="F9" s="23">
        <f>SUM(F7:F8)</f>
        <v>0</v>
      </c>
      <c r="G9" s="23"/>
      <c r="H9" s="23">
        <f>SUM(H7:H8)</f>
        <v>0</v>
      </c>
      <c r="I9" s="23"/>
      <c r="J9" s="23">
        <f>SUM(J7:J8)</f>
        <v>0</v>
      </c>
      <c r="K9" s="23"/>
      <c r="L9" s="23">
        <f>SUM(L7:L8)</f>
        <v>0</v>
      </c>
      <c r="M9" s="23"/>
      <c r="N9" s="23">
        <f>SUM(N7:N8)</f>
        <v>0</v>
      </c>
      <c r="O9" s="23"/>
      <c r="P9" s="23">
        <f>SUM(P7:P8)</f>
        <v>0</v>
      </c>
      <c r="Q9" s="24"/>
    </row>
    <row r="10" spans="1:17" x14ac:dyDescent="0.4">
      <c r="A10" s="20" t="s">
        <v>41</v>
      </c>
      <c r="B10" s="25"/>
      <c r="C10" s="26">
        <f>TariefOpbouwBasisloon1*B10</f>
        <v>0</v>
      </c>
      <c r="D10" s="25"/>
      <c r="E10" s="26">
        <f>TariefOpbouwBasisloon2*D10</f>
        <v>0</v>
      </c>
      <c r="F10" s="25"/>
      <c r="G10" s="26">
        <f>TariefOpbouwBasisloon3*F10</f>
        <v>0</v>
      </c>
      <c r="H10" s="25"/>
      <c r="I10" s="26">
        <f>TariefOpbouwBasisloon4*H10</f>
        <v>0</v>
      </c>
      <c r="J10" s="25"/>
      <c r="K10" s="26">
        <f>TariefOpbouwBasisloon5*J10</f>
        <v>0</v>
      </c>
      <c r="L10" s="25"/>
      <c r="M10" s="26">
        <f>TariefOpbouwBasisloon6*L10</f>
        <v>0</v>
      </c>
      <c r="N10" s="25"/>
      <c r="O10" s="26">
        <f>TariefOpbouwBasisloon7*N10</f>
        <v>0</v>
      </c>
      <c r="P10" s="25"/>
      <c r="Q10" s="27">
        <f>TariefOpbouwBasisloon8*P10</f>
        <v>0</v>
      </c>
    </row>
    <row r="11" spans="1:17" x14ac:dyDescent="0.4">
      <c r="A11" s="20" t="s">
        <v>42</v>
      </c>
      <c r="B11" s="25"/>
      <c r="C11" s="26">
        <f>TariefOpbouwBasisloon1*B11</f>
        <v>0</v>
      </c>
      <c r="D11" s="25"/>
      <c r="E11" s="26">
        <f>TariefOpbouwBasisloon2*D11</f>
        <v>0</v>
      </c>
      <c r="F11" s="25"/>
      <c r="G11" s="26">
        <f>TariefOpbouwBasisloon3*F11</f>
        <v>0</v>
      </c>
      <c r="H11" s="25"/>
      <c r="I11" s="26">
        <f>TariefOpbouwBasisloon4*H11</f>
        <v>0</v>
      </c>
      <c r="J11" s="25"/>
      <c r="K11" s="26">
        <f>TariefOpbouwBasisloon5*J11</f>
        <v>0</v>
      </c>
      <c r="L11" s="25"/>
      <c r="M11" s="26">
        <f>TariefOpbouwBasisloon6*L11</f>
        <v>0</v>
      </c>
      <c r="N11" s="25"/>
      <c r="O11" s="26">
        <f>TariefOpbouwBasisloon7*N11</f>
        <v>0</v>
      </c>
      <c r="P11" s="25"/>
      <c r="Q11" s="27">
        <f>TariefOpbouwBasisloon8*P11</f>
        <v>0</v>
      </c>
    </row>
    <row r="12" spans="1:17" x14ac:dyDescent="0.4">
      <c r="A12" s="11" t="s">
        <v>43</v>
      </c>
      <c r="B12" s="23">
        <f>SUM(TariefOpbouwBasisloon1,C10:C11)</f>
        <v>0</v>
      </c>
      <c r="C12" s="23"/>
      <c r="D12" s="23">
        <f>SUM(TariefOpbouwBasisloon2,E10:E11)</f>
        <v>0</v>
      </c>
      <c r="E12" s="23"/>
      <c r="F12" s="23">
        <f>SUM(TariefOpbouwBasisloon3,G10:G11)</f>
        <v>0</v>
      </c>
      <c r="G12" s="23"/>
      <c r="H12" s="23">
        <f>SUM(TariefOpbouwBasisloon4,I10:I11)</f>
        <v>0</v>
      </c>
      <c r="I12" s="23"/>
      <c r="J12" s="23">
        <f>SUM(TariefOpbouwBasisloon5,K10:K11)</f>
        <v>0</v>
      </c>
      <c r="K12" s="23"/>
      <c r="L12" s="23">
        <f>SUM(TariefOpbouwBasisloon6,M10:M11)</f>
        <v>0</v>
      </c>
      <c r="M12" s="23"/>
      <c r="N12" s="23">
        <f>SUM(TariefOpbouwBasisloon7,O10:O11)</f>
        <v>0</v>
      </c>
      <c r="O12" s="23"/>
      <c r="P12" s="23">
        <f>SUM(TariefOpbouwBasisloon8,Q10:Q11)</f>
        <v>0</v>
      </c>
      <c r="Q12" s="24"/>
    </row>
    <row r="13" spans="1:17" x14ac:dyDescent="0.4">
      <c r="A13" s="20" t="s">
        <v>44</v>
      </c>
      <c r="B13" s="25"/>
      <c r="C13" s="26">
        <f>TariefOpbouwUurloon1*B13</f>
        <v>0</v>
      </c>
      <c r="D13" s="25"/>
      <c r="E13" s="26">
        <f>TariefOpbouwUurloon2*D13</f>
        <v>0</v>
      </c>
      <c r="F13" s="25"/>
      <c r="G13" s="26">
        <f>TariefOpbouwUurloon3*F13</f>
        <v>0</v>
      </c>
      <c r="H13" s="25"/>
      <c r="I13" s="26">
        <f>TariefOpbouwUurloon4*H13</f>
        <v>0</v>
      </c>
      <c r="J13" s="25"/>
      <c r="K13" s="26">
        <f>TariefOpbouwUurloon5*J13</f>
        <v>0</v>
      </c>
      <c r="L13" s="25"/>
      <c r="M13" s="26">
        <f>TariefOpbouwUurloon6*L13</f>
        <v>0</v>
      </c>
      <c r="N13" s="25"/>
      <c r="O13" s="26">
        <f>TariefOpbouwUurloon7*N13</f>
        <v>0</v>
      </c>
      <c r="P13" s="25"/>
      <c r="Q13" s="27">
        <f>TariefOpbouwUurloon8*P13</f>
        <v>0</v>
      </c>
    </row>
    <row r="14" spans="1:17" x14ac:dyDescent="0.4">
      <c r="A14" s="11" t="s">
        <v>45</v>
      </c>
      <c r="B14" s="23">
        <f>SUM(TariefOpbouwUurloon1,C13:C13)</f>
        <v>0</v>
      </c>
      <c r="C14" s="23"/>
      <c r="D14" s="23">
        <f>SUM(TariefOpbouwUurloon2,E13:E13)</f>
        <v>0</v>
      </c>
      <c r="E14" s="23"/>
      <c r="F14" s="23">
        <f>SUM(TariefOpbouwUurloon3,G13:G13)</f>
        <v>0</v>
      </c>
      <c r="G14" s="23"/>
      <c r="H14" s="23">
        <f>SUM(TariefOpbouwUurloon4,I13:I13)</f>
        <v>0</v>
      </c>
      <c r="I14" s="23"/>
      <c r="J14" s="23">
        <f>SUM(TariefOpbouwUurloon5,K13:K13)</f>
        <v>0</v>
      </c>
      <c r="K14" s="23"/>
      <c r="L14" s="23">
        <f>SUM(TariefOpbouwUurloon6,M13:M13)</f>
        <v>0</v>
      </c>
      <c r="M14" s="23"/>
      <c r="N14" s="23">
        <f>SUM(TariefOpbouwUurloon7,O13:O13)</f>
        <v>0</v>
      </c>
      <c r="O14" s="23"/>
      <c r="P14" s="23">
        <f>SUM(TariefOpbouwUurloon8,Q13:Q13)</f>
        <v>0</v>
      </c>
      <c r="Q14" s="24"/>
    </row>
    <row r="15" spans="1:17" x14ac:dyDescent="0.4">
      <c r="A15" s="20" t="s">
        <v>46</v>
      </c>
      <c r="B15" s="25"/>
      <c r="C15" s="26">
        <f>TariefOpbouwUurloonkosten1*B15</f>
        <v>0</v>
      </c>
      <c r="D15" s="25"/>
      <c r="E15" s="26">
        <f>TariefOpbouwUurloonkosten2*D15</f>
        <v>0</v>
      </c>
      <c r="F15" s="25"/>
      <c r="G15" s="26">
        <f>TariefOpbouwUurloonkosten3*F15</f>
        <v>0</v>
      </c>
      <c r="H15" s="25"/>
      <c r="I15" s="26">
        <f>TariefOpbouwUurloonkosten4*H15</f>
        <v>0</v>
      </c>
      <c r="J15" s="25"/>
      <c r="K15" s="26">
        <f>TariefOpbouwUurloonkosten5*J15</f>
        <v>0</v>
      </c>
      <c r="L15" s="25"/>
      <c r="M15" s="26">
        <f>TariefOpbouwUurloonkosten6*L15</f>
        <v>0</v>
      </c>
      <c r="N15" s="25"/>
      <c r="O15" s="26">
        <f>TariefOpbouwUurloonkosten7*N15</f>
        <v>0</v>
      </c>
      <c r="P15" s="25"/>
      <c r="Q15" s="27">
        <f>TariefOpbouwUurloonkosten8*P15</f>
        <v>0</v>
      </c>
    </row>
    <row r="16" spans="1:17" x14ac:dyDescent="0.4">
      <c r="A16" s="20" t="s">
        <v>47</v>
      </c>
      <c r="B16" s="25"/>
      <c r="C16" s="26">
        <f>TariefOpbouwUurloonkosten1*B16</f>
        <v>0</v>
      </c>
      <c r="D16" s="25"/>
      <c r="E16" s="26">
        <f>TariefOpbouwUurloonkosten2*D16</f>
        <v>0</v>
      </c>
      <c r="F16" s="25"/>
      <c r="G16" s="26">
        <f>TariefOpbouwUurloonkosten3*F16</f>
        <v>0</v>
      </c>
      <c r="H16" s="25"/>
      <c r="I16" s="26">
        <f>TariefOpbouwUurloonkosten4*H16</f>
        <v>0</v>
      </c>
      <c r="J16" s="25"/>
      <c r="K16" s="26">
        <f>TariefOpbouwUurloonkosten5*J16</f>
        <v>0</v>
      </c>
      <c r="L16" s="25"/>
      <c r="M16" s="26">
        <f>TariefOpbouwUurloonkosten6*L16</f>
        <v>0</v>
      </c>
      <c r="N16" s="25"/>
      <c r="O16" s="26">
        <f>TariefOpbouwUurloonkosten7*N16</f>
        <v>0</v>
      </c>
      <c r="P16" s="25"/>
      <c r="Q16" s="27">
        <f>TariefOpbouwUurloonkosten8*P16</f>
        <v>0</v>
      </c>
    </row>
    <row r="17" spans="1:17" x14ac:dyDescent="0.4">
      <c r="A17" s="20" t="s">
        <v>48</v>
      </c>
      <c r="B17" s="25"/>
      <c r="C17" s="26">
        <f>TariefOpbouwUurloonkosten1*B17</f>
        <v>0</v>
      </c>
      <c r="D17" s="25"/>
      <c r="E17" s="26">
        <f>TariefOpbouwUurloonkosten2*D17</f>
        <v>0</v>
      </c>
      <c r="F17" s="25"/>
      <c r="G17" s="26">
        <f>TariefOpbouwUurloonkosten3*F17</f>
        <v>0</v>
      </c>
      <c r="H17" s="25"/>
      <c r="I17" s="26">
        <f>TariefOpbouwUurloonkosten4*H17</f>
        <v>0</v>
      </c>
      <c r="J17" s="25"/>
      <c r="K17" s="26">
        <f>TariefOpbouwUurloonkosten5*J17</f>
        <v>0</v>
      </c>
      <c r="L17" s="25"/>
      <c r="M17" s="26">
        <f>TariefOpbouwUurloonkosten6*L17</f>
        <v>0</v>
      </c>
      <c r="N17" s="25"/>
      <c r="O17" s="26">
        <f>TariefOpbouwUurloonkosten7*N17</f>
        <v>0</v>
      </c>
      <c r="P17" s="25"/>
      <c r="Q17" s="27">
        <f>TariefOpbouwUurloonkosten8*P17</f>
        <v>0</v>
      </c>
    </row>
    <row r="18" spans="1:17" x14ac:dyDescent="0.4">
      <c r="A18" s="20" t="s">
        <v>49</v>
      </c>
      <c r="B18" s="25"/>
      <c r="C18" s="26">
        <f>TariefOpbouwUurloonkosten1*B18</f>
        <v>0</v>
      </c>
      <c r="D18" s="25"/>
      <c r="E18" s="26">
        <f>TariefOpbouwUurloonkosten2*D18</f>
        <v>0</v>
      </c>
      <c r="F18" s="25"/>
      <c r="G18" s="26">
        <f>TariefOpbouwUurloonkosten3*F18</f>
        <v>0</v>
      </c>
      <c r="H18" s="25"/>
      <c r="I18" s="26">
        <f>TariefOpbouwUurloonkosten4*H18</f>
        <v>0</v>
      </c>
      <c r="J18" s="25"/>
      <c r="K18" s="26">
        <f>TariefOpbouwUurloonkosten5*J18</f>
        <v>0</v>
      </c>
      <c r="L18" s="25"/>
      <c r="M18" s="26">
        <f>TariefOpbouwUurloonkosten6*L18</f>
        <v>0</v>
      </c>
      <c r="N18" s="25"/>
      <c r="O18" s="26">
        <f>TariefOpbouwUurloonkosten7*N18</f>
        <v>0</v>
      </c>
      <c r="P18" s="25"/>
      <c r="Q18" s="27">
        <f>TariefOpbouwUurloonkosten8*P18</f>
        <v>0</v>
      </c>
    </row>
    <row r="19" spans="1:17" x14ac:dyDescent="0.4">
      <c r="A19" s="11" t="s">
        <v>50</v>
      </c>
      <c r="B19" s="23">
        <f>SUM(TariefOpbouwUurloonkosten1,C15:C18)</f>
        <v>0</v>
      </c>
      <c r="C19" s="23"/>
      <c r="D19" s="23">
        <f>SUM(TariefOpbouwUurloonkosten2,E15:E18)</f>
        <v>0</v>
      </c>
      <c r="E19" s="23"/>
      <c r="F19" s="23">
        <f>SUM(TariefOpbouwUurloonkosten3,G15:G18)</f>
        <v>0</v>
      </c>
      <c r="G19" s="23"/>
      <c r="H19" s="23">
        <f>SUM(TariefOpbouwUurloonkosten4,I15:I18)</f>
        <v>0</v>
      </c>
      <c r="I19" s="23"/>
      <c r="J19" s="23">
        <f>SUM(TariefOpbouwUurloonkosten5,K15:K18)</f>
        <v>0</v>
      </c>
      <c r="K19" s="23"/>
      <c r="L19" s="23">
        <f>SUM(TariefOpbouwUurloonkosten6,M15:M18)</f>
        <v>0</v>
      </c>
      <c r="M19" s="23"/>
      <c r="N19" s="23">
        <f>SUM(TariefOpbouwUurloonkosten7,O15:O18)</f>
        <v>0</v>
      </c>
      <c r="O19" s="23"/>
      <c r="P19" s="23">
        <f>SUM(TariefOpbouwUurloonkosten8,Q15:Q18)</f>
        <v>0</v>
      </c>
      <c r="Q19" s="24"/>
    </row>
    <row r="20" spans="1:17" x14ac:dyDescent="0.4">
      <c r="A20" s="20" t="s">
        <v>51</v>
      </c>
      <c r="B20" s="25"/>
      <c r="C20" s="26">
        <f>TariefOpbouwTotaalLoonkosten1*B20</f>
        <v>0</v>
      </c>
      <c r="D20" s="25"/>
      <c r="E20" s="26">
        <f>TariefOpbouwTotaalLoonkosten2*D20</f>
        <v>0</v>
      </c>
      <c r="F20" s="25"/>
      <c r="G20" s="26">
        <f>TariefOpbouwTotaalLoonkosten3*F20</f>
        <v>0</v>
      </c>
      <c r="H20" s="25"/>
      <c r="I20" s="26">
        <f>TariefOpbouwTotaalLoonkosten4*H20</f>
        <v>0</v>
      </c>
      <c r="J20" s="25"/>
      <c r="K20" s="26">
        <f>TariefOpbouwTotaalLoonkosten5*J20</f>
        <v>0</v>
      </c>
      <c r="L20" s="25"/>
      <c r="M20" s="26">
        <f>TariefOpbouwTotaalLoonkosten6*L20</f>
        <v>0</v>
      </c>
      <c r="N20" s="25"/>
      <c r="O20" s="26">
        <f>TariefOpbouwTotaalLoonkosten7*N20</f>
        <v>0</v>
      </c>
      <c r="P20" s="25"/>
      <c r="Q20" s="27">
        <f>TariefOpbouwTotaalLoonkosten8*P20</f>
        <v>0</v>
      </c>
    </row>
    <row r="21" spans="1:17" x14ac:dyDescent="0.4">
      <c r="A21" s="20" t="s">
        <v>52</v>
      </c>
      <c r="B21" s="25"/>
      <c r="C21" s="26">
        <f>TariefOpbouwTotaalLoonkosten1*B21</f>
        <v>0</v>
      </c>
      <c r="D21" s="25"/>
      <c r="E21" s="26">
        <f>TariefOpbouwTotaalLoonkosten2*D21</f>
        <v>0</v>
      </c>
      <c r="F21" s="25"/>
      <c r="G21" s="26">
        <f>TariefOpbouwTotaalLoonkosten3*F21</f>
        <v>0</v>
      </c>
      <c r="H21" s="25"/>
      <c r="I21" s="26">
        <f>TariefOpbouwTotaalLoonkosten4*H21</f>
        <v>0</v>
      </c>
      <c r="J21" s="25"/>
      <c r="K21" s="26">
        <f>TariefOpbouwTotaalLoonkosten5*J21</f>
        <v>0</v>
      </c>
      <c r="L21" s="25"/>
      <c r="M21" s="26">
        <f>TariefOpbouwTotaalLoonkosten6*L21</f>
        <v>0</v>
      </c>
      <c r="N21" s="25"/>
      <c r="O21" s="26">
        <f>TariefOpbouwTotaalLoonkosten7*N21</f>
        <v>0</v>
      </c>
      <c r="P21" s="25"/>
      <c r="Q21" s="27">
        <f>TariefOpbouwTotaalLoonkosten8*P21</f>
        <v>0</v>
      </c>
    </row>
    <row r="22" spans="1:17" x14ac:dyDescent="0.4">
      <c r="A22" s="20" t="s">
        <v>53</v>
      </c>
      <c r="B22" s="25"/>
      <c r="C22" s="26">
        <f>TariefOpbouwTotaalLoonkosten1*B22</f>
        <v>0</v>
      </c>
      <c r="D22" s="25"/>
      <c r="E22" s="26">
        <f>TariefOpbouwTotaalLoonkosten2*D22</f>
        <v>0</v>
      </c>
      <c r="F22" s="25"/>
      <c r="G22" s="26">
        <f>TariefOpbouwTotaalLoonkosten3*F22</f>
        <v>0</v>
      </c>
      <c r="H22" s="25"/>
      <c r="I22" s="26">
        <f>TariefOpbouwTotaalLoonkosten4*H22</f>
        <v>0</v>
      </c>
      <c r="J22" s="25"/>
      <c r="K22" s="26">
        <f>TariefOpbouwTotaalLoonkosten5*J22</f>
        <v>0</v>
      </c>
      <c r="L22" s="25"/>
      <c r="M22" s="26">
        <f>TariefOpbouwTotaalLoonkosten6*L22</f>
        <v>0</v>
      </c>
      <c r="N22" s="25"/>
      <c r="O22" s="26">
        <f>TariefOpbouwTotaalLoonkosten7*N22</f>
        <v>0</v>
      </c>
      <c r="P22" s="25"/>
      <c r="Q22" s="27">
        <f>TariefOpbouwTotaalLoonkosten8*P22</f>
        <v>0</v>
      </c>
    </row>
    <row r="23" spans="1:17" x14ac:dyDescent="0.4">
      <c r="A23" s="20" t="s">
        <v>54</v>
      </c>
      <c r="B23" s="25"/>
      <c r="C23" s="26">
        <f>TariefOpbouwTotaalLoonkosten1*B23</f>
        <v>0</v>
      </c>
      <c r="D23" s="25"/>
      <c r="E23" s="26">
        <f>TariefOpbouwTotaalLoonkosten2*D23</f>
        <v>0</v>
      </c>
      <c r="F23" s="25"/>
      <c r="G23" s="26">
        <f>TariefOpbouwTotaalLoonkosten3*F23</f>
        <v>0</v>
      </c>
      <c r="H23" s="25"/>
      <c r="I23" s="26">
        <f>TariefOpbouwTotaalLoonkosten4*H23</f>
        <v>0</v>
      </c>
      <c r="J23" s="25"/>
      <c r="K23" s="26">
        <f>TariefOpbouwTotaalLoonkosten5*J23</f>
        <v>0</v>
      </c>
      <c r="L23" s="25"/>
      <c r="M23" s="26">
        <f>TariefOpbouwTotaalLoonkosten6*L23</f>
        <v>0</v>
      </c>
      <c r="N23" s="25"/>
      <c r="O23" s="26">
        <f>TariefOpbouwTotaalLoonkosten7*N23</f>
        <v>0</v>
      </c>
      <c r="P23" s="25"/>
      <c r="Q23" s="27">
        <f>TariefOpbouwTotaalLoonkosten8*P23</f>
        <v>0</v>
      </c>
    </row>
    <row r="24" spans="1:17" x14ac:dyDescent="0.4">
      <c r="A24" s="20" t="s">
        <v>55</v>
      </c>
      <c r="B24" s="25"/>
      <c r="C24" s="26">
        <f>TariefOpbouwTotaalLoonkosten1*B24</f>
        <v>0</v>
      </c>
      <c r="D24" s="25"/>
      <c r="E24" s="26">
        <f>TariefOpbouwTotaalLoonkosten2*D24</f>
        <v>0</v>
      </c>
      <c r="F24" s="25"/>
      <c r="G24" s="26">
        <f>TariefOpbouwTotaalLoonkosten3*F24</f>
        <v>0</v>
      </c>
      <c r="H24" s="25"/>
      <c r="I24" s="26">
        <f>TariefOpbouwTotaalLoonkosten4*H24</f>
        <v>0</v>
      </c>
      <c r="J24" s="25"/>
      <c r="K24" s="26">
        <f>TariefOpbouwTotaalLoonkosten5*J24</f>
        <v>0</v>
      </c>
      <c r="L24" s="25"/>
      <c r="M24" s="26">
        <f>TariefOpbouwTotaalLoonkosten6*L24</f>
        <v>0</v>
      </c>
      <c r="N24" s="25"/>
      <c r="O24" s="26">
        <f>TariefOpbouwTotaalLoonkosten7*N24</f>
        <v>0</v>
      </c>
      <c r="P24" s="25"/>
      <c r="Q24" s="27">
        <f>TariefOpbouwTotaalLoonkosten8*P24</f>
        <v>0</v>
      </c>
    </row>
    <row r="25" spans="1:17" x14ac:dyDescent="0.4">
      <c r="A25" s="20" t="s">
        <v>56</v>
      </c>
      <c r="B25" s="25"/>
      <c r="C25" s="26">
        <f>TariefOpbouwTotaalLoonkosten1*B25</f>
        <v>0</v>
      </c>
      <c r="D25" s="25"/>
      <c r="E25" s="26">
        <f>TariefOpbouwTotaalLoonkosten2*D25</f>
        <v>0</v>
      </c>
      <c r="F25" s="25"/>
      <c r="G25" s="26">
        <f>TariefOpbouwTotaalLoonkosten3*F25</f>
        <v>0</v>
      </c>
      <c r="H25" s="25"/>
      <c r="I25" s="26">
        <f>TariefOpbouwTotaalLoonkosten4*H25</f>
        <v>0</v>
      </c>
      <c r="J25" s="25"/>
      <c r="K25" s="26">
        <f>TariefOpbouwTotaalLoonkosten5*J25</f>
        <v>0</v>
      </c>
      <c r="L25" s="25"/>
      <c r="M25" s="26">
        <f>TariefOpbouwTotaalLoonkosten6*L25</f>
        <v>0</v>
      </c>
      <c r="N25" s="25"/>
      <c r="O25" s="26">
        <f>TariefOpbouwTotaalLoonkosten7*N25</f>
        <v>0</v>
      </c>
      <c r="P25" s="25"/>
      <c r="Q25" s="27">
        <f>TariefOpbouwTotaalLoonkosten8*P25</f>
        <v>0</v>
      </c>
    </row>
    <row r="26" spans="1:17" x14ac:dyDescent="0.4">
      <c r="A26" s="11" t="s">
        <v>57</v>
      </c>
      <c r="B26" s="23">
        <f>SUM(TariefOpbouwTotaalLoonkosten1,C20:C25)</f>
        <v>0</v>
      </c>
      <c r="C26" s="23"/>
      <c r="D26" s="23">
        <f>SUM(TariefOpbouwTotaalLoonkosten2,E20:E25)</f>
        <v>0</v>
      </c>
      <c r="E26" s="23"/>
      <c r="F26" s="23">
        <f>SUM(TariefOpbouwTotaalLoonkosten3,G20:G25)</f>
        <v>0</v>
      </c>
      <c r="G26" s="23"/>
      <c r="H26" s="23">
        <f>SUM(TariefOpbouwTotaalLoonkosten4,I20:I25)</f>
        <v>0</v>
      </c>
      <c r="I26" s="23"/>
      <c r="J26" s="23">
        <f>SUM(TariefOpbouwTotaalLoonkosten5,K20:K25)</f>
        <v>0</v>
      </c>
      <c r="K26" s="23"/>
      <c r="L26" s="23">
        <f>SUM(TariefOpbouwTotaalLoonkosten6,M20:M25)</f>
        <v>0</v>
      </c>
      <c r="M26" s="23"/>
      <c r="N26" s="23">
        <f>SUM(TariefOpbouwTotaalLoonkosten7,O20:O25)</f>
        <v>0</v>
      </c>
      <c r="O26" s="23"/>
      <c r="P26" s="23">
        <f>SUM(TariefOpbouwTotaalLoonkosten8,Q20:Q25)</f>
        <v>0</v>
      </c>
      <c r="Q26" s="24"/>
    </row>
    <row r="27" spans="1:17" x14ac:dyDescent="0.4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30"/>
    </row>
    <row r="28" spans="1:17" x14ac:dyDescent="0.4">
      <c r="A28" s="20" t="s">
        <v>58</v>
      </c>
      <c r="B28" s="25"/>
      <c r="C28" s="26">
        <f>TariefOpbouwDirecteKosten1*B28</f>
        <v>0</v>
      </c>
      <c r="D28" s="25"/>
      <c r="E28" s="26">
        <f>TariefOpbouwDirecteKosten2*D28</f>
        <v>0</v>
      </c>
      <c r="F28" s="25"/>
      <c r="G28" s="26">
        <f>TariefOpbouwDirecteKosten3*F28</f>
        <v>0</v>
      </c>
      <c r="H28" s="25"/>
      <c r="I28" s="26">
        <f>TariefOpbouwDirecteKosten4*H28</f>
        <v>0</v>
      </c>
      <c r="J28" s="25"/>
      <c r="K28" s="26">
        <f>TariefOpbouwDirecteKosten5*J28</f>
        <v>0</v>
      </c>
      <c r="L28" s="25"/>
      <c r="M28" s="26">
        <f>TariefOpbouwDirecteKosten6*L28</f>
        <v>0</v>
      </c>
      <c r="N28" s="25"/>
      <c r="O28" s="26">
        <f>TariefOpbouwDirecteKosten7*N28</f>
        <v>0</v>
      </c>
      <c r="P28" s="25"/>
      <c r="Q28" s="27">
        <f>TariefOpbouwDirecteKosten8*P28</f>
        <v>0</v>
      </c>
    </row>
    <row r="29" spans="1:17" x14ac:dyDescent="0.4">
      <c r="A29" s="20" t="s">
        <v>59</v>
      </c>
      <c r="B29" s="25"/>
      <c r="C29" s="26">
        <f>TariefOpbouwDirecteKosten1*B29</f>
        <v>0</v>
      </c>
      <c r="D29" s="25"/>
      <c r="E29" s="26">
        <f>TariefOpbouwDirecteKosten2*D29</f>
        <v>0</v>
      </c>
      <c r="F29" s="25"/>
      <c r="G29" s="26">
        <f>TariefOpbouwDirecteKosten3*F29</f>
        <v>0</v>
      </c>
      <c r="H29" s="25"/>
      <c r="I29" s="26">
        <f>TariefOpbouwDirecteKosten4*H29</f>
        <v>0</v>
      </c>
      <c r="J29" s="25"/>
      <c r="K29" s="26">
        <f>TariefOpbouwDirecteKosten5*J29</f>
        <v>0</v>
      </c>
      <c r="L29" s="25"/>
      <c r="M29" s="26">
        <f>TariefOpbouwDirecteKosten6*L29</f>
        <v>0</v>
      </c>
      <c r="N29" s="25"/>
      <c r="O29" s="26">
        <f>TariefOpbouwDirecteKosten7*N29</f>
        <v>0</v>
      </c>
      <c r="P29" s="25"/>
      <c r="Q29" s="27">
        <f>TariefOpbouwDirecteKosten8*P29</f>
        <v>0</v>
      </c>
    </row>
    <row r="30" spans="1:17" x14ac:dyDescent="0.4">
      <c r="A30" s="20" t="s">
        <v>60</v>
      </c>
      <c r="B30" s="25"/>
      <c r="C30" s="26">
        <f>TariefOpbouwDirecteKosten1*B30</f>
        <v>0</v>
      </c>
      <c r="D30" s="25"/>
      <c r="E30" s="26">
        <f>TariefOpbouwDirecteKosten2*D30</f>
        <v>0</v>
      </c>
      <c r="F30" s="25"/>
      <c r="G30" s="26">
        <f>TariefOpbouwDirecteKosten3*F30</f>
        <v>0</v>
      </c>
      <c r="H30" s="25"/>
      <c r="I30" s="26">
        <f>TariefOpbouwDirecteKosten4*H30</f>
        <v>0</v>
      </c>
      <c r="J30" s="25"/>
      <c r="K30" s="26">
        <f>TariefOpbouwDirecteKosten5*J30</f>
        <v>0</v>
      </c>
      <c r="L30" s="25"/>
      <c r="M30" s="26">
        <f>TariefOpbouwDirecteKosten6*L30</f>
        <v>0</v>
      </c>
      <c r="N30" s="25"/>
      <c r="O30" s="26">
        <f>TariefOpbouwDirecteKosten7*N30</f>
        <v>0</v>
      </c>
      <c r="P30" s="25"/>
      <c r="Q30" s="27">
        <f>TariefOpbouwDirecteKosten8*P30</f>
        <v>0</v>
      </c>
    </row>
    <row r="31" spans="1:17" x14ac:dyDescent="0.4">
      <c r="A31" s="20" t="s">
        <v>61</v>
      </c>
      <c r="B31" s="25"/>
      <c r="C31" s="26">
        <f>TariefOpbouwDirecteKosten1*B31</f>
        <v>0</v>
      </c>
      <c r="D31" s="25"/>
      <c r="E31" s="26">
        <f>TariefOpbouwDirecteKosten2*D31</f>
        <v>0</v>
      </c>
      <c r="F31" s="25"/>
      <c r="G31" s="26">
        <f>TariefOpbouwDirecteKosten3*F31</f>
        <v>0</v>
      </c>
      <c r="H31" s="25"/>
      <c r="I31" s="26">
        <f>TariefOpbouwDirecteKosten4*H31</f>
        <v>0</v>
      </c>
      <c r="J31" s="25"/>
      <c r="K31" s="26">
        <f>TariefOpbouwDirecteKosten5*J31</f>
        <v>0</v>
      </c>
      <c r="L31" s="25"/>
      <c r="M31" s="26">
        <f>TariefOpbouwDirecteKosten6*L31</f>
        <v>0</v>
      </c>
      <c r="N31" s="25"/>
      <c r="O31" s="26">
        <f>TariefOpbouwDirecteKosten7*N31</f>
        <v>0</v>
      </c>
      <c r="P31" s="25"/>
      <c r="Q31" s="27">
        <f>TariefOpbouwDirecteKosten8*P31</f>
        <v>0</v>
      </c>
    </row>
    <row r="32" spans="1:17" x14ac:dyDescent="0.4">
      <c r="A32" s="20" t="s">
        <v>62</v>
      </c>
      <c r="B32" s="25"/>
      <c r="C32" s="26">
        <f>TariefOpbouwDirecteKosten1*B32</f>
        <v>0</v>
      </c>
      <c r="D32" s="25"/>
      <c r="E32" s="26">
        <f>TariefOpbouwDirecteKosten2*D32</f>
        <v>0</v>
      </c>
      <c r="F32" s="25"/>
      <c r="G32" s="26">
        <f>TariefOpbouwDirecteKosten3*F32</f>
        <v>0</v>
      </c>
      <c r="H32" s="25"/>
      <c r="I32" s="26">
        <f>TariefOpbouwDirecteKosten4*H32</f>
        <v>0</v>
      </c>
      <c r="J32" s="25"/>
      <c r="K32" s="26">
        <f>TariefOpbouwDirecteKosten5*J32</f>
        <v>0</v>
      </c>
      <c r="L32" s="25"/>
      <c r="M32" s="26">
        <f>TariefOpbouwDirecteKosten6*L32</f>
        <v>0</v>
      </c>
      <c r="N32" s="25"/>
      <c r="O32" s="26">
        <f>TariefOpbouwDirecteKosten7*N32</f>
        <v>0</v>
      </c>
      <c r="P32" s="25"/>
      <c r="Q32" s="27">
        <f>TariefOpbouwDirecteKosten8*P32</f>
        <v>0</v>
      </c>
    </row>
    <row r="33" spans="1:17" x14ac:dyDescent="0.4">
      <c r="A33" s="20" t="s">
        <v>63</v>
      </c>
      <c r="B33" s="25"/>
      <c r="C33" s="26">
        <f>TariefOpbouwDirecteKosten1*B33</f>
        <v>0</v>
      </c>
      <c r="D33" s="25"/>
      <c r="E33" s="26">
        <f>TariefOpbouwDirecteKosten2*D33</f>
        <v>0</v>
      </c>
      <c r="F33" s="25"/>
      <c r="G33" s="26">
        <f>TariefOpbouwDirecteKosten3*F33</f>
        <v>0</v>
      </c>
      <c r="H33" s="25"/>
      <c r="I33" s="26">
        <f>TariefOpbouwDirecteKosten4*H33</f>
        <v>0</v>
      </c>
      <c r="J33" s="25"/>
      <c r="K33" s="26">
        <f>TariefOpbouwDirecteKosten5*J33</f>
        <v>0</v>
      </c>
      <c r="L33" s="25"/>
      <c r="M33" s="26">
        <f>TariefOpbouwDirecteKosten6*L33</f>
        <v>0</v>
      </c>
      <c r="N33" s="25"/>
      <c r="O33" s="26">
        <f>TariefOpbouwDirecteKosten7*N33</f>
        <v>0</v>
      </c>
      <c r="P33" s="25"/>
      <c r="Q33" s="27">
        <f>TariefOpbouwDirecteKosten8*P33</f>
        <v>0</v>
      </c>
    </row>
    <row r="34" spans="1:17" x14ac:dyDescent="0.4">
      <c r="A34" s="20" t="s">
        <v>64</v>
      </c>
      <c r="B34" s="25"/>
      <c r="C34" s="26">
        <f>TariefOpbouwDirecteKosten1*B34</f>
        <v>0</v>
      </c>
      <c r="D34" s="25"/>
      <c r="E34" s="26">
        <f>TariefOpbouwDirecteKosten2*D34</f>
        <v>0</v>
      </c>
      <c r="F34" s="25"/>
      <c r="G34" s="26">
        <f>TariefOpbouwDirecteKosten3*F34</f>
        <v>0</v>
      </c>
      <c r="H34" s="25"/>
      <c r="I34" s="26">
        <f>TariefOpbouwDirecteKosten4*H34</f>
        <v>0</v>
      </c>
      <c r="J34" s="25"/>
      <c r="K34" s="26">
        <f>TariefOpbouwDirecteKosten5*J34</f>
        <v>0</v>
      </c>
      <c r="L34" s="25"/>
      <c r="M34" s="26">
        <f>TariefOpbouwDirecteKosten6*L34</f>
        <v>0</v>
      </c>
      <c r="N34" s="25"/>
      <c r="O34" s="26">
        <f>TariefOpbouwDirecteKosten7*N34</f>
        <v>0</v>
      </c>
      <c r="P34" s="25"/>
      <c r="Q34" s="27">
        <f>TariefOpbouwDirecteKosten8*P34</f>
        <v>0</v>
      </c>
    </row>
    <row r="35" spans="1:17" x14ac:dyDescent="0.4">
      <c r="A35" s="11" t="s">
        <v>65</v>
      </c>
      <c r="B35" s="23">
        <f>SUM(C28:C34)</f>
        <v>0</v>
      </c>
      <c r="C35" s="23"/>
      <c r="D35" s="23">
        <f>SUM(E28:E34)</f>
        <v>0</v>
      </c>
      <c r="E35" s="23"/>
      <c r="F35" s="23">
        <f>SUM(G28:G34)</f>
        <v>0</v>
      </c>
      <c r="G35" s="23"/>
      <c r="H35" s="23">
        <f>SUM(I28:I34)</f>
        <v>0</v>
      </c>
      <c r="I35" s="23"/>
      <c r="J35" s="23">
        <f>SUM(K28:K34)</f>
        <v>0</v>
      </c>
      <c r="K35" s="23"/>
      <c r="L35" s="23">
        <f>SUM(M28:M34)</f>
        <v>0</v>
      </c>
      <c r="M35" s="23"/>
      <c r="N35" s="23">
        <f>SUM(O28:O34)</f>
        <v>0</v>
      </c>
      <c r="O35" s="23"/>
      <c r="P35" s="23">
        <f>SUM(Q28:Q34)</f>
        <v>0</v>
      </c>
      <c r="Q35" s="24"/>
    </row>
    <row r="36" spans="1:17" x14ac:dyDescent="0.4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30"/>
    </row>
    <row r="37" spans="1:17" x14ac:dyDescent="0.4">
      <c r="A37" s="11" t="s">
        <v>66</v>
      </c>
      <c r="B37" s="25"/>
      <c r="C37" s="26">
        <f>(TariefOpbouwDirecteKosten1+TariefOpbouwIndirecteKosten1)*B37</f>
        <v>0</v>
      </c>
      <c r="D37" s="25"/>
      <c r="E37" s="26">
        <f>(TariefOpbouwDirecteKosten2+TariefOpbouwIndirecteKosten2)*D37</f>
        <v>0</v>
      </c>
      <c r="F37" s="25"/>
      <c r="G37" s="26">
        <f>(TariefOpbouwDirecteKosten3+TariefOpbouwIndirecteKosten3)*F37</f>
        <v>0</v>
      </c>
      <c r="H37" s="25"/>
      <c r="I37" s="26">
        <f>(TariefOpbouwDirecteKosten4+TariefOpbouwIndirecteKosten4)*H37</f>
        <v>0</v>
      </c>
      <c r="J37" s="25"/>
      <c r="K37" s="26">
        <f>(TariefOpbouwDirecteKosten5+TariefOpbouwIndirecteKosten5)*J37</f>
        <v>0</v>
      </c>
      <c r="L37" s="25"/>
      <c r="M37" s="26">
        <f>(TariefOpbouwDirecteKosten6+TariefOpbouwIndirecteKosten6)*L37</f>
        <v>0</v>
      </c>
      <c r="N37" s="25"/>
      <c r="O37" s="26">
        <f>(TariefOpbouwDirecteKosten7+TariefOpbouwIndirecteKosten7)*N37</f>
        <v>0</v>
      </c>
      <c r="P37" s="25"/>
      <c r="Q37" s="27">
        <f>(TariefOpbouwDirecteKosten8+TariefOpbouwIndirecteKosten8)*P37</f>
        <v>0</v>
      </c>
    </row>
    <row r="38" spans="1:17" x14ac:dyDescent="0.4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30"/>
    </row>
    <row r="39" spans="1:17" x14ac:dyDescent="0.4">
      <c r="A39" s="11" t="s">
        <v>67</v>
      </c>
      <c r="B39" s="23">
        <f>TariefOpbouwDirecteKosten1+TariefOpbouwIndirecteKosten1+TariefOpbouwRisicoWinst1</f>
        <v>0</v>
      </c>
      <c r="C39" s="23"/>
      <c r="D39" s="23">
        <f>TariefOpbouwDirecteKosten2+TariefOpbouwIndirecteKosten2+TariefOpbouwRisicoWinst2</f>
        <v>0</v>
      </c>
      <c r="E39" s="23"/>
      <c r="F39" s="23">
        <f>TariefOpbouwDirecteKosten3+TariefOpbouwIndirecteKosten3+TariefOpbouwRisicoWinst3</f>
        <v>0</v>
      </c>
      <c r="G39" s="23"/>
      <c r="H39" s="23">
        <f>TariefOpbouwDirecteKosten4+TariefOpbouwIndirecteKosten4+TariefOpbouwRisicoWinst4</f>
        <v>0</v>
      </c>
      <c r="I39" s="23"/>
      <c r="J39" s="23">
        <f>TariefOpbouwDirecteKosten5+TariefOpbouwIndirecteKosten5+TariefOpbouwRisicoWinst5</f>
        <v>0</v>
      </c>
      <c r="K39" s="23"/>
      <c r="L39" s="23">
        <f>TariefOpbouwDirecteKosten6+TariefOpbouwIndirecteKosten6+TariefOpbouwRisicoWinst6</f>
        <v>0</v>
      </c>
      <c r="M39" s="23"/>
      <c r="N39" s="23">
        <f>TariefOpbouwDirecteKosten7+TariefOpbouwIndirecteKosten7+TariefOpbouwRisicoWinst7</f>
        <v>0</v>
      </c>
      <c r="O39" s="23"/>
      <c r="P39" s="23">
        <f>TariefOpbouwDirecteKosten8+TariefOpbouwIndirecteKosten8+TariefOpbouwRisicoWinst8</f>
        <v>0</v>
      </c>
      <c r="Q39" s="24"/>
    </row>
    <row r="40" spans="1:17" x14ac:dyDescent="0.4">
      <c r="A40" s="11" t="s">
        <v>68</v>
      </c>
      <c r="B40" s="31" t="s">
        <v>69</v>
      </c>
      <c r="C40" s="31" t="s">
        <v>70</v>
      </c>
      <c r="D40" s="31" t="s">
        <v>69</v>
      </c>
      <c r="E40" s="31" t="s">
        <v>70</v>
      </c>
      <c r="F40" s="31" t="s">
        <v>69</v>
      </c>
      <c r="G40" s="31" t="s">
        <v>70</v>
      </c>
      <c r="H40" s="31" t="s">
        <v>69</v>
      </c>
      <c r="I40" s="31" t="s">
        <v>70</v>
      </c>
      <c r="J40" s="31" t="s">
        <v>69</v>
      </c>
      <c r="K40" s="31" t="s">
        <v>70</v>
      </c>
      <c r="L40" s="31" t="s">
        <v>69</v>
      </c>
      <c r="M40" s="31" t="s">
        <v>70</v>
      </c>
      <c r="N40" s="31" t="s">
        <v>69</v>
      </c>
      <c r="O40" s="31" t="s">
        <v>70</v>
      </c>
      <c r="P40" s="31" t="s">
        <v>69</v>
      </c>
      <c r="Q40" s="32" t="s">
        <v>70</v>
      </c>
    </row>
    <row r="41" spans="1:17" x14ac:dyDescent="0.4">
      <c r="A41" s="11" t="s">
        <v>71</v>
      </c>
      <c r="B41" s="33">
        <v>0.3</v>
      </c>
      <c r="C41" s="26">
        <f>((1+B41)*TariefOpbouwTotaalLoonkosten1+TariefOpbouwDirecteKosten1-TariefOpbouwTotaalLoonkosten1+TariefOpbouwIndirecteKosten1)*(1+TariefOpbouwRisicoWinstPercentage1)</f>
        <v>0</v>
      </c>
      <c r="D41" s="33">
        <v>0.3</v>
      </c>
      <c r="E41" s="26">
        <f>((1+D41)*TariefOpbouwTotaalLoonkosten2+TariefOpbouwDirecteKosten2-TariefOpbouwTotaalLoonkosten2+TariefOpbouwIndirecteKosten2)*(1+TariefOpbouwRisicoWinstPercentage2)</f>
        <v>0</v>
      </c>
      <c r="F41" s="33">
        <v>0.3</v>
      </c>
      <c r="G41" s="26">
        <f>((1+F41)*TariefOpbouwTotaalLoonkosten3+TariefOpbouwDirecteKosten3-TariefOpbouwTotaalLoonkosten3+TariefOpbouwIndirecteKosten3)*(1+TariefOpbouwRisicoWinstPercentage3)</f>
        <v>0</v>
      </c>
      <c r="H41" s="33">
        <v>0.3</v>
      </c>
      <c r="I41" s="26">
        <f>((1+H41)*TariefOpbouwTotaalLoonkosten4+TariefOpbouwDirecteKosten4-TariefOpbouwTotaalLoonkosten4+TariefOpbouwIndirecteKosten4)*(1+TariefOpbouwRisicoWinstPercentage4)</f>
        <v>0</v>
      </c>
      <c r="J41" s="33">
        <v>0.3</v>
      </c>
      <c r="K41" s="26">
        <f>((1+J41)*TariefOpbouwTotaalLoonkosten5+TariefOpbouwDirecteKosten5-TariefOpbouwTotaalLoonkosten5+TariefOpbouwIndirecteKosten5)*(1+TariefOpbouwRisicoWinstPercentage5)</f>
        <v>0</v>
      </c>
      <c r="L41" s="33">
        <v>0.3</v>
      </c>
      <c r="M41" s="26">
        <f>((1+L41)*TariefOpbouwTotaalLoonkosten6+TariefOpbouwDirecteKosten6-TariefOpbouwTotaalLoonkosten6+TariefOpbouwIndirecteKosten6)*(1+TariefOpbouwRisicoWinstPercentage6)</f>
        <v>0</v>
      </c>
      <c r="N41" s="33">
        <v>0.3</v>
      </c>
      <c r="O41" s="26">
        <f>((1+N41)*TariefOpbouwTotaalLoonkosten7+TariefOpbouwDirecteKosten7-TariefOpbouwTotaalLoonkosten7+TariefOpbouwIndirecteKosten7)*(1+TariefOpbouwRisicoWinstPercentage7)</f>
        <v>0</v>
      </c>
      <c r="P41" s="33">
        <v>0.3</v>
      </c>
      <c r="Q41" s="27">
        <f>((1+P41)*TariefOpbouwTotaalLoonkosten8+TariefOpbouwDirecteKosten8-TariefOpbouwTotaalLoonkosten8+TariefOpbouwIndirecteKosten8)*(1+TariefOpbouwRisicoWinstPercentage8)</f>
        <v>0</v>
      </c>
    </row>
    <row r="42" spans="1:17" x14ac:dyDescent="0.4">
      <c r="A42" s="11" t="s">
        <v>72</v>
      </c>
      <c r="B42" s="33">
        <v>0.5</v>
      </c>
      <c r="C42" s="26">
        <f>((1+B42)*TariefOpbouwTotaalLoonkosten1+TariefOpbouwDirecteKosten1-TariefOpbouwTotaalLoonkosten1+TariefOpbouwIndirecteKosten1)*(1+TariefOpbouwRisicoWinstPercentage1)</f>
        <v>0</v>
      </c>
      <c r="D42" s="33">
        <v>0.5</v>
      </c>
      <c r="E42" s="26">
        <f>((1+D42)*TariefOpbouwTotaalLoonkosten2+TariefOpbouwDirecteKosten2-TariefOpbouwTotaalLoonkosten2+TariefOpbouwIndirecteKosten2)*(1+TariefOpbouwRisicoWinstPercentage2)</f>
        <v>0</v>
      </c>
      <c r="F42" s="33">
        <v>0.5</v>
      </c>
      <c r="G42" s="26">
        <f>((1+F42)*TariefOpbouwTotaalLoonkosten3+TariefOpbouwDirecteKosten3-TariefOpbouwTotaalLoonkosten3+TariefOpbouwIndirecteKosten3)*(1+TariefOpbouwRisicoWinstPercentage3)</f>
        <v>0</v>
      </c>
      <c r="H42" s="33">
        <v>0.5</v>
      </c>
      <c r="I42" s="26">
        <f>((1+H42)*TariefOpbouwTotaalLoonkosten4+TariefOpbouwDirecteKosten4-TariefOpbouwTotaalLoonkosten4+TariefOpbouwIndirecteKosten4)*(1+TariefOpbouwRisicoWinstPercentage4)</f>
        <v>0</v>
      </c>
      <c r="J42" s="33">
        <v>0.5</v>
      </c>
      <c r="K42" s="26">
        <f>((1+J42)*TariefOpbouwTotaalLoonkosten5+TariefOpbouwDirecteKosten5-TariefOpbouwTotaalLoonkosten5+TariefOpbouwIndirecteKosten5)*(1+TariefOpbouwRisicoWinstPercentage5)</f>
        <v>0</v>
      </c>
      <c r="L42" s="33">
        <v>0.5</v>
      </c>
      <c r="M42" s="26">
        <f>((1+L42)*TariefOpbouwTotaalLoonkosten6+TariefOpbouwDirecteKosten6-TariefOpbouwTotaalLoonkosten6+TariefOpbouwIndirecteKosten6)*(1+TariefOpbouwRisicoWinstPercentage6)</f>
        <v>0</v>
      </c>
      <c r="N42" s="33">
        <v>0.5</v>
      </c>
      <c r="O42" s="26">
        <f>((1+N42)*TariefOpbouwTotaalLoonkosten7+TariefOpbouwDirecteKosten7-TariefOpbouwTotaalLoonkosten7+TariefOpbouwIndirecteKosten7)*(1+TariefOpbouwRisicoWinstPercentage7)</f>
        <v>0</v>
      </c>
      <c r="P42" s="33">
        <v>0.5</v>
      </c>
      <c r="Q42" s="27">
        <f>((1+P42)*TariefOpbouwTotaalLoonkosten8+TariefOpbouwDirecteKosten8-TariefOpbouwTotaalLoonkosten8+TariefOpbouwIndirecteKosten8)*(1+TariefOpbouwRisicoWinstPercentage8)</f>
        <v>0</v>
      </c>
    </row>
    <row r="43" spans="1:17" x14ac:dyDescent="0.4">
      <c r="A43" s="34" t="s">
        <v>73</v>
      </c>
      <c r="B43" s="35">
        <v>1.5</v>
      </c>
      <c r="C43" s="36">
        <f>((1+B43)*TariefOpbouwTotaalLoonkosten1+TariefOpbouwDirecteKosten1-TariefOpbouwTotaalLoonkosten1+TariefOpbouwIndirecteKosten1)*(1+TariefOpbouwRisicoWinstPercentage1)</f>
        <v>0</v>
      </c>
      <c r="D43" s="35">
        <v>1.5</v>
      </c>
      <c r="E43" s="36">
        <f>((1+D43)*TariefOpbouwTotaalLoonkosten2+TariefOpbouwDirecteKosten2-TariefOpbouwTotaalLoonkosten2+TariefOpbouwIndirecteKosten2)*(1+TariefOpbouwRisicoWinstPercentage2)</f>
        <v>0</v>
      </c>
      <c r="F43" s="35">
        <v>1.5</v>
      </c>
      <c r="G43" s="36">
        <f>((1+F43)*TariefOpbouwTotaalLoonkosten3+TariefOpbouwDirecteKosten3-TariefOpbouwTotaalLoonkosten3+TariefOpbouwIndirecteKosten3)*(1+TariefOpbouwRisicoWinstPercentage3)</f>
        <v>0</v>
      </c>
      <c r="H43" s="35">
        <v>1.5</v>
      </c>
      <c r="I43" s="36">
        <f>((1+H43)*TariefOpbouwTotaalLoonkosten4+TariefOpbouwDirecteKosten4-TariefOpbouwTotaalLoonkosten4+TariefOpbouwIndirecteKosten4)*(1+TariefOpbouwRisicoWinstPercentage4)</f>
        <v>0</v>
      </c>
      <c r="J43" s="35">
        <v>1.5</v>
      </c>
      <c r="K43" s="36">
        <f>((1+J43)*TariefOpbouwTotaalLoonkosten5+TariefOpbouwDirecteKosten5-TariefOpbouwTotaalLoonkosten5+TariefOpbouwIndirecteKosten5)*(1+TariefOpbouwRisicoWinstPercentage5)</f>
        <v>0</v>
      </c>
      <c r="L43" s="35">
        <v>1.5</v>
      </c>
      <c r="M43" s="36">
        <f>((1+L43)*TariefOpbouwTotaalLoonkosten6+TariefOpbouwDirecteKosten6-TariefOpbouwTotaalLoonkosten6+TariefOpbouwIndirecteKosten6)*(1+TariefOpbouwRisicoWinstPercentage6)</f>
        <v>0</v>
      </c>
      <c r="N43" s="35">
        <v>1.5</v>
      </c>
      <c r="O43" s="36">
        <f>((1+N43)*TariefOpbouwTotaalLoonkosten7+TariefOpbouwDirecteKosten7-TariefOpbouwTotaalLoonkosten7+TariefOpbouwIndirecteKosten7)*(1+TariefOpbouwRisicoWinstPercentage7)</f>
        <v>0</v>
      </c>
      <c r="P43" s="35">
        <v>1.5</v>
      </c>
      <c r="Q43" s="37">
        <f>((1+P43)*TariefOpbouwTotaalLoonkosten8+TariefOpbouwDirecteKosten8-TariefOpbouwTotaalLoonkosten8+TariefOpbouwIndirecteKosten8)*(1+TariefOpbouwRisicoWinstPercentage8)</f>
        <v>0</v>
      </c>
    </row>
    <row r="45" spans="1:17" ht="43.75" customHeight="1" x14ac:dyDescent="0.4">
      <c r="A45" s="8" t="s">
        <v>74</v>
      </c>
      <c r="B45" s="38" t="s">
        <v>75</v>
      </c>
      <c r="C45" s="38"/>
      <c r="D45" s="38" t="s">
        <v>76</v>
      </c>
      <c r="E45" s="39"/>
    </row>
    <row r="46" spans="1:17" x14ac:dyDescent="0.4">
      <c r="A46" s="28"/>
      <c r="B46" s="31" t="s">
        <v>77</v>
      </c>
      <c r="C46" s="31" t="s">
        <v>78</v>
      </c>
      <c r="D46" s="31" t="s">
        <v>77</v>
      </c>
      <c r="E46" s="32" t="s">
        <v>78</v>
      </c>
    </row>
    <row r="47" spans="1:17" x14ac:dyDescent="0.4">
      <c r="A47" s="40" t="str">
        <f>TariefOpbouwNaam1&amp;" "&amp;TariefOpbouwErvaring1</f>
        <v>Vakvolwassene &gt;3 dienstjaren</v>
      </c>
      <c r="B47" s="25"/>
      <c r="C47" s="26">
        <f>TariefOpbouwTarief1</f>
        <v>0</v>
      </c>
      <c r="D47" s="25"/>
      <c r="E47" s="27">
        <f>TariefOpbouwTarief1</f>
        <v>0</v>
      </c>
    </row>
    <row r="48" spans="1:17" x14ac:dyDescent="0.4">
      <c r="A48" s="40" t="str">
        <f>TariefOpbouwNaam2&amp;" "&amp;TariefOpbouwErvaring2</f>
        <v xml:space="preserve">Vakvolwassene </v>
      </c>
      <c r="B48" s="25"/>
      <c r="C48" s="26">
        <f>TariefOpbouwTarief2</f>
        <v>0</v>
      </c>
      <c r="D48" s="25"/>
      <c r="E48" s="27">
        <f>TariefOpbouwTarief2</f>
        <v>0</v>
      </c>
    </row>
    <row r="49" spans="1:5" x14ac:dyDescent="0.4">
      <c r="A49" s="40" t="str">
        <f>TariefOpbouwNaam3&amp;" "&amp;TariefOpbouwErvaring3</f>
        <v>Leiding (meewerkend) voorman/vrouw</v>
      </c>
      <c r="B49" s="25"/>
      <c r="C49" s="26">
        <f>TariefOpbouwTarief3</f>
        <v>0</v>
      </c>
      <c r="D49" s="25"/>
      <c r="E49" s="27">
        <f>TariefOpbouwTarief3</f>
        <v>0</v>
      </c>
    </row>
    <row r="50" spans="1:5" x14ac:dyDescent="0.4">
      <c r="A50" s="11" t="s">
        <v>79</v>
      </c>
      <c r="B50" s="41" t="str">
        <f>IF(SUM(B47:B49)=1,SUM(B47:B49),"ongeldig")</f>
        <v>ongeldig</v>
      </c>
      <c r="C50" s="26">
        <f>SUMPRODUCT(B47:B49,C47:C49)</f>
        <v>0</v>
      </c>
      <c r="D50" s="41" t="str">
        <f>IF(SUM(D47:D49)=1,SUM(D47:D49),"ongeldig")</f>
        <v>ongeldig</v>
      </c>
      <c r="E50" s="27">
        <f>SUMPRODUCT(D47:D49,E47:E49)</f>
        <v>0</v>
      </c>
    </row>
    <row r="51" spans="1:5" x14ac:dyDescent="0.4">
      <c r="A51" s="40" t="str">
        <f>TariefOpbouwNaam4&amp;" "&amp;TariefOpbouwErvaring4</f>
        <v>Leiding (niet-meewerkend) voorman/vrouw</v>
      </c>
      <c r="B51" s="25"/>
      <c r="C51" s="26">
        <f>TariefOpbouwTarief4</f>
        <v>0</v>
      </c>
      <c r="D51" s="25"/>
      <c r="E51" s="27">
        <f>TariefOpbouwTarief4</f>
        <v>0</v>
      </c>
    </row>
    <row r="52" spans="1:5" x14ac:dyDescent="0.4">
      <c r="A52" s="40" t="str">
        <f>TariefOpbouwNaam5&amp;" "&amp;TariefOpbouwErvaring5</f>
        <v>Leiding (niet-meewerkend) objectleider</v>
      </c>
      <c r="B52" s="25"/>
      <c r="C52" s="26">
        <f>TariefOpbouwTarief5</f>
        <v>0</v>
      </c>
      <c r="D52" s="25"/>
      <c r="E52" s="27">
        <f>TariefOpbouwTarief5</f>
        <v>0</v>
      </c>
    </row>
    <row r="53" spans="1:5" x14ac:dyDescent="0.4">
      <c r="A53" s="34" t="s">
        <v>80</v>
      </c>
      <c r="B53" s="42">
        <f>TariefUitvoering1+IF(SUM(B51:B52)&gt;0,SUMPRODUCT(B51:B52,C51:C52))</f>
        <v>0</v>
      </c>
      <c r="C53" s="42"/>
      <c r="D53" s="42">
        <f>TariefUitvoering2+IF(SUM(D51:D52)&gt;0,SUMPRODUCT(D51:D52,E51:E52))</f>
        <v>0</v>
      </c>
      <c r="E53" s="43"/>
    </row>
    <row r="55" spans="1:5" ht="43.75" customHeight="1" x14ac:dyDescent="0.4">
      <c r="A55" s="8" t="s">
        <v>81</v>
      </c>
      <c r="B55" s="38" t="s">
        <v>82</v>
      </c>
      <c r="C55" s="38"/>
      <c r="D55" s="38" t="s">
        <v>83</v>
      </c>
      <c r="E55" s="39"/>
    </row>
    <row r="56" spans="1:5" x14ac:dyDescent="0.4">
      <c r="A56" s="28"/>
      <c r="B56" s="31" t="s">
        <v>77</v>
      </c>
      <c r="C56" s="31" t="s">
        <v>78</v>
      </c>
      <c r="D56" s="31" t="s">
        <v>77</v>
      </c>
      <c r="E56" s="32" t="s">
        <v>78</v>
      </c>
    </row>
    <row r="57" spans="1:5" x14ac:dyDescent="0.4">
      <c r="A57" s="40" t="str">
        <f>TariefOpbouwNaam6&amp;" "&amp;TariefOpbouwErvaring6</f>
        <v xml:space="preserve">Vakvolwassene regie </v>
      </c>
      <c r="B57" s="25"/>
      <c r="C57" s="26">
        <f>TariefOpbouwTarief6</f>
        <v>0</v>
      </c>
      <c r="D57" s="25"/>
      <c r="E57" s="27">
        <f>TariefOpbouwTarief6</f>
        <v>0</v>
      </c>
    </row>
    <row r="58" spans="1:5" x14ac:dyDescent="0.4">
      <c r="A58" s="40" t="str">
        <f>TariefOpbouwNaam7&amp;" "&amp;TariefOpbouwErvaring7</f>
        <v>Vakvolwassene regie specialistisch</v>
      </c>
      <c r="B58" s="25"/>
      <c r="C58" s="26">
        <f>TariefOpbouwTarief7</f>
        <v>0</v>
      </c>
      <c r="D58" s="25"/>
      <c r="E58" s="27">
        <f>TariefOpbouwTarief7</f>
        <v>0</v>
      </c>
    </row>
    <row r="59" spans="1:5" x14ac:dyDescent="0.4">
      <c r="A59" s="11" t="s">
        <v>79</v>
      </c>
      <c r="B59" s="41" t="str">
        <f>IF(SUM(B57:B58)=1,SUM(B57:B58),"ongeldig")</f>
        <v>ongeldig</v>
      </c>
      <c r="C59" s="26">
        <f>SUMPRODUCT(B57:B58,C57:C58)</f>
        <v>0</v>
      </c>
      <c r="D59" s="41" t="str">
        <f>IF(SUM(D57:D58)=1,SUM(D57:D58),"ongeldig")</f>
        <v>ongeldig</v>
      </c>
      <c r="E59" s="27">
        <f>SUMPRODUCT(D57:D58,E57:E58)</f>
        <v>0</v>
      </c>
    </row>
    <row r="60" spans="1:5" x14ac:dyDescent="0.4">
      <c r="A60" s="40" t="str">
        <f>TariefOpbouwNaam8&amp;" "&amp;TariefOpbouwErvaring8</f>
        <v xml:space="preserve">Leiding regie </v>
      </c>
      <c r="B60" s="25"/>
      <c r="C60" s="26">
        <f>TariefOpbouwTarief8</f>
        <v>0</v>
      </c>
      <c r="D60" s="25"/>
      <c r="E60" s="27">
        <f>TariefOpbouwTarief8</f>
        <v>0</v>
      </c>
    </row>
    <row r="61" spans="1:5" x14ac:dyDescent="0.4">
      <c r="A61" s="34" t="s">
        <v>84</v>
      </c>
      <c r="B61" s="42">
        <f>TariefUitvoering3+IF(SUM(B60:B60)&gt;0,SUMPRODUCT(B60:B60,C60:C60))</f>
        <v>0</v>
      </c>
      <c r="C61" s="42"/>
      <c r="D61" s="42">
        <f>TariefUitvoering4+IF(SUM(D60:D60)&gt;0,SUMPRODUCT(D60:D60,E60:E60))</f>
        <v>0</v>
      </c>
      <c r="E61" s="43"/>
    </row>
  </sheetData>
  <sheetProtection algorithmName="SHA-512" hashValue="b4hJQJezbJrjTpf9AcHSC54L42milWd+7caigQ2535HagZuj9fTMTqT3/VO0aqOMkFVKVyTCmNO3qXDPif7zBw==" saltValue="7kayKoXv9/gQ9ci9/tHsFg==" spinCount="100000" sheet="1" objects="1" scenarios="1" autoFilter="0"/>
  <mergeCells count="112">
    <mergeCell ref="B55:C55"/>
    <mergeCell ref="D55:E55"/>
    <mergeCell ref="B61:C61"/>
    <mergeCell ref="D61:E61"/>
    <mergeCell ref="N39:O39"/>
    <mergeCell ref="P39:Q39"/>
    <mergeCell ref="B45:C45"/>
    <mergeCell ref="D45:E45"/>
    <mergeCell ref="B53:C53"/>
    <mergeCell ref="D53:E53"/>
    <mergeCell ref="B39:C39"/>
    <mergeCell ref="D39:E39"/>
    <mergeCell ref="F39:G39"/>
    <mergeCell ref="H39:I39"/>
    <mergeCell ref="J39:K39"/>
    <mergeCell ref="L39:M39"/>
    <mergeCell ref="N26:O26"/>
    <mergeCell ref="P26:Q26"/>
    <mergeCell ref="B35:C35"/>
    <mergeCell ref="D35:E35"/>
    <mergeCell ref="F35:G35"/>
    <mergeCell ref="H35:I35"/>
    <mergeCell ref="J35:K35"/>
    <mergeCell ref="L35:M35"/>
    <mergeCell ref="N35:O35"/>
    <mergeCell ref="P35:Q35"/>
    <mergeCell ref="B26:C26"/>
    <mergeCell ref="D26:E26"/>
    <mergeCell ref="F26:G26"/>
    <mergeCell ref="H26:I26"/>
    <mergeCell ref="J26:K26"/>
    <mergeCell ref="L26:M26"/>
    <mergeCell ref="N14:O14"/>
    <mergeCell ref="P14:Q14"/>
    <mergeCell ref="B19:C19"/>
    <mergeCell ref="D19:E19"/>
    <mergeCell ref="F19:G19"/>
    <mergeCell ref="H19:I19"/>
    <mergeCell ref="J19:K19"/>
    <mergeCell ref="L19:M19"/>
    <mergeCell ref="N19:O19"/>
    <mergeCell ref="P19:Q19"/>
    <mergeCell ref="B14:C14"/>
    <mergeCell ref="D14:E14"/>
    <mergeCell ref="F14:G14"/>
    <mergeCell ref="H14:I14"/>
    <mergeCell ref="J14:K14"/>
    <mergeCell ref="L14:M14"/>
    <mergeCell ref="N9:O9"/>
    <mergeCell ref="P9:Q9"/>
    <mergeCell ref="B12:C12"/>
    <mergeCell ref="D12:E12"/>
    <mergeCell ref="F12:G12"/>
    <mergeCell ref="H12:I12"/>
    <mergeCell ref="J12:K12"/>
    <mergeCell ref="L12:M12"/>
    <mergeCell ref="N12:O12"/>
    <mergeCell ref="P12:Q12"/>
    <mergeCell ref="B9:C9"/>
    <mergeCell ref="D9:E9"/>
    <mergeCell ref="F9:G9"/>
    <mergeCell ref="H9:I9"/>
    <mergeCell ref="J9:K9"/>
    <mergeCell ref="L9:M9"/>
    <mergeCell ref="N7:O7"/>
    <mergeCell ref="P7:Q7"/>
    <mergeCell ref="B8:C8"/>
    <mergeCell ref="D8:E8"/>
    <mergeCell ref="F8:G8"/>
    <mergeCell ref="H8:I8"/>
    <mergeCell ref="J8:K8"/>
    <mergeCell ref="L8:M8"/>
    <mergeCell ref="N8:O8"/>
    <mergeCell ref="P8:Q8"/>
    <mergeCell ref="B7:C7"/>
    <mergeCell ref="D7:E7"/>
    <mergeCell ref="F7:G7"/>
    <mergeCell ref="H7:I7"/>
    <mergeCell ref="J7:K7"/>
    <mergeCell ref="L7:M7"/>
    <mergeCell ref="N5:O5"/>
    <mergeCell ref="P5:Q5"/>
    <mergeCell ref="B6:C6"/>
    <mergeCell ref="D6:E6"/>
    <mergeCell ref="F6:G6"/>
    <mergeCell ref="H6:I6"/>
    <mergeCell ref="J6:K6"/>
    <mergeCell ref="L6:M6"/>
    <mergeCell ref="N6:O6"/>
    <mergeCell ref="P6:Q6"/>
    <mergeCell ref="B5:C5"/>
    <mergeCell ref="D5:E5"/>
    <mergeCell ref="F5:G5"/>
    <mergeCell ref="H5:I5"/>
    <mergeCell ref="J5:K5"/>
    <mergeCell ref="L5:M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scale="65" orientation="landscape" r:id="rId1"/>
  <headerFooter>
    <oddFooter>&amp;LCito                                                        &amp;ROpmaakdatum: 12-02-2025
Intexso - Plantageweg 23E - Leusden
+31 (33) 2778485</oddFooter>
  </headerFooter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8FEBE-D4EE-47B6-AED7-58628C9C15A8}">
  <dimension ref="A1:H57"/>
  <sheetViews>
    <sheetView workbookViewId="0"/>
  </sheetViews>
  <sheetFormatPr defaultRowHeight="14.6" x14ac:dyDescent="0.4"/>
  <cols>
    <col min="1" max="1" width="7.69140625" customWidth="1"/>
    <col min="2" max="2" width="6.69140625" customWidth="1"/>
    <col min="3" max="3" width="4.69140625" customWidth="1"/>
    <col min="4" max="4" width="50.69140625" customWidth="1"/>
    <col min="5" max="6" width="11.69140625" customWidth="1"/>
    <col min="7" max="7" width="9.69140625" customWidth="1"/>
    <col min="8" max="8" width="11.69140625" customWidth="1"/>
  </cols>
  <sheetData>
    <row r="1" spans="1:8" x14ac:dyDescent="0.4">
      <c r="A1" s="1" t="str">
        <f>CONCATENATE("Bijlage F.1: ",tabeltype," categorienormen")</f>
        <v>Bijlage F.1: Invultabel categorienormen</v>
      </c>
    </row>
    <row r="3" spans="1:8" ht="43.75" x14ac:dyDescent="0.4">
      <c r="A3" s="44" t="s">
        <v>85</v>
      </c>
      <c r="B3" s="44" t="s">
        <v>86</v>
      </c>
      <c r="C3" s="44" t="s">
        <v>87</v>
      </c>
      <c r="D3" s="44" t="s">
        <v>88</v>
      </c>
      <c r="E3" s="44" t="s">
        <v>89</v>
      </c>
      <c r="F3" s="44" t="s">
        <v>90</v>
      </c>
      <c r="G3" s="44" t="s">
        <v>91</v>
      </c>
      <c r="H3" s="44" t="s">
        <v>92</v>
      </c>
    </row>
    <row r="4" spans="1:8" x14ac:dyDescent="0.4">
      <c r="A4" s="45"/>
      <c r="B4" s="46"/>
      <c r="C4" s="46"/>
      <c r="D4" s="46"/>
      <c r="E4" s="46"/>
      <c r="F4" s="46"/>
      <c r="G4" s="46"/>
      <c r="H4" s="47"/>
    </row>
    <row r="5" spans="1:8" x14ac:dyDescent="0.4">
      <c r="A5" s="48" t="s">
        <v>93</v>
      </c>
      <c r="B5" s="49"/>
      <c r="C5" s="49"/>
      <c r="D5" s="49"/>
      <c r="E5" s="49"/>
      <c r="F5" s="49"/>
      <c r="G5" s="49"/>
      <c r="H5" s="50"/>
    </row>
    <row r="6" spans="1:8" x14ac:dyDescent="0.4">
      <c r="A6" s="51" t="s">
        <v>94</v>
      </c>
      <c r="B6" s="52" t="s">
        <v>95</v>
      </c>
      <c r="C6" s="51">
        <v>1</v>
      </c>
      <c r="D6" s="51" t="s">
        <v>96</v>
      </c>
      <c r="E6" s="53"/>
      <c r="F6" s="54"/>
      <c r="G6" s="51" t="s">
        <v>97</v>
      </c>
      <c r="H6" s="55">
        <f>Tariefopbouw1</f>
        <v>0</v>
      </c>
    </row>
    <row r="7" spans="1:8" x14ac:dyDescent="0.4">
      <c r="A7" s="56" t="s">
        <v>98</v>
      </c>
      <c r="B7" s="57" t="s">
        <v>95</v>
      </c>
      <c r="C7" s="56">
        <v>1</v>
      </c>
      <c r="D7" s="56" t="s">
        <v>99</v>
      </c>
      <c r="E7" s="58"/>
      <c r="F7" s="59"/>
      <c r="G7" s="56" t="s">
        <v>97</v>
      </c>
      <c r="H7" s="60">
        <f>Tariefopbouw1</f>
        <v>0</v>
      </c>
    </row>
    <row r="8" spans="1:8" x14ac:dyDescent="0.4">
      <c r="A8" s="56" t="s">
        <v>100</v>
      </c>
      <c r="B8" s="57" t="s">
        <v>95</v>
      </c>
      <c r="C8" s="56">
        <v>1</v>
      </c>
      <c r="D8" s="56" t="s">
        <v>101</v>
      </c>
      <c r="E8" s="58"/>
      <c r="F8" s="59"/>
      <c r="G8" s="56" t="s">
        <v>97</v>
      </c>
      <c r="H8" s="60">
        <f>Tariefopbouw1</f>
        <v>0</v>
      </c>
    </row>
    <row r="9" spans="1:8" x14ac:dyDescent="0.4">
      <c r="A9" s="56" t="s">
        <v>102</v>
      </c>
      <c r="B9" s="57" t="s">
        <v>95</v>
      </c>
      <c r="C9" s="56">
        <v>1</v>
      </c>
      <c r="D9" s="56" t="s">
        <v>103</v>
      </c>
      <c r="E9" s="58"/>
      <c r="F9" s="59"/>
      <c r="G9" s="56" t="s">
        <v>97</v>
      </c>
      <c r="H9" s="60">
        <f>Tariefopbouw1</f>
        <v>0</v>
      </c>
    </row>
    <row r="10" spans="1:8" x14ac:dyDescent="0.4">
      <c r="A10" s="56" t="s">
        <v>104</v>
      </c>
      <c r="B10" s="57" t="s">
        <v>105</v>
      </c>
      <c r="C10" s="56">
        <v>1</v>
      </c>
      <c r="D10" s="56" t="s">
        <v>106</v>
      </c>
      <c r="E10" s="58"/>
      <c r="F10" s="59"/>
      <c r="G10" s="56" t="s">
        <v>97</v>
      </c>
      <c r="H10" s="60">
        <f>Tariefopbouw1</f>
        <v>0</v>
      </c>
    </row>
    <row r="11" spans="1:8" x14ac:dyDescent="0.4">
      <c r="A11" s="56" t="s">
        <v>107</v>
      </c>
      <c r="B11" s="57" t="s">
        <v>105</v>
      </c>
      <c r="C11" s="56">
        <v>51</v>
      </c>
      <c r="D11" s="56" t="s">
        <v>108</v>
      </c>
      <c r="E11" s="58"/>
      <c r="F11" s="59"/>
      <c r="G11" s="56" t="s">
        <v>97</v>
      </c>
      <c r="H11" s="60">
        <f>Tariefopbouw1</f>
        <v>0</v>
      </c>
    </row>
    <row r="12" spans="1:8" x14ac:dyDescent="0.4">
      <c r="A12" s="56" t="s">
        <v>109</v>
      </c>
      <c r="B12" s="57" t="s">
        <v>105</v>
      </c>
      <c r="C12" s="56">
        <v>1</v>
      </c>
      <c r="D12" s="56" t="s">
        <v>110</v>
      </c>
      <c r="E12" s="58"/>
      <c r="F12" s="59"/>
      <c r="G12" s="56" t="s">
        <v>97</v>
      </c>
      <c r="H12" s="60">
        <f>Tariefopbouw1</f>
        <v>0</v>
      </c>
    </row>
    <row r="13" spans="1:8" x14ac:dyDescent="0.4">
      <c r="A13" s="56" t="s">
        <v>111</v>
      </c>
      <c r="B13" s="57" t="s">
        <v>105</v>
      </c>
      <c r="C13" s="56">
        <v>51</v>
      </c>
      <c r="D13" s="56" t="s">
        <v>112</v>
      </c>
      <c r="E13" s="58"/>
      <c r="F13" s="59"/>
      <c r="G13" s="56" t="s">
        <v>97</v>
      </c>
      <c r="H13" s="60">
        <f>Tariefopbouw1</f>
        <v>0</v>
      </c>
    </row>
    <row r="14" spans="1:8" x14ac:dyDescent="0.4">
      <c r="A14" s="56" t="s">
        <v>113</v>
      </c>
      <c r="B14" s="57" t="s">
        <v>105</v>
      </c>
      <c r="C14" s="56">
        <v>1</v>
      </c>
      <c r="D14" s="56" t="s">
        <v>114</v>
      </c>
      <c r="E14" s="58"/>
      <c r="F14" s="59"/>
      <c r="G14" s="56" t="s">
        <v>97</v>
      </c>
      <c r="H14" s="60">
        <f>Tariefopbouw1</f>
        <v>0</v>
      </c>
    </row>
    <row r="15" spans="1:8" x14ac:dyDescent="0.4">
      <c r="A15" s="56" t="s">
        <v>115</v>
      </c>
      <c r="B15" s="57" t="s">
        <v>105</v>
      </c>
      <c r="C15" s="56">
        <v>51</v>
      </c>
      <c r="D15" s="56" t="s">
        <v>116</v>
      </c>
      <c r="E15" s="58"/>
      <c r="F15" s="59"/>
      <c r="G15" s="56" t="s">
        <v>97</v>
      </c>
      <c r="H15" s="60">
        <f>Tariefopbouw1</f>
        <v>0</v>
      </c>
    </row>
    <row r="16" spans="1:8" x14ac:dyDescent="0.4">
      <c r="A16" s="56" t="s">
        <v>117</v>
      </c>
      <c r="B16" s="57" t="s">
        <v>118</v>
      </c>
      <c r="C16" s="56">
        <v>1</v>
      </c>
      <c r="D16" s="56" t="s">
        <v>119</v>
      </c>
      <c r="E16" s="58"/>
      <c r="F16" s="59"/>
      <c r="G16" s="56" t="s">
        <v>97</v>
      </c>
      <c r="H16" s="60">
        <f>Tariefopbouw1</f>
        <v>0</v>
      </c>
    </row>
    <row r="17" spans="1:8" x14ac:dyDescent="0.4">
      <c r="A17" s="56" t="s">
        <v>120</v>
      </c>
      <c r="B17" s="57" t="s">
        <v>118</v>
      </c>
      <c r="C17" s="56">
        <v>51</v>
      </c>
      <c r="D17" s="56" t="s">
        <v>121</v>
      </c>
      <c r="E17" s="58"/>
      <c r="F17" s="59"/>
      <c r="G17" s="56" t="s">
        <v>97</v>
      </c>
      <c r="H17" s="60">
        <f>Tariefopbouw1</f>
        <v>0</v>
      </c>
    </row>
    <row r="18" spans="1:8" x14ac:dyDescent="0.4">
      <c r="A18" s="56" t="s">
        <v>122</v>
      </c>
      <c r="B18" s="57" t="s">
        <v>118</v>
      </c>
      <c r="C18" s="56">
        <v>1</v>
      </c>
      <c r="D18" s="56" t="s">
        <v>123</v>
      </c>
      <c r="E18" s="58"/>
      <c r="F18" s="59"/>
      <c r="G18" s="56" t="s">
        <v>97</v>
      </c>
      <c r="H18" s="60">
        <f>Tariefopbouw1</f>
        <v>0</v>
      </c>
    </row>
    <row r="19" spans="1:8" x14ac:dyDescent="0.4">
      <c r="A19" s="56" t="s">
        <v>124</v>
      </c>
      <c r="B19" s="57" t="s">
        <v>118</v>
      </c>
      <c r="C19" s="56">
        <v>51</v>
      </c>
      <c r="D19" s="56" t="s">
        <v>125</v>
      </c>
      <c r="E19" s="58"/>
      <c r="F19" s="59"/>
      <c r="G19" s="56" t="s">
        <v>97</v>
      </c>
      <c r="H19" s="60">
        <f>Tariefopbouw1</f>
        <v>0</v>
      </c>
    </row>
    <row r="20" spans="1:8" x14ac:dyDescent="0.4">
      <c r="A20" s="56" t="s">
        <v>126</v>
      </c>
      <c r="B20" s="57" t="s">
        <v>118</v>
      </c>
      <c r="C20" s="56">
        <v>1</v>
      </c>
      <c r="D20" s="56" t="s">
        <v>127</v>
      </c>
      <c r="E20" s="58"/>
      <c r="F20" s="59"/>
      <c r="G20" s="56" t="s">
        <v>97</v>
      </c>
      <c r="H20" s="60">
        <f>Tariefopbouw1</f>
        <v>0</v>
      </c>
    </row>
    <row r="21" spans="1:8" x14ac:dyDescent="0.4">
      <c r="A21" s="56" t="s">
        <v>128</v>
      </c>
      <c r="B21" s="57" t="s">
        <v>118</v>
      </c>
      <c r="C21" s="56">
        <v>12</v>
      </c>
      <c r="D21" s="56" t="s">
        <v>129</v>
      </c>
      <c r="E21" s="58"/>
      <c r="F21" s="59"/>
      <c r="G21" s="56" t="s">
        <v>97</v>
      </c>
      <c r="H21" s="60">
        <f>Tariefopbouw1</f>
        <v>0</v>
      </c>
    </row>
    <row r="22" spans="1:8" x14ac:dyDescent="0.4">
      <c r="A22" s="56" t="s">
        <v>128</v>
      </c>
      <c r="B22" s="57" t="s">
        <v>118</v>
      </c>
      <c r="C22" s="56">
        <v>51</v>
      </c>
      <c r="D22" s="56" t="s">
        <v>129</v>
      </c>
      <c r="E22" s="58"/>
      <c r="F22" s="59"/>
      <c r="G22" s="56" t="s">
        <v>97</v>
      </c>
      <c r="H22" s="60">
        <f>Tariefopbouw1</f>
        <v>0</v>
      </c>
    </row>
    <row r="23" spans="1:8" x14ac:dyDescent="0.4">
      <c r="A23" s="56" t="s">
        <v>130</v>
      </c>
      <c r="B23" s="57" t="s">
        <v>118</v>
      </c>
      <c r="C23" s="56">
        <v>1</v>
      </c>
      <c r="D23" s="56" t="s">
        <v>131</v>
      </c>
      <c r="E23" s="58"/>
      <c r="F23" s="59"/>
      <c r="G23" s="56" t="s">
        <v>97</v>
      </c>
      <c r="H23" s="60">
        <f>Tariefopbouw1</f>
        <v>0</v>
      </c>
    </row>
    <row r="24" spans="1:8" x14ac:dyDescent="0.4">
      <c r="A24" s="56" t="s">
        <v>130</v>
      </c>
      <c r="B24" s="57" t="s">
        <v>118</v>
      </c>
      <c r="C24" s="56">
        <v>12</v>
      </c>
      <c r="D24" s="56" t="s">
        <v>132</v>
      </c>
      <c r="E24" s="58"/>
      <c r="F24" s="59"/>
      <c r="G24" s="56" t="s">
        <v>97</v>
      </c>
      <c r="H24" s="60">
        <f>Tariefopbouw1</f>
        <v>0</v>
      </c>
    </row>
    <row r="25" spans="1:8" x14ac:dyDescent="0.4">
      <c r="A25" s="56" t="s">
        <v>130</v>
      </c>
      <c r="B25" s="57" t="s">
        <v>118</v>
      </c>
      <c r="C25" s="56">
        <v>51</v>
      </c>
      <c r="D25" s="56" t="s">
        <v>132</v>
      </c>
      <c r="E25" s="58"/>
      <c r="F25" s="59"/>
      <c r="G25" s="56" t="s">
        <v>97</v>
      </c>
      <c r="H25" s="60">
        <f>Tariefopbouw1</f>
        <v>0</v>
      </c>
    </row>
    <row r="26" spans="1:8" x14ac:dyDescent="0.4">
      <c r="A26" s="56" t="s">
        <v>133</v>
      </c>
      <c r="B26" s="57" t="s">
        <v>118</v>
      </c>
      <c r="C26" s="56">
        <v>1</v>
      </c>
      <c r="D26" s="56" t="s">
        <v>134</v>
      </c>
      <c r="E26" s="58"/>
      <c r="F26" s="59"/>
      <c r="G26" s="56" t="s">
        <v>97</v>
      </c>
      <c r="H26" s="60">
        <f>Tariefopbouw1</f>
        <v>0</v>
      </c>
    </row>
    <row r="27" spans="1:8" x14ac:dyDescent="0.4">
      <c r="A27" s="56" t="s">
        <v>135</v>
      </c>
      <c r="B27" s="57" t="s">
        <v>118</v>
      </c>
      <c r="C27" s="56">
        <v>51</v>
      </c>
      <c r="D27" s="56" t="s">
        <v>136</v>
      </c>
      <c r="E27" s="58"/>
      <c r="F27" s="59"/>
      <c r="G27" s="56" t="s">
        <v>97</v>
      </c>
      <c r="H27" s="60">
        <f>Tariefopbouw1</f>
        <v>0</v>
      </c>
    </row>
    <row r="28" spans="1:8" x14ac:dyDescent="0.4">
      <c r="A28" s="56" t="s">
        <v>137</v>
      </c>
      <c r="B28" s="57" t="s">
        <v>118</v>
      </c>
      <c r="C28" s="56">
        <v>1</v>
      </c>
      <c r="D28" s="56" t="s">
        <v>138</v>
      </c>
      <c r="E28" s="58"/>
      <c r="F28" s="59"/>
      <c r="G28" s="56" t="s">
        <v>97</v>
      </c>
      <c r="H28" s="60">
        <f>Tariefopbouw1</f>
        <v>0</v>
      </c>
    </row>
    <row r="29" spans="1:8" x14ac:dyDescent="0.4">
      <c r="A29" s="56" t="s">
        <v>139</v>
      </c>
      <c r="B29" s="57" t="s">
        <v>118</v>
      </c>
      <c r="C29" s="56">
        <v>51</v>
      </c>
      <c r="D29" s="56" t="s">
        <v>140</v>
      </c>
      <c r="E29" s="58"/>
      <c r="F29" s="59"/>
      <c r="G29" s="56" t="s">
        <v>97</v>
      </c>
      <c r="H29" s="60">
        <f>Tariefopbouw1</f>
        <v>0</v>
      </c>
    </row>
    <row r="30" spans="1:8" x14ac:dyDescent="0.4">
      <c r="A30" s="56" t="s">
        <v>141</v>
      </c>
      <c r="B30" s="57" t="s">
        <v>118</v>
      </c>
      <c r="C30" s="56">
        <v>1</v>
      </c>
      <c r="D30" s="56" t="s">
        <v>142</v>
      </c>
      <c r="E30" s="58"/>
      <c r="F30" s="59"/>
      <c r="G30" s="56" t="s">
        <v>97</v>
      </c>
      <c r="H30" s="60">
        <f>Tariefopbouw1</f>
        <v>0</v>
      </c>
    </row>
    <row r="31" spans="1:8" x14ac:dyDescent="0.4">
      <c r="A31" s="56" t="s">
        <v>143</v>
      </c>
      <c r="B31" s="57" t="s">
        <v>118</v>
      </c>
      <c r="C31" s="56">
        <v>51</v>
      </c>
      <c r="D31" s="56" t="s">
        <v>144</v>
      </c>
      <c r="E31" s="58"/>
      <c r="F31" s="59"/>
      <c r="G31" s="56" t="s">
        <v>97</v>
      </c>
      <c r="H31" s="60">
        <f>Tariefopbouw1</f>
        <v>0</v>
      </c>
    </row>
    <row r="32" spans="1:8" x14ac:dyDescent="0.4">
      <c r="A32" s="56" t="s">
        <v>145</v>
      </c>
      <c r="B32" s="57" t="s">
        <v>118</v>
      </c>
      <c r="C32" s="56">
        <v>1</v>
      </c>
      <c r="D32" s="56" t="s">
        <v>146</v>
      </c>
      <c r="E32" s="58"/>
      <c r="F32" s="59"/>
      <c r="G32" s="56" t="s">
        <v>97</v>
      </c>
      <c r="H32" s="60">
        <f>Tariefopbouw1</f>
        <v>0</v>
      </c>
    </row>
    <row r="33" spans="1:8" x14ac:dyDescent="0.4">
      <c r="A33" s="56" t="s">
        <v>147</v>
      </c>
      <c r="B33" s="57" t="s">
        <v>118</v>
      </c>
      <c r="C33" s="56">
        <v>51</v>
      </c>
      <c r="D33" s="56" t="s">
        <v>148</v>
      </c>
      <c r="E33" s="58"/>
      <c r="F33" s="59"/>
      <c r="G33" s="56" t="s">
        <v>97</v>
      </c>
      <c r="H33" s="60">
        <f>Tariefopbouw1</f>
        <v>0</v>
      </c>
    </row>
    <row r="34" spans="1:8" x14ac:dyDescent="0.4">
      <c r="A34" s="56" t="s">
        <v>149</v>
      </c>
      <c r="B34" s="57" t="s">
        <v>118</v>
      </c>
      <c r="C34" s="56">
        <v>1</v>
      </c>
      <c r="D34" s="56" t="s">
        <v>150</v>
      </c>
      <c r="E34" s="58"/>
      <c r="F34" s="59"/>
      <c r="G34" s="56" t="s">
        <v>97</v>
      </c>
      <c r="H34" s="60">
        <f>Tariefopbouw1</f>
        <v>0</v>
      </c>
    </row>
    <row r="35" spans="1:8" x14ac:dyDescent="0.4">
      <c r="A35" s="56" t="s">
        <v>151</v>
      </c>
      <c r="B35" s="57" t="s">
        <v>118</v>
      </c>
      <c r="C35" s="56">
        <v>51</v>
      </c>
      <c r="D35" s="56" t="s">
        <v>152</v>
      </c>
      <c r="E35" s="58"/>
      <c r="F35" s="59"/>
      <c r="G35" s="56" t="s">
        <v>97</v>
      </c>
      <c r="H35" s="60">
        <f>Tariefopbouw1</f>
        <v>0</v>
      </c>
    </row>
    <row r="36" spans="1:8" x14ac:dyDescent="0.4">
      <c r="A36" s="56" t="s">
        <v>153</v>
      </c>
      <c r="B36" s="57" t="s">
        <v>118</v>
      </c>
      <c r="C36" s="56">
        <v>1</v>
      </c>
      <c r="D36" s="56" t="s">
        <v>154</v>
      </c>
      <c r="E36" s="58"/>
      <c r="F36" s="59"/>
      <c r="G36" s="56" t="s">
        <v>97</v>
      </c>
      <c r="H36" s="60">
        <f>Tariefopbouw1</f>
        <v>0</v>
      </c>
    </row>
    <row r="37" spans="1:8" x14ac:dyDescent="0.4">
      <c r="A37" s="56" t="s">
        <v>155</v>
      </c>
      <c r="B37" s="57" t="s">
        <v>118</v>
      </c>
      <c r="C37" s="56">
        <v>51</v>
      </c>
      <c r="D37" s="56" t="s">
        <v>156</v>
      </c>
      <c r="E37" s="58"/>
      <c r="F37" s="59"/>
      <c r="G37" s="56" t="s">
        <v>97</v>
      </c>
      <c r="H37" s="60">
        <f>Tariefopbouw1</f>
        <v>0</v>
      </c>
    </row>
    <row r="38" spans="1:8" x14ac:dyDescent="0.4">
      <c r="A38" s="56" t="s">
        <v>157</v>
      </c>
      <c r="B38" s="57" t="s">
        <v>118</v>
      </c>
      <c r="C38" s="56">
        <v>1</v>
      </c>
      <c r="D38" s="56" t="s">
        <v>158</v>
      </c>
      <c r="E38" s="58"/>
      <c r="F38" s="59"/>
      <c r="G38" s="56" t="s">
        <v>97</v>
      </c>
      <c r="H38" s="60">
        <f>Tariefopbouw1</f>
        <v>0</v>
      </c>
    </row>
    <row r="39" spans="1:8" x14ac:dyDescent="0.4">
      <c r="A39" s="56" t="s">
        <v>159</v>
      </c>
      <c r="B39" s="57" t="s">
        <v>118</v>
      </c>
      <c r="C39" s="56">
        <v>51</v>
      </c>
      <c r="D39" s="56" t="s">
        <v>160</v>
      </c>
      <c r="E39" s="58"/>
      <c r="F39" s="59"/>
      <c r="G39" s="56" t="s">
        <v>97</v>
      </c>
      <c r="H39" s="60">
        <f>Tariefopbouw1</f>
        <v>0</v>
      </c>
    </row>
    <row r="40" spans="1:8" x14ac:dyDescent="0.4">
      <c r="A40" s="56" t="s">
        <v>161</v>
      </c>
      <c r="B40" s="57" t="s">
        <v>118</v>
      </c>
      <c r="C40" s="56">
        <v>1</v>
      </c>
      <c r="D40" s="56" t="s">
        <v>162</v>
      </c>
      <c r="E40" s="58"/>
      <c r="F40" s="59"/>
      <c r="G40" s="56" t="s">
        <v>97</v>
      </c>
      <c r="H40" s="60">
        <f>Tariefopbouw1</f>
        <v>0</v>
      </c>
    </row>
    <row r="41" spans="1:8" x14ac:dyDescent="0.4">
      <c r="A41" s="56" t="s">
        <v>163</v>
      </c>
      <c r="B41" s="57" t="s">
        <v>118</v>
      </c>
      <c r="C41" s="56">
        <v>12</v>
      </c>
      <c r="D41" s="56" t="s">
        <v>164</v>
      </c>
      <c r="E41" s="58"/>
      <c r="F41" s="59"/>
      <c r="G41" s="56" t="s">
        <v>97</v>
      </c>
      <c r="H41" s="60">
        <f>Tariefopbouw1</f>
        <v>0</v>
      </c>
    </row>
    <row r="42" spans="1:8" x14ac:dyDescent="0.4">
      <c r="A42" s="56" t="s">
        <v>163</v>
      </c>
      <c r="B42" s="57" t="s">
        <v>118</v>
      </c>
      <c r="C42" s="56">
        <v>51</v>
      </c>
      <c r="D42" s="56" t="s">
        <v>164</v>
      </c>
      <c r="E42" s="58"/>
      <c r="F42" s="59"/>
      <c r="G42" s="56" t="s">
        <v>97</v>
      </c>
      <c r="H42" s="60">
        <f>Tariefopbouw1</f>
        <v>0</v>
      </c>
    </row>
    <row r="43" spans="1:8" x14ac:dyDescent="0.4">
      <c r="A43" s="56" t="s">
        <v>165</v>
      </c>
      <c r="B43" s="57" t="s">
        <v>118</v>
      </c>
      <c r="C43" s="56">
        <v>1</v>
      </c>
      <c r="D43" s="56" t="s">
        <v>166</v>
      </c>
      <c r="E43" s="58"/>
      <c r="F43" s="59"/>
      <c r="G43" s="56" t="s">
        <v>97</v>
      </c>
      <c r="H43" s="60">
        <f>Tariefopbouw1</f>
        <v>0</v>
      </c>
    </row>
    <row r="44" spans="1:8" x14ac:dyDescent="0.4">
      <c r="A44" s="56" t="s">
        <v>167</v>
      </c>
      <c r="B44" s="57" t="s">
        <v>118</v>
      </c>
      <c r="C44" s="56">
        <v>12</v>
      </c>
      <c r="D44" s="56" t="s">
        <v>168</v>
      </c>
      <c r="E44" s="58"/>
      <c r="F44" s="59"/>
      <c r="G44" s="56" t="s">
        <v>97</v>
      </c>
      <c r="H44" s="60">
        <f>Tariefopbouw1</f>
        <v>0</v>
      </c>
    </row>
    <row r="45" spans="1:8" x14ac:dyDescent="0.4">
      <c r="A45" s="56" t="s">
        <v>167</v>
      </c>
      <c r="B45" s="57" t="s">
        <v>118</v>
      </c>
      <c r="C45" s="56">
        <v>51</v>
      </c>
      <c r="D45" s="56" t="s">
        <v>168</v>
      </c>
      <c r="E45" s="58"/>
      <c r="F45" s="59"/>
      <c r="G45" s="56" t="s">
        <v>97</v>
      </c>
      <c r="H45" s="60">
        <f>Tariefopbouw1</f>
        <v>0</v>
      </c>
    </row>
    <row r="46" spans="1:8" x14ac:dyDescent="0.4">
      <c r="A46" s="56" t="s">
        <v>169</v>
      </c>
      <c r="B46" s="57" t="s">
        <v>170</v>
      </c>
      <c r="C46" s="56">
        <v>1</v>
      </c>
      <c r="D46" s="56" t="s">
        <v>171</v>
      </c>
      <c r="E46" s="58"/>
      <c r="F46" s="59"/>
      <c r="G46" s="56" t="s">
        <v>97</v>
      </c>
      <c r="H46" s="60">
        <f>Tariefopbouw1</f>
        <v>0</v>
      </c>
    </row>
    <row r="47" spans="1:8" x14ac:dyDescent="0.4">
      <c r="A47" s="56" t="s">
        <v>172</v>
      </c>
      <c r="B47" s="57" t="s">
        <v>170</v>
      </c>
      <c r="C47" s="56">
        <v>51</v>
      </c>
      <c r="D47" s="56" t="s">
        <v>173</v>
      </c>
      <c r="E47" s="58"/>
      <c r="F47" s="59"/>
      <c r="G47" s="56" t="s">
        <v>97</v>
      </c>
      <c r="H47" s="60">
        <f>Tariefopbouw1</f>
        <v>0</v>
      </c>
    </row>
    <row r="48" spans="1:8" x14ac:dyDescent="0.4">
      <c r="A48" s="56" t="s">
        <v>174</v>
      </c>
      <c r="B48" s="57" t="s">
        <v>170</v>
      </c>
      <c r="C48" s="56">
        <v>1</v>
      </c>
      <c r="D48" s="56" t="s">
        <v>175</v>
      </c>
      <c r="E48" s="58"/>
      <c r="F48" s="59"/>
      <c r="G48" s="56" t="s">
        <v>97</v>
      </c>
      <c r="H48" s="60">
        <f>Tariefopbouw1</f>
        <v>0</v>
      </c>
    </row>
    <row r="49" spans="1:8" x14ac:dyDescent="0.4">
      <c r="A49" s="56" t="s">
        <v>176</v>
      </c>
      <c r="B49" s="57" t="s">
        <v>170</v>
      </c>
      <c r="C49" s="56">
        <v>51</v>
      </c>
      <c r="D49" s="56" t="s">
        <v>177</v>
      </c>
      <c r="E49" s="58"/>
      <c r="F49" s="59"/>
      <c r="G49" s="56" t="s">
        <v>97</v>
      </c>
      <c r="H49" s="60">
        <f>Tariefopbouw1</f>
        <v>0</v>
      </c>
    </row>
    <row r="50" spans="1:8" x14ac:dyDescent="0.4">
      <c r="A50" s="56" t="s">
        <v>178</v>
      </c>
      <c r="B50" s="57" t="s">
        <v>170</v>
      </c>
      <c r="C50" s="56">
        <v>1</v>
      </c>
      <c r="D50" s="56" t="s">
        <v>179</v>
      </c>
      <c r="E50" s="58"/>
      <c r="F50" s="59"/>
      <c r="G50" s="56" t="s">
        <v>97</v>
      </c>
      <c r="H50" s="60">
        <f>Tariefopbouw1</f>
        <v>0</v>
      </c>
    </row>
    <row r="51" spans="1:8" x14ac:dyDescent="0.4">
      <c r="A51" s="56" t="s">
        <v>180</v>
      </c>
      <c r="B51" s="57" t="s">
        <v>170</v>
      </c>
      <c r="C51" s="56">
        <v>51</v>
      </c>
      <c r="D51" s="56" t="s">
        <v>181</v>
      </c>
      <c r="E51" s="58"/>
      <c r="F51" s="59"/>
      <c r="G51" s="56" t="s">
        <v>97</v>
      </c>
      <c r="H51" s="60">
        <f>Tariefopbouw1</f>
        <v>0</v>
      </c>
    </row>
    <row r="52" spans="1:8" x14ac:dyDescent="0.4">
      <c r="A52" s="56" t="s">
        <v>182</v>
      </c>
      <c r="B52" s="57" t="s">
        <v>170</v>
      </c>
      <c r="C52" s="56">
        <v>1</v>
      </c>
      <c r="D52" s="56" t="s">
        <v>183</v>
      </c>
      <c r="E52" s="58"/>
      <c r="F52" s="59"/>
      <c r="G52" s="56" t="s">
        <v>97</v>
      </c>
      <c r="H52" s="60">
        <f>Tariefopbouw1</f>
        <v>0</v>
      </c>
    </row>
    <row r="53" spans="1:8" x14ac:dyDescent="0.4">
      <c r="A53" s="56" t="s">
        <v>184</v>
      </c>
      <c r="B53" s="57" t="s">
        <v>170</v>
      </c>
      <c r="C53" s="56">
        <v>51</v>
      </c>
      <c r="D53" s="56" t="s">
        <v>185</v>
      </c>
      <c r="E53" s="58"/>
      <c r="F53" s="59"/>
      <c r="G53" s="56" t="s">
        <v>97</v>
      </c>
      <c r="H53" s="60">
        <f>Tariefopbouw1</f>
        <v>0</v>
      </c>
    </row>
    <row r="54" spans="1:8" x14ac:dyDescent="0.4">
      <c r="A54" s="56" t="s">
        <v>186</v>
      </c>
      <c r="B54" s="57" t="s">
        <v>170</v>
      </c>
      <c r="C54" s="56">
        <v>1</v>
      </c>
      <c r="D54" s="56" t="s">
        <v>187</v>
      </c>
      <c r="E54" s="58"/>
      <c r="F54" s="59"/>
      <c r="G54" s="56" t="s">
        <v>97</v>
      </c>
      <c r="H54" s="60">
        <f>Tariefopbouw1</f>
        <v>0</v>
      </c>
    </row>
    <row r="55" spans="1:8" x14ac:dyDescent="0.4">
      <c r="A55" s="56" t="s">
        <v>188</v>
      </c>
      <c r="B55" s="57" t="s">
        <v>170</v>
      </c>
      <c r="C55" s="56">
        <v>51</v>
      </c>
      <c r="D55" s="56" t="s">
        <v>189</v>
      </c>
      <c r="E55" s="58"/>
      <c r="F55" s="59"/>
      <c r="G55" s="56" t="s">
        <v>97</v>
      </c>
      <c r="H55" s="60">
        <f>Tariefopbouw1</f>
        <v>0</v>
      </c>
    </row>
    <row r="56" spans="1:8" x14ac:dyDescent="0.4">
      <c r="A56" s="56" t="s">
        <v>190</v>
      </c>
      <c r="B56" s="57" t="s">
        <v>170</v>
      </c>
      <c r="C56" s="56">
        <v>1</v>
      </c>
      <c r="D56" s="56" t="s">
        <v>191</v>
      </c>
      <c r="E56" s="58"/>
      <c r="F56" s="59"/>
      <c r="G56" s="56" t="s">
        <v>97</v>
      </c>
      <c r="H56" s="60">
        <f>Tariefopbouw1</f>
        <v>0</v>
      </c>
    </row>
    <row r="57" spans="1:8" x14ac:dyDescent="0.4">
      <c r="A57" s="61" t="s">
        <v>192</v>
      </c>
      <c r="B57" s="62" t="s">
        <v>170</v>
      </c>
      <c r="C57" s="61">
        <v>51</v>
      </c>
      <c r="D57" s="61" t="s">
        <v>193</v>
      </c>
      <c r="E57" s="63"/>
      <c r="F57" s="64"/>
      <c r="G57" s="61" t="s">
        <v>97</v>
      </c>
      <c r="H57" s="65">
        <f>Tariefopbouw1</f>
        <v>0</v>
      </c>
    </row>
  </sheetData>
  <sheetProtection algorithmName="SHA-512" hashValue="KPUMRPQXDyCHIzs0/cClsN2XCqqZ872u/VjuUjze3EsAGLNtje1fcCAGN8br+6rsxxBTZlVMov9ApjIZJZa9WQ==" saltValue="xwNs9KEBD4TCHS7bHwtDkw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&amp;LCito                                                        &amp;ROpmaakdatum: 12-02-2025
Intexso - Plantageweg 23E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EF352-5658-4C69-A1F9-0B0A9E17C329}">
  <dimension ref="A1:M57"/>
  <sheetViews>
    <sheetView workbookViewId="0"/>
  </sheetViews>
  <sheetFormatPr defaultRowHeight="14.6" x14ac:dyDescent="0.4"/>
  <cols>
    <col min="1" max="1" width="7.69140625" customWidth="1"/>
    <col min="2" max="2" width="6.69140625" customWidth="1"/>
    <col min="3" max="3" width="12.69140625" customWidth="1"/>
    <col min="4" max="4" width="35.69140625" customWidth="1"/>
    <col min="5" max="5" width="12.69140625" customWidth="1"/>
    <col min="6" max="7" width="11.69140625" customWidth="1"/>
    <col min="8" max="8" width="9.69140625" customWidth="1"/>
    <col min="9" max="11" width="11.69140625" customWidth="1"/>
    <col min="12" max="12" width="12.69140625" customWidth="1"/>
    <col min="13" max="13" width="14.69140625" customWidth="1"/>
  </cols>
  <sheetData>
    <row r="1" spans="1:13" x14ac:dyDescent="0.4">
      <c r="A1" s="1" t="str">
        <f>CONCATENATE("Bijlage F.2: ",tabeltype," regulier werk")</f>
        <v>Bijlage F.2: Invultabel regulier werk</v>
      </c>
    </row>
    <row r="3" spans="1:13" ht="43.75" x14ac:dyDescent="0.4">
      <c r="A3" s="44" t="s">
        <v>194</v>
      </c>
      <c r="B3" s="44" t="s">
        <v>7</v>
      </c>
      <c r="C3" s="44" t="s">
        <v>195</v>
      </c>
      <c r="D3" s="44" t="s">
        <v>88</v>
      </c>
      <c r="E3" s="44" t="s">
        <v>196</v>
      </c>
      <c r="F3" s="44" t="s">
        <v>197</v>
      </c>
      <c r="G3" s="44" t="s">
        <v>89</v>
      </c>
      <c r="H3" s="44" t="s">
        <v>91</v>
      </c>
      <c r="I3" s="44" t="s">
        <v>92</v>
      </c>
      <c r="J3" s="44" t="s">
        <v>198</v>
      </c>
      <c r="K3" s="44" t="s">
        <v>199</v>
      </c>
      <c r="L3" s="44" t="s">
        <v>200</v>
      </c>
      <c r="M3" s="44" t="s">
        <v>201</v>
      </c>
    </row>
    <row r="4" spans="1:13" x14ac:dyDescent="0.4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7"/>
    </row>
    <row r="5" spans="1:13" x14ac:dyDescent="0.4">
      <c r="A5" s="48" t="s">
        <v>93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50"/>
    </row>
    <row r="6" spans="1:13" x14ac:dyDescent="0.4">
      <c r="A6" s="51" t="s">
        <v>202</v>
      </c>
      <c r="B6" s="51" t="s">
        <v>11</v>
      </c>
      <c r="C6" s="51" t="s">
        <v>203</v>
      </c>
      <c r="D6" s="51" t="s">
        <v>204</v>
      </c>
      <c r="E6" s="66">
        <v>94</v>
      </c>
      <c r="F6" s="66">
        <f>E6*VLOOKUP(B6,dagsoorttabel1,2,FALSE)</f>
        <v>56.4</v>
      </c>
      <c r="G6" s="67">
        <f>IF(AND(catpn_1_BKHB_1&gt;0,catpn_1_BKHV_51&gt;0),(dagenperjaar1*VLOOKUP(B6,dagsoorttabel1,2,FALSE))/(((dagenperjaar1*VLOOKUP(B6,dagsoorttabel1,2,FALSE))-catfd_1_BKHV_51)/catpn_1_BKHB_1+catfd_1_BKHV_51/catpn_1_BKHV_51),0)</f>
        <v>0</v>
      </c>
      <c r="H6" s="51" t="s">
        <v>97</v>
      </c>
      <c r="I6" s="55">
        <f>IF(AND(catpn_1_BKHB_1&gt;0,catpn_1_BKHV_51&gt;0),(cattf_1_BKHB_1*((dagenperjaar1*VLOOKUP(B6,dagsoorttabel1,2,FALSE))-catfd_1_BKHV_51)/catpn_1_BKHB_1+cattf_1_BKHV_51*catfd_1_BKHV_51/catpn_1_BKHV_51)/(((dagenperjaar1*VLOOKUP(B6,dagsoorttabel1,2,FALSE))-catfd_1_BKHV_51)/catpn_1_BKHB_1+catfd_1_BKHV_51/catpn_1_BKHV_51),0)</f>
        <v>0</v>
      </c>
      <c r="J6" s="66">
        <f>IF(OR(ISBLANK(G6),G6=0),0,F6/ROUND(G6,4))</f>
        <v>0</v>
      </c>
      <c r="K6" s="55">
        <f>ROUND(I6,2)*J6</f>
        <v>0</v>
      </c>
      <c r="L6" s="66">
        <f>J6*dagenperjaar1</f>
        <v>0</v>
      </c>
      <c r="M6" s="55">
        <f>L6*ROUND(I6,2)</f>
        <v>0</v>
      </c>
    </row>
    <row r="7" spans="1:13" x14ac:dyDescent="0.4">
      <c r="A7" s="56" t="s">
        <v>202</v>
      </c>
      <c r="B7" s="56" t="s">
        <v>9</v>
      </c>
      <c r="C7" s="56" t="s">
        <v>203</v>
      </c>
      <c r="D7" s="56" t="s">
        <v>204</v>
      </c>
      <c r="E7" s="68">
        <v>45.5</v>
      </c>
      <c r="F7" s="68">
        <f>E7*VLOOKUP(B7,dagsoorttabel1,2,FALSE)</f>
        <v>45.5</v>
      </c>
      <c r="G7" s="69">
        <f>IF(AND(catpn_1_BKHB_1&gt;0,catpn_1_BKHV_51&gt;0),(dagenperjaar1*VLOOKUP(B7,dagsoorttabel1,2,FALSE))/(((dagenperjaar1*VLOOKUP(B7,dagsoorttabel1,2,FALSE))-catfd_1_BKHV_51)/catpn_1_BKHB_1+catfd_1_BKHV_51/catpn_1_BKHV_51),0)</f>
        <v>0</v>
      </c>
      <c r="H7" s="56" t="s">
        <v>97</v>
      </c>
      <c r="I7" s="60">
        <f>IF(AND(catpn_1_BKHB_1&gt;0,catpn_1_BKHV_51&gt;0),(cattf_1_BKHB_1*((dagenperjaar1*VLOOKUP(B7,dagsoorttabel1,2,FALSE))-catfd_1_BKHV_51)/catpn_1_BKHB_1+cattf_1_BKHV_51*catfd_1_BKHV_51/catpn_1_BKHV_51)/(((dagenperjaar1*VLOOKUP(B7,dagsoorttabel1,2,FALSE))-catfd_1_BKHV_51)/catpn_1_BKHB_1+catfd_1_BKHV_51/catpn_1_BKHV_51),0)</f>
        <v>0</v>
      </c>
      <c r="J7" s="68">
        <f>IF(OR(ISBLANK(G7),G7=0),0,F7/ROUND(G7,4))</f>
        <v>0</v>
      </c>
      <c r="K7" s="60">
        <f>ROUND(I7,2)*J7</f>
        <v>0</v>
      </c>
      <c r="L7" s="68">
        <f>J7*dagenperjaar1</f>
        <v>0</v>
      </c>
      <c r="M7" s="60">
        <f>L7*ROUND(I7,2)</f>
        <v>0</v>
      </c>
    </row>
    <row r="8" spans="1:13" x14ac:dyDescent="0.4">
      <c r="A8" s="56" t="s">
        <v>205</v>
      </c>
      <c r="B8" s="56" t="s">
        <v>11</v>
      </c>
      <c r="C8" s="56" t="s">
        <v>203</v>
      </c>
      <c r="D8" s="56" t="s">
        <v>206</v>
      </c>
      <c r="E8" s="68">
        <v>2038.5499999999997</v>
      </c>
      <c r="F8" s="68">
        <f>E8*VLOOKUP(B8,dagsoorttabel1,2,FALSE)</f>
        <v>1223.1299999999999</v>
      </c>
      <c r="G8" s="69">
        <f>IF(AND(catpn_1_BKZB_1&gt;0,catpn_1_BKZV_51&gt;0),(dagenperjaar1*VLOOKUP(B8,dagsoorttabel1,2,FALSE))/(((dagenperjaar1*VLOOKUP(B8,dagsoorttabel1,2,FALSE))-catfd_1_BKZV_51)/catpn_1_BKZB_1+catfd_1_BKZV_51/catpn_1_BKZV_51),0)</f>
        <v>0</v>
      </c>
      <c r="H8" s="56" t="s">
        <v>97</v>
      </c>
      <c r="I8" s="60">
        <f>IF(AND(catpn_1_BKZB_1&gt;0,catpn_1_BKZV_51&gt;0),(cattf_1_BKZB_1*((dagenperjaar1*VLOOKUP(B8,dagsoorttabel1,2,FALSE))-catfd_1_BKZV_51)/catpn_1_BKZB_1+cattf_1_BKZV_51*catfd_1_BKZV_51/catpn_1_BKZV_51)/(((dagenperjaar1*VLOOKUP(B8,dagsoorttabel1,2,FALSE))-catfd_1_BKZV_51)/catpn_1_BKZB_1+catfd_1_BKZV_51/catpn_1_BKZV_51),0)</f>
        <v>0</v>
      </c>
      <c r="J8" s="68">
        <f>IF(OR(ISBLANK(G8),G8=0),0,F8/ROUND(G8,4))</f>
        <v>0</v>
      </c>
      <c r="K8" s="60">
        <f>ROUND(I8,2)*J8</f>
        <v>0</v>
      </c>
      <c r="L8" s="68">
        <f>J8*dagenperjaar1</f>
        <v>0</v>
      </c>
      <c r="M8" s="60">
        <f>L8*ROUND(I8,2)</f>
        <v>0</v>
      </c>
    </row>
    <row r="9" spans="1:13" x14ac:dyDescent="0.4">
      <c r="A9" s="56" t="s">
        <v>205</v>
      </c>
      <c r="B9" s="56" t="s">
        <v>9</v>
      </c>
      <c r="C9" s="56" t="s">
        <v>203</v>
      </c>
      <c r="D9" s="56" t="s">
        <v>206</v>
      </c>
      <c r="E9" s="68">
        <v>216.4</v>
      </c>
      <c r="F9" s="68">
        <f>E9*VLOOKUP(B9,dagsoorttabel1,2,FALSE)</f>
        <v>216.4</v>
      </c>
      <c r="G9" s="69">
        <f>IF(AND(catpn_1_BKZB_1&gt;0,catpn_1_BKZV_51&gt;0),(dagenperjaar1*VLOOKUP(B9,dagsoorttabel1,2,FALSE))/(((dagenperjaar1*VLOOKUP(B9,dagsoorttabel1,2,FALSE))-catfd_1_BKZV_51)/catpn_1_BKZB_1+catfd_1_BKZV_51/catpn_1_BKZV_51),0)</f>
        <v>0</v>
      </c>
      <c r="H9" s="56" t="s">
        <v>97</v>
      </c>
      <c r="I9" s="60">
        <f>IF(AND(catpn_1_BKZB_1&gt;0,catpn_1_BKZV_51&gt;0),(cattf_1_BKZB_1*((dagenperjaar1*VLOOKUP(B9,dagsoorttabel1,2,FALSE))-catfd_1_BKZV_51)/catpn_1_BKZB_1+cattf_1_BKZV_51*catfd_1_BKZV_51/catpn_1_BKZV_51)/(((dagenperjaar1*VLOOKUP(B9,dagsoorttabel1,2,FALSE))-catfd_1_BKZV_51)/catpn_1_BKZB_1+catfd_1_BKZV_51/catpn_1_BKZV_51),0)</f>
        <v>0</v>
      </c>
      <c r="J9" s="68">
        <f>IF(OR(ISBLANK(G9),G9=0),0,F9/ROUND(G9,4))</f>
        <v>0</v>
      </c>
      <c r="K9" s="60">
        <f>ROUND(I9,2)*J9</f>
        <v>0</v>
      </c>
      <c r="L9" s="68">
        <f>J9*dagenperjaar1</f>
        <v>0</v>
      </c>
      <c r="M9" s="60">
        <f>L9*ROUND(I9,2)</f>
        <v>0</v>
      </c>
    </row>
    <row r="10" spans="1:13" x14ac:dyDescent="0.4">
      <c r="A10" s="56" t="s">
        <v>207</v>
      </c>
      <c r="B10" s="56" t="s">
        <v>9</v>
      </c>
      <c r="C10" s="56" t="s">
        <v>203</v>
      </c>
      <c r="D10" s="56" t="s">
        <v>208</v>
      </c>
      <c r="E10" s="68">
        <v>128</v>
      </c>
      <c r="F10" s="68">
        <f>E10*VLOOKUP(B10,dagsoorttabel1,2,FALSE)</f>
        <v>128</v>
      </c>
      <c r="G10" s="69">
        <f>IF(AND(catpn_1_BRHB_1&gt;0,catpn_1_BRHV_51&gt;0),(dagenperjaar1*VLOOKUP(B10,dagsoorttabel1,2,FALSE))/(((dagenperjaar1*VLOOKUP(B10,dagsoorttabel1,2,FALSE))-catfd_1_BRHV_51)/catpn_1_BRHB_1+catfd_1_BRHV_51/catpn_1_BRHV_51),0)</f>
        <v>0</v>
      </c>
      <c r="H10" s="56" t="s">
        <v>97</v>
      </c>
      <c r="I10" s="60">
        <f>IF(AND(catpn_1_BRHB_1&gt;0,catpn_1_BRHV_51&gt;0),(cattf_1_BRHB_1*((dagenperjaar1*VLOOKUP(B10,dagsoorttabel1,2,FALSE))-catfd_1_BRHV_51)/catpn_1_BRHB_1+cattf_1_BRHV_51*catfd_1_BRHV_51/catpn_1_BRHV_51)/(((dagenperjaar1*VLOOKUP(B10,dagsoorttabel1,2,FALSE))-catfd_1_BRHV_51)/catpn_1_BRHB_1+catfd_1_BRHV_51/catpn_1_BRHV_51),0)</f>
        <v>0</v>
      </c>
      <c r="J10" s="68">
        <f>IF(OR(ISBLANK(G10),G10=0),0,F10/ROUND(G10,4))</f>
        <v>0</v>
      </c>
      <c r="K10" s="60">
        <f>ROUND(I10,2)*J10</f>
        <v>0</v>
      </c>
      <c r="L10" s="68">
        <f>J10*dagenperjaar1</f>
        <v>0</v>
      </c>
      <c r="M10" s="60">
        <f>L10*ROUND(I10,2)</f>
        <v>0</v>
      </c>
    </row>
    <row r="11" spans="1:13" x14ac:dyDescent="0.4">
      <c r="A11" s="56" t="s">
        <v>209</v>
      </c>
      <c r="B11" s="56" t="s">
        <v>11</v>
      </c>
      <c r="C11" s="56" t="s">
        <v>203</v>
      </c>
      <c r="D11" s="56" t="s">
        <v>210</v>
      </c>
      <c r="E11" s="68">
        <v>50.210000000000008</v>
      </c>
      <c r="F11" s="68">
        <f>E11*VLOOKUP(B11,dagsoorttabel1,2,FALSE)</f>
        <v>30.126000000000005</v>
      </c>
      <c r="G11" s="69">
        <f>IF(AND(catpn_1_BSHB_1&gt;0,catpn_1_BSHV_51&gt;0),(dagenperjaar1*VLOOKUP(B11,dagsoorttabel1,2,FALSE))/(((dagenperjaar1*VLOOKUP(B11,dagsoorttabel1,2,FALSE))-catfd_1_BSHV_51)/catpn_1_BSHB_1+catfd_1_BSHV_51/catpn_1_BSHV_51),0)</f>
        <v>0</v>
      </c>
      <c r="H11" s="56" t="s">
        <v>97</v>
      </c>
      <c r="I11" s="60">
        <f>IF(AND(catpn_1_BSHB_1&gt;0,catpn_1_BSHV_51&gt;0),(cattf_1_BSHB_1*((dagenperjaar1*VLOOKUP(B11,dagsoorttabel1,2,FALSE))-catfd_1_BSHV_51)/catpn_1_BSHB_1+cattf_1_BSHV_51*catfd_1_BSHV_51/catpn_1_BSHV_51)/(((dagenperjaar1*VLOOKUP(B11,dagsoorttabel1,2,FALSE))-catfd_1_BSHV_51)/catpn_1_BSHB_1+catfd_1_BSHV_51/catpn_1_BSHV_51),0)</f>
        <v>0</v>
      </c>
      <c r="J11" s="68">
        <f>IF(OR(ISBLANK(G11),G11=0),0,F11/ROUND(G11,4))</f>
        <v>0</v>
      </c>
      <c r="K11" s="60">
        <f>ROUND(I11,2)*J11</f>
        <v>0</v>
      </c>
      <c r="L11" s="68">
        <f>J11*dagenperjaar1</f>
        <v>0</v>
      </c>
      <c r="M11" s="60">
        <f>L11*ROUND(I11,2)</f>
        <v>0</v>
      </c>
    </row>
    <row r="12" spans="1:13" x14ac:dyDescent="0.4">
      <c r="A12" s="56" t="s">
        <v>211</v>
      </c>
      <c r="B12" s="56" t="s">
        <v>11</v>
      </c>
      <c r="C12" s="56" t="s">
        <v>203</v>
      </c>
      <c r="D12" s="56" t="s">
        <v>212</v>
      </c>
      <c r="E12" s="68">
        <v>15.7</v>
      </c>
      <c r="F12" s="68">
        <f>E12*VLOOKUP(B12,dagsoorttabel1,2,FALSE)</f>
        <v>9.42</v>
      </c>
      <c r="G12" s="69">
        <f>IF(AND(catpn_1_BSZB_1&gt;0,catpn_1_BSZV_51&gt;0),(dagenperjaar1*VLOOKUP(B12,dagsoorttabel1,2,FALSE))/(((dagenperjaar1*VLOOKUP(B12,dagsoorttabel1,2,FALSE))-catfd_1_BSZV_51)/catpn_1_BSZB_1+catfd_1_BSZV_51/catpn_1_BSZV_51),0)</f>
        <v>0</v>
      </c>
      <c r="H12" s="56" t="s">
        <v>97</v>
      </c>
      <c r="I12" s="60">
        <f>IF(AND(catpn_1_BSZB_1&gt;0,catpn_1_BSZV_51&gt;0),(cattf_1_BSZB_1*((dagenperjaar1*VLOOKUP(B12,dagsoorttabel1,2,FALSE))-catfd_1_BSZV_51)/catpn_1_BSZB_1+cattf_1_BSZV_51*catfd_1_BSZV_51/catpn_1_BSZV_51)/(((dagenperjaar1*VLOOKUP(B12,dagsoorttabel1,2,FALSE))-catfd_1_BSZV_51)/catpn_1_BSZB_1+catfd_1_BSZV_51/catpn_1_BSZV_51),0)</f>
        <v>0</v>
      </c>
      <c r="J12" s="68">
        <f>IF(OR(ISBLANK(G12),G12=0),0,F12/ROUND(G12,4))</f>
        <v>0</v>
      </c>
      <c r="K12" s="60">
        <f>ROUND(I12,2)*J12</f>
        <v>0</v>
      </c>
      <c r="L12" s="68">
        <f>J12*dagenperjaar1</f>
        <v>0</v>
      </c>
      <c r="M12" s="60">
        <f>L12*ROUND(I12,2)</f>
        <v>0</v>
      </c>
    </row>
    <row r="13" spans="1:13" x14ac:dyDescent="0.4">
      <c r="A13" s="56" t="s">
        <v>213</v>
      </c>
      <c r="B13" s="56" t="s">
        <v>11</v>
      </c>
      <c r="C13" s="56" t="s">
        <v>203</v>
      </c>
      <c r="D13" s="56" t="s">
        <v>214</v>
      </c>
      <c r="E13" s="68">
        <v>361.8</v>
      </c>
      <c r="F13" s="68">
        <f>E13*VLOOKUP(B13,dagsoorttabel1,2,FALSE)</f>
        <v>217.08</v>
      </c>
      <c r="G13" s="69">
        <f>IF(AND(catpn_1_BVZB_1&gt;0,catpn_1_BVZV_51&gt;0),(dagenperjaar1*VLOOKUP(B13,dagsoorttabel1,2,FALSE))/(((dagenperjaar1*VLOOKUP(B13,dagsoorttabel1,2,FALSE))-catfd_1_BVZV_51)/catpn_1_BVZB_1+catfd_1_BVZV_51/catpn_1_BVZV_51),0)</f>
        <v>0</v>
      </c>
      <c r="H13" s="56" t="s">
        <v>97</v>
      </c>
      <c r="I13" s="60">
        <f>IF(AND(catpn_1_BVZB_1&gt;0,catpn_1_BVZV_51&gt;0),(cattf_1_BVZB_1*((dagenperjaar1*VLOOKUP(B13,dagsoorttabel1,2,FALSE))-catfd_1_BVZV_51)/catpn_1_BVZB_1+cattf_1_BVZV_51*catfd_1_BVZV_51/catpn_1_BVZV_51)/(((dagenperjaar1*VLOOKUP(B13,dagsoorttabel1,2,FALSE))-catfd_1_BVZV_51)/catpn_1_BVZB_1+catfd_1_BVZV_51/catpn_1_BVZV_51),0)</f>
        <v>0</v>
      </c>
      <c r="J13" s="68">
        <f>IF(OR(ISBLANK(G13),G13=0),0,F13/ROUND(G13,4))</f>
        <v>0</v>
      </c>
      <c r="K13" s="60">
        <f>ROUND(I13,2)*J13</f>
        <v>0</v>
      </c>
      <c r="L13" s="68">
        <f>J13*dagenperjaar1</f>
        <v>0</v>
      </c>
      <c r="M13" s="60">
        <f>L13*ROUND(I13,2)</f>
        <v>0</v>
      </c>
    </row>
    <row r="14" spans="1:13" x14ac:dyDescent="0.4">
      <c r="A14" s="56" t="s">
        <v>213</v>
      </c>
      <c r="B14" s="56" t="s">
        <v>9</v>
      </c>
      <c r="C14" s="56" t="s">
        <v>203</v>
      </c>
      <c r="D14" s="56" t="s">
        <v>214</v>
      </c>
      <c r="E14" s="68">
        <v>400.52</v>
      </c>
      <c r="F14" s="68">
        <f>E14*VLOOKUP(B14,dagsoorttabel1,2,FALSE)</f>
        <v>400.52</v>
      </c>
      <c r="G14" s="69">
        <f>IF(AND(catpn_1_BVZB_1&gt;0,catpn_1_BVZV_51&gt;0),(dagenperjaar1*VLOOKUP(B14,dagsoorttabel1,2,FALSE))/(((dagenperjaar1*VLOOKUP(B14,dagsoorttabel1,2,FALSE))-catfd_1_BVZV_51)/catpn_1_BVZB_1+catfd_1_BVZV_51/catpn_1_BVZV_51),0)</f>
        <v>0</v>
      </c>
      <c r="H14" s="56" t="s">
        <v>97</v>
      </c>
      <c r="I14" s="60">
        <f>IF(AND(catpn_1_BVZB_1&gt;0,catpn_1_BVZV_51&gt;0),(cattf_1_BVZB_1*((dagenperjaar1*VLOOKUP(B14,dagsoorttabel1,2,FALSE))-catfd_1_BVZV_51)/catpn_1_BVZB_1+cattf_1_BVZV_51*catfd_1_BVZV_51/catpn_1_BVZV_51)/(((dagenperjaar1*VLOOKUP(B14,dagsoorttabel1,2,FALSE))-catfd_1_BVZV_51)/catpn_1_BVZB_1+catfd_1_BVZV_51/catpn_1_BVZV_51),0)</f>
        <v>0</v>
      </c>
      <c r="J14" s="68">
        <f>IF(OR(ISBLANK(G14),G14=0),0,F14/ROUND(G14,4))</f>
        <v>0</v>
      </c>
      <c r="K14" s="60">
        <f>ROUND(I14,2)*J14</f>
        <v>0</v>
      </c>
      <c r="L14" s="68">
        <f>J14*dagenperjaar1</f>
        <v>0</v>
      </c>
      <c r="M14" s="60">
        <f>L14*ROUND(I14,2)</f>
        <v>0</v>
      </c>
    </row>
    <row r="15" spans="1:13" x14ac:dyDescent="0.4">
      <c r="A15" s="56" t="s">
        <v>215</v>
      </c>
      <c r="B15" s="56" t="s">
        <v>9</v>
      </c>
      <c r="C15" s="56" t="s">
        <v>203</v>
      </c>
      <c r="D15" s="56" t="s">
        <v>216</v>
      </c>
      <c r="E15" s="68">
        <v>67.2</v>
      </c>
      <c r="F15" s="68">
        <f>E15*VLOOKUP(B15,dagsoorttabel1,2,FALSE)</f>
        <v>67.2</v>
      </c>
      <c r="G15" s="69">
        <f>IF(AND(catpn_1_KPHB_1&gt;0,catpn_1_KPHV_51&gt;0),(dagenperjaar1*VLOOKUP(B15,dagsoorttabel1,2,FALSE))/(((dagenperjaar1*VLOOKUP(B15,dagsoorttabel1,2,FALSE))-catfd_1_KPHV_51)/catpn_1_KPHB_1+catfd_1_KPHV_51/catpn_1_KPHV_51),0)</f>
        <v>0</v>
      </c>
      <c r="H15" s="56" t="s">
        <v>97</v>
      </c>
      <c r="I15" s="60">
        <f>IF(AND(catpn_1_KPHB_1&gt;0,catpn_1_KPHV_51&gt;0),(cattf_1_KPHB_1*((dagenperjaar1*VLOOKUP(B15,dagsoorttabel1,2,FALSE))-catfd_1_KPHV_51)/catpn_1_KPHB_1+cattf_1_KPHV_51*catfd_1_KPHV_51/catpn_1_KPHV_51)/(((dagenperjaar1*VLOOKUP(B15,dagsoorttabel1,2,FALSE))-catfd_1_KPHV_51)/catpn_1_KPHB_1+catfd_1_KPHV_51/catpn_1_KPHV_51),0)</f>
        <v>0</v>
      </c>
      <c r="J15" s="68">
        <f>IF(OR(ISBLANK(G15),G15=0),0,F15/ROUND(G15,4))</f>
        <v>0</v>
      </c>
      <c r="K15" s="60">
        <f>ROUND(I15,2)*J15</f>
        <v>0</v>
      </c>
      <c r="L15" s="68">
        <f>J15*dagenperjaar1</f>
        <v>0</v>
      </c>
      <c r="M15" s="60">
        <f>L15*ROUND(I15,2)</f>
        <v>0</v>
      </c>
    </row>
    <row r="16" spans="1:13" x14ac:dyDescent="0.4">
      <c r="A16" s="56" t="s">
        <v>217</v>
      </c>
      <c r="B16" s="56" t="s">
        <v>9</v>
      </c>
      <c r="C16" s="56" t="s">
        <v>203</v>
      </c>
      <c r="D16" s="56" t="s">
        <v>218</v>
      </c>
      <c r="E16" s="68">
        <v>906.0100000000001</v>
      </c>
      <c r="F16" s="68">
        <f>E16*VLOOKUP(B16,dagsoorttabel1,2,FALSE)</f>
        <v>906.0100000000001</v>
      </c>
      <c r="G16" s="69">
        <f>IF(AND(catpn_1_KRHB_1&gt;0,catpn_1_KRHV_51&gt;0),(dagenperjaar1*VLOOKUP(B16,dagsoorttabel1,2,FALSE))/(((dagenperjaar1*VLOOKUP(B16,dagsoorttabel1,2,FALSE))-catfd_1_KRHV_51)/catpn_1_KRHB_1+catfd_1_KRHV_51/catpn_1_KRHV_51),0)</f>
        <v>0</v>
      </c>
      <c r="H16" s="56" t="s">
        <v>97</v>
      </c>
      <c r="I16" s="60">
        <f>IF(AND(catpn_1_KRHB_1&gt;0,catpn_1_KRHV_51&gt;0),(cattf_1_KRHB_1*((dagenperjaar1*VLOOKUP(B16,dagsoorttabel1,2,FALSE))-catfd_1_KRHV_51)/catpn_1_KRHB_1+cattf_1_KRHV_51*catfd_1_KRHV_51/catpn_1_KRHV_51)/(((dagenperjaar1*VLOOKUP(B16,dagsoorttabel1,2,FALSE))-catfd_1_KRHV_51)/catpn_1_KRHB_1+catfd_1_KRHV_51/catpn_1_KRHV_51),0)</f>
        <v>0</v>
      </c>
      <c r="J16" s="68">
        <f>IF(OR(ISBLANK(G16),G16=0),0,F16/ROUND(G16,4))</f>
        <v>0</v>
      </c>
      <c r="K16" s="60">
        <f>ROUND(I16,2)*J16</f>
        <v>0</v>
      </c>
      <c r="L16" s="68">
        <f>J16*dagenperjaar1</f>
        <v>0</v>
      </c>
      <c r="M16" s="60">
        <f>L16*ROUND(I16,2)</f>
        <v>0</v>
      </c>
    </row>
    <row r="17" spans="1:13" x14ac:dyDescent="0.4">
      <c r="A17" s="56" t="s">
        <v>219</v>
      </c>
      <c r="B17" s="56" t="s">
        <v>15</v>
      </c>
      <c r="C17" s="56" t="s">
        <v>203</v>
      </c>
      <c r="D17" s="56" t="s">
        <v>220</v>
      </c>
      <c r="E17" s="68">
        <v>282.05</v>
      </c>
      <c r="F17" s="68">
        <f>E17*VLOOKUP(B17,dagsoorttabel1,2,FALSE)</f>
        <v>13.272941176470589</v>
      </c>
      <c r="G17" s="69">
        <f>catpn_1_OAHV_12</f>
        <v>0</v>
      </c>
      <c r="H17" s="56" t="s">
        <v>97</v>
      </c>
      <c r="I17" s="60">
        <f>cattf_1_OAHV_12</f>
        <v>0</v>
      </c>
      <c r="J17" s="68">
        <f>IF(OR(ISBLANK(G17),G17=0),0,F17/ROUND(G17,4))</f>
        <v>0</v>
      </c>
      <c r="K17" s="60">
        <f>ROUND(I17,2)*J17</f>
        <v>0</v>
      </c>
      <c r="L17" s="68">
        <f>J17*dagenperjaar1</f>
        <v>0</v>
      </c>
      <c r="M17" s="60">
        <f>L17*ROUND(I17,2)</f>
        <v>0</v>
      </c>
    </row>
    <row r="18" spans="1:13" x14ac:dyDescent="0.4">
      <c r="A18" s="56" t="s">
        <v>219</v>
      </c>
      <c r="B18" s="56" t="s">
        <v>13</v>
      </c>
      <c r="C18" s="56" t="s">
        <v>203</v>
      </c>
      <c r="D18" s="56" t="s">
        <v>220</v>
      </c>
      <c r="E18" s="68">
        <v>0</v>
      </c>
      <c r="F18" s="68">
        <f>E18*VLOOKUP(B18,dagsoorttabel1,2,FALSE)</f>
        <v>0</v>
      </c>
      <c r="G18" s="69">
        <f>IF(AND(catpn_1_OAHB_1&gt;0,catpn_1_OAHV_51&gt;0),(dagenperjaar1*VLOOKUP(B18,dagsoorttabel1,2,FALSE))/(((dagenperjaar1*VLOOKUP(B18,dagsoorttabel1,2,FALSE))-catfd_1_OAHV_51)/catpn_1_OAHB_1+catfd_1_OAHV_51/catpn_1_OAHV_51),0)</f>
        <v>0</v>
      </c>
      <c r="H18" s="56" t="s">
        <v>97</v>
      </c>
      <c r="I18" s="60">
        <f>IF(AND(catpn_1_OAHB_1&gt;0,catpn_1_OAHV_51&gt;0),(cattf_1_OAHB_1*((dagenperjaar1*VLOOKUP(B18,dagsoorttabel1,2,FALSE))-catfd_1_OAHV_51)/catpn_1_OAHB_1+cattf_1_OAHV_51*catfd_1_OAHV_51/catpn_1_OAHV_51)/(((dagenperjaar1*VLOOKUP(B18,dagsoorttabel1,2,FALSE))-catfd_1_OAHV_51)/catpn_1_OAHB_1+catfd_1_OAHV_51/catpn_1_OAHV_51),0)</f>
        <v>0</v>
      </c>
      <c r="J18" s="68">
        <f>IF(OR(ISBLANK(G18),G18=0),0,F18/ROUND(G18,4))</f>
        <v>0</v>
      </c>
      <c r="K18" s="60">
        <f>ROUND(I18,2)*J18</f>
        <v>0</v>
      </c>
      <c r="L18" s="68">
        <f>J18*dagenperjaar1</f>
        <v>0</v>
      </c>
      <c r="M18" s="60">
        <f>L18*ROUND(I18,2)</f>
        <v>0</v>
      </c>
    </row>
    <row r="19" spans="1:13" x14ac:dyDescent="0.4">
      <c r="A19" s="56" t="s">
        <v>221</v>
      </c>
      <c r="B19" s="56" t="s">
        <v>15</v>
      </c>
      <c r="C19" s="56" t="s">
        <v>203</v>
      </c>
      <c r="D19" s="56" t="s">
        <v>222</v>
      </c>
      <c r="E19" s="68">
        <v>21</v>
      </c>
      <c r="F19" s="68">
        <f>E19*VLOOKUP(B19,dagsoorttabel1,2,FALSE)</f>
        <v>0.9882352941176471</v>
      </c>
      <c r="G19" s="69">
        <f>catpn_1_OAZV_12</f>
        <v>0</v>
      </c>
      <c r="H19" s="56" t="s">
        <v>97</v>
      </c>
      <c r="I19" s="60">
        <f>cattf_1_OAZV_12</f>
        <v>0</v>
      </c>
      <c r="J19" s="68">
        <f>IF(OR(ISBLANK(G19),G19=0),0,F19/ROUND(G19,4))</f>
        <v>0</v>
      </c>
      <c r="K19" s="60">
        <f>ROUND(I19,2)*J19</f>
        <v>0</v>
      </c>
      <c r="L19" s="68">
        <f>J19*dagenperjaar1</f>
        <v>0</v>
      </c>
      <c r="M19" s="60">
        <f>L19*ROUND(I19,2)</f>
        <v>0</v>
      </c>
    </row>
    <row r="20" spans="1:13" x14ac:dyDescent="0.4">
      <c r="A20" s="56" t="s">
        <v>221</v>
      </c>
      <c r="B20" s="56" t="s">
        <v>13</v>
      </c>
      <c r="C20" s="56" t="s">
        <v>203</v>
      </c>
      <c r="D20" s="56" t="s">
        <v>222</v>
      </c>
      <c r="E20" s="68">
        <v>0</v>
      </c>
      <c r="F20" s="68">
        <f>E20*VLOOKUP(B20,dagsoorttabel1,2,FALSE)</f>
        <v>0</v>
      </c>
      <c r="G20" s="69">
        <f>IF(AND(catpn_1_OAZV_1&gt;0,catpn_1_OAZV_51&gt;0),(dagenperjaar1*VLOOKUP(B20,dagsoorttabel1,2,FALSE))/(((dagenperjaar1*VLOOKUP(B20,dagsoorttabel1,2,FALSE))-catfd_1_OAZV_51)/catpn_1_OAZV_1+catfd_1_OAZV_51/catpn_1_OAZV_51),0)</f>
        <v>0</v>
      </c>
      <c r="H20" s="56" t="s">
        <v>97</v>
      </c>
      <c r="I20" s="60">
        <f>IF(AND(catpn_1_OAZV_1&gt;0,catpn_1_OAZV_51&gt;0),(cattf_1_OAZV_1*((dagenperjaar1*VLOOKUP(B20,dagsoorttabel1,2,FALSE))-catfd_1_OAZV_51)/catpn_1_OAZV_1+cattf_1_OAZV_51*catfd_1_OAZV_51/catpn_1_OAZV_51)/(((dagenperjaar1*VLOOKUP(B20,dagsoorttabel1,2,FALSE))-catfd_1_OAZV_51)/catpn_1_OAZV_1+catfd_1_OAZV_51/catpn_1_OAZV_51),0)</f>
        <v>0</v>
      </c>
      <c r="J20" s="68">
        <f>IF(OR(ISBLANK(G20),G20=0),0,F20/ROUND(G20,4))</f>
        <v>0</v>
      </c>
      <c r="K20" s="60">
        <f>ROUND(I20,2)*J20</f>
        <v>0</v>
      </c>
      <c r="L20" s="68">
        <f>J20*dagenperjaar1</f>
        <v>0</v>
      </c>
      <c r="M20" s="60">
        <f>L20*ROUND(I20,2)</f>
        <v>0</v>
      </c>
    </row>
    <row r="21" spans="1:13" x14ac:dyDescent="0.4">
      <c r="A21" s="56" t="s">
        <v>223</v>
      </c>
      <c r="B21" s="56" t="s">
        <v>9</v>
      </c>
      <c r="C21" s="56" t="s">
        <v>203</v>
      </c>
      <c r="D21" s="56" t="s">
        <v>224</v>
      </c>
      <c r="E21" s="68">
        <v>27.68</v>
      </c>
      <c r="F21" s="68">
        <f>E21*VLOOKUP(B21,dagsoorttabel1,2,FALSE)</f>
        <v>27.68</v>
      </c>
      <c r="G21" s="69">
        <f>IF(AND(catpn_1_SDHB_1&gt;0,catpn_1_SDHV_51&gt;0),(dagenperjaar1*VLOOKUP(B21,dagsoorttabel1,2,FALSE))/(((dagenperjaar1*VLOOKUP(B21,dagsoorttabel1,2,FALSE))-catfd_1_SDHV_51)/catpn_1_SDHB_1+catfd_1_SDHV_51/catpn_1_SDHV_51),0)</f>
        <v>0</v>
      </c>
      <c r="H21" s="56" t="s">
        <v>97</v>
      </c>
      <c r="I21" s="60">
        <f>IF(AND(catpn_1_SDHB_1&gt;0,catpn_1_SDHV_51&gt;0),(cattf_1_SDHB_1*((dagenperjaar1*VLOOKUP(B21,dagsoorttabel1,2,FALSE))-catfd_1_SDHV_51)/catpn_1_SDHB_1+cattf_1_SDHV_51*catfd_1_SDHV_51/catpn_1_SDHV_51)/(((dagenperjaar1*VLOOKUP(B21,dagsoorttabel1,2,FALSE))-catfd_1_SDHV_51)/catpn_1_SDHB_1+catfd_1_SDHV_51/catpn_1_SDHV_51),0)</f>
        <v>0</v>
      </c>
      <c r="J21" s="68">
        <f>IF(OR(ISBLANK(G21),G21=0),0,F21/ROUND(G21,4))</f>
        <v>0</v>
      </c>
      <c r="K21" s="60">
        <f>ROUND(I21,2)*J21</f>
        <v>0</v>
      </c>
      <c r="L21" s="68">
        <f>J21*dagenperjaar1</f>
        <v>0</v>
      </c>
      <c r="M21" s="60">
        <f>L21*ROUND(I21,2)</f>
        <v>0</v>
      </c>
    </row>
    <row r="22" spans="1:13" x14ac:dyDescent="0.4">
      <c r="A22" s="56" t="s">
        <v>225</v>
      </c>
      <c r="B22" s="56" t="s">
        <v>9</v>
      </c>
      <c r="C22" s="56" t="s">
        <v>203</v>
      </c>
      <c r="D22" s="56" t="s">
        <v>226</v>
      </c>
      <c r="E22" s="68">
        <v>22.77</v>
      </c>
      <c r="F22" s="68">
        <f>E22*VLOOKUP(B22,dagsoorttabel1,2,FALSE)</f>
        <v>22.77</v>
      </c>
      <c r="G22" s="69">
        <f>IF(AND(catpn_1_SKHB_1&gt;0,catpn_1_SKHV_51&gt;0),(dagenperjaar1*VLOOKUP(B22,dagsoorttabel1,2,FALSE))/(((dagenperjaar1*VLOOKUP(B22,dagsoorttabel1,2,FALSE))-catfd_1_SKHV_51)/catpn_1_SKHB_1+catfd_1_SKHV_51/catpn_1_SKHV_51),0)</f>
        <v>0</v>
      </c>
      <c r="H22" s="56" t="s">
        <v>97</v>
      </c>
      <c r="I22" s="60">
        <f>IF(AND(catpn_1_SKHB_1&gt;0,catpn_1_SKHV_51&gt;0),(cattf_1_SKHB_1*((dagenperjaar1*VLOOKUP(B22,dagsoorttabel1,2,FALSE))-catfd_1_SKHV_51)/catpn_1_SKHB_1+cattf_1_SKHV_51*catfd_1_SKHV_51/catpn_1_SKHV_51)/(((dagenperjaar1*VLOOKUP(B22,dagsoorttabel1,2,FALSE))-catfd_1_SKHV_51)/catpn_1_SKHB_1+catfd_1_SKHV_51/catpn_1_SKHV_51),0)</f>
        <v>0</v>
      </c>
      <c r="J22" s="68">
        <f>IF(OR(ISBLANK(G22),G22=0),0,F22/ROUND(G22,4))</f>
        <v>0</v>
      </c>
      <c r="K22" s="60">
        <f>ROUND(I22,2)*J22</f>
        <v>0</v>
      </c>
      <c r="L22" s="68">
        <f>J22*dagenperjaar1</f>
        <v>0</v>
      </c>
      <c r="M22" s="60">
        <f>L22*ROUND(I22,2)</f>
        <v>0</v>
      </c>
    </row>
    <row r="23" spans="1:13" x14ac:dyDescent="0.4">
      <c r="A23" s="56" t="s">
        <v>227</v>
      </c>
      <c r="B23" s="56" t="s">
        <v>9</v>
      </c>
      <c r="C23" s="56" t="s">
        <v>203</v>
      </c>
      <c r="D23" s="56" t="s">
        <v>228</v>
      </c>
      <c r="E23" s="68">
        <v>129.84</v>
      </c>
      <c r="F23" s="68">
        <f>E23*VLOOKUP(B23,dagsoorttabel1,2,FALSE)</f>
        <v>129.84</v>
      </c>
      <c r="G23" s="69">
        <f>IF(AND(catpn_1_STHB_1&gt;0,catpn_1_STHV_51&gt;0),(dagenperjaar1*VLOOKUP(B23,dagsoorttabel1,2,FALSE))/(((dagenperjaar1*VLOOKUP(B23,dagsoorttabel1,2,FALSE))-catfd_1_STHV_51)/catpn_1_STHB_1+catfd_1_STHV_51/catpn_1_STHV_51),0)</f>
        <v>0</v>
      </c>
      <c r="H23" s="56" t="s">
        <v>97</v>
      </c>
      <c r="I23" s="60">
        <f>IF(AND(catpn_1_STHB_1&gt;0,catpn_1_STHV_51&gt;0),(cattf_1_STHB_1*((dagenperjaar1*VLOOKUP(B23,dagsoorttabel1,2,FALSE))-catfd_1_STHV_51)/catpn_1_STHB_1+cattf_1_STHV_51*catfd_1_STHV_51/catpn_1_STHV_51)/(((dagenperjaar1*VLOOKUP(B23,dagsoorttabel1,2,FALSE))-catfd_1_STHV_51)/catpn_1_STHB_1+catfd_1_STHV_51/catpn_1_STHV_51),0)</f>
        <v>0</v>
      </c>
      <c r="J23" s="68">
        <f>IF(OR(ISBLANK(G23),G23=0),0,F23/ROUND(G23,4))</f>
        <v>0</v>
      </c>
      <c r="K23" s="60">
        <f>ROUND(I23,2)*J23</f>
        <v>0</v>
      </c>
      <c r="L23" s="68">
        <f>J23*dagenperjaar1</f>
        <v>0</v>
      </c>
      <c r="M23" s="60">
        <f>L23*ROUND(I23,2)</f>
        <v>0</v>
      </c>
    </row>
    <row r="24" spans="1:13" x14ac:dyDescent="0.4">
      <c r="A24" s="56" t="s">
        <v>229</v>
      </c>
      <c r="B24" s="56" t="s">
        <v>11</v>
      </c>
      <c r="C24" s="56" t="s">
        <v>203</v>
      </c>
      <c r="D24" s="56" t="s">
        <v>230</v>
      </c>
      <c r="E24" s="68">
        <v>129.84</v>
      </c>
      <c r="F24" s="68">
        <f>E24*VLOOKUP(B24,dagsoorttabel1,2,FALSE)</f>
        <v>77.903999999999996</v>
      </c>
      <c r="G24" s="69">
        <f>catpn_1_STHB_1</f>
        <v>0</v>
      </c>
      <c r="H24" s="56" t="s">
        <v>97</v>
      </c>
      <c r="I24" s="60">
        <f>cattf_1_STHB_1</f>
        <v>0</v>
      </c>
      <c r="J24" s="68">
        <f>IF(OR(ISBLANK(G24),G24=0),0,F24/ROUND(G24,4))</f>
        <v>0</v>
      </c>
      <c r="K24" s="60">
        <f>ROUND(I24,2)*J24</f>
        <v>0</v>
      </c>
      <c r="L24" s="68">
        <f>J24*dagenperjaar1</f>
        <v>0</v>
      </c>
      <c r="M24" s="60">
        <f>L24*ROUND(I24,2)</f>
        <v>0</v>
      </c>
    </row>
    <row r="25" spans="1:13" x14ac:dyDescent="0.4">
      <c r="A25" s="56" t="s">
        <v>231</v>
      </c>
      <c r="B25" s="56" t="s">
        <v>11</v>
      </c>
      <c r="C25" s="56" t="s">
        <v>203</v>
      </c>
      <c r="D25" s="56" t="s">
        <v>232</v>
      </c>
      <c r="E25" s="68">
        <v>106.13</v>
      </c>
      <c r="F25" s="68">
        <f>E25*VLOOKUP(B25,dagsoorttabel1,2,FALSE)</f>
        <v>63.677999999999997</v>
      </c>
      <c r="G25" s="69">
        <f>IF(AND(catpn_1_VAHB_1&gt;0,catpn_1_VAHV_51&gt;0),(dagenperjaar1*VLOOKUP(B25,dagsoorttabel1,2,FALSE))/(((dagenperjaar1*VLOOKUP(B25,dagsoorttabel1,2,FALSE))-catfd_1_VAHV_51)/catpn_1_VAHB_1+catfd_1_VAHV_51/catpn_1_VAHV_51),0)</f>
        <v>0</v>
      </c>
      <c r="H25" s="56" t="s">
        <v>97</v>
      </c>
      <c r="I25" s="60">
        <f>IF(AND(catpn_1_VAHB_1&gt;0,catpn_1_VAHV_51&gt;0),(cattf_1_VAHB_1*((dagenperjaar1*VLOOKUP(B25,dagsoorttabel1,2,FALSE))-catfd_1_VAHV_51)/catpn_1_VAHB_1+cattf_1_VAHV_51*catfd_1_VAHV_51/catpn_1_VAHV_51)/(((dagenperjaar1*VLOOKUP(B25,dagsoorttabel1,2,FALSE))-catfd_1_VAHV_51)/catpn_1_VAHB_1+catfd_1_VAHV_51/catpn_1_VAHV_51),0)</f>
        <v>0</v>
      </c>
      <c r="J25" s="68">
        <f>IF(OR(ISBLANK(G25),G25=0),0,F25/ROUND(G25,4))</f>
        <v>0</v>
      </c>
      <c r="K25" s="60">
        <f>ROUND(I25,2)*J25</f>
        <v>0</v>
      </c>
      <c r="L25" s="68">
        <f>J25*dagenperjaar1</f>
        <v>0</v>
      </c>
      <c r="M25" s="60">
        <f>L25*ROUND(I25,2)</f>
        <v>0</v>
      </c>
    </row>
    <row r="26" spans="1:13" x14ac:dyDescent="0.4">
      <c r="A26" s="56" t="s">
        <v>231</v>
      </c>
      <c r="B26" s="56" t="s">
        <v>9</v>
      </c>
      <c r="C26" s="56" t="s">
        <v>203</v>
      </c>
      <c r="D26" s="56" t="s">
        <v>232</v>
      </c>
      <c r="E26" s="68">
        <v>271.73</v>
      </c>
      <c r="F26" s="68">
        <f>E26*VLOOKUP(B26,dagsoorttabel1,2,FALSE)</f>
        <v>271.73</v>
      </c>
      <c r="G26" s="69">
        <f>IF(AND(catpn_1_VAHB_1&gt;0,catpn_1_VAHV_51&gt;0),(dagenperjaar1*VLOOKUP(B26,dagsoorttabel1,2,FALSE))/(((dagenperjaar1*VLOOKUP(B26,dagsoorttabel1,2,FALSE))-catfd_1_VAHV_51)/catpn_1_VAHB_1+catfd_1_VAHV_51/catpn_1_VAHV_51),0)</f>
        <v>0</v>
      </c>
      <c r="H26" s="56" t="s">
        <v>97</v>
      </c>
      <c r="I26" s="60">
        <f>IF(AND(catpn_1_VAHB_1&gt;0,catpn_1_VAHV_51&gt;0),(cattf_1_VAHB_1*((dagenperjaar1*VLOOKUP(B26,dagsoorttabel1,2,FALSE))-catfd_1_VAHV_51)/catpn_1_VAHB_1+cattf_1_VAHV_51*catfd_1_VAHV_51/catpn_1_VAHV_51)/(((dagenperjaar1*VLOOKUP(B26,dagsoorttabel1,2,FALSE))-catfd_1_VAHV_51)/catpn_1_VAHB_1+catfd_1_VAHV_51/catpn_1_VAHV_51),0)</f>
        <v>0</v>
      </c>
      <c r="J26" s="68">
        <f>IF(OR(ISBLANK(G26),G26=0),0,F26/ROUND(G26,4))</f>
        <v>0</v>
      </c>
      <c r="K26" s="60">
        <f>ROUND(I26,2)*J26</f>
        <v>0</v>
      </c>
      <c r="L26" s="68">
        <f>J26*dagenperjaar1</f>
        <v>0</v>
      </c>
      <c r="M26" s="60">
        <f>L26*ROUND(I26,2)</f>
        <v>0</v>
      </c>
    </row>
    <row r="27" spans="1:13" x14ac:dyDescent="0.4">
      <c r="A27" s="56" t="s">
        <v>233</v>
      </c>
      <c r="B27" s="56" t="s">
        <v>11</v>
      </c>
      <c r="C27" s="56" t="s">
        <v>203</v>
      </c>
      <c r="D27" s="56" t="s">
        <v>234</v>
      </c>
      <c r="E27" s="68">
        <v>88.300000000000011</v>
      </c>
      <c r="F27" s="68">
        <f>E27*VLOOKUP(B27,dagsoorttabel1,2,FALSE)</f>
        <v>52.980000000000004</v>
      </c>
      <c r="G27" s="69">
        <f>IF(AND(catpn_1_VAZB_1&gt;0,catpn_1_VAZV_51&gt;0),(dagenperjaar1*VLOOKUP(B27,dagsoorttabel1,2,FALSE))/(((dagenperjaar1*VLOOKUP(B27,dagsoorttabel1,2,FALSE))-catfd_1_VAZV_51)/catpn_1_VAZB_1+catfd_1_VAZV_51/catpn_1_VAZV_51),0)</f>
        <v>0</v>
      </c>
      <c r="H27" s="56" t="s">
        <v>97</v>
      </c>
      <c r="I27" s="60">
        <f>IF(AND(catpn_1_VAZB_1&gt;0,catpn_1_VAZV_51&gt;0),(cattf_1_VAZB_1*((dagenperjaar1*VLOOKUP(B27,dagsoorttabel1,2,FALSE))-catfd_1_VAZV_51)/catpn_1_VAZB_1+cattf_1_VAZV_51*catfd_1_VAZV_51/catpn_1_VAZV_51)/(((dagenperjaar1*VLOOKUP(B27,dagsoorttabel1,2,FALSE))-catfd_1_VAZV_51)/catpn_1_VAZB_1+catfd_1_VAZV_51/catpn_1_VAZV_51),0)</f>
        <v>0</v>
      </c>
      <c r="J27" s="68">
        <f>IF(OR(ISBLANK(G27),G27=0),0,F27/ROUND(G27,4))</f>
        <v>0</v>
      </c>
      <c r="K27" s="60">
        <f>ROUND(I27,2)*J27</f>
        <v>0</v>
      </c>
      <c r="L27" s="68">
        <f>J27*dagenperjaar1</f>
        <v>0</v>
      </c>
      <c r="M27" s="60">
        <f>L27*ROUND(I27,2)</f>
        <v>0</v>
      </c>
    </row>
    <row r="28" spans="1:13" x14ac:dyDescent="0.4">
      <c r="A28" s="56" t="s">
        <v>233</v>
      </c>
      <c r="B28" s="56" t="s">
        <v>9</v>
      </c>
      <c r="C28" s="56" t="s">
        <v>203</v>
      </c>
      <c r="D28" s="56" t="s">
        <v>234</v>
      </c>
      <c r="E28" s="68">
        <v>61.75</v>
      </c>
      <c r="F28" s="68">
        <f>E28*VLOOKUP(B28,dagsoorttabel1,2,FALSE)</f>
        <v>61.75</v>
      </c>
      <c r="G28" s="69">
        <f>IF(AND(catpn_1_VAZB_1&gt;0,catpn_1_VAZV_51&gt;0),(dagenperjaar1*VLOOKUP(B28,dagsoorttabel1,2,FALSE))/(((dagenperjaar1*VLOOKUP(B28,dagsoorttabel1,2,FALSE))-catfd_1_VAZV_51)/catpn_1_VAZB_1+catfd_1_VAZV_51/catpn_1_VAZV_51),0)</f>
        <v>0</v>
      </c>
      <c r="H28" s="56" t="s">
        <v>97</v>
      </c>
      <c r="I28" s="60">
        <f>IF(AND(catpn_1_VAZB_1&gt;0,catpn_1_VAZV_51&gt;0),(cattf_1_VAZB_1*((dagenperjaar1*VLOOKUP(B28,dagsoorttabel1,2,FALSE))-catfd_1_VAZV_51)/catpn_1_VAZB_1+cattf_1_VAZV_51*catfd_1_VAZV_51/catpn_1_VAZV_51)/(((dagenperjaar1*VLOOKUP(B28,dagsoorttabel1,2,FALSE))-catfd_1_VAZV_51)/catpn_1_VAZB_1+catfd_1_VAZV_51/catpn_1_VAZV_51),0)</f>
        <v>0</v>
      </c>
      <c r="J28" s="68">
        <f>IF(OR(ISBLANK(G28),G28=0),0,F28/ROUND(G28,4))</f>
        <v>0</v>
      </c>
      <c r="K28" s="60">
        <f>ROUND(I28,2)*J28</f>
        <v>0</v>
      </c>
      <c r="L28" s="68">
        <f>J28*dagenperjaar1</f>
        <v>0</v>
      </c>
      <c r="M28" s="60">
        <f>L28*ROUND(I28,2)</f>
        <v>0</v>
      </c>
    </row>
    <row r="29" spans="1:13" x14ac:dyDescent="0.4">
      <c r="A29" s="56" t="s">
        <v>235</v>
      </c>
      <c r="B29" s="56" t="s">
        <v>9</v>
      </c>
      <c r="C29" s="56" t="s">
        <v>203</v>
      </c>
      <c r="D29" s="56" t="s">
        <v>236</v>
      </c>
      <c r="E29" s="68">
        <v>87.55</v>
      </c>
      <c r="F29" s="68">
        <f>E29*VLOOKUP(B29,dagsoorttabel1,2,FALSE)</f>
        <v>87.55</v>
      </c>
      <c r="G29" s="69">
        <f>IF(AND(catpn_1_VBZB_1&gt;0,catpn_1_VBZV_51&gt;0),(dagenperjaar1*VLOOKUP(B29,dagsoorttabel1,2,FALSE))/(((dagenperjaar1*VLOOKUP(B29,dagsoorttabel1,2,FALSE))-catfd_1_VBZV_51)/catpn_1_VBZB_1+catfd_1_VBZV_51/catpn_1_VBZV_51),0)</f>
        <v>0</v>
      </c>
      <c r="H29" s="56" t="s">
        <v>97</v>
      </c>
      <c r="I29" s="60">
        <f>IF(AND(catpn_1_VBZB_1&gt;0,catpn_1_VBZV_51&gt;0),(cattf_1_VBZB_1*((dagenperjaar1*VLOOKUP(B29,dagsoorttabel1,2,FALSE))-catfd_1_VBZV_51)/catpn_1_VBZB_1+cattf_1_VBZV_51*catfd_1_VBZV_51/catpn_1_VBZV_51)/(((dagenperjaar1*VLOOKUP(B29,dagsoorttabel1,2,FALSE))-catfd_1_VBZV_51)/catpn_1_VBZB_1+catfd_1_VBZV_51/catpn_1_VBZV_51),0)</f>
        <v>0</v>
      </c>
      <c r="J29" s="68">
        <f>IF(OR(ISBLANK(G29),G29=0),0,F29/ROUND(G29,4))</f>
        <v>0</v>
      </c>
      <c r="K29" s="60">
        <f>ROUND(I29,2)*J29</f>
        <v>0</v>
      </c>
      <c r="L29" s="68">
        <f>J29*dagenperjaar1</f>
        <v>0</v>
      </c>
      <c r="M29" s="60">
        <f>L29*ROUND(I29,2)</f>
        <v>0</v>
      </c>
    </row>
    <row r="30" spans="1:13" x14ac:dyDescent="0.4">
      <c r="A30" s="56" t="s">
        <v>237</v>
      </c>
      <c r="B30" s="56" t="s">
        <v>9</v>
      </c>
      <c r="C30" s="56" t="s">
        <v>203</v>
      </c>
      <c r="D30" s="56" t="s">
        <v>238</v>
      </c>
      <c r="E30" s="68">
        <v>68.3</v>
      </c>
      <c r="F30" s="68">
        <f>E30*VLOOKUP(B30,dagsoorttabel1,2,FALSE)</f>
        <v>68.3</v>
      </c>
      <c r="G30" s="69">
        <f>IF(AND(catpn_1_VEHB_1&gt;0,catpn_1_VEHV_51&gt;0),(dagenperjaar1*VLOOKUP(B30,dagsoorttabel1,2,FALSE))/(((dagenperjaar1*VLOOKUP(B30,dagsoorttabel1,2,FALSE))-catfd_1_VEHV_51)/catpn_1_VEHB_1+catfd_1_VEHV_51/catpn_1_VEHV_51),0)</f>
        <v>0</v>
      </c>
      <c r="H30" s="56" t="s">
        <v>97</v>
      </c>
      <c r="I30" s="60">
        <f>IF(AND(catpn_1_VEHB_1&gt;0,catpn_1_VEHV_51&gt;0),(cattf_1_VEHB_1*((dagenperjaar1*VLOOKUP(B30,dagsoorttabel1,2,FALSE))-catfd_1_VEHV_51)/catpn_1_VEHB_1+cattf_1_VEHV_51*catfd_1_VEHV_51/catpn_1_VEHV_51)/(((dagenperjaar1*VLOOKUP(B30,dagsoorttabel1,2,FALSE))-catfd_1_VEHV_51)/catpn_1_VEHB_1+catfd_1_VEHV_51/catpn_1_VEHV_51),0)</f>
        <v>0</v>
      </c>
      <c r="J30" s="68">
        <f>IF(OR(ISBLANK(G30),G30=0),0,F30/ROUND(G30,4))</f>
        <v>0</v>
      </c>
      <c r="K30" s="60">
        <f>ROUND(I30,2)*J30</f>
        <v>0</v>
      </c>
      <c r="L30" s="68">
        <f>J30*dagenperjaar1</f>
        <v>0</v>
      </c>
      <c r="M30" s="60">
        <f>L30*ROUND(I30,2)</f>
        <v>0</v>
      </c>
    </row>
    <row r="31" spans="1:13" x14ac:dyDescent="0.4">
      <c r="A31" s="56" t="s">
        <v>239</v>
      </c>
      <c r="B31" s="56" t="s">
        <v>11</v>
      </c>
      <c r="C31" s="56" t="s">
        <v>203</v>
      </c>
      <c r="D31" s="56" t="s">
        <v>240</v>
      </c>
      <c r="E31" s="68">
        <v>7.7</v>
      </c>
      <c r="F31" s="68">
        <f>E31*VLOOKUP(B31,dagsoorttabel1,2,FALSE)</f>
        <v>4.62</v>
      </c>
      <c r="G31" s="69">
        <f>IF(AND(catpn_1_VKHB_1&gt;0,catpn_1_VKHV_51&gt;0),(dagenperjaar1*VLOOKUP(B31,dagsoorttabel1,2,FALSE))/(((dagenperjaar1*VLOOKUP(B31,dagsoorttabel1,2,FALSE))-catfd_1_VKHV_51)/catpn_1_VKHB_1+catfd_1_VKHV_51/catpn_1_VKHV_51),0)</f>
        <v>0</v>
      </c>
      <c r="H31" s="56" t="s">
        <v>97</v>
      </c>
      <c r="I31" s="60">
        <f>IF(AND(catpn_1_VKHB_1&gt;0,catpn_1_VKHV_51&gt;0),(cattf_1_VKHB_1*((dagenperjaar1*VLOOKUP(B31,dagsoorttabel1,2,FALSE))-catfd_1_VKHV_51)/catpn_1_VKHB_1+cattf_1_VKHV_51*catfd_1_VKHV_51/catpn_1_VKHV_51)/(((dagenperjaar1*VLOOKUP(B31,dagsoorttabel1,2,FALSE))-catfd_1_VKHV_51)/catpn_1_VKHB_1+catfd_1_VKHV_51/catpn_1_VKHV_51),0)</f>
        <v>0</v>
      </c>
      <c r="J31" s="68">
        <f>IF(OR(ISBLANK(G31),G31=0),0,F31/ROUND(G31,4))</f>
        <v>0</v>
      </c>
      <c r="K31" s="60">
        <f>ROUND(I31,2)*J31</f>
        <v>0</v>
      </c>
      <c r="L31" s="68">
        <f>J31*dagenperjaar1</f>
        <v>0</v>
      </c>
      <c r="M31" s="60">
        <f>L31*ROUND(I31,2)</f>
        <v>0</v>
      </c>
    </row>
    <row r="32" spans="1:13" x14ac:dyDescent="0.4">
      <c r="A32" s="56" t="s">
        <v>241</v>
      </c>
      <c r="B32" s="56" t="s">
        <v>11</v>
      </c>
      <c r="C32" s="56" t="s">
        <v>203</v>
      </c>
      <c r="D32" s="56" t="s">
        <v>242</v>
      </c>
      <c r="E32" s="68">
        <v>586.42000000000007</v>
      </c>
      <c r="F32" s="68">
        <f>E32*VLOOKUP(B32,dagsoorttabel1,2,FALSE)</f>
        <v>351.85200000000003</v>
      </c>
      <c r="G32" s="69">
        <f>IF(AND(catpn_1_VKZB_1&gt;0,catpn_1_VKZV_51&gt;0),(dagenperjaar1*VLOOKUP(B32,dagsoorttabel1,2,FALSE))/(((dagenperjaar1*VLOOKUP(B32,dagsoorttabel1,2,FALSE))-catfd_1_VKZV_51)/catpn_1_VKZB_1+catfd_1_VKZV_51/catpn_1_VKZV_51),0)</f>
        <v>0</v>
      </c>
      <c r="H32" s="56" t="s">
        <v>97</v>
      </c>
      <c r="I32" s="60">
        <f>IF(AND(catpn_1_VKZB_1&gt;0,catpn_1_VKZV_51&gt;0),(cattf_1_VKZB_1*((dagenperjaar1*VLOOKUP(B32,dagsoorttabel1,2,FALSE))-catfd_1_VKZV_51)/catpn_1_VKZB_1+cattf_1_VKZV_51*catfd_1_VKZV_51/catpn_1_VKZV_51)/(((dagenperjaar1*VLOOKUP(B32,dagsoorttabel1,2,FALSE))-catfd_1_VKZV_51)/catpn_1_VKZB_1+catfd_1_VKZV_51/catpn_1_VKZV_51),0)</f>
        <v>0</v>
      </c>
      <c r="J32" s="68">
        <f>IF(OR(ISBLANK(G32),G32=0),0,F32/ROUND(G32,4))</f>
        <v>0</v>
      </c>
      <c r="K32" s="60">
        <f>ROUND(I32,2)*J32</f>
        <v>0</v>
      </c>
      <c r="L32" s="68">
        <f>J32*dagenperjaar1</f>
        <v>0</v>
      </c>
      <c r="M32" s="60">
        <f>L32*ROUND(I32,2)</f>
        <v>0</v>
      </c>
    </row>
    <row r="33" spans="1:13" x14ac:dyDescent="0.4">
      <c r="A33" s="56" t="s">
        <v>241</v>
      </c>
      <c r="B33" s="56" t="s">
        <v>9</v>
      </c>
      <c r="C33" s="56" t="s">
        <v>203</v>
      </c>
      <c r="D33" s="56" t="s">
        <v>242</v>
      </c>
      <c r="E33" s="68">
        <v>99.509999999999991</v>
      </c>
      <c r="F33" s="68">
        <f>E33*VLOOKUP(B33,dagsoorttabel1,2,FALSE)</f>
        <v>99.509999999999991</v>
      </c>
      <c r="G33" s="69">
        <f>IF(AND(catpn_1_VKZB_1&gt;0,catpn_1_VKZV_51&gt;0),(dagenperjaar1*VLOOKUP(B33,dagsoorttabel1,2,FALSE))/(((dagenperjaar1*VLOOKUP(B33,dagsoorttabel1,2,FALSE))-catfd_1_VKZV_51)/catpn_1_VKZB_1+catfd_1_VKZV_51/catpn_1_VKZV_51),0)</f>
        <v>0</v>
      </c>
      <c r="H33" s="56" t="s">
        <v>97</v>
      </c>
      <c r="I33" s="60">
        <f>IF(AND(catpn_1_VKZB_1&gt;0,catpn_1_VKZV_51&gt;0),(cattf_1_VKZB_1*((dagenperjaar1*VLOOKUP(B33,dagsoorttabel1,2,FALSE))-catfd_1_VKZV_51)/catpn_1_VKZB_1+cattf_1_VKZV_51*catfd_1_VKZV_51/catpn_1_VKZV_51)/(((dagenperjaar1*VLOOKUP(B33,dagsoorttabel1,2,FALSE))-catfd_1_VKZV_51)/catpn_1_VKZB_1+catfd_1_VKZV_51/catpn_1_VKZV_51),0)</f>
        <v>0</v>
      </c>
      <c r="J33" s="68">
        <f>IF(OR(ISBLANK(G33),G33=0),0,F33/ROUND(G33,4))</f>
        <v>0</v>
      </c>
      <c r="K33" s="60">
        <f>ROUND(I33,2)*J33</f>
        <v>0</v>
      </c>
      <c r="L33" s="68">
        <f>J33*dagenperjaar1</f>
        <v>0</v>
      </c>
      <c r="M33" s="60">
        <f>L33*ROUND(I33,2)</f>
        <v>0</v>
      </c>
    </row>
    <row r="34" spans="1:13" x14ac:dyDescent="0.4">
      <c r="A34" s="56" t="s">
        <v>243</v>
      </c>
      <c r="B34" s="56" t="s">
        <v>9</v>
      </c>
      <c r="C34" s="56" t="s">
        <v>203</v>
      </c>
      <c r="D34" s="56" t="s">
        <v>244</v>
      </c>
      <c r="E34" s="68">
        <v>16.490000000000002</v>
      </c>
      <c r="F34" s="68">
        <f>E34*VLOOKUP(B34,dagsoorttabel1,2,FALSE)</f>
        <v>16.490000000000002</v>
      </c>
      <c r="G34" s="69">
        <f>IF(AND(catpn_1_VLHB_1&gt;0,catpn_1_VLHV_51&gt;0),(dagenperjaar1*VLOOKUP(B34,dagsoorttabel1,2,FALSE))/(((dagenperjaar1*VLOOKUP(B34,dagsoorttabel1,2,FALSE))-catfd_1_VLHV_51)/catpn_1_VLHB_1+catfd_1_VLHV_51/catpn_1_VLHV_51),0)</f>
        <v>0</v>
      </c>
      <c r="H34" s="56" t="s">
        <v>97</v>
      </c>
      <c r="I34" s="60">
        <f>IF(AND(catpn_1_VLHB_1&gt;0,catpn_1_VLHV_51&gt;0),(cattf_1_VLHB_1*((dagenperjaar1*VLOOKUP(B34,dagsoorttabel1,2,FALSE))-catfd_1_VLHV_51)/catpn_1_VLHB_1+cattf_1_VLHV_51*catfd_1_VLHV_51/catpn_1_VLHV_51)/(((dagenperjaar1*VLOOKUP(B34,dagsoorttabel1,2,FALSE))-catfd_1_VLHV_51)/catpn_1_VLHB_1+catfd_1_VLHV_51/catpn_1_VLHV_51),0)</f>
        <v>0</v>
      </c>
      <c r="J34" s="68">
        <f>IF(OR(ISBLANK(G34),G34=0),0,F34/ROUND(G34,4))</f>
        <v>0</v>
      </c>
      <c r="K34" s="60">
        <f>ROUND(I34,2)*J34</f>
        <v>0</v>
      </c>
      <c r="L34" s="68">
        <f>J34*dagenperjaar1</f>
        <v>0</v>
      </c>
      <c r="M34" s="60">
        <f>L34*ROUND(I34,2)</f>
        <v>0</v>
      </c>
    </row>
    <row r="35" spans="1:13" x14ac:dyDescent="0.4">
      <c r="A35" s="56" t="s">
        <v>245</v>
      </c>
      <c r="B35" s="56" t="s">
        <v>17</v>
      </c>
      <c r="C35" s="56" t="s">
        <v>203</v>
      </c>
      <c r="D35" s="56" t="s">
        <v>246</v>
      </c>
      <c r="E35" s="68">
        <v>1349.3600000000001</v>
      </c>
      <c r="F35" s="68">
        <f>E35*VLOOKUP(B35,dagsoorttabel1,2,FALSE)</f>
        <v>21.16643137254902</v>
      </c>
      <c r="G35" s="69">
        <f>IF(AND(catpn_1_VPHB_1&gt;0,catpn_1_VPHV_1&gt;0),(dagenperjaar1*VLOOKUP(B35,dagsoorttabel1,2,FALSE))/(((dagenperjaar1*VLOOKUP(B35,dagsoorttabel1,2,FALSE))-catfd_1_VPHV_1)/catpn_1_VPHB_1+catfd_1_VPHV_1/catpn_1_VPHV_1),0)</f>
        <v>0</v>
      </c>
      <c r="H35" s="56" t="s">
        <v>97</v>
      </c>
      <c r="I35" s="60">
        <f>IF(AND(catpn_1_VPHB_1&gt;0,catpn_1_VPHV_1&gt;0),(cattf_1_VPHB_1*((dagenperjaar1*VLOOKUP(B35,dagsoorttabel1,2,FALSE))-catfd_1_VPHV_1)/catpn_1_VPHB_1+cattf_1_VPHV_1*catfd_1_VPHV_1/catpn_1_VPHV_1)/(((dagenperjaar1*VLOOKUP(B35,dagsoorttabel1,2,FALSE))-catfd_1_VPHV_1)/catpn_1_VPHB_1+catfd_1_VPHV_1/catpn_1_VPHV_1),0)</f>
        <v>0</v>
      </c>
      <c r="J35" s="68">
        <f>IF(OR(ISBLANK(G35),G35=0),0,F35/ROUND(G35,4))</f>
        <v>0</v>
      </c>
      <c r="K35" s="60">
        <f>ROUND(I35,2)*J35</f>
        <v>0</v>
      </c>
      <c r="L35" s="68">
        <f>J35*dagenperjaar1</f>
        <v>0</v>
      </c>
      <c r="M35" s="60">
        <f>L35*ROUND(I35,2)</f>
        <v>0</v>
      </c>
    </row>
    <row r="36" spans="1:13" x14ac:dyDescent="0.4">
      <c r="A36" s="56" t="s">
        <v>247</v>
      </c>
      <c r="B36" s="56" t="s">
        <v>17</v>
      </c>
      <c r="C36" s="56" t="s">
        <v>203</v>
      </c>
      <c r="D36" s="56" t="s">
        <v>248</v>
      </c>
      <c r="E36" s="68">
        <v>32.700000000000003</v>
      </c>
      <c r="F36" s="68">
        <f>E36*VLOOKUP(B36,dagsoorttabel1,2,FALSE)</f>
        <v>0.51294117647058823</v>
      </c>
      <c r="G36" s="69">
        <f>IF(AND(catpn_1_VPZB_1&gt;0,catpn_1_VPZV_1&gt;0),(dagenperjaar1*VLOOKUP(B36,dagsoorttabel1,2,FALSE))/(((dagenperjaar1*VLOOKUP(B36,dagsoorttabel1,2,FALSE))-catfd_1_VPZV_1)/catpn_1_VPZB_1+catfd_1_VPZV_1/catpn_1_VPZV_1),0)</f>
        <v>0</v>
      </c>
      <c r="H36" s="56" t="s">
        <v>97</v>
      </c>
      <c r="I36" s="60">
        <f>IF(AND(catpn_1_VPZB_1&gt;0,catpn_1_VPZV_1&gt;0),(cattf_1_VPZB_1*((dagenperjaar1*VLOOKUP(B36,dagsoorttabel1,2,FALSE))-catfd_1_VPZV_1)/catpn_1_VPZB_1+cattf_1_VPZV_1*catfd_1_VPZV_1/catpn_1_VPZV_1)/(((dagenperjaar1*VLOOKUP(B36,dagsoorttabel1,2,FALSE))-catfd_1_VPZV_1)/catpn_1_VPZB_1+catfd_1_VPZV_1/catpn_1_VPZV_1),0)</f>
        <v>0</v>
      </c>
      <c r="J36" s="68">
        <f>IF(OR(ISBLANK(G36),G36=0),0,F36/ROUND(G36,4))</f>
        <v>0</v>
      </c>
      <c r="K36" s="60">
        <f>ROUND(I36,2)*J36</f>
        <v>0</v>
      </c>
      <c r="L36" s="68">
        <f>J36*dagenperjaar1</f>
        <v>0</v>
      </c>
      <c r="M36" s="60">
        <f>L36*ROUND(I36,2)</f>
        <v>0</v>
      </c>
    </row>
    <row r="37" spans="1:13" x14ac:dyDescent="0.4">
      <c r="A37" s="56" t="s">
        <v>249</v>
      </c>
      <c r="B37" s="56" t="s">
        <v>15</v>
      </c>
      <c r="C37" s="56" t="s">
        <v>203</v>
      </c>
      <c r="D37" s="56" t="s">
        <v>250</v>
      </c>
      <c r="E37" s="68">
        <v>0</v>
      </c>
      <c r="F37" s="68">
        <f>E37*VLOOKUP(B37,dagsoorttabel1,2,FALSE)</f>
        <v>0</v>
      </c>
      <c r="G37" s="69">
        <f>catpn_1_VTHV_12</f>
        <v>0</v>
      </c>
      <c r="H37" s="56" t="s">
        <v>97</v>
      </c>
      <c r="I37" s="60">
        <f>cattf_1_VTHV_12</f>
        <v>0</v>
      </c>
      <c r="J37" s="68">
        <f>IF(OR(ISBLANK(G37),G37=0),0,F37/ROUND(G37,4))</f>
        <v>0</v>
      </c>
      <c r="K37" s="60">
        <f>ROUND(I37,2)*J37</f>
        <v>0</v>
      </c>
      <c r="L37" s="68">
        <f>J37*dagenperjaar1</f>
        <v>0</v>
      </c>
      <c r="M37" s="60">
        <f>L37*ROUND(I37,2)</f>
        <v>0</v>
      </c>
    </row>
    <row r="38" spans="1:13" x14ac:dyDescent="0.4">
      <c r="A38" s="56" t="s">
        <v>249</v>
      </c>
      <c r="B38" s="56" t="s">
        <v>13</v>
      </c>
      <c r="C38" s="56" t="s">
        <v>203</v>
      </c>
      <c r="D38" s="56" t="s">
        <v>250</v>
      </c>
      <c r="E38" s="68">
        <v>8.92</v>
      </c>
      <c r="F38" s="68">
        <f>E38*VLOOKUP(B38,dagsoorttabel1,2,FALSE)</f>
        <v>1.784</v>
      </c>
      <c r="G38" s="69">
        <f>IF(AND(catpn_1_VTHB_1&gt;0,catpn_1_VTHV_51&gt;0),(dagenperjaar1*VLOOKUP(B38,dagsoorttabel1,2,FALSE))/(((dagenperjaar1*VLOOKUP(B38,dagsoorttabel1,2,FALSE))-catfd_1_VTHV_51)/catpn_1_VTHB_1+catfd_1_VTHV_51/catpn_1_VTHV_51),0)</f>
        <v>0</v>
      </c>
      <c r="H38" s="56" t="s">
        <v>97</v>
      </c>
      <c r="I38" s="60">
        <f>IF(AND(catpn_1_VTHB_1&gt;0,catpn_1_VTHV_51&gt;0),(cattf_1_VTHB_1*((dagenperjaar1*VLOOKUP(B38,dagsoorttabel1,2,FALSE))-catfd_1_VTHV_51)/catpn_1_VTHB_1+cattf_1_VTHV_51*catfd_1_VTHV_51/catpn_1_VTHV_51)/(((dagenperjaar1*VLOOKUP(B38,dagsoorttabel1,2,FALSE))-catfd_1_VTHV_51)/catpn_1_VTHB_1+catfd_1_VTHV_51/catpn_1_VTHV_51),0)</f>
        <v>0</v>
      </c>
      <c r="J38" s="68">
        <f>IF(OR(ISBLANK(G38),G38=0),0,F38/ROUND(G38,4))</f>
        <v>0</v>
      </c>
      <c r="K38" s="60">
        <f>ROUND(I38,2)*J38</f>
        <v>0</v>
      </c>
      <c r="L38" s="68">
        <f>J38*dagenperjaar1</f>
        <v>0</v>
      </c>
      <c r="M38" s="60">
        <f>L38*ROUND(I38,2)</f>
        <v>0</v>
      </c>
    </row>
    <row r="39" spans="1:13" x14ac:dyDescent="0.4">
      <c r="A39" s="56" t="s">
        <v>249</v>
      </c>
      <c r="B39" s="56" t="s">
        <v>9</v>
      </c>
      <c r="C39" s="56" t="s">
        <v>203</v>
      </c>
      <c r="D39" s="56" t="s">
        <v>250</v>
      </c>
      <c r="E39" s="68">
        <v>6.9700000000000006</v>
      </c>
      <c r="F39" s="68">
        <f>E39*VLOOKUP(B39,dagsoorttabel1,2,FALSE)</f>
        <v>6.9700000000000006</v>
      </c>
      <c r="G39" s="69">
        <f>IF(AND(catpn_1_VTHB_1&gt;0,catpn_1_VTHV_51&gt;0),(dagenperjaar1*VLOOKUP(B39,dagsoorttabel1,2,FALSE))/(((dagenperjaar1*VLOOKUP(B39,dagsoorttabel1,2,FALSE))-catfd_1_VTHV_51)/catpn_1_VTHB_1+catfd_1_VTHV_51/catpn_1_VTHV_51),0)</f>
        <v>0</v>
      </c>
      <c r="H39" s="56" t="s">
        <v>97</v>
      </c>
      <c r="I39" s="60">
        <f>IF(AND(catpn_1_VTHB_1&gt;0,catpn_1_VTHV_51&gt;0),(cattf_1_VTHB_1*((dagenperjaar1*VLOOKUP(B39,dagsoorttabel1,2,FALSE))-catfd_1_VTHV_51)/catpn_1_VTHB_1+cattf_1_VTHV_51*catfd_1_VTHV_51/catpn_1_VTHV_51)/(((dagenperjaar1*VLOOKUP(B39,dagsoorttabel1,2,FALSE))-catfd_1_VTHV_51)/catpn_1_VTHB_1+catfd_1_VTHV_51/catpn_1_VTHV_51),0)</f>
        <v>0</v>
      </c>
      <c r="J39" s="68">
        <f>IF(OR(ISBLANK(G39),G39=0),0,F39/ROUND(G39,4))</f>
        <v>0</v>
      </c>
      <c r="K39" s="60">
        <f>ROUND(I39,2)*J39</f>
        <v>0</v>
      </c>
      <c r="L39" s="68">
        <f>J39*dagenperjaar1</f>
        <v>0</v>
      </c>
      <c r="M39" s="60">
        <f>L39*ROUND(I39,2)</f>
        <v>0</v>
      </c>
    </row>
    <row r="40" spans="1:13" x14ac:dyDescent="0.4">
      <c r="A40" s="56" t="s">
        <v>251</v>
      </c>
      <c r="B40" s="56" t="s">
        <v>15</v>
      </c>
      <c r="C40" s="56" t="s">
        <v>203</v>
      </c>
      <c r="D40" s="56" t="s">
        <v>252</v>
      </c>
      <c r="E40" s="68">
        <v>0</v>
      </c>
      <c r="F40" s="68">
        <f>E40*VLOOKUP(B40,dagsoorttabel1,2,FALSE)</f>
        <v>0</v>
      </c>
      <c r="G40" s="69">
        <f>catpn_1_VTZV_12</f>
        <v>0</v>
      </c>
      <c r="H40" s="56" t="s">
        <v>97</v>
      </c>
      <c r="I40" s="60">
        <f>cattf_1_VTZV_12</f>
        <v>0</v>
      </c>
      <c r="J40" s="68">
        <f>IF(OR(ISBLANK(G40),G40=0),0,F40/ROUND(G40,4))</f>
        <v>0</v>
      </c>
      <c r="K40" s="60">
        <f>ROUND(I40,2)*J40</f>
        <v>0</v>
      </c>
      <c r="L40" s="68">
        <f>J40*dagenperjaar1</f>
        <v>0</v>
      </c>
      <c r="M40" s="60">
        <f>L40*ROUND(I40,2)</f>
        <v>0</v>
      </c>
    </row>
    <row r="41" spans="1:13" x14ac:dyDescent="0.4">
      <c r="A41" s="56" t="s">
        <v>251</v>
      </c>
      <c r="B41" s="56" t="s">
        <v>13</v>
      </c>
      <c r="C41" s="56" t="s">
        <v>203</v>
      </c>
      <c r="D41" s="56" t="s">
        <v>252</v>
      </c>
      <c r="E41" s="68">
        <v>141.37</v>
      </c>
      <c r="F41" s="68">
        <f>E41*VLOOKUP(B41,dagsoorttabel1,2,FALSE)</f>
        <v>28.274000000000001</v>
      </c>
      <c r="G41" s="69">
        <f>IF(AND(catpn_1_VTHB_1&gt;0,catpn_1_VTHV_51&gt;0),(dagenperjaar1*VLOOKUP(B41,dagsoorttabel1,2,FALSE))/(((dagenperjaar1*VLOOKUP(B41,dagsoorttabel1,2,FALSE))-catfd_1_VTHV_51)/catpn_1_VTHB_1+catfd_1_VTHV_51/catpn_1_VTHV_51),0)</f>
        <v>0</v>
      </c>
      <c r="H41" s="56" t="s">
        <v>97</v>
      </c>
      <c r="I41" s="60">
        <f>IF(AND(catpn_1_VTHB_1&gt;0,catpn_1_VTHV_51&gt;0),(cattf_1_VTHB_1*((dagenperjaar1*VLOOKUP(B41,dagsoorttabel1,2,FALSE))-catfd_1_VTHV_51)/catpn_1_VTHB_1+cattf_1_VTHV_51*catfd_1_VTHV_51/catpn_1_VTHV_51)/(((dagenperjaar1*VLOOKUP(B41,dagsoorttabel1,2,FALSE))-catfd_1_VTHV_51)/catpn_1_VTHB_1+catfd_1_VTHV_51/catpn_1_VTHV_51),0)</f>
        <v>0</v>
      </c>
      <c r="J41" s="68">
        <f>IF(OR(ISBLANK(G41),G41=0),0,F41/ROUND(G41,4))</f>
        <v>0</v>
      </c>
      <c r="K41" s="60">
        <f>ROUND(I41,2)*J41</f>
        <v>0</v>
      </c>
      <c r="L41" s="68">
        <f>J41*dagenperjaar1</f>
        <v>0</v>
      </c>
      <c r="M41" s="60">
        <f>L41*ROUND(I41,2)</f>
        <v>0</v>
      </c>
    </row>
    <row r="42" spans="1:13" x14ac:dyDescent="0.4">
      <c r="A42" s="56" t="s">
        <v>251</v>
      </c>
      <c r="B42" s="56" t="s">
        <v>11</v>
      </c>
      <c r="C42" s="56" t="s">
        <v>203</v>
      </c>
      <c r="D42" s="56" t="s">
        <v>252</v>
      </c>
      <c r="E42" s="68">
        <v>11.9</v>
      </c>
      <c r="F42" s="68">
        <f>E42*VLOOKUP(B42,dagsoorttabel1,2,FALSE)</f>
        <v>7.14</v>
      </c>
      <c r="G42" s="69">
        <f>IF(AND(catpn_1_VTZB_1&gt;0,catpn_1_VTZV_51&gt;0),(dagenperjaar1*VLOOKUP(B42,dagsoorttabel1,2,FALSE))/(((dagenperjaar1*VLOOKUP(B42,dagsoorttabel1,2,FALSE))-catfd_1_VTZV_51)/catpn_1_VTZB_1+catfd_1_VTZV_51/catpn_1_VTZV_51),0)</f>
        <v>0</v>
      </c>
      <c r="H42" s="56" t="s">
        <v>97</v>
      </c>
      <c r="I42" s="60">
        <f>IF(AND(catpn_1_VTZB_1&gt;0,catpn_1_VTZV_51&gt;0),(cattf_1_VTZB_1*((dagenperjaar1*VLOOKUP(B42,dagsoorttabel1,2,FALSE))-catfd_1_VTZV_51)/catpn_1_VTZB_1+cattf_1_VTZV_51*catfd_1_VTZV_51/catpn_1_VTZV_51)/(((dagenperjaar1*VLOOKUP(B42,dagsoorttabel1,2,FALSE))-catfd_1_VTZV_51)/catpn_1_VTZB_1+catfd_1_VTZV_51/catpn_1_VTZV_51),0)</f>
        <v>0</v>
      </c>
      <c r="J42" s="68">
        <f>IF(OR(ISBLANK(G42),G42=0),0,F42/ROUND(G42,4))</f>
        <v>0</v>
      </c>
      <c r="K42" s="60">
        <f>ROUND(I42,2)*J42</f>
        <v>0</v>
      </c>
      <c r="L42" s="68">
        <f>J42*dagenperjaar1</f>
        <v>0</v>
      </c>
      <c r="M42" s="60">
        <f>L42*ROUND(I42,2)</f>
        <v>0</v>
      </c>
    </row>
    <row r="43" spans="1:13" x14ac:dyDescent="0.4">
      <c r="A43" s="56" t="s">
        <v>253</v>
      </c>
      <c r="B43" s="56" t="s">
        <v>19</v>
      </c>
      <c r="C43" s="56" t="s">
        <v>254</v>
      </c>
      <c r="D43" s="56" t="s">
        <v>255</v>
      </c>
      <c r="E43" s="68">
        <v>3.5</v>
      </c>
      <c r="F43" s="68">
        <f>E43*VLOOKUP(B43,dagsoorttabel1,2,FALSE)</f>
        <v>2.7450980392156862E-2</v>
      </c>
      <c r="G43" s="69"/>
      <c r="H43" s="56" t="s">
        <v>256</v>
      </c>
      <c r="I43" s="60">
        <f>Tariefopbouw1</f>
        <v>0</v>
      </c>
      <c r="J43" s="68">
        <f>F43</f>
        <v>2.7450980392156862E-2</v>
      </c>
      <c r="K43" s="60">
        <f>ROUND(I43,2)*J43</f>
        <v>0</v>
      </c>
      <c r="L43" s="68">
        <f>J43*dagenperjaar1</f>
        <v>7</v>
      </c>
      <c r="M43" s="60">
        <f>L43*ROUND(I43,2)</f>
        <v>0</v>
      </c>
    </row>
    <row r="44" spans="1:13" x14ac:dyDescent="0.4">
      <c r="A44" s="56" t="s">
        <v>257</v>
      </c>
      <c r="B44" s="56" t="s">
        <v>9</v>
      </c>
      <c r="C44" s="56" t="s">
        <v>254</v>
      </c>
      <c r="D44" s="56" t="s">
        <v>258</v>
      </c>
      <c r="E44" s="68">
        <v>15</v>
      </c>
      <c r="F44" s="68">
        <f>E44*VLOOKUP(B44,dagsoorttabel1,2,FALSE)</f>
        <v>15</v>
      </c>
      <c r="G44" s="70"/>
      <c r="H44" s="56" t="s">
        <v>259</v>
      </c>
      <c r="I44" s="60">
        <f>Tariefopbouw1</f>
        <v>0</v>
      </c>
      <c r="J44" s="68">
        <f>F44*ROUND(G44,4)/60</f>
        <v>0</v>
      </c>
      <c r="K44" s="60">
        <f>ROUND(I44,2)*J44</f>
        <v>0</v>
      </c>
      <c r="L44" s="68">
        <f>J44*dagenperjaar1</f>
        <v>0</v>
      </c>
      <c r="M44" s="60">
        <f>L44*ROUND(I44,2)</f>
        <v>0</v>
      </c>
    </row>
    <row r="45" spans="1:13" x14ac:dyDescent="0.4">
      <c r="A45" s="56" t="s">
        <v>260</v>
      </c>
      <c r="B45" s="56" t="s">
        <v>9</v>
      </c>
      <c r="C45" s="56" t="s">
        <v>254</v>
      </c>
      <c r="D45" s="56" t="s">
        <v>261</v>
      </c>
      <c r="E45" s="68">
        <v>1</v>
      </c>
      <c r="F45" s="68">
        <f>E45*VLOOKUP(B45,dagsoorttabel1,2,FALSE)</f>
        <v>1</v>
      </c>
      <c r="G45" s="70"/>
      <c r="H45" s="56" t="s">
        <v>262</v>
      </c>
      <c r="I45" s="60">
        <f>Tariefopbouw1</f>
        <v>0</v>
      </c>
      <c r="J45" s="68">
        <f>F45*ROUND(G45,4)/60</f>
        <v>0</v>
      </c>
      <c r="K45" s="60">
        <f>ROUND(I45,2)*J45</f>
        <v>0</v>
      </c>
      <c r="L45" s="68">
        <f>J45*dagenperjaar1</f>
        <v>0</v>
      </c>
      <c r="M45" s="60">
        <f>L45*ROUND(I45,2)</f>
        <v>0</v>
      </c>
    </row>
    <row r="46" spans="1:13" x14ac:dyDescent="0.4">
      <c r="A46" s="56" t="s">
        <v>263</v>
      </c>
      <c r="B46" s="56" t="s">
        <v>20</v>
      </c>
      <c r="C46" s="56" t="s">
        <v>254</v>
      </c>
      <c r="D46" s="56" t="s">
        <v>264</v>
      </c>
      <c r="E46" s="68">
        <v>385.21</v>
      </c>
      <c r="F46" s="68">
        <f>E46*VLOOKUP(B46,dagsoorttabel1,2,FALSE)</f>
        <v>1.5106274509803921</v>
      </c>
      <c r="G46" s="70"/>
      <c r="H46" s="56" t="s">
        <v>97</v>
      </c>
      <c r="I46" s="60">
        <f>Tariefopbouw1</f>
        <v>0</v>
      </c>
      <c r="J46" s="68">
        <f>IF(OR(ISBLANK(G46),G46=0),0,F46/ROUND(G46,4))</f>
        <v>0</v>
      </c>
      <c r="K46" s="60">
        <f>ROUND(I46,2)*J46</f>
        <v>0</v>
      </c>
      <c r="L46" s="68">
        <f>J46*dagenperjaar1</f>
        <v>0</v>
      </c>
      <c r="M46" s="60">
        <f>L46*ROUND(I46,2)</f>
        <v>0</v>
      </c>
    </row>
    <row r="47" spans="1:13" x14ac:dyDescent="0.4">
      <c r="A47" s="56" t="s">
        <v>265</v>
      </c>
      <c r="B47" s="56" t="s">
        <v>20</v>
      </c>
      <c r="C47" s="56" t="s">
        <v>254</v>
      </c>
      <c r="D47" s="56" t="s">
        <v>266</v>
      </c>
      <c r="E47" s="68">
        <v>1</v>
      </c>
      <c r="F47" s="68">
        <f>E47*VLOOKUP(B47,dagsoorttabel1,2,FALSE)</f>
        <v>3.9215686274509803E-3</v>
      </c>
      <c r="G47" s="70"/>
      <c r="H47" s="56" t="s">
        <v>262</v>
      </c>
      <c r="I47" s="60">
        <f>Tariefopbouw1</f>
        <v>0</v>
      </c>
      <c r="J47" s="68">
        <f>F47*ROUND(G47,4)/60</f>
        <v>0</v>
      </c>
      <c r="K47" s="60">
        <f>ROUND(I47,2)*J47</f>
        <v>0</v>
      </c>
      <c r="L47" s="68">
        <f>J47*dagenperjaar1</f>
        <v>0</v>
      </c>
      <c r="M47" s="60">
        <f>L47*ROUND(I47,2)</f>
        <v>0</v>
      </c>
    </row>
    <row r="48" spans="1:13" x14ac:dyDescent="0.4">
      <c r="A48" s="56" t="s">
        <v>267</v>
      </c>
      <c r="B48" s="56" t="s">
        <v>17</v>
      </c>
      <c r="C48" s="56" t="s">
        <v>254</v>
      </c>
      <c r="D48" s="56" t="s">
        <v>268</v>
      </c>
      <c r="E48" s="68">
        <v>3</v>
      </c>
      <c r="F48" s="68">
        <f>E48*VLOOKUP(B48,dagsoorttabel1,2,FALSE)</f>
        <v>4.7058823529411764E-2</v>
      </c>
      <c r="G48" s="70"/>
      <c r="H48" s="56" t="s">
        <v>259</v>
      </c>
      <c r="I48" s="60">
        <f>Tariefopbouw1</f>
        <v>0</v>
      </c>
      <c r="J48" s="68">
        <f>F48*ROUND(G48,4)/60</f>
        <v>0</v>
      </c>
      <c r="K48" s="60">
        <f>ROUND(I48,2)*J48</f>
        <v>0</v>
      </c>
      <c r="L48" s="68">
        <f>J48*dagenperjaar1</f>
        <v>0</v>
      </c>
      <c r="M48" s="60">
        <f>L48*ROUND(I48,2)</f>
        <v>0</v>
      </c>
    </row>
    <row r="49" spans="1:13" x14ac:dyDescent="0.4">
      <c r="A49" s="56" t="s">
        <v>269</v>
      </c>
      <c r="B49" s="56" t="s">
        <v>17</v>
      </c>
      <c r="C49" s="56" t="s">
        <v>254</v>
      </c>
      <c r="D49" s="56" t="s">
        <v>270</v>
      </c>
      <c r="E49" s="68">
        <v>4</v>
      </c>
      <c r="F49" s="68">
        <f>E49*VLOOKUP(B49,dagsoorttabel1,2,FALSE)</f>
        <v>6.2745098039215685E-2</v>
      </c>
      <c r="G49" s="70"/>
      <c r="H49" s="56" t="s">
        <v>259</v>
      </c>
      <c r="I49" s="60">
        <f>Tariefopbouw1</f>
        <v>0</v>
      </c>
      <c r="J49" s="68">
        <f>F49*ROUND(G49,4)/60</f>
        <v>0</v>
      </c>
      <c r="K49" s="60">
        <f>ROUND(I49,2)*J49</f>
        <v>0</v>
      </c>
      <c r="L49" s="68">
        <f>J49*dagenperjaar1</f>
        <v>0</v>
      </c>
      <c r="M49" s="60">
        <f>L49*ROUND(I49,2)</f>
        <v>0</v>
      </c>
    </row>
    <row r="50" spans="1:13" x14ac:dyDescent="0.4">
      <c r="A50" s="56" t="s">
        <v>271</v>
      </c>
      <c r="B50" s="56" t="s">
        <v>20</v>
      </c>
      <c r="C50" s="56" t="s">
        <v>254</v>
      </c>
      <c r="D50" s="56" t="s">
        <v>272</v>
      </c>
      <c r="E50" s="68">
        <v>939.1400000000001</v>
      </c>
      <c r="F50" s="68">
        <f>E50*VLOOKUP(B50,dagsoorttabel1,2,FALSE)</f>
        <v>3.6829019607843141</v>
      </c>
      <c r="G50" s="70"/>
      <c r="H50" s="56" t="s">
        <v>97</v>
      </c>
      <c r="I50" s="60">
        <f>Tariefopbouw1</f>
        <v>0</v>
      </c>
      <c r="J50" s="68">
        <f>IF(OR(ISBLANK(G50),G50=0),0,F50/ROUND(G50,4))</f>
        <v>0</v>
      </c>
      <c r="K50" s="60">
        <f>ROUND(I50,2)*J50</f>
        <v>0</v>
      </c>
      <c r="L50" s="68">
        <f>J50*dagenperjaar1</f>
        <v>0</v>
      </c>
      <c r="M50" s="60">
        <f>L50*ROUND(I50,2)</f>
        <v>0</v>
      </c>
    </row>
    <row r="51" spans="1:13" x14ac:dyDescent="0.4">
      <c r="A51" s="61" t="s">
        <v>273</v>
      </c>
      <c r="B51" s="61" t="s">
        <v>15</v>
      </c>
      <c r="C51" s="61" t="s">
        <v>254</v>
      </c>
      <c r="D51" s="61" t="s">
        <v>274</v>
      </c>
      <c r="E51" s="71">
        <v>60</v>
      </c>
      <c r="F51" s="71">
        <f>E51*VLOOKUP(B51,dagsoorttabel1,2,FALSE)</f>
        <v>2.8235294117647056</v>
      </c>
      <c r="G51" s="72"/>
      <c r="H51" s="61" t="s">
        <v>275</v>
      </c>
      <c r="I51" s="65">
        <f>Tariefopbouw1</f>
        <v>0</v>
      </c>
      <c r="J51" s="71">
        <f>F51*ROUND(G51,4)/60</f>
        <v>0</v>
      </c>
      <c r="K51" s="65">
        <f>ROUND(I51,2)*J51</f>
        <v>0</v>
      </c>
      <c r="L51" s="71">
        <f>J51*dagenperjaar1</f>
        <v>0</v>
      </c>
      <c r="M51" s="65">
        <f>L51*ROUND(I51,2)</f>
        <v>0</v>
      </c>
    </row>
    <row r="52" spans="1:13" x14ac:dyDescent="0.4">
      <c r="A52" s="74" t="s">
        <v>276</v>
      </c>
      <c r="B52" s="75"/>
      <c r="C52" s="75"/>
      <c r="D52" s="75"/>
      <c r="E52" s="75"/>
      <c r="F52" s="75"/>
      <c r="G52" s="75"/>
      <c r="H52" s="75"/>
      <c r="I52" s="75"/>
      <c r="J52" s="76">
        <f>SUM(J6:J51)</f>
        <v>2.7450980392156862E-2</v>
      </c>
      <c r="K52" s="77">
        <f>SUM(K6:K51)</f>
        <v>0</v>
      </c>
      <c r="L52" s="76">
        <f>SUM(L6:L51)</f>
        <v>7</v>
      </c>
      <c r="M52" s="78">
        <f>SUM(M6:M51)</f>
        <v>0</v>
      </c>
    </row>
    <row r="53" spans="1:13" x14ac:dyDescent="0.4">
      <c r="A53" s="79"/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80"/>
    </row>
    <row r="54" spans="1:13" x14ac:dyDescent="0.4">
      <c r="A54" s="74" t="s">
        <v>277</v>
      </c>
      <c r="B54" s="75"/>
      <c r="C54" s="75"/>
      <c r="D54" s="75"/>
      <c r="E54" s="75"/>
      <c r="F54" s="75"/>
      <c r="G54" s="75"/>
      <c r="H54" s="75"/>
      <c r="I54" s="77">
        <f>IF(urenjaar1&gt;0,SUMIF(L6:L51,"&gt;0",M6:M51)/urenjaar1,0)</f>
        <v>0</v>
      </c>
      <c r="J54" s="75"/>
      <c r="K54" s="75"/>
      <c r="L54" s="75"/>
      <c r="M54" s="80"/>
    </row>
    <row r="55" spans="1:13" x14ac:dyDescent="0.4">
      <c r="A55" s="79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80"/>
    </row>
    <row r="57" spans="1:13" x14ac:dyDescent="0.4">
      <c r="A57" s="74" t="s">
        <v>278</v>
      </c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6">
        <f>urenjaar1</f>
        <v>7</v>
      </c>
      <c r="M57" s="77">
        <f>prijsjaar1</f>
        <v>0</v>
      </c>
    </row>
  </sheetData>
  <sheetProtection algorithmName="SHA-512" hashValue="mGrOkb/0xfVEI/D5uBTQgQz4bGMtwWni3SeGE3WBunZ5pDiokDdjxB74aFi9NTKquQCRI3j+9ck3KQHDkF4OxA==" saltValue="NeS00/FGBqsSmVfRHog5bQ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&amp;LCito                                                        &amp;ROpmaakdatum: 12-02-2025
Intexso - Plantageweg 23E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C14F8-A2B9-4B95-95BB-FF2F0D8FDBFC}">
  <dimension ref="A1:V384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4.6" x14ac:dyDescent="0.4"/>
  <cols>
    <col min="1" max="1" width="8.69140625" customWidth="1"/>
    <col min="2" max="3" width="7.69140625" customWidth="1"/>
    <col min="4" max="4" width="10.69140625" customWidth="1"/>
    <col min="5" max="5" width="25.69140625" customWidth="1"/>
    <col min="6" max="6" width="11.69140625" customWidth="1"/>
    <col min="7" max="7" width="7.69140625" customWidth="1"/>
    <col min="8" max="8" width="6.69140625" customWidth="1"/>
    <col min="9" max="9" width="9.69140625" customWidth="1"/>
    <col min="10" max="10" width="40.69140625" customWidth="1"/>
    <col min="11" max="11" width="10.69140625" customWidth="1"/>
    <col min="12" max="13" width="12.69140625" customWidth="1"/>
    <col min="14" max="15" width="10.69140625" customWidth="1"/>
    <col min="16" max="16" width="11.69140625" customWidth="1"/>
    <col min="17" max="17" width="9.69140625" customWidth="1"/>
    <col min="18" max="20" width="11.69140625" customWidth="1"/>
    <col min="21" max="21" width="12.69140625" customWidth="1"/>
    <col min="22" max="22" width="14.69140625" customWidth="1"/>
  </cols>
  <sheetData>
    <row r="1" spans="1:22" x14ac:dyDescent="0.4">
      <c r="A1" s="1" t="str">
        <f>CONCATENATE("Bijlage F.3: ",tabeltype," ruimten werkdag")</f>
        <v>Bijlage F.3: Invultabel ruimten werkdag</v>
      </c>
    </row>
    <row r="3" spans="1:22" ht="43.75" x14ac:dyDescent="0.4">
      <c r="A3" s="81" t="s">
        <v>279</v>
      </c>
      <c r="B3" s="44" t="s">
        <v>280</v>
      </c>
      <c r="C3" s="44" t="s">
        <v>281</v>
      </c>
      <c r="D3" s="44" t="s">
        <v>282</v>
      </c>
      <c r="E3" s="44" t="s">
        <v>283</v>
      </c>
      <c r="F3" s="44" t="s">
        <v>284</v>
      </c>
      <c r="G3" s="44" t="s">
        <v>194</v>
      </c>
      <c r="H3" s="44" t="s">
        <v>7</v>
      </c>
      <c r="I3" s="44" t="s">
        <v>285</v>
      </c>
      <c r="J3" s="44" t="s">
        <v>286</v>
      </c>
      <c r="K3" s="44" t="s">
        <v>287</v>
      </c>
      <c r="L3" s="44" t="s">
        <v>288</v>
      </c>
      <c r="M3" s="44" t="s">
        <v>289</v>
      </c>
      <c r="N3" s="44" t="s">
        <v>196</v>
      </c>
      <c r="O3" s="44" t="s">
        <v>197</v>
      </c>
      <c r="P3" s="44" t="s">
        <v>89</v>
      </c>
      <c r="Q3" s="44" t="s">
        <v>91</v>
      </c>
      <c r="R3" s="44" t="s">
        <v>92</v>
      </c>
      <c r="S3" s="44" t="s">
        <v>198</v>
      </c>
      <c r="T3" s="44" t="s">
        <v>199</v>
      </c>
      <c r="U3" s="44" t="s">
        <v>200</v>
      </c>
      <c r="V3" s="82" t="s">
        <v>201</v>
      </c>
    </row>
    <row r="4" spans="1:22" x14ac:dyDescent="0.4">
      <c r="A4" s="83" t="s">
        <v>290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73"/>
    </row>
    <row r="5" spans="1:22" ht="29.15" x14ac:dyDescent="0.4">
      <c r="A5" s="84" t="s">
        <v>291</v>
      </c>
      <c r="B5" s="85" t="s">
        <v>34</v>
      </c>
      <c r="C5" s="85" t="s">
        <v>34</v>
      </c>
      <c r="D5" s="85" t="s">
        <v>34</v>
      </c>
      <c r="E5" s="86" t="s">
        <v>292</v>
      </c>
      <c r="F5" s="85" t="s">
        <v>34</v>
      </c>
      <c r="G5" s="85" t="s">
        <v>253</v>
      </c>
      <c r="H5" s="85" t="s">
        <v>19</v>
      </c>
      <c r="I5" s="85" t="s">
        <v>293</v>
      </c>
      <c r="J5" s="86" t="s">
        <v>255</v>
      </c>
      <c r="K5" s="85" t="s">
        <v>34</v>
      </c>
      <c r="L5" s="85" t="s">
        <v>294</v>
      </c>
      <c r="M5" s="85" t="s">
        <v>295</v>
      </c>
      <c r="N5" s="87">
        <v>3.5</v>
      </c>
      <c r="O5" s="87">
        <f>N5*VLOOKUP(H5,dagsoorttabel1,2,FALSE)</f>
        <v>2.7450980392156862E-2</v>
      </c>
      <c r="P5" s="88"/>
      <c r="Q5" s="85" t="s">
        <v>256</v>
      </c>
      <c r="R5" s="89">
        <f>uurtarief13</f>
        <v>0</v>
      </c>
      <c r="S5" s="87">
        <f>O5</f>
        <v>2.7450980392156862E-2</v>
      </c>
      <c r="T5" s="89">
        <f>ROUND(R5,2)*S5</f>
        <v>0</v>
      </c>
      <c r="U5" s="87">
        <f>S5*dagenperjaar1</f>
        <v>7</v>
      </c>
      <c r="V5" s="90">
        <f>U5*ROUND(R5,2)</f>
        <v>0</v>
      </c>
    </row>
    <row r="6" spans="1:22" x14ac:dyDescent="0.4">
      <c r="A6" s="91" t="s">
        <v>291</v>
      </c>
      <c r="B6" s="92" t="s">
        <v>34</v>
      </c>
      <c r="C6" s="92" t="s">
        <v>34</v>
      </c>
      <c r="D6" s="92" t="s">
        <v>34</v>
      </c>
      <c r="E6" s="93" t="s">
        <v>296</v>
      </c>
      <c r="F6" s="92" t="s">
        <v>34</v>
      </c>
      <c r="G6" s="92" t="s">
        <v>273</v>
      </c>
      <c r="H6" s="92" t="s">
        <v>15</v>
      </c>
      <c r="I6" s="92" t="s">
        <v>293</v>
      </c>
      <c r="J6" s="93" t="s">
        <v>274</v>
      </c>
      <c r="K6" s="92" t="s">
        <v>34</v>
      </c>
      <c r="L6" s="92" t="s">
        <v>294</v>
      </c>
      <c r="M6" s="92" t="s">
        <v>295</v>
      </c>
      <c r="N6" s="94">
        <v>60</v>
      </c>
      <c r="O6" s="94">
        <f>N6*VLOOKUP(H6,dagsoorttabel1,2,FALSE)</f>
        <v>2.8235294117647056</v>
      </c>
      <c r="P6" s="95">
        <f>prodnorm21</f>
        <v>0</v>
      </c>
      <c r="Q6" s="92" t="s">
        <v>275</v>
      </c>
      <c r="R6" s="26">
        <f>uurtarief21</f>
        <v>0</v>
      </c>
      <c r="S6" s="94">
        <f>O6*ROUND(P6,4)/60</f>
        <v>0</v>
      </c>
      <c r="T6" s="26">
        <f>ROUND(R6,2)*S6</f>
        <v>0</v>
      </c>
      <c r="U6" s="94">
        <f>S6*dagenperjaar1</f>
        <v>0</v>
      </c>
      <c r="V6" s="27">
        <f>U6*ROUND(R6,2)</f>
        <v>0</v>
      </c>
    </row>
    <row r="7" spans="1:22" ht="29.15" x14ac:dyDescent="0.4">
      <c r="A7" s="91" t="s">
        <v>291</v>
      </c>
      <c r="B7" s="92" t="s">
        <v>297</v>
      </c>
      <c r="C7" s="92" t="s">
        <v>298</v>
      </c>
      <c r="D7" s="92" t="s">
        <v>299</v>
      </c>
      <c r="E7" s="93" t="s">
        <v>300</v>
      </c>
      <c r="F7" s="92" t="s">
        <v>301</v>
      </c>
      <c r="G7" s="92" t="s">
        <v>263</v>
      </c>
      <c r="H7" s="92" t="s">
        <v>20</v>
      </c>
      <c r="I7" s="92" t="s">
        <v>293</v>
      </c>
      <c r="J7" s="93" t="s">
        <v>264</v>
      </c>
      <c r="K7" s="92" t="s">
        <v>34</v>
      </c>
      <c r="L7" s="92" t="s">
        <v>302</v>
      </c>
      <c r="M7" s="92" t="s">
        <v>295</v>
      </c>
      <c r="N7" s="94">
        <v>4.3</v>
      </c>
      <c r="O7" s="94">
        <f>N7*VLOOKUP(H7,dagsoorttabel1,2,FALSE)</f>
        <v>1.6862745098039214E-2</v>
      </c>
      <c r="P7" s="95">
        <f>prodnorm16</f>
        <v>0</v>
      </c>
      <c r="Q7" s="92" t="s">
        <v>97</v>
      </c>
      <c r="R7" s="26">
        <f>uurtarief16</f>
        <v>0</v>
      </c>
      <c r="S7" s="94" t="e">
        <f>IF(ISBLANK(P7),0,O7/ROUND(P7,4))</f>
        <v>#DIV/0!</v>
      </c>
      <c r="T7" s="26" t="e">
        <f>ROUND(R7,2)*S7</f>
        <v>#DIV/0!</v>
      </c>
      <c r="U7" s="94" t="e">
        <f>S7*dagenperjaar1</f>
        <v>#DIV/0!</v>
      </c>
      <c r="V7" s="27" t="e">
        <f>U7*ROUND(R7,2)</f>
        <v>#DIV/0!</v>
      </c>
    </row>
    <row r="8" spans="1:22" ht="29.15" x14ac:dyDescent="0.4">
      <c r="A8" s="91" t="s">
        <v>291</v>
      </c>
      <c r="B8" s="92" t="s">
        <v>297</v>
      </c>
      <c r="C8" s="92" t="s">
        <v>298</v>
      </c>
      <c r="D8" s="92" t="s">
        <v>303</v>
      </c>
      <c r="E8" s="93" t="s">
        <v>304</v>
      </c>
      <c r="F8" s="92" t="s">
        <v>305</v>
      </c>
      <c r="G8" s="92" t="s">
        <v>263</v>
      </c>
      <c r="H8" s="92" t="s">
        <v>20</v>
      </c>
      <c r="I8" s="92" t="s">
        <v>293</v>
      </c>
      <c r="J8" s="93" t="s">
        <v>264</v>
      </c>
      <c r="K8" s="92" t="s">
        <v>34</v>
      </c>
      <c r="L8" s="92" t="s">
        <v>302</v>
      </c>
      <c r="M8" s="92" t="s">
        <v>295</v>
      </c>
      <c r="N8" s="94">
        <v>1.48</v>
      </c>
      <c r="O8" s="94">
        <f>N8*VLOOKUP(H8,dagsoorttabel1,2,FALSE)</f>
        <v>5.8039215686274508E-3</v>
      </c>
      <c r="P8" s="95">
        <f>prodnorm16</f>
        <v>0</v>
      </c>
      <c r="Q8" s="92" t="s">
        <v>97</v>
      </c>
      <c r="R8" s="26">
        <f>uurtarief16</f>
        <v>0</v>
      </c>
      <c r="S8" s="94" t="e">
        <f>IF(ISBLANK(P8),0,O8/ROUND(P8,4))</f>
        <v>#DIV/0!</v>
      </c>
      <c r="T8" s="26" t="e">
        <f>ROUND(R8,2)*S8</f>
        <v>#DIV/0!</v>
      </c>
      <c r="U8" s="94" t="e">
        <f>S8*dagenperjaar1</f>
        <v>#DIV/0!</v>
      </c>
      <c r="V8" s="27" t="e">
        <f>U8*ROUND(R8,2)</f>
        <v>#DIV/0!</v>
      </c>
    </row>
    <row r="9" spans="1:22" ht="29.15" x14ac:dyDescent="0.4">
      <c r="A9" s="91" t="s">
        <v>291</v>
      </c>
      <c r="B9" s="92" t="s">
        <v>297</v>
      </c>
      <c r="C9" s="92" t="s">
        <v>298</v>
      </c>
      <c r="D9" s="92" t="s">
        <v>306</v>
      </c>
      <c r="E9" s="93" t="s">
        <v>307</v>
      </c>
      <c r="F9" s="92" t="s">
        <v>301</v>
      </c>
      <c r="G9" s="92" t="s">
        <v>257</v>
      </c>
      <c r="H9" s="92" t="s">
        <v>9</v>
      </c>
      <c r="I9" s="92" t="s">
        <v>293</v>
      </c>
      <c r="J9" s="93" t="s">
        <v>258</v>
      </c>
      <c r="K9" s="92" t="s">
        <v>34</v>
      </c>
      <c r="L9" s="92" t="s">
        <v>308</v>
      </c>
      <c r="M9" s="92" t="s">
        <v>295</v>
      </c>
      <c r="N9" s="94">
        <v>1</v>
      </c>
      <c r="O9" s="94">
        <f>N9*VLOOKUP(H9,dagsoorttabel1,2,FALSE)</f>
        <v>1</v>
      </c>
      <c r="P9" s="95">
        <f>prodnorm14</f>
        <v>0</v>
      </c>
      <c r="Q9" s="92" t="s">
        <v>259</v>
      </c>
      <c r="R9" s="26">
        <f>uurtarief14</f>
        <v>0</v>
      </c>
      <c r="S9" s="94">
        <f>O9*ROUND(P9,4)/60</f>
        <v>0</v>
      </c>
      <c r="T9" s="26">
        <f>ROUND(R9,2)*S9</f>
        <v>0</v>
      </c>
      <c r="U9" s="94">
        <f>S9*dagenperjaar1</f>
        <v>0</v>
      </c>
      <c r="V9" s="27">
        <f>U9*ROUND(R9,2)</f>
        <v>0</v>
      </c>
    </row>
    <row r="10" spans="1:22" ht="29.15" x14ac:dyDescent="0.4">
      <c r="A10" s="91" t="s">
        <v>291</v>
      </c>
      <c r="B10" s="92" t="s">
        <v>297</v>
      </c>
      <c r="C10" s="92" t="s">
        <v>298</v>
      </c>
      <c r="D10" s="92" t="s">
        <v>306</v>
      </c>
      <c r="E10" s="93" t="s">
        <v>307</v>
      </c>
      <c r="F10" s="92" t="s">
        <v>301</v>
      </c>
      <c r="G10" s="92" t="s">
        <v>245</v>
      </c>
      <c r="H10" s="92" t="s">
        <v>17</v>
      </c>
      <c r="I10" s="92" t="s">
        <v>293</v>
      </c>
      <c r="J10" s="93" t="s">
        <v>246</v>
      </c>
      <c r="K10" s="92" t="s">
        <v>34</v>
      </c>
      <c r="L10" s="92" t="s">
        <v>308</v>
      </c>
      <c r="M10" s="92" t="s">
        <v>295</v>
      </c>
      <c r="N10" s="94">
        <v>277.37</v>
      </c>
      <c r="O10" s="94">
        <f>N10*VLOOKUP(H10,dagsoorttabel1,2,FALSE)</f>
        <v>4.3509019607843138</v>
      </c>
      <c r="P10" s="95">
        <f>prodnorm51</f>
        <v>0</v>
      </c>
      <c r="Q10" s="92" t="s">
        <v>97</v>
      </c>
      <c r="R10" s="26">
        <f>uurtarief51</f>
        <v>0</v>
      </c>
      <c r="S10" s="94" t="e">
        <f>IF(ISBLANK(P10),0,O10/ROUND(P10,4))</f>
        <v>#DIV/0!</v>
      </c>
      <c r="T10" s="26" t="e">
        <f>ROUND(R10,2)*S10</f>
        <v>#DIV/0!</v>
      </c>
      <c r="U10" s="94" t="e">
        <f>S10*dagenperjaar1</f>
        <v>#DIV/0!</v>
      </c>
      <c r="V10" s="27" t="e">
        <f>U10*ROUND(R10,2)</f>
        <v>#DIV/0!</v>
      </c>
    </row>
    <row r="11" spans="1:22" x14ac:dyDescent="0.4">
      <c r="A11" s="91" t="s">
        <v>291</v>
      </c>
      <c r="B11" s="92" t="s">
        <v>297</v>
      </c>
      <c r="C11" s="92" t="s">
        <v>298</v>
      </c>
      <c r="D11" s="92" t="s">
        <v>309</v>
      </c>
      <c r="E11" s="93" t="s">
        <v>310</v>
      </c>
      <c r="F11" s="92" t="s">
        <v>301</v>
      </c>
      <c r="G11" s="92" t="s">
        <v>225</v>
      </c>
      <c r="H11" s="92" t="s">
        <v>9</v>
      </c>
      <c r="I11" s="92" t="s">
        <v>311</v>
      </c>
      <c r="J11" s="93" t="s">
        <v>226</v>
      </c>
      <c r="K11" s="92" t="s">
        <v>312</v>
      </c>
      <c r="L11" s="92" t="s">
        <v>308</v>
      </c>
      <c r="M11" s="92" t="s">
        <v>295</v>
      </c>
      <c r="N11" s="94">
        <v>22.77</v>
      </c>
      <c r="O11" s="94">
        <f>N11*VLOOKUP(H11,dagsoorttabel1,2,FALSE)</f>
        <v>22.77</v>
      </c>
      <c r="P11" s="95">
        <f>prodnorm38</f>
        <v>0</v>
      </c>
      <c r="Q11" s="92" t="s">
        <v>97</v>
      </c>
      <c r="R11" s="26">
        <f>uurtarief38</f>
        <v>0</v>
      </c>
      <c r="S11" s="94" t="e">
        <f>IF(ISBLANK(P11),0,O11/ROUND(P11,4))</f>
        <v>#DIV/0!</v>
      </c>
      <c r="T11" s="26" t="e">
        <f>ROUND(R11,2)*S11</f>
        <v>#DIV/0!</v>
      </c>
      <c r="U11" s="94" t="e">
        <f>S11*dagenperjaar1</f>
        <v>#DIV/0!</v>
      </c>
      <c r="V11" s="27" t="e">
        <f>U11*ROUND(R11,2)</f>
        <v>#DIV/0!</v>
      </c>
    </row>
    <row r="12" spans="1:22" x14ac:dyDescent="0.4">
      <c r="A12" s="91" t="s">
        <v>291</v>
      </c>
      <c r="B12" s="92" t="s">
        <v>297</v>
      </c>
      <c r="C12" s="92" t="s">
        <v>298</v>
      </c>
      <c r="D12" s="92" t="s">
        <v>313</v>
      </c>
      <c r="E12" s="93" t="s">
        <v>314</v>
      </c>
      <c r="F12" s="92" t="s">
        <v>315</v>
      </c>
      <c r="G12" s="92" t="s">
        <v>223</v>
      </c>
      <c r="H12" s="92" t="s">
        <v>9</v>
      </c>
      <c r="I12" s="92" t="s">
        <v>311</v>
      </c>
      <c r="J12" s="93" t="s">
        <v>224</v>
      </c>
      <c r="K12" s="92" t="s">
        <v>312</v>
      </c>
      <c r="L12" s="92" t="s">
        <v>294</v>
      </c>
      <c r="M12" s="92" t="s">
        <v>295</v>
      </c>
      <c r="N12" s="94">
        <v>5.84</v>
      </c>
      <c r="O12" s="94">
        <f>N12*VLOOKUP(H12,dagsoorttabel1,2,FALSE)</f>
        <v>5.84</v>
      </c>
      <c r="P12" s="95">
        <f>prodnorm37</f>
        <v>0</v>
      </c>
      <c r="Q12" s="92" t="s">
        <v>97</v>
      </c>
      <c r="R12" s="26">
        <f>uurtarief37</f>
        <v>0</v>
      </c>
      <c r="S12" s="94" t="e">
        <f>IF(ISBLANK(P12),0,O12/ROUND(P12,4))</f>
        <v>#DIV/0!</v>
      </c>
      <c r="T12" s="26" t="e">
        <f>ROUND(R12,2)*S12</f>
        <v>#DIV/0!</v>
      </c>
      <c r="U12" s="94" t="e">
        <f>S12*dagenperjaar1</f>
        <v>#DIV/0!</v>
      </c>
      <c r="V12" s="27" t="e">
        <f>U12*ROUND(R12,2)</f>
        <v>#DIV/0!</v>
      </c>
    </row>
    <row r="13" spans="1:22" x14ac:dyDescent="0.4">
      <c r="A13" s="91" t="s">
        <v>291</v>
      </c>
      <c r="B13" s="92" t="s">
        <v>297</v>
      </c>
      <c r="C13" s="92" t="s">
        <v>298</v>
      </c>
      <c r="D13" s="92" t="s">
        <v>316</v>
      </c>
      <c r="E13" s="93" t="s">
        <v>317</v>
      </c>
      <c r="F13" s="92" t="s">
        <v>315</v>
      </c>
      <c r="G13" s="92" t="s">
        <v>223</v>
      </c>
      <c r="H13" s="92" t="s">
        <v>9</v>
      </c>
      <c r="I13" s="92" t="s">
        <v>311</v>
      </c>
      <c r="J13" s="93" t="s">
        <v>224</v>
      </c>
      <c r="K13" s="92" t="s">
        <v>312</v>
      </c>
      <c r="L13" s="92" t="s">
        <v>294</v>
      </c>
      <c r="M13" s="92" t="s">
        <v>295</v>
      </c>
      <c r="N13" s="94">
        <v>5.84</v>
      </c>
      <c r="O13" s="94">
        <f>N13*VLOOKUP(H13,dagsoorttabel1,2,FALSE)</f>
        <v>5.84</v>
      </c>
      <c r="P13" s="95">
        <f>prodnorm37</f>
        <v>0</v>
      </c>
      <c r="Q13" s="92" t="s">
        <v>97</v>
      </c>
      <c r="R13" s="26">
        <f>uurtarief37</f>
        <v>0</v>
      </c>
      <c r="S13" s="94" t="e">
        <f>IF(ISBLANK(P13),0,O13/ROUND(P13,4))</f>
        <v>#DIV/0!</v>
      </c>
      <c r="T13" s="26" t="e">
        <f>ROUND(R13,2)*S13</f>
        <v>#DIV/0!</v>
      </c>
      <c r="U13" s="94" t="e">
        <f>S13*dagenperjaar1</f>
        <v>#DIV/0!</v>
      </c>
      <c r="V13" s="27" t="e">
        <f>U13*ROUND(R13,2)</f>
        <v>#DIV/0!</v>
      </c>
    </row>
    <row r="14" spans="1:22" x14ac:dyDescent="0.4">
      <c r="A14" s="91" t="s">
        <v>291</v>
      </c>
      <c r="B14" s="92" t="s">
        <v>297</v>
      </c>
      <c r="C14" s="92" t="s">
        <v>298</v>
      </c>
      <c r="D14" s="92" t="s">
        <v>318</v>
      </c>
      <c r="E14" s="93" t="s">
        <v>319</v>
      </c>
      <c r="F14" s="92" t="s">
        <v>315</v>
      </c>
      <c r="G14" s="92" t="s">
        <v>231</v>
      </c>
      <c r="H14" s="92" t="s">
        <v>9</v>
      </c>
      <c r="I14" s="92" t="s">
        <v>311</v>
      </c>
      <c r="J14" s="93" t="s">
        <v>232</v>
      </c>
      <c r="K14" s="92" t="s">
        <v>320</v>
      </c>
      <c r="L14" s="92" t="s">
        <v>294</v>
      </c>
      <c r="M14" s="92" t="s">
        <v>295</v>
      </c>
      <c r="N14" s="94">
        <v>6.72</v>
      </c>
      <c r="O14" s="94">
        <f>N14*VLOOKUP(H14,dagsoorttabel1,2,FALSE)</f>
        <v>6.72</v>
      </c>
      <c r="P14" s="95">
        <f>prodnorm42</f>
        <v>0</v>
      </c>
      <c r="Q14" s="92" t="s">
        <v>97</v>
      </c>
      <c r="R14" s="26">
        <f>uurtarief42</f>
        <v>0</v>
      </c>
      <c r="S14" s="94" t="e">
        <f>IF(ISBLANK(P14),0,O14/ROUND(P14,4))</f>
        <v>#DIV/0!</v>
      </c>
      <c r="T14" s="26" t="e">
        <f>ROUND(R14,2)*S14</f>
        <v>#DIV/0!</v>
      </c>
      <c r="U14" s="94" t="e">
        <f>S14*dagenperjaar1</f>
        <v>#DIV/0!</v>
      </c>
      <c r="V14" s="27" t="e">
        <f>U14*ROUND(R14,2)</f>
        <v>#DIV/0!</v>
      </c>
    </row>
    <row r="15" spans="1:22" x14ac:dyDescent="0.4">
      <c r="A15" s="91" t="s">
        <v>291</v>
      </c>
      <c r="B15" s="92" t="s">
        <v>297</v>
      </c>
      <c r="C15" s="92" t="s">
        <v>298</v>
      </c>
      <c r="D15" s="92" t="s">
        <v>321</v>
      </c>
      <c r="E15" s="93" t="s">
        <v>322</v>
      </c>
      <c r="F15" s="92" t="s">
        <v>315</v>
      </c>
      <c r="G15" s="92" t="s">
        <v>231</v>
      </c>
      <c r="H15" s="92" t="s">
        <v>9</v>
      </c>
      <c r="I15" s="92" t="s">
        <v>311</v>
      </c>
      <c r="J15" s="93" t="s">
        <v>232</v>
      </c>
      <c r="K15" s="92" t="s">
        <v>320</v>
      </c>
      <c r="L15" s="92" t="s">
        <v>294</v>
      </c>
      <c r="M15" s="92" t="s">
        <v>295</v>
      </c>
      <c r="N15" s="94">
        <v>4.3599999999999994</v>
      </c>
      <c r="O15" s="94">
        <f>N15*VLOOKUP(H15,dagsoorttabel1,2,FALSE)</f>
        <v>4.3599999999999994</v>
      </c>
      <c r="P15" s="95">
        <f>prodnorm42</f>
        <v>0</v>
      </c>
      <c r="Q15" s="92" t="s">
        <v>97</v>
      </c>
      <c r="R15" s="26">
        <f>uurtarief42</f>
        <v>0</v>
      </c>
      <c r="S15" s="94" t="e">
        <f>IF(ISBLANK(P15),0,O15/ROUND(P15,4))</f>
        <v>#DIV/0!</v>
      </c>
      <c r="T15" s="26" t="e">
        <f>ROUND(R15,2)*S15</f>
        <v>#DIV/0!</v>
      </c>
      <c r="U15" s="94" t="e">
        <f>S15*dagenperjaar1</f>
        <v>#DIV/0!</v>
      </c>
      <c r="V15" s="27" t="e">
        <f>U15*ROUND(R15,2)</f>
        <v>#DIV/0!</v>
      </c>
    </row>
    <row r="16" spans="1:22" x14ac:dyDescent="0.4">
      <c r="A16" s="91" t="s">
        <v>291</v>
      </c>
      <c r="B16" s="92" t="s">
        <v>297</v>
      </c>
      <c r="C16" s="92" t="s">
        <v>298</v>
      </c>
      <c r="D16" s="92" t="s">
        <v>323</v>
      </c>
      <c r="E16" s="93" t="s">
        <v>324</v>
      </c>
      <c r="F16" s="92" t="s">
        <v>315</v>
      </c>
      <c r="G16" s="92" t="s">
        <v>243</v>
      </c>
      <c r="H16" s="92" t="s">
        <v>9</v>
      </c>
      <c r="I16" s="92" t="s">
        <v>311</v>
      </c>
      <c r="J16" s="93" t="s">
        <v>244</v>
      </c>
      <c r="K16" s="92" t="s">
        <v>320</v>
      </c>
      <c r="L16" s="92" t="s">
        <v>294</v>
      </c>
      <c r="M16" s="92" t="s">
        <v>295</v>
      </c>
      <c r="N16" s="94">
        <v>5.6499999999999995</v>
      </c>
      <c r="O16" s="94">
        <f>N16*VLOOKUP(H16,dagsoorttabel1,2,FALSE)</f>
        <v>5.6499999999999995</v>
      </c>
      <c r="P16" s="95">
        <f>prodnorm50</f>
        <v>0</v>
      </c>
      <c r="Q16" s="92" t="s">
        <v>97</v>
      </c>
      <c r="R16" s="26">
        <f>uurtarief50</f>
        <v>0</v>
      </c>
      <c r="S16" s="94" t="e">
        <f>IF(ISBLANK(P16),0,O16/ROUND(P16,4))</f>
        <v>#DIV/0!</v>
      </c>
      <c r="T16" s="26" t="e">
        <f>ROUND(R16,2)*S16</f>
        <v>#DIV/0!</v>
      </c>
      <c r="U16" s="94" t="e">
        <f>S16*dagenperjaar1</f>
        <v>#DIV/0!</v>
      </c>
      <c r="V16" s="27" t="e">
        <f>U16*ROUND(R16,2)</f>
        <v>#DIV/0!</v>
      </c>
    </row>
    <row r="17" spans="1:22" x14ac:dyDescent="0.4">
      <c r="A17" s="91" t="s">
        <v>291</v>
      </c>
      <c r="B17" s="92" t="s">
        <v>297</v>
      </c>
      <c r="C17" s="92" t="s">
        <v>298</v>
      </c>
      <c r="D17" s="92" t="s">
        <v>325</v>
      </c>
      <c r="E17" s="93" t="s">
        <v>326</v>
      </c>
      <c r="F17" s="92" t="s">
        <v>315</v>
      </c>
      <c r="G17" s="92" t="s">
        <v>249</v>
      </c>
      <c r="H17" s="92" t="s">
        <v>9</v>
      </c>
      <c r="I17" s="92" t="s">
        <v>311</v>
      </c>
      <c r="J17" s="93" t="s">
        <v>250</v>
      </c>
      <c r="K17" s="92" t="s">
        <v>320</v>
      </c>
      <c r="L17" s="92" t="s">
        <v>294</v>
      </c>
      <c r="M17" s="92" t="s">
        <v>295</v>
      </c>
      <c r="N17" s="94">
        <v>6.9700000000000006</v>
      </c>
      <c r="O17" s="94">
        <f>N17*VLOOKUP(H17,dagsoorttabel1,2,FALSE)</f>
        <v>6.9700000000000006</v>
      </c>
      <c r="P17" s="95">
        <f>prodnorm55</f>
        <v>0</v>
      </c>
      <c r="Q17" s="92" t="s">
        <v>97</v>
      </c>
      <c r="R17" s="26">
        <f>uurtarief55</f>
        <v>0</v>
      </c>
      <c r="S17" s="94" t="e">
        <f>IF(ISBLANK(P17),0,O17/ROUND(P17,4))</f>
        <v>#DIV/0!</v>
      </c>
      <c r="T17" s="26" t="e">
        <f>ROUND(R17,2)*S17</f>
        <v>#DIV/0!</v>
      </c>
      <c r="U17" s="94" t="e">
        <f>S17*dagenperjaar1</f>
        <v>#DIV/0!</v>
      </c>
      <c r="V17" s="27" t="e">
        <f>U17*ROUND(R17,2)</f>
        <v>#DIV/0!</v>
      </c>
    </row>
    <row r="18" spans="1:22" x14ac:dyDescent="0.4">
      <c r="A18" s="91" t="s">
        <v>291</v>
      </c>
      <c r="B18" s="92" t="s">
        <v>297</v>
      </c>
      <c r="C18" s="92" t="s">
        <v>327</v>
      </c>
      <c r="D18" s="92" t="s">
        <v>328</v>
      </c>
      <c r="E18" s="93" t="s">
        <v>329</v>
      </c>
      <c r="F18" s="92" t="s">
        <v>301</v>
      </c>
      <c r="G18" s="92" t="s">
        <v>330</v>
      </c>
      <c r="H18" s="92"/>
      <c r="I18" s="92"/>
      <c r="J18" s="92"/>
      <c r="K18" s="92" t="s">
        <v>34</v>
      </c>
      <c r="L18" s="92" t="s">
        <v>302</v>
      </c>
      <c r="M18" s="92" t="s">
        <v>34</v>
      </c>
      <c r="N18" s="94">
        <v>10.6</v>
      </c>
      <c r="O18" s="94"/>
      <c r="P18" s="95"/>
      <c r="Q18" s="92"/>
      <c r="R18" s="26"/>
      <c r="S18" s="94"/>
      <c r="T18" s="26"/>
      <c r="U18" s="96"/>
      <c r="V18" s="27"/>
    </row>
    <row r="19" spans="1:22" x14ac:dyDescent="0.4">
      <c r="A19" s="91" t="s">
        <v>291</v>
      </c>
      <c r="B19" s="92" t="s">
        <v>297</v>
      </c>
      <c r="C19" s="92" t="s">
        <v>331</v>
      </c>
      <c r="D19" s="92" t="s">
        <v>332</v>
      </c>
      <c r="E19" s="93" t="s">
        <v>333</v>
      </c>
      <c r="F19" s="92" t="s">
        <v>315</v>
      </c>
      <c r="G19" s="92" t="s">
        <v>243</v>
      </c>
      <c r="H19" s="92" t="s">
        <v>9</v>
      </c>
      <c r="I19" s="92" t="s">
        <v>311</v>
      </c>
      <c r="J19" s="93" t="s">
        <v>244</v>
      </c>
      <c r="K19" s="92" t="s">
        <v>320</v>
      </c>
      <c r="L19" s="92" t="s">
        <v>294</v>
      </c>
      <c r="M19" s="92" t="s">
        <v>295</v>
      </c>
      <c r="N19" s="94">
        <v>5.42</v>
      </c>
      <c r="O19" s="94">
        <f>N19*VLOOKUP(H19,dagsoorttabel1,2,FALSE)</f>
        <v>5.42</v>
      </c>
      <c r="P19" s="95">
        <f>prodnorm50</f>
        <v>0</v>
      </c>
      <c r="Q19" s="92" t="s">
        <v>97</v>
      </c>
      <c r="R19" s="26">
        <f>uurtarief50</f>
        <v>0</v>
      </c>
      <c r="S19" s="94" t="e">
        <f>IF(ISBLANK(P19),0,O19/ROUND(P19,4))</f>
        <v>#DIV/0!</v>
      </c>
      <c r="T19" s="26" t="e">
        <f>ROUND(R19,2)*S19</f>
        <v>#DIV/0!</v>
      </c>
      <c r="U19" s="94" t="e">
        <f>S19*dagenperjaar1</f>
        <v>#DIV/0!</v>
      </c>
      <c r="V19" s="27" t="e">
        <f>U19*ROUND(R19,2)</f>
        <v>#DIV/0!</v>
      </c>
    </row>
    <row r="20" spans="1:22" x14ac:dyDescent="0.4">
      <c r="A20" s="91" t="s">
        <v>291</v>
      </c>
      <c r="B20" s="92" t="s">
        <v>297</v>
      </c>
      <c r="C20" s="92" t="s">
        <v>331</v>
      </c>
      <c r="D20" s="92" t="s">
        <v>334</v>
      </c>
      <c r="E20" s="93" t="s">
        <v>261</v>
      </c>
      <c r="F20" s="92" t="s">
        <v>335</v>
      </c>
      <c r="G20" s="92" t="s">
        <v>260</v>
      </c>
      <c r="H20" s="92" t="s">
        <v>9</v>
      </c>
      <c r="I20" s="92" t="s">
        <v>311</v>
      </c>
      <c r="J20" s="93" t="s">
        <v>261</v>
      </c>
      <c r="K20" s="92" t="s">
        <v>320</v>
      </c>
      <c r="L20" s="92" t="s">
        <v>294</v>
      </c>
      <c r="M20" s="92" t="s">
        <v>295</v>
      </c>
      <c r="N20" s="94">
        <v>1</v>
      </c>
      <c r="O20" s="94">
        <f>N20*VLOOKUP(H20,dagsoorttabel1,2,FALSE)</f>
        <v>1</v>
      </c>
      <c r="P20" s="95">
        <f>prodnorm15</f>
        <v>0</v>
      </c>
      <c r="Q20" s="92" t="s">
        <v>262</v>
      </c>
      <c r="R20" s="26">
        <f>uurtarief15</f>
        <v>0</v>
      </c>
      <c r="S20" s="94">
        <f>O20*ROUND(P20,4)/60</f>
        <v>0</v>
      </c>
      <c r="T20" s="26">
        <f>ROUND(R20,2)*S20</f>
        <v>0</v>
      </c>
      <c r="U20" s="94">
        <f>S20*dagenperjaar1</f>
        <v>0</v>
      </c>
      <c r="V20" s="27">
        <f>U20*ROUND(R20,2)</f>
        <v>0</v>
      </c>
    </row>
    <row r="21" spans="1:22" x14ac:dyDescent="0.4">
      <c r="A21" s="91" t="s">
        <v>291</v>
      </c>
      <c r="B21" s="92" t="s">
        <v>297</v>
      </c>
      <c r="C21" s="92" t="s">
        <v>331</v>
      </c>
      <c r="D21" s="92" t="s">
        <v>336</v>
      </c>
      <c r="E21" s="93" t="s">
        <v>337</v>
      </c>
      <c r="F21" s="92" t="s">
        <v>338</v>
      </c>
      <c r="G21" s="92" t="s">
        <v>257</v>
      </c>
      <c r="H21" s="92" t="s">
        <v>9</v>
      </c>
      <c r="I21" s="92" t="s">
        <v>293</v>
      </c>
      <c r="J21" s="93" t="s">
        <v>258</v>
      </c>
      <c r="K21" s="92" t="s">
        <v>320</v>
      </c>
      <c r="L21" s="92" t="s">
        <v>294</v>
      </c>
      <c r="M21" s="92" t="s">
        <v>295</v>
      </c>
      <c r="N21" s="94">
        <v>1</v>
      </c>
      <c r="O21" s="94">
        <f>N21*VLOOKUP(H21,dagsoorttabel1,2,FALSE)</f>
        <v>1</v>
      </c>
      <c r="P21" s="95">
        <f>prodnorm14</f>
        <v>0</v>
      </c>
      <c r="Q21" s="92" t="s">
        <v>259</v>
      </c>
      <c r="R21" s="26">
        <f>uurtarief14</f>
        <v>0</v>
      </c>
      <c r="S21" s="94">
        <f>O21*ROUND(P21,4)/60</f>
        <v>0</v>
      </c>
      <c r="T21" s="26">
        <f>ROUND(R21,2)*S21</f>
        <v>0</v>
      </c>
      <c r="U21" s="94">
        <f>S21*dagenperjaar1</f>
        <v>0</v>
      </c>
      <c r="V21" s="27">
        <f>U21*ROUND(R21,2)</f>
        <v>0</v>
      </c>
    </row>
    <row r="22" spans="1:22" x14ac:dyDescent="0.4">
      <c r="A22" s="91" t="s">
        <v>291</v>
      </c>
      <c r="B22" s="92" t="s">
        <v>297</v>
      </c>
      <c r="C22" s="92" t="s">
        <v>331</v>
      </c>
      <c r="D22" s="92" t="s">
        <v>336</v>
      </c>
      <c r="E22" s="93" t="s">
        <v>337</v>
      </c>
      <c r="F22" s="92" t="s">
        <v>338</v>
      </c>
      <c r="G22" s="92" t="s">
        <v>237</v>
      </c>
      <c r="H22" s="92" t="s">
        <v>9</v>
      </c>
      <c r="I22" s="92" t="s">
        <v>311</v>
      </c>
      <c r="J22" s="93" t="s">
        <v>238</v>
      </c>
      <c r="K22" s="92" t="s">
        <v>320</v>
      </c>
      <c r="L22" s="92" t="s">
        <v>294</v>
      </c>
      <c r="M22" s="92" t="s">
        <v>295</v>
      </c>
      <c r="N22" s="94">
        <v>68.3</v>
      </c>
      <c r="O22" s="94">
        <f>N22*VLOOKUP(H22,dagsoorttabel1,2,FALSE)</f>
        <v>68.3</v>
      </c>
      <c r="P22" s="95">
        <f>prodnorm46</f>
        <v>0</v>
      </c>
      <c r="Q22" s="92" t="s">
        <v>97</v>
      </c>
      <c r="R22" s="26">
        <f>uurtarief46</f>
        <v>0</v>
      </c>
      <c r="S22" s="94" t="e">
        <f>IF(ISBLANK(P22),0,O22/ROUND(P22,4))</f>
        <v>#DIV/0!</v>
      </c>
      <c r="T22" s="26" t="e">
        <f>ROUND(R22,2)*S22</f>
        <v>#DIV/0!</v>
      </c>
      <c r="U22" s="94" t="e">
        <f>S22*dagenperjaar1</f>
        <v>#DIV/0!</v>
      </c>
      <c r="V22" s="27" t="e">
        <f>U22*ROUND(R22,2)</f>
        <v>#DIV/0!</v>
      </c>
    </row>
    <row r="23" spans="1:22" x14ac:dyDescent="0.4">
      <c r="A23" s="91" t="s">
        <v>291</v>
      </c>
      <c r="B23" s="92" t="s">
        <v>297</v>
      </c>
      <c r="C23" s="92" t="s">
        <v>331</v>
      </c>
      <c r="D23" s="92" t="s">
        <v>339</v>
      </c>
      <c r="E23" s="93" t="s">
        <v>340</v>
      </c>
      <c r="F23" s="92" t="s">
        <v>341</v>
      </c>
      <c r="G23" s="92" t="s">
        <v>205</v>
      </c>
      <c r="H23" s="92" t="s">
        <v>9</v>
      </c>
      <c r="I23" s="92" t="s">
        <v>311</v>
      </c>
      <c r="J23" s="93" t="s">
        <v>206</v>
      </c>
      <c r="K23" s="92" t="s">
        <v>342</v>
      </c>
      <c r="L23" s="92" t="s">
        <v>294</v>
      </c>
      <c r="M23" s="92" t="s">
        <v>295</v>
      </c>
      <c r="N23" s="94">
        <v>16.7</v>
      </c>
      <c r="O23" s="94">
        <f>N23*VLOOKUP(H23,dagsoorttabel1,2,FALSE)</f>
        <v>16.7</v>
      </c>
      <c r="P23" s="95">
        <f>prodnorm25</f>
        <v>0</v>
      </c>
      <c r="Q23" s="92" t="s">
        <v>97</v>
      </c>
      <c r="R23" s="26">
        <f>uurtarief25</f>
        <v>0</v>
      </c>
      <c r="S23" s="94" t="e">
        <f>IF(ISBLANK(P23),0,O23/ROUND(P23,4))</f>
        <v>#DIV/0!</v>
      </c>
      <c r="T23" s="26" t="e">
        <f>ROUND(R23,2)*S23</f>
        <v>#DIV/0!</v>
      </c>
      <c r="U23" s="94" t="e">
        <f>S23*dagenperjaar1</f>
        <v>#DIV/0!</v>
      </c>
      <c r="V23" s="27" t="e">
        <f>U23*ROUND(R23,2)</f>
        <v>#DIV/0!</v>
      </c>
    </row>
    <row r="24" spans="1:22" x14ac:dyDescent="0.4">
      <c r="A24" s="91" t="s">
        <v>291</v>
      </c>
      <c r="B24" s="92" t="s">
        <v>297</v>
      </c>
      <c r="C24" s="92" t="s">
        <v>331</v>
      </c>
      <c r="D24" s="92" t="s">
        <v>343</v>
      </c>
      <c r="E24" s="93" t="s">
        <v>344</v>
      </c>
      <c r="F24" s="92" t="s">
        <v>341</v>
      </c>
      <c r="G24" s="92" t="s">
        <v>233</v>
      </c>
      <c r="H24" s="92" t="s">
        <v>9</v>
      </c>
      <c r="I24" s="92" t="s">
        <v>311</v>
      </c>
      <c r="J24" s="93" t="s">
        <v>234</v>
      </c>
      <c r="K24" s="92" t="s">
        <v>320</v>
      </c>
      <c r="L24" s="92" t="s">
        <v>294</v>
      </c>
      <c r="M24" s="92" t="s">
        <v>295</v>
      </c>
      <c r="N24" s="94">
        <v>36.15</v>
      </c>
      <c r="O24" s="94">
        <f>N24*VLOOKUP(H24,dagsoorttabel1,2,FALSE)</f>
        <v>36.15</v>
      </c>
      <c r="P24" s="95">
        <f>prodnorm44</f>
        <v>0</v>
      </c>
      <c r="Q24" s="92" t="s">
        <v>97</v>
      </c>
      <c r="R24" s="26">
        <f>uurtarief44</f>
        <v>0</v>
      </c>
      <c r="S24" s="94" t="e">
        <f>IF(ISBLANK(P24),0,O24/ROUND(P24,4))</f>
        <v>#DIV/0!</v>
      </c>
      <c r="T24" s="26" t="e">
        <f>ROUND(R24,2)*S24</f>
        <v>#DIV/0!</v>
      </c>
      <c r="U24" s="94" t="e">
        <f>S24*dagenperjaar1</f>
        <v>#DIV/0!</v>
      </c>
      <c r="V24" s="27" t="e">
        <f>U24*ROUND(R24,2)</f>
        <v>#DIV/0!</v>
      </c>
    </row>
    <row r="25" spans="1:22" x14ac:dyDescent="0.4">
      <c r="A25" s="91" t="s">
        <v>291</v>
      </c>
      <c r="B25" s="92" t="s">
        <v>297</v>
      </c>
      <c r="C25" s="92" t="s">
        <v>331</v>
      </c>
      <c r="D25" s="92" t="s">
        <v>345</v>
      </c>
      <c r="E25" s="93" t="s">
        <v>346</v>
      </c>
      <c r="F25" s="92" t="s">
        <v>341</v>
      </c>
      <c r="G25" s="92" t="s">
        <v>221</v>
      </c>
      <c r="H25" s="92" t="s">
        <v>15</v>
      </c>
      <c r="I25" s="92" t="s">
        <v>311</v>
      </c>
      <c r="J25" s="93" t="s">
        <v>222</v>
      </c>
      <c r="K25" s="92" t="s">
        <v>320</v>
      </c>
      <c r="L25" s="92" t="s">
        <v>347</v>
      </c>
      <c r="M25" s="92" t="s">
        <v>348</v>
      </c>
      <c r="N25" s="94">
        <v>21</v>
      </c>
      <c r="O25" s="94">
        <f>N25*VLOOKUP(H25,dagsoorttabel1,2,FALSE)</f>
        <v>0.9882352941176471</v>
      </c>
      <c r="P25" s="95">
        <f>prodnorm35</f>
        <v>0</v>
      </c>
      <c r="Q25" s="92" t="s">
        <v>97</v>
      </c>
      <c r="R25" s="26">
        <f>uurtarief35</f>
        <v>0</v>
      </c>
      <c r="S25" s="94" t="e">
        <f>IF(ISBLANK(P25),0,O25/ROUND(P25,4))</f>
        <v>#DIV/0!</v>
      </c>
      <c r="T25" s="26" t="e">
        <f>ROUND(R25,2)*S25</f>
        <v>#DIV/0!</v>
      </c>
      <c r="U25" s="94" t="e">
        <f>S25*dagenperjaar1</f>
        <v>#DIV/0!</v>
      </c>
      <c r="V25" s="27" t="e">
        <f>U25*ROUND(R25,2)</f>
        <v>#DIV/0!</v>
      </c>
    </row>
    <row r="26" spans="1:22" x14ac:dyDescent="0.4">
      <c r="A26" s="91" t="s">
        <v>291</v>
      </c>
      <c r="B26" s="92" t="s">
        <v>297</v>
      </c>
      <c r="C26" s="92" t="s">
        <v>331</v>
      </c>
      <c r="D26" s="92" t="s">
        <v>349</v>
      </c>
      <c r="E26" s="93" t="s">
        <v>350</v>
      </c>
      <c r="F26" s="92" t="s">
        <v>341</v>
      </c>
      <c r="G26" s="92" t="s">
        <v>213</v>
      </c>
      <c r="H26" s="92" t="s">
        <v>9</v>
      </c>
      <c r="I26" s="92" t="s">
        <v>311</v>
      </c>
      <c r="J26" s="93" t="s">
        <v>214</v>
      </c>
      <c r="K26" s="92" t="s">
        <v>342</v>
      </c>
      <c r="L26" s="92" t="s">
        <v>347</v>
      </c>
      <c r="M26" s="92" t="s">
        <v>348</v>
      </c>
      <c r="N26" s="94">
        <v>54</v>
      </c>
      <c r="O26" s="94">
        <f>N26*VLOOKUP(H26,dagsoorttabel1,2,FALSE)</f>
        <v>54</v>
      </c>
      <c r="P26" s="95">
        <f>prodnorm30</f>
        <v>0</v>
      </c>
      <c r="Q26" s="92" t="s">
        <v>97</v>
      </c>
      <c r="R26" s="26">
        <f>uurtarief30</f>
        <v>0</v>
      </c>
      <c r="S26" s="94" t="e">
        <f>IF(ISBLANK(P26),0,O26/ROUND(P26,4))</f>
        <v>#DIV/0!</v>
      </c>
      <c r="T26" s="26" t="e">
        <f>ROUND(R26,2)*S26</f>
        <v>#DIV/0!</v>
      </c>
      <c r="U26" s="94" t="e">
        <f>S26*dagenperjaar1</f>
        <v>#DIV/0!</v>
      </c>
      <c r="V26" s="27" t="e">
        <f>U26*ROUND(R26,2)</f>
        <v>#DIV/0!</v>
      </c>
    </row>
    <row r="27" spans="1:22" x14ac:dyDescent="0.4">
      <c r="A27" s="91" t="s">
        <v>291</v>
      </c>
      <c r="B27" s="92" t="s">
        <v>297</v>
      </c>
      <c r="C27" s="92" t="s">
        <v>331</v>
      </c>
      <c r="D27" s="92" t="s">
        <v>351</v>
      </c>
      <c r="E27" s="93" t="s">
        <v>352</v>
      </c>
      <c r="F27" s="92" t="s">
        <v>341</v>
      </c>
      <c r="G27" s="92" t="s">
        <v>213</v>
      </c>
      <c r="H27" s="92" t="s">
        <v>9</v>
      </c>
      <c r="I27" s="92" t="s">
        <v>311</v>
      </c>
      <c r="J27" s="93" t="s">
        <v>214</v>
      </c>
      <c r="K27" s="92" t="s">
        <v>342</v>
      </c>
      <c r="L27" s="92" t="s">
        <v>347</v>
      </c>
      <c r="M27" s="92" t="s">
        <v>348</v>
      </c>
      <c r="N27" s="94">
        <v>20</v>
      </c>
      <c r="O27" s="94">
        <f>N27*VLOOKUP(H27,dagsoorttabel1,2,FALSE)</f>
        <v>20</v>
      </c>
      <c r="P27" s="95">
        <f>prodnorm30</f>
        <v>0</v>
      </c>
      <c r="Q27" s="92" t="s">
        <v>97</v>
      </c>
      <c r="R27" s="26">
        <f>uurtarief30</f>
        <v>0</v>
      </c>
      <c r="S27" s="94" t="e">
        <f>IF(ISBLANK(P27),0,O27/ROUND(P27,4))</f>
        <v>#DIV/0!</v>
      </c>
      <c r="T27" s="26" t="e">
        <f>ROUND(R27,2)*S27</f>
        <v>#DIV/0!</v>
      </c>
      <c r="U27" s="94" t="e">
        <f>S27*dagenperjaar1</f>
        <v>#DIV/0!</v>
      </c>
      <c r="V27" s="27" t="e">
        <f>U27*ROUND(R27,2)</f>
        <v>#DIV/0!</v>
      </c>
    </row>
    <row r="28" spans="1:22" x14ac:dyDescent="0.4">
      <c r="A28" s="91" t="s">
        <v>291</v>
      </c>
      <c r="B28" s="92" t="s">
        <v>297</v>
      </c>
      <c r="C28" s="92" t="s">
        <v>331</v>
      </c>
      <c r="D28" s="92" t="s">
        <v>353</v>
      </c>
      <c r="E28" s="93" t="s">
        <v>354</v>
      </c>
      <c r="F28" s="92" t="s">
        <v>341</v>
      </c>
      <c r="G28" s="92" t="s">
        <v>213</v>
      </c>
      <c r="H28" s="92" t="s">
        <v>9</v>
      </c>
      <c r="I28" s="92" t="s">
        <v>311</v>
      </c>
      <c r="J28" s="93" t="s">
        <v>214</v>
      </c>
      <c r="K28" s="92" t="s">
        <v>342</v>
      </c>
      <c r="L28" s="92" t="s">
        <v>347</v>
      </c>
      <c r="M28" s="92" t="s">
        <v>348</v>
      </c>
      <c r="N28" s="94">
        <v>27</v>
      </c>
      <c r="O28" s="94">
        <f>N28*VLOOKUP(H28,dagsoorttabel1,2,FALSE)</f>
        <v>27</v>
      </c>
      <c r="P28" s="95">
        <f>prodnorm30</f>
        <v>0</v>
      </c>
      <c r="Q28" s="92" t="s">
        <v>97</v>
      </c>
      <c r="R28" s="26">
        <f>uurtarief30</f>
        <v>0</v>
      </c>
      <c r="S28" s="94" t="e">
        <f>IF(ISBLANK(P28),0,O28/ROUND(P28,4))</f>
        <v>#DIV/0!</v>
      </c>
      <c r="T28" s="26" t="e">
        <f>ROUND(R28,2)*S28</f>
        <v>#DIV/0!</v>
      </c>
      <c r="U28" s="94" t="e">
        <f>S28*dagenperjaar1</f>
        <v>#DIV/0!</v>
      </c>
      <c r="V28" s="27" t="e">
        <f>U28*ROUND(R28,2)</f>
        <v>#DIV/0!</v>
      </c>
    </row>
    <row r="29" spans="1:22" x14ac:dyDescent="0.4">
      <c r="A29" s="91" t="s">
        <v>291</v>
      </c>
      <c r="B29" s="92" t="s">
        <v>297</v>
      </c>
      <c r="C29" s="92" t="s">
        <v>331</v>
      </c>
      <c r="D29" s="92" t="s">
        <v>355</v>
      </c>
      <c r="E29" s="93" t="s">
        <v>356</v>
      </c>
      <c r="F29" s="92" t="s">
        <v>315</v>
      </c>
      <c r="G29" s="92" t="s">
        <v>330</v>
      </c>
      <c r="H29" s="92"/>
      <c r="I29" s="92"/>
      <c r="J29" s="92"/>
      <c r="K29" s="92" t="s">
        <v>34</v>
      </c>
      <c r="L29" s="92" t="s">
        <v>347</v>
      </c>
      <c r="M29" s="92" t="s">
        <v>348</v>
      </c>
      <c r="N29" s="94">
        <v>3.9</v>
      </c>
      <c r="O29" s="94"/>
      <c r="P29" s="95"/>
      <c r="Q29" s="92"/>
      <c r="R29" s="26"/>
      <c r="S29" s="94"/>
      <c r="T29" s="26"/>
      <c r="U29" s="96"/>
      <c r="V29" s="27"/>
    </row>
    <row r="30" spans="1:22" x14ac:dyDescent="0.4">
      <c r="A30" s="91" t="s">
        <v>291</v>
      </c>
      <c r="B30" s="92" t="s">
        <v>297</v>
      </c>
      <c r="C30" s="92" t="s">
        <v>331</v>
      </c>
      <c r="D30" s="92" t="s">
        <v>357</v>
      </c>
      <c r="E30" s="93" t="s">
        <v>358</v>
      </c>
      <c r="F30" s="92" t="s">
        <v>315</v>
      </c>
      <c r="G30" s="92" t="s">
        <v>227</v>
      </c>
      <c r="H30" s="92" t="s">
        <v>9</v>
      </c>
      <c r="I30" s="92" t="s">
        <v>311</v>
      </c>
      <c r="J30" s="93" t="s">
        <v>228</v>
      </c>
      <c r="K30" s="92" t="s">
        <v>312</v>
      </c>
      <c r="L30" s="92" t="s">
        <v>347</v>
      </c>
      <c r="M30" s="92" t="s">
        <v>348</v>
      </c>
      <c r="N30" s="94">
        <v>10.93</v>
      </c>
      <c r="O30" s="94">
        <f>N30*VLOOKUP(H30,dagsoorttabel1,2,FALSE)</f>
        <v>10.93</v>
      </c>
      <c r="P30" s="95">
        <f>prodnorm39</f>
        <v>0</v>
      </c>
      <c r="Q30" s="92" t="s">
        <v>97</v>
      </c>
      <c r="R30" s="26">
        <f>uurtarief39</f>
        <v>0</v>
      </c>
      <c r="S30" s="94" t="e">
        <f>IF(ISBLANK(P30),0,O30/ROUND(P30,4))</f>
        <v>#DIV/0!</v>
      </c>
      <c r="T30" s="26" t="e">
        <f>ROUND(R30,2)*S30</f>
        <v>#DIV/0!</v>
      </c>
      <c r="U30" s="94" t="e">
        <f>S30*dagenperjaar1</f>
        <v>#DIV/0!</v>
      </c>
      <c r="V30" s="27" t="e">
        <f>U30*ROUND(R30,2)</f>
        <v>#DIV/0!</v>
      </c>
    </row>
    <row r="31" spans="1:22" x14ac:dyDescent="0.4">
      <c r="A31" s="91" t="s">
        <v>291</v>
      </c>
      <c r="B31" s="92" t="s">
        <v>297</v>
      </c>
      <c r="C31" s="92" t="s">
        <v>331</v>
      </c>
      <c r="D31" s="92" t="s">
        <v>357</v>
      </c>
      <c r="E31" s="93" t="s">
        <v>358</v>
      </c>
      <c r="F31" s="92" t="s">
        <v>315</v>
      </c>
      <c r="G31" s="92" t="s">
        <v>229</v>
      </c>
      <c r="H31" s="92" t="s">
        <v>11</v>
      </c>
      <c r="I31" s="92" t="s">
        <v>359</v>
      </c>
      <c r="J31" s="93" t="s">
        <v>230</v>
      </c>
      <c r="K31" s="92" t="s">
        <v>312</v>
      </c>
      <c r="L31" s="92" t="s">
        <v>347</v>
      </c>
      <c r="M31" s="92" t="s">
        <v>348</v>
      </c>
      <c r="N31" s="94">
        <v>10.93</v>
      </c>
      <c r="O31" s="94">
        <f>N31*VLOOKUP(H31,dagsoorttabel1,2,FALSE)</f>
        <v>6.5579999999999998</v>
      </c>
      <c r="P31" s="95">
        <f>prodnorm40</f>
        <v>0</v>
      </c>
      <c r="Q31" s="92" t="s">
        <v>97</v>
      </c>
      <c r="R31" s="26">
        <f>uurtarief40</f>
        <v>0</v>
      </c>
      <c r="S31" s="94" t="e">
        <f>IF(ISBLANK(P31),0,O31/ROUND(P31,4))</f>
        <v>#DIV/0!</v>
      </c>
      <c r="T31" s="26" t="e">
        <f>ROUND(R31,2)*S31</f>
        <v>#DIV/0!</v>
      </c>
      <c r="U31" s="94" t="e">
        <f>S31*dagenperjaar1</f>
        <v>#DIV/0!</v>
      </c>
      <c r="V31" s="27" t="e">
        <f>U31*ROUND(R31,2)</f>
        <v>#DIV/0!</v>
      </c>
    </row>
    <row r="32" spans="1:22" x14ac:dyDescent="0.4">
      <c r="A32" s="91" t="s">
        <v>291</v>
      </c>
      <c r="B32" s="92" t="s">
        <v>297</v>
      </c>
      <c r="C32" s="92" t="s">
        <v>331</v>
      </c>
      <c r="D32" s="92" t="s">
        <v>360</v>
      </c>
      <c r="E32" s="93" t="s">
        <v>361</v>
      </c>
      <c r="F32" s="92" t="s">
        <v>315</v>
      </c>
      <c r="G32" s="92" t="s">
        <v>227</v>
      </c>
      <c r="H32" s="92" t="s">
        <v>9</v>
      </c>
      <c r="I32" s="92" t="s">
        <v>311</v>
      </c>
      <c r="J32" s="93" t="s">
        <v>228</v>
      </c>
      <c r="K32" s="92" t="s">
        <v>312</v>
      </c>
      <c r="L32" s="92" t="s">
        <v>347</v>
      </c>
      <c r="M32" s="92" t="s">
        <v>348</v>
      </c>
      <c r="N32" s="94">
        <v>4.7</v>
      </c>
      <c r="O32" s="94">
        <f>N32*VLOOKUP(H32,dagsoorttabel1,2,FALSE)</f>
        <v>4.7</v>
      </c>
      <c r="P32" s="95">
        <f>prodnorm39</f>
        <v>0</v>
      </c>
      <c r="Q32" s="92" t="s">
        <v>97</v>
      </c>
      <c r="R32" s="26">
        <f>uurtarief39</f>
        <v>0</v>
      </c>
      <c r="S32" s="94" t="e">
        <f>IF(ISBLANK(P32),0,O32/ROUND(P32,4))</f>
        <v>#DIV/0!</v>
      </c>
      <c r="T32" s="26" t="e">
        <f>ROUND(R32,2)*S32</f>
        <v>#DIV/0!</v>
      </c>
      <c r="U32" s="94" t="e">
        <f>S32*dagenperjaar1</f>
        <v>#DIV/0!</v>
      </c>
      <c r="V32" s="27" t="e">
        <f>U32*ROUND(R32,2)</f>
        <v>#DIV/0!</v>
      </c>
    </row>
    <row r="33" spans="1:22" x14ac:dyDescent="0.4">
      <c r="A33" s="91" t="s">
        <v>291</v>
      </c>
      <c r="B33" s="92" t="s">
        <v>297</v>
      </c>
      <c r="C33" s="92" t="s">
        <v>331</v>
      </c>
      <c r="D33" s="92" t="s">
        <v>360</v>
      </c>
      <c r="E33" s="93" t="s">
        <v>361</v>
      </c>
      <c r="F33" s="92" t="s">
        <v>315</v>
      </c>
      <c r="G33" s="92" t="s">
        <v>229</v>
      </c>
      <c r="H33" s="92" t="s">
        <v>11</v>
      </c>
      <c r="I33" s="92" t="s">
        <v>359</v>
      </c>
      <c r="J33" s="93" t="s">
        <v>230</v>
      </c>
      <c r="K33" s="92" t="s">
        <v>312</v>
      </c>
      <c r="L33" s="92" t="s">
        <v>347</v>
      </c>
      <c r="M33" s="92" t="s">
        <v>348</v>
      </c>
      <c r="N33" s="94">
        <v>4.7</v>
      </c>
      <c r="O33" s="94">
        <f>N33*VLOOKUP(H33,dagsoorttabel1,2,FALSE)</f>
        <v>2.82</v>
      </c>
      <c r="P33" s="95">
        <f>prodnorm40</f>
        <v>0</v>
      </c>
      <c r="Q33" s="92" t="s">
        <v>97</v>
      </c>
      <c r="R33" s="26">
        <f>uurtarief40</f>
        <v>0</v>
      </c>
      <c r="S33" s="94" t="e">
        <f>IF(ISBLANK(P33),0,O33/ROUND(P33,4))</f>
        <v>#DIV/0!</v>
      </c>
      <c r="T33" s="26" t="e">
        <f>ROUND(R33,2)*S33</f>
        <v>#DIV/0!</v>
      </c>
      <c r="U33" s="94" t="e">
        <f>S33*dagenperjaar1</f>
        <v>#DIV/0!</v>
      </c>
      <c r="V33" s="27" t="e">
        <f>U33*ROUND(R33,2)</f>
        <v>#DIV/0!</v>
      </c>
    </row>
    <row r="34" spans="1:22" x14ac:dyDescent="0.4">
      <c r="A34" s="91" t="s">
        <v>291</v>
      </c>
      <c r="B34" s="92" t="s">
        <v>297</v>
      </c>
      <c r="C34" s="92" t="s">
        <v>331</v>
      </c>
      <c r="D34" s="92" t="s">
        <v>362</v>
      </c>
      <c r="E34" s="93" t="s">
        <v>363</v>
      </c>
      <c r="F34" s="92" t="s">
        <v>315</v>
      </c>
      <c r="G34" s="92" t="s">
        <v>227</v>
      </c>
      <c r="H34" s="92" t="s">
        <v>9</v>
      </c>
      <c r="I34" s="92" t="s">
        <v>311</v>
      </c>
      <c r="J34" s="93" t="s">
        <v>228</v>
      </c>
      <c r="K34" s="92" t="s">
        <v>312</v>
      </c>
      <c r="L34" s="92" t="s">
        <v>347</v>
      </c>
      <c r="M34" s="92" t="s">
        <v>348</v>
      </c>
      <c r="N34" s="94">
        <v>10.09</v>
      </c>
      <c r="O34" s="94">
        <f>N34*VLOOKUP(H34,dagsoorttabel1,2,FALSE)</f>
        <v>10.09</v>
      </c>
      <c r="P34" s="95">
        <f>prodnorm39</f>
        <v>0</v>
      </c>
      <c r="Q34" s="92" t="s">
        <v>97</v>
      </c>
      <c r="R34" s="26">
        <f>uurtarief39</f>
        <v>0</v>
      </c>
      <c r="S34" s="94" t="e">
        <f>IF(ISBLANK(P34),0,O34/ROUND(P34,4))</f>
        <v>#DIV/0!</v>
      </c>
      <c r="T34" s="26" t="e">
        <f>ROUND(R34,2)*S34</f>
        <v>#DIV/0!</v>
      </c>
      <c r="U34" s="94" t="e">
        <f>S34*dagenperjaar1</f>
        <v>#DIV/0!</v>
      </c>
      <c r="V34" s="27" t="e">
        <f>U34*ROUND(R34,2)</f>
        <v>#DIV/0!</v>
      </c>
    </row>
    <row r="35" spans="1:22" x14ac:dyDescent="0.4">
      <c r="A35" s="91" t="s">
        <v>291</v>
      </c>
      <c r="B35" s="92" t="s">
        <v>297</v>
      </c>
      <c r="C35" s="92" t="s">
        <v>331</v>
      </c>
      <c r="D35" s="92" t="s">
        <v>362</v>
      </c>
      <c r="E35" s="93" t="s">
        <v>363</v>
      </c>
      <c r="F35" s="92" t="s">
        <v>315</v>
      </c>
      <c r="G35" s="92" t="s">
        <v>229</v>
      </c>
      <c r="H35" s="92" t="s">
        <v>11</v>
      </c>
      <c r="I35" s="92" t="s">
        <v>359</v>
      </c>
      <c r="J35" s="93" t="s">
        <v>230</v>
      </c>
      <c r="K35" s="92" t="s">
        <v>312</v>
      </c>
      <c r="L35" s="92" t="s">
        <v>347</v>
      </c>
      <c r="M35" s="92" t="s">
        <v>348</v>
      </c>
      <c r="N35" s="94">
        <v>10.09</v>
      </c>
      <c r="O35" s="94">
        <f>N35*VLOOKUP(H35,dagsoorttabel1,2,FALSE)</f>
        <v>6.0539999999999994</v>
      </c>
      <c r="P35" s="95">
        <f>prodnorm40</f>
        <v>0</v>
      </c>
      <c r="Q35" s="92" t="s">
        <v>97</v>
      </c>
      <c r="R35" s="26">
        <f>uurtarief40</f>
        <v>0</v>
      </c>
      <c r="S35" s="94" t="e">
        <f>IF(ISBLANK(P35),0,O35/ROUND(P35,4))</f>
        <v>#DIV/0!</v>
      </c>
      <c r="T35" s="26" t="e">
        <f>ROUND(R35,2)*S35</f>
        <v>#DIV/0!</v>
      </c>
      <c r="U35" s="94" t="e">
        <f>S35*dagenperjaar1</f>
        <v>#DIV/0!</v>
      </c>
      <c r="V35" s="27" t="e">
        <f>U35*ROUND(R35,2)</f>
        <v>#DIV/0!</v>
      </c>
    </row>
    <row r="36" spans="1:22" x14ac:dyDescent="0.4">
      <c r="A36" s="91" t="s">
        <v>291</v>
      </c>
      <c r="B36" s="92" t="s">
        <v>297</v>
      </c>
      <c r="C36" s="92" t="s">
        <v>331</v>
      </c>
      <c r="D36" s="92" t="s">
        <v>364</v>
      </c>
      <c r="E36" s="93" t="s">
        <v>365</v>
      </c>
      <c r="F36" s="92" t="s">
        <v>341</v>
      </c>
      <c r="G36" s="92" t="s">
        <v>213</v>
      </c>
      <c r="H36" s="92" t="s">
        <v>9</v>
      </c>
      <c r="I36" s="92" t="s">
        <v>311</v>
      </c>
      <c r="J36" s="93" t="s">
        <v>214</v>
      </c>
      <c r="K36" s="92" t="s">
        <v>342</v>
      </c>
      <c r="L36" s="92" t="s">
        <v>347</v>
      </c>
      <c r="M36" s="92" t="s">
        <v>348</v>
      </c>
      <c r="N36" s="94">
        <v>20</v>
      </c>
      <c r="O36" s="94">
        <f>N36*VLOOKUP(H36,dagsoorttabel1,2,FALSE)</f>
        <v>20</v>
      </c>
      <c r="P36" s="95">
        <f>prodnorm30</f>
        <v>0</v>
      </c>
      <c r="Q36" s="92" t="s">
        <v>97</v>
      </c>
      <c r="R36" s="26">
        <f>uurtarief30</f>
        <v>0</v>
      </c>
      <c r="S36" s="94" t="e">
        <f>IF(ISBLANK(P36),0,O36/ROUND(P36,4))</f>
        <v>#DIV/0!</v>
      </c>
      <c r="T36" s="26" t="e">
        <f>ROUND(R36,2)*S36</f>
        <v>#DIV/0!</v>
      </c>
      <c r="U36" s="94" t="e">
        <f>S36*dagenperjaar1</f>
        <v>#DIV/0!</v>
      </c>
      <c r="V36" s="27" t="e">
        <f>U36*ROUND(R36,2)</f>
        <v>#DIV/0!</v>
      </c>
    </row>
    <row r="37" spans="1:22" x14ac:dyDescent="0.4">
      <c r="A37" s="91" t="s">
        <v>291</v>
      </c>
      <c r="B37" s="92" t="s">
        <v>297</v>
      </c>
      <c r="C37" s="92" t="s">
        <v>331</v>
      </c>
      <c r="D37" s="92" t="s">
        <v>366</v>
      </c>
      <c r="E37" s="93" t="s">
        <v>367</v>
      </c>
      <c r="F37" s="92" t="s">
        <v>341</v>
      </c>
      <c r="G37" s="92" t="s">
        <v>213</v>
      </c>
      <c r="H37" s="92" t="s">
        <v>9</v>
      </c>
      <c r="I37" s="92" t="s">
        <v>311</v>
      </c>
      <c r="J37" s="93" t="s">
        <v>214</v>
      </c>
      <c r="K37" s="92" t="s">
        <v>342</v>
      </c>
      <c r="L37" s="92" t="s">
        <v>347</v>
      </c>
      <c r="M37" s="92" t="s">
        <v>348</v>
      </c>
      <c r="N37" s="94">
        <v>24</v>
      </c>
      <c r="O37" s="94">
        <f>N37*VLOOKUP(H37,dagsoorttabel1,2,FALSE)</f>
        <v>24</v>
      </c>
      <c r="P37" s="95">
        <f>prodnorm30</f>
        <v>0</v>
      </c>
      <c r="Q37" s="92" t="s">
        <v>97</v>
      </c>
      <c r="R37" s="26">
        <f>uurtarief30</f>
        <v>0</v>
      </c>
      <c r="S37" s="94" t="e">
        <f>IF(ISBLANK(P37),0,O37/ROUND(P37,4))</f>
        <v>#DIV/0!</v>
      </c>
      <c r="T37" s="26" t="e">
        <f>ROUND(R37,2)*S37</f>
        <v>#DIV/0!</v>
      </c>
      <c r="U37" s="94" t="e">
        <f>S37*dagenperjaar1</f>
        <v>#DIV/0!</v>
      </c>
      <c r="V37" s="27" t="e">
        <f>U37*ROUND(R37,2)</f>
        <v>#DIV/0!</v>
      </c>
    </row>
    <row r="38" spans="1:22" x14ac:dyDescent="0.4">
      <c r="A38" s="91" t="s">
        <v>291</v>
      </c>
      <c r="B38" s="92" t="s">
        <v>297</v>
      </c>
      <c r="C38" s="92" t="s">
        <v>368</v>
      </c>
      <c r="D38" s="92" t="s">
        <v>369</v>
      </c>
      <c r="E38" s="93" t="s">
        <v>370</v>
      </c>
      <c r="F38" s="92" t="s">
        <v>341</v>
      </c>
      <c r="G38" s="92" t="s">
        <v>213</v>
      </c>
      <c r="H38" s="92" t="s">
        <v>11</v>
      </c>
      <c r="I38" s="92" t="s">
        <v>293</v>
      </c>
      <c r="J38" s="93" t="s">
        <v>214</v>
      </c>
      <c r="K38" s="92" t="s">
        <v>342</v>
      </c>
      <c r="L38" s="92" t="s">
        <v>308</v>
      </c>
      <c r="M38" s="92" t="s">
        <v>348</v>
      </c>
      <c r="N38" s="94">
        <v>86.8</v>
      </c>
      <c r="O38" s="94">
        <f>N38*VLOOKUP(H38,dagsoorttabel1,2,FALSE)</f>
        <v>52.08</v>
      </c>
      <c r="P38" s="95">
        <f>prodnorm29</f>
        <v>0</v>
      </c>
      <c r="Q38" s="92" t="s">
        <v>97</v>
      </c>
      <c r="R38" s="26">
        <f>uurtarief29</f>
        <v>0</v>
      </c>
      <c r="S38" s="94" t="e">
        <f>IF(ISBLANK(P38),0,O38/ROUND(P38,4))</f>
        <v>#DIV/0!</v>
      </c>
      <c r="T38" s="26" t="e">
        <f>ROUND(R38,2)*S38</f>
        <v>#DIV/0!</v>
      </c>
      <c r="U38" s="94" t="e">
        <f>S38*dagenperjaar1</f>
        <v>#DIV/0!</v>
      </c>
      <c r="V38" s="27" t="e">
        <f>U38*ROUND(R38,2)</f>
        <v>#DIV/0!</v>
      </c>
    </row>
    <row r="39" spans="1:22" x14ac:dyDescent="0.4">
      <c r="A39" s="91" t="s">
        <v>291</v>
      </c>
      <c r="B39" s="92" t="s">
        <v>297</v>
      </c>
      <c r="C39" s="92" t="s">
        <v>368</v>
      </c>
      <c r="D39" s="92" t="s">
        <v>371</v>
      </c>
      <c r="E39" s="93" t="s">
        <v>344</v>
      </c>
      <c r="F39" s="92" t="s">
        <v>341</v>
      </c>
      <c r="G39" s="92" t="s">
        <v>233</v>
      </c>
      <c r="H39" s="92" t="s">
        <v>11</v>
      </c>
      <c r="I39" s="92" t="s">
        <v>293</v>
      </c>
      <c r="J39" s="93" t="s">
        <v>234</v>
      </c>
      <c r="K39" s="92" t="s">
        <v>320</v>
      </c>
      <c r="L39" s="92" t="s">
        <v>308</v>
      </c>
      <c r="M39" s="92" t="s">
        <v>348</v>
      </c>
      <c r="N39" s="94">
        <v>47.67</v>
      </c>
      <c r="O39" s="94">
        <f>N39*VLOOKUP(H39,dagsoorttabel1,2,FALSE)</f>
        <v>28.602</v>
      </c>
      <c r="P39" s="95">
        <f>prodnorm43</f>
        <v>0</v>
      </c>
      <c r="Q39" s="92" t="s">
        <v>97</v>
      </c>
      <c r="R39" s="26">
        <f>uurtarief43</f>
        <v>0</v>
      </c>
      <c r="S39" s="94" t="e">
        <f>IF(ISBLANK(P39),0,O39/ROUND(P39,4))</f>
        <v>#DIV/0!</v>
      </c>
      <c r="T39" s="26" t="e">
        <f>ROUND(R39,2)*S39</f>
        <v>#DIV/0!</v>
      </c>
      <c r="U39" s="94" t="e">
        <f>S39*dagenperjaar1</f>
        <v>#DIV/0!</v>
      </c>
      <c r="V39" s="27" t="e">
        <f>U39*ROUND(R39,2)</f>
        <v>#DIV/0!</v>
      </c>
    </row>
    <row r="40" spans="1:22" x14ac:dyDescent="0.4">
      <c r="A40" s="91" t="s">
        <v>291</v>
      </c>
      <c r="B40" s="92" t="s">
        <v>297</v>
      </c>
      <c r="C40" s="92" t="s">
        <v>368</v>
      </c>
      <c r="D40" s="92" t="s">
        <v>372</v>
      </c>
      <c r="E40" s="93" t="s">
        <v>373</v>
      </c>
      <c r="F40" s="92" t="s">
        <v>341</v>
      </c>
      <c r="G40" s="92" t="s">
        <v>213</v>
      </c>
      <c r="H40" s="92" t="s">
        <v>11</v>
      </c>
      <c r="I40" s="92" t="s">
        <v>293</v>
      </c>
      <c r="J40" s="93" t="s">
        <v>214</v>
      </c>
      <c r="K40" s="92" t="s">
        <v>342</v>
      </c>
      <c r="L40" s="92" t="s">
        <v>374</v>
      </c>
      <c r="M40" s="92" t="s">
        <v>348</v>
      </c>
      <c r="N40" s="94">
        <v>12</v>
      </c>
      <c r="O40" s="94">
        <f>N40*VLOOKUP(H40,dagsoorttabel1,2,FALSE)</f>
        <v>7.1999999999999993</v>
      </c>
      <c r="P40" s="95">
        <f>prodnorm29</f>
        <v>0</v>
      </c>
      <c r="Q40" s="92" t="s">
        <v>97</v>
      </c>
      <c r="R40" s="26">
        <f>uurtarief29</f>
        <v>0</v>
      </c>
      <c r="S40" s="94" t="e">
        <f>IF(ISBLANK(P40),0,O40/ROUND(P40,4))</f>
        <v>#DIV/0!</v>
      </c>
      <c r="T40" s="26" t="e">
        <f>ROUND(R40,2)*S40</f>
        <v>#DIV/0!</v>
      </c>
      <c r="U40" s="94" t="e">
        <f>S40*dagenperjaar1</f>
        <v>#DIV/0!</v>
      </c>
      <c r="V40" s="27" t="e">
        <f>U40*ROUND(R40,2)</f>
        <v>#DIV/0!</v>
      </c>
    </row>
    <row r="41" spans="1:22" ht="29.15" x14ac:dyDescent="0.4">
      <c r="A41" s="91" t="s">
        <v>291</v>
      </c>
      <c r="B41" s="92" t="s">
        <v>297</v>
      </c>
      <c r="C41" s="92" t="s">
        <v>368</v>
      </c>
      <c r="D41" s="92" t="s">
        <v>375</v>
      </c>
      <c r="E41" s="93" t="s">
        <v>376</v>
      </c>
      <c r="F41" s="92" t="s">
        <v>341</v>
      </c>
      <c r="G41" s="92" t="s">
        <v>213</v>
      </c>
      <c r="H41" s="92" t="s">
        <v>11</v>
      </c>
      <c r="I41" s="92" t="s">
        <v>293</v>
      </c>
      <c r="J41" s="93" t="s">
        <v>214</v>
      </c>
      <c r="K41" s="92" t="s">
        <v>342</v>
      </c>
      <c r="L41" s="92" t="s">
        <v>374</v>
      </c>
      <c r="M41" s="92" t="s">
        <v>348</v>
      </c>
      <c r="N41" s="94">
        <v>12</v>
      </c>
      <c r="O41" s="94">
        <f>N41*VLOOKUP(H41,dagsoorttabel1,2,FALSE)</f>
        <v>7.1999999999999993</v>
      </c>
      <c r="P41" s="95">
        <f>prodnorm29</f>
        <v>0</v>
      </c>
      <c r="Q41" s="92" t="s">
        <v>97</v>
      </c>
      <c r="R41" s="26">
        <f>uurtarief29</f>
        <v>0</v>
      </c>
      <c r="S41" s="94" t="e">
        <f>IF(ISBLANK(P41),0,O41/ROUND(P41,4))</f>
        <v>#DIV/0!</v>
      </c>
      <c r="T41" s="26" t="e">
        <f>ROUND(R41,2)*S41</f>
        <v>#DIV/0!</v>
      </c>
      <c r="U41" s="94" t="e">
        <f>S41*dagenperjaar1</f>
        <v>#DIV/0!</v>
      </c>
      <c r="V41" s="27" t="e">
        <f>U41*ROUND(R41,2)</f>
        <v>#DIV/0!</v>
      </c>
    </row>
    <row r="42" spans="1:22" x14ac:dyDescent="0.4">
      <c r="A42" s="91" t="s">
        <v>291</v>
      </c>
      <c r="B42" s="92" t="s">
        <v>297</v>
      </c>
      <c r="C42" s="92" t="s">
        <v>368</v>
      </c>
      <c r="D42" s="92" t="s">
        <v>377</v>
      </c>
      <c r="E42" s="93" t="s">
        <v>378</v>
      </c>
      <c r="F42" s="92" t="s">
        <v>341</v>
      </c>
      <c r="G42" s="92" t="s">
        <v>213</v>
      </c>
      <c r="H42" s="92" t="s">
        <v>9</v>
      </c>
      <c r="I42" s="92" t="s">
        <v>293</v>
      </c>
      <c r="J42" s="93" t="s">
        <v>214</v>
      </c>
      <c r="K42" s="92" t="s">
        <v>342</v>
      </c>
      <c r="L42" s="92" t="s">
        <v>347</v>
      </c>
      <c r="M42" s="92" t="s">
        <v>348</v>
      </c>
      <c r="N42" s="94">
        <v>45.02</v>
      </c>
      <c r="O42" s="94">
        <f>N42*VLOOKUP(H42,dagsoorttabel1,2,FALSE)</f>
        <v>45.02</v>
      </c>
      <c r="P42" s="95">
        <f>prodnorm30</f>
        <v>0</v>
      </c>
      <c r="Q42" s="92" t="s">
        <v>97</v>
      </c>
      <c r="R42" s="26">
        <f>uurtarief30</f>
        <v>0</v>
      </c>
      <c r="S42" s="94" t="e">
        <f>IF(ISBLANK(P42),0,O42/ROUND(P42,4))</f>
        <v>#DIV/0!</v>
      </c>
      <c r="T42" s="26" t="e">
        <f>ROUND(R42,2)*S42</f>
        <v>#DIV/0!</v>
      </c>
      <c r="U42" s="94" t="e">
        <f>S42*dagenperjaar1</f>
        <v>#DIV/0!</v>
      </c>
      <c r="V42" s="27" t="e">
        <f>U42*ROUND(R42,2)</f>
        <v>#DIV/0!</v>
      </c>
    </row>
    <row r="43" spans="1:22" x14ac:dyDescent="0.4">
      <c r="A43" s="91" t="s">
        <v>291</v>
      </c>
      <c r="B43" s="92" t="s">
        <v>297</v>
      </c>
      <c r="C43" s="92" t="s">
        <v>368</v>
      </c>
      <c r="D43" s="92" t="s">
        <v>379</v>
      </c>
      <c r="E43" s="93" t="s">
        <v>380</v>
      </c>
      <c r="F43" s="92" t="s">
        <v>341</v>
      </c>
      <c r="G43" s="92" t="s">
        <v>205</v>
      </c>
      <c r="H43" s="92" t="s">
        <v>11</v>
      </c>
      <c r="I43" s="92" t="s">
        <v>293</v>
      </c>
      <c r="J43" s="93" t="s">
        <v>206</v>
      </c>
      <c r="K43" s="92" t="s">
        <v>342</v>
      </c>
      <c r="L43" s="92" t="s">
        <v>308</v>
      </c>
      <c r="M43" s="92" t="s">
        <v>348</v>
      </c>
      <c r="N43" s="94">
        <v>5.5</v>
      </c>
      <c r="O43" s="94">
        <f>N43*VLOOKUP(H43,dagsoorttabel1,2,FALSE)</f>
        <v>3.3</v>
      </c>
      <c r="P43" s="95">
        <f>prodnorm24</f>
        <v>0</v>
      </c>
      <c r="Q43" s="92" t="s">
        <v>97</v>
      </c>
      <c r="R43" s="26">
        <f>uurtarief24</f>
        <v>0</v>
      </c>
      <c r="S43" s="94" t="e">
        <f>IF(ISBLANK(P43),0,O43/ROUND(P43,4))</f>
        <v>#DIV/0!</v>
      </c>
      <c r="T43" s="26" t="e">
        <f>ROUND(R43,2)*S43</f>
        <v>#DIV/0!</v>
      </c>
      <c r="U43" s="94" t="e">
        <f>S43*dagenperjaar1</f>
        <v>#DIV/0!</v>
      </c>
      <c r="V43" s="27" t="e">
        <f>U43*ROUND(R43,2)</f>
        <v>#DIV/0!</v>
      </c>
    </row>
    <row r="44" spans="1:22" x14ac:dyDescent="0.4">
      <c r="A44" s="91" t="s">
        <v>291</v>
      </c>
      <c r="B44" s="92" t="s">
        <v>297</v>
      </c>
      <c r="C44" s="92" t="s">
        <v>368</v>
      </c>
      <c r="D44" s="92" t="s">
        <v>381</v>
      </c>
      <c r="E44" s="93" t="s">
        <v>382</v>
      </c>
      <c r="F44" s="92" t="s">
        <v>341</v>
      </c>
      <c r="G44" s="92" t="s">
        <v>205</v>
      </c>
      <c r="H44" s="92" t="s">
        <v>11</v>
      </c>
      <c r="I44" s="92" t="s">
        <v>293</v>
      </c>
      <c r="J44" s="93" t="s">
        <v>206</v>
      </c>
      <c r="K44" s="92" t="s">
        <v>342</v>
      </c>
      <c r="L44" s="92" t="s">
        <v>308</v>
      </c>
      <c r="M44" s="92" t="s">
        <v>348</v>
      </c>
      <c r="N44" s="94">
        <v>6</v>
      </c>
      <c r="O44" s="94">
        <f>N44*VLOOKUP(H44,dagsoorttabel1,2,FALSE)</f>
        <v>3.5999999999999996</v>
      </c>
      <c r="P44" s="95">
        <f>prodnorm24</f>
        <v>0</v>
      </c>
      <c r="Q44" s="92" t="s">
        <v>97</v>
      </c>
      <c r="R44" s="26">
        <f>uurtarief24</f>
        <v>0</v>
      </c>
      <c r="S44" s="94" t="e">
        <f>IF(ISBLANK(P44),0,O44/ROUND(P44,4))</f>
        <v>#DIV/0!</v>
      </c>
      <c r="T44" s="26" t="e">
        <f>ROUND(R44,2)*S44</f>
        <v>#DIV/0!</v>
      </c>
      <c r="U44" s="94" t="e">
        <f>S44*dagenperjaar1</f>
        <v>#DIV/0!</v>
      </c>
      <c r="V44" s="27" t="e">
        <f>U44*ROUND(R44,2)</f>
        <v>#DIV/0!</v>
      </c>
    </row>
    <row r="45" spans="1:22" ht="29.15" x14ac:dyDescent="0.4">
      <c r="A45" s="91" t="s">
        <v>291</v>
      </c>
      <c r="B45" s="92" t="s">
        <v>297</v>
      </c>
      <c r="C45" s="92" t="s">
        <v>368</v>
      </c>
      <c r="D45" s="92" t="s">
        <v>383</v>
      </c>
      <c r="E45" s="93" t="s">
        <v>384</v>
      </c>
      <c r="F45" s="92" t="s">
        <v>341</v>
      </c>
      <c r="G45" s="92" t="s">
        <v>205</v>
      </c>
      <c r="H45" s="92" t="s">
        <v>11</v>
      </c>
      <c r="I45" s="92" t="s">
        <v>293</v>
      </c>
      <c r="J45" s="93" t="s">
        <v>206</v>
      </c>
      <c r="K45" s="92" t="s">
        <v>342</v>
      </c>
      <c r="L45" s="92" t="s">
        <v>308</v>
      </c>
      <c r="M45" s="92" t="s">
        <v>348</v>
      </c>
      <c r="N45" s="94">
        <v>133.69</v>
      </c>
      <c r="O45" s="94">
        <f>N45*VLOOKUP(H45,dagsoorttabel1,2,FALSE)</f>
        <v>80.213999999999999</v>
      </c>
      <c r="P45" s="95">
        <f>prodnorm24</f>
        <v>0</v>
      </c>
      <c r="Q45" s="92" t="s">
        <v>97</v>
      </c>
      <c r="R45" s="26">
        <f>uurtarief24</f>
        <v>0</v>
      </c>
      <c r="S45" s="94" t="e">
        <f>IF(ISBLANK(P45),0,O45/ROUND(P45,4))</f>
        <v>#DIV/0!</v>
      </c>
      <c r="T45" s="26" t="e">
        <f>ROUND(R45,2)*S45</f>
        <v>#DIV/0!</v>
      </c>
      <c r="U45" s="94" t="e">
        <f>S45*dagenperjaar1</f>
        <v>#DIV/0!</v>
      </c>
      <c r="V45" s="27" t="e">
        <f>U45*ROUND(R45,2)</f>
        <v>#DIV/0!</v>
      </c>
    </row>
    <row r="46" spans="1:22" x14ac:dyDescent="0.4">
      <c r="A46" s="91" t="s">
        <v>291</v>
      </c>
      <c r="B46" s="92" t="s">
        <v>297</v>
      </c>
      <c r="C46" s="92" t="s">
        <v>368</v>
      </c>
      <c r="D46" s="92" t="s">
        <v>385</v>
      </c>
      <c r="E46" s="93" t="s">
        <v>386</v>
      </c>
      <c r="F46" s="92" t="s">
        <v>341</v>
      </c>
      <c r="G46" s="92" t="s">
        <v>233</v>
      </c>
      <c r="H46" s="92" t="s">
        <v>11</v>
      </c>
      <c r="I46" s="92" t="s">
        <v>293</v>
      </c>
      <c r="J46" s="93" t="s">
        <v>234</v>
      </c>
      <c r="K46" s="92" t="s">
        <v>320</v>
      </c>
      <c r="L46" s="92" t="s">
        <v>308</v>
      </c>
      <c r="M46" s="92" t="s">
        <v>348</v>
      </c>
      <c r="N46" s="94">
        <v>29.84</v>
      </c>
      <c r="O46" s="94">
        <f>N46*VLOOKUP(H46,dagsoorttabel1,2,FALSE)</f>
        <v>17.904</v>
      </c>
      <c r="P46" s="95">
        <f>prodnorm43</f>
        <v>0</v>
      </c>
      <c r="Q46" s="92" t="s">
        <v>97</v>
      </c>
      <c r="R46" s="26">
        <f>uurtarief43</f>
        <v>0</v>
      </c>
      <c r="S46" s="94" t="e">
        <f>IF(ISBLANK(P46),0,O46/ROUND(P46,4))</f>
        <v>#DIV/0!</v>
      </c>
      <c r="T46" s="26" t="e">
        <f>ROUND(R46,2)*S46</f>
        <v>#DIV/0!</v>
      </c>
      <c r="U46" s="94" t="e">
        <f>S46*dagenperjaar1</f>
        <v>#DIV/0!</v>
      </c>
      <c r="V46" s="27" t="e">
        <f>U46*ROUND(R46,2)</f>
        <v>#DIV/0!</v>
      </c>
    </row>
    <row r="47" spans="1:22" ht="29.15" x14ac:dyDescent="0.4">
      <c r="A47" s="91" t="s">
        <v>291</v>
      </c>
      <c r="B47" s="92" t="s">
        <v>297</v>
      </c>
      <c r="C47" s="92" t="s">
        <v>368</v>
      </c>
      <c r="D47" s="92" t="s">
        <v>387</v>
      </c>
      <c r="E47" s="93" t="s">
        <v>388</v>
      </c>
      <c r="F47" s="92" t="s">
        <v>341</v>
      </c>
      <c r="G47" s="92" t="s">
        <v>205</v>
      </c>
      <c r="H47" s="92" t="s">
        <v>11</v>
      </c>
      <c r="I47" s="92" t="s">
        <v>293</v>
      </c>
      <c r="J47" s="93" t="s">
        <v>206</v>
      </c>
      <c r="K47" s="92" t="s">
        <v>342</v>
      </c>
      <c r="L47" s="92" t="s">
        <v>308</v>
      </c>
      <c r="M47" s="92" t="s">
        <v>348</v>
      </c>
      <c r="N47" s="94">
        <v>57.44</v>
      </c>
      <c r="O47" s="94">
        <f>N47*VLOOKUP(H47,dagsoorttabel1,2,FALSE)</f>
        <v>34.463999999999999</v>
      </c>
      <c r="P47" s="95">
        <f>prodnorm24</f>
        <v>0</v>
      </c>
      <c r="Q47" s="92" t="s">
        <v>97</v>
      </c>
      <c r="R47" s="26">
        <f>uurtarief24</f>
        <v>0</v>
      </c>
      <c r="S47" s="94" t="e">
        <f>IF(ISBLANK(P47),0,O47/ROUND(P47,4))</f>
        <v>#DIV/0!</v>
      </c>
      <c r="T47" s="26" t="e">
        <f>ROUND(R47,2)*S47</f>
        <v>#DIV/0!</v>
      </c>
      <c r="U47" s="94" t="e">
        <f>S47*dagenperjaar1</f>
        <v>#DIV/0!</v>
      </c>
      <c r="V47" s="27" t="e">
        <f>U47*ROUND(R47,2)</f>
        <v>#DIV/0!</v>
      </c>
    </row>
    <row r="48" spans="1:22" x14ac:dyDescent="0.4">
      <c r="A48" s="91" t="s">
        <v>291</v>
      </c>
      <c r="B48" s="92" t="s">
        <v>297</v>
      </c>
      <c r="C48" s="92" t="s">
        <v>368</v>
      </c>
      <c r="D48" s="92" t="s">
        <v>389</v>
      </c>
      <c r="E48" s="93" t="s">
        <v>380</v>
      </c>
      <c r="F48" s="92" t="s">
        <v>341</v>
      </c>
      <c r="G48" s="92" t="s">
        <v>205</v>
      </c>
      <c r="H48" s="92" t="s">
        <v>11</v>
      </c>
      <c r="I48" s="92" t="s">
        <v>293</v>
      </c>
      <c r="J48" s="93" t="s">
        <v>206</v>
      </c>
      <c r="K48" s="92" t="s">
        <v>342</v>
      </c>
      <c r="L48" s="92" t="s">
        <v>308</v>
      </c>
      <c r="M48" s="92" t="s">
        <v>348</v>
      </c>
      <c r="N48" s="94">
        <v>4.4000000000000004</v>
      </c>
      <c r="O48" s="94">
        <f>N48*VLOOKUP(H48,dagsoorttabel1,2,FALSE)</f>
        <v>2.64</v>
      </c>
      <c r="P48" s="95">
        <f>prodnorm24</f>
        <v>0</v>
      </c>
      <c r="Q48" s="92" t="s">
        <v>97</v>
      </c>
      <c r="R48" s="26">
        <f>uurtarief24</f>
        <v>0</v>
      </c>
      <c r="S48" s="94" t="e">
        <f>IF(ISBLANK(P48),0,O48/ROUND(P48,4))</f>
        <v>#DIV/0!</v>
      </c>
      <c r="T48" s="26" t="e">
        <f>ROUND(R48,2)*S48</f>
        <v>#DIV/0!</v>
      </c>
      <c r="U48" s="94" t="e">
        <f>S48*dagenperjaar1</f>
        <v>#DIV/0!</v>
      </c>
      <c r="V48" s="27" t="e">
        <f>U48*ROUND(R48,2)</f>
        <v>#DIV/0!</v>
      </c>
    </row>
    <row r="49" spans="1:22" x14ac:dyDescent="0.4">
      <c r="A49" s="91" t="s">
        <v>291</v>
      </c>
      <c r="B49" s="92" t="s">
        <v>297</v>
      </c>
      <c r="C49" s="92" t="s">
        <v>368</v>
      </c>
      <c r="D49" s="92" t="s">
        <v>390</v>
      </c>
      <c r="E49" s="93" t="s">
        <v>382</v>
      </c>
      <c r="F49" s="92" t="s">
        <v>341</v>
      </c>
      <c r="G49" s="92" t="s">
        <v>205</v>
      </c>
      <c r="H49" s="92" t="s">
        <v>11</v>
      </c>
      <c r="I49" s="92" t="s">
        <v>293</v>
      </c>
      <c r="J49" s="93" t="s">
        <v>206</v>
      </c>
      <c r="K49" s="92" t="s">
        <v>342</v>
      </c>
      <c r="L49" s="92" t="s">
        <v>308</v>
      </c>
      <c r="M49" s="92" t="s">
        <v>348</v>
      </c>
      <c r="N49" s="94">
        <v>4.8</v>
      </c>
      <c r="O49" s="94">
        <f>N49*VLOOKUP(H49,dagsoorttabel1,2,FALSE)</f>
        <v>2.88</v>
      </c>
      <c r="P49" s="95">
        <f>prodnorm24</f>
        <v>0</v>
      </c>
      <c r="Q49" s="92" t="s">
        <v>97</v>
      </c>
      <c r="R49" s="26">
        <f>uurtarief24</f>
        <v>0</v>
      </c>
      <c r="S49" s="94" t="e">
        <f>IF(ISBLANK(P49),0,O49/ROUND(P49,4))</f>
        <v>#DIV/0!</v>
      </c>
      <c r="T49" s="26" t="e">
        <f>ROUND(R49,2)*S49</f>
        <v>#DIV/0!</v>
      </c>
      <c r="U49" s="94" t="e">
        <f>S49*dagenperjaar1</f>
        <v>#DIV/0!</v>
      </c>
      <c r="V49" s="27" t="e">
        <f>U49*ROUND(R49,2)</f>
        <v>#DIV/0!</v>
      </c>
    </row>
    <row r="50" spans="1:22" x14ac:dyDescent="0.4">
      <c r="A50" s="91" t="s">
        <v>291</v>
      </c>
      <c r="B50" s="92" t="s">
        <v>297</v>
      </c>
      <c r="C50" s="92" t="s">
        <v>368</v>
      </c>
      <c r="D50" s="92" t="s">
        <v>391</v>
      </c>
      <c r="E50" s="93" t="s">
        <v>392</v>
      </c>
      <c r="F50" s="92" t="s">
        <v>341</v>
      </c>
      <c r="G50" s="92" t="s">
        <v>205</v>
      </c>
      <c r="H50" s="92" t="s">
        <v>11</v>
      </c>
      <c r="I50" s="92" t="s">
        <v>293</v>
      </c>
      <c r="J50" s="93" t="s">
        <v>206</v>
      </c>
      <c r="K50" s="92" t="s">
        <v>342</v>
      </c>
      <c r="L50" s="92" t="s">
        <v>308</v>
      </c>
      <c r="M50" s="92" t="s">
        <v>348</v>
      </c>
      <c r="N50" s="94">
        <v>4.8</v>
      </c>
      <c r="O50" s="94">
        <f>N50*VLOOKUP(H50,dagsoorttabel1,2,FALSE)</f>
        <v>2.88</v>
      </c>
      <c r="P50" s="95">
        <f>prodnorm24</f>
        <v>0</v>
      </c>
      <c r="Q50" s="92" t="s">
        <v>97</v>
      </c>
      <c r="R50" s="26">
        <f>uurtarief24</f>
        <v>0</v>
      </c>
      <c r="S50" s="94" t="e">
        <f>IF(ISBLANK(P50),0,O50/ROUND(P50,4))</f>
        <v>#DIV/0!</v>
      </c>
      <c r="T50" s="26" t="e">
        <f>ROUND(R50,2)*S50</f>
        <v>#DIV/0!</v>
      </c>
      <c r="U50" s="94" t="e">
        <f>S50*dagenperjaar1</f>
        <v>#DIV/0!</v>
      </c>
      <c r="V50" s="27" t="e">
        <f>U50*ROUND(R50,2)</f>
        <v>#DIV/0!</v>
      </c>
    </row>
    <row r="51" spans="1:22" x14ac:dyDescent="0.4">
      <c r="A51" s="91" t="s">
        <v>291</v>
      </c>
      <c r="B51" s="92" t="s">
        <v>297</v>
      </c>
      <c r="C51" s="92" t="s">
        <v>368</v>
      </c>
      <c r="D51" s="92" t="s">
        <v>393</v>
      </c>
      <c r="E51" s="93" t="s">
        <v>394</v>
      </c>
      <c r="F51" s="92" t="s">
        <v>341</v>
      </c>
      <c r="G51" s="92" t="s">
        <v>233</v>
      </c>
      <c r="H51" s="92" t="s">
        <v>11</v>
      </c>
      <c r="I51" s="92" t="s">
        <v>293</v>
      </c>
      <c r="J51" s="93" t="s">
        <v>234</v>
      </c>
      <c r="K51" s="92" t="s">
        <v>320</v>
      </c>
      <c r="L51" s="92" t="s">
        <v>347</v>
      </c>
      <c r="M51" s="92" t="s">
        <v>295</v>
      </c>
      <c r="N51" s="94">
        <v>7.5</v>
      </c>
      <c r="O51" s="94">
        <f>N51*VLOOKUP(H51,dagsoorttabel1,2,FALSE)</f>
        <v>4.5</v>
      </c>
      <c r="P51" s="95">
        <f>prodnorm43</f>
        <v>0</v>
      </c>
      <c r="Q51" s="92" t="s">
        <v>97</v>
      </c>
      <c r="R51" s="26">
        <f>uurtarief43</f>
        <v>0</v>
      </c>
      <c r="S51" s="94" t="e">
        <f>IF(ISBLANK(P51),0,O51/ROUND(P51,4))</f>
        <v>#DIV/0!</v>
      </c>
      <c r="T51" s="26" t="e">
        <f>ROUND(R51,2)*S51</f>
        <v>#DIV/0!</v>
      </c>
      <c r="U51" s="94" t="e">
        <f>S51*dagenperjaar1</f>
        <v>#DIV/0!</v>
      </c>
      <c r="V51" s="27" t="e">
        <f>U51*ROUND(R51,2)</f>
        <v>#DIV/0!</v>
      </c>
    </row>
    <row r="52" spans="1:22" x14ac:dyDescent="0.4">
      <c r="A52" s="91" t="s">
        <v>291</v>
      </c>
      <c r="B52" s="92" t="s">
        <v>297</v>
      </c>
      <c r="C52" s="92" t="s">
        <v>395</v>
      </c>
      <c r="D52" s="92" t="s">
        <v>396</v>
      </c>
      <c r="E52" s="93" t="s">
        <v>397</v>
      </c>
      <c r="F52" s="92" t="s">
        <v>315</v>
      </c>
      <c r="G52" s="92" t="s">
        <v>239</v>
      </c>
      <c r="H52" s="92" t="s">
        <v>11</v>
      </c>
      <c r="I52" s="92" t="s">
        <v>293</v>
      </c>
      <c r="J52" s="93" t="s">
        <v>240</v>
      </c>
      <c r="K52" s="92" t="s">
        <v>320</v>
      </c>
      <c r="L52" s="92" t="s">
        <v>308</v>
      </c>
      <c r="M52" s="92" t="s">
        <v>348</v>
      </c>
      <c r="N52" s="94">
        <v>7.7</v>
      </c>
      <c r="O52" s="94">
        <f>N52*VLOOKUP(H52,dagsoorttabel1,2,FALSE)</f>
        <v>4.62</v>
      </c>
      <c r="P52" s="95">
        <f>prodnorm47</f>
        <v>0</v>
      </c>
      <c r="Q52" s="92" t="s">
        <v>97</v>
      </c>
      <c r="R52" s="26">
        <f>uurtarief47</f>
        <v>0</v>
      </c>
      <c r="S52" s="94" t="e">
        <f>IF(ISBLANK(P52),0,O52/ROUND(P52,4))</f>
        <v>#DIV/0!</v>
      </c>
      <c r="T52" s="26" t="e">
        <f>ROUND(R52,2)*S52</f>
        <v>#DIV/0!</v>
      </c>
      <c r="U52" s="94" t="e">
        <f>S52*dagenperjaar1</f>
        <v>#DIV/0!</v>
      </c>
      <c r="V52" s="27" t="e">
        <f>U52*ROUND(R52,2)</f>
        <v>#DIV/0!</v>
      </c>
    </row>
    <row r="53" spans="1:22" x14ac:dyDescent="0.4">
      <c r="A53" s="91" t="s">
        <v>291</v>
      </c>
      <c r="B53" s="92" t="s">
        <v>297</v>
      </c>
      <c r="C53" s="92" t="s">
        <v>395</v>
      </c>
      <c r="D53" s="92" t="s">
        <v>398</v>
      </c>
      <c r="E53" s="93" t="s">
        <v>399</v>
      </c>
      <c r="F53" s="92" t="s">
        <v>315</v>
      </c>
      <c r="G53" s="92" t="s">
        <v>231</v>
      </c>
      <c r="H53" s="92" t="s">
        <v>9</v>
      </c>
      <c r="I53" s="92" t="s">
        <v>293</v>
      </c>
      <c r="J53" s="93" t="s">
        <v>232</v>
      </c>
      <c r="K53" s="92" t="s">
        <v>320</v>
      </c>
      <c r="L53" s="92" t="s">
        <v>294</v>
      </c>
      <c r="M53" s="92" t="s">
        <v>295</v>
      </c>
      <c r="N53" s="94">
        <v>49.8</v>
      </c>
      <c r="O53" s="94">
        <f>N53*VLOOKUP(H53,dagsoorttabel1,2,FALSE)</f>
        <v>49.8</v>
      </c>
      <c r="P53" s="95">
        <f>prodnorm42</f>
        <v>0</v>
      </c>
      <c r="Q53" s="92" t="s">
        <v>97</v>
      </c>
      <c r="R53" s="26">
        <f>uurtarief42</f>
        <v>0</v>
      </c>
      <c r="S53" s="94" t="e">
        <f>IF(ISBLANK(P53),0,O53/ROUND(P53,4))</f>
        <v>#DIV/0!</v>
      </c>
      <c r="T53" s="26" t="e">
        <f>ROUND(R53,2)*S53</f>
        <v>#DIV/0!</v>
      </c>
      <c r="U53" s="94" t="e">
        <f>S53*dagenperjaar1</f>
        <v>#DIV/0!</v>
      </c>
      <c r="V53" s="27" t="e">
        <f>U53*ROUND(R53,2)</f>
        <v>#DIV/0!</v>
      </c>
    </row>
    <row r="54" spans="1:22" x14ac:dyDescent="0.4">
      <c r="A54" s="91" t="s">
        <v>291</v>
      </c>
      <c r="B54" s="92" t="s">
        <v>297</v>
      </c>
      <c r="C54" s="92" t="s">
        <v>395</v>
      </c>
      <c r="D54" s="92" t="s">
        <v>400</v>
      </c>
      <c r="E54" s="93" t="s">
        <v>401</v>
      </c>
      <c r="F54" s="92" t="s">
        <v>341</v>
      </c>
      <c r="G54" s="92" t="s">
        <v>241</v>
      </c>
      <c r="H54" s="92" t="s">
        <v>11</v>
      </c>
      <c r="I54" s="92" t="s">
        <v>293</v>
      </c>
      <c r="J54" s="93" t="s">
        <v>242</v>
      </c>
      <c r="K54" s="92" t="s">
        <v>320</v>
      </c>
      <c r="L54" s="92" t="s">
        <v>402</v>
      </c>
      <c r="M54" s="92" t="s">
        <v>348</v>
      </c>
      <c r="N54" s="94">
        <v>59.8</v>
      </c>
      <c r="O54" s="94">
        <f>N54*VLOOKUP(H54,dagsoorttabel1,2,FALSE)</f>
        <v>35.879999999999995</v>
      </c>
      <c r="P54" s="95">
        <f>prodnorm48</f>
        <v>0</v>
      </c>
      <c r="Q54" s="92" t="s">
        <v>97</v>
      </c>
      <c r="R54" s="26">
        <f>uurtarief48</f>
        <v>0</v>
      </c>
      <c r="S54" s="94" t="e">
        <f>IF(ISBLANK(P54),0,O54/ROUND(P54,4))</f>
        <v>#DIV/0!</v>
      </c>
      <c r="T54" s="26" t="e">
        <f>ROUND(R54,2)*S54</f>
        <v>#DIV/0!</v>
      </c>
      <c r="U54" s="94" t="e">
        <f>S54*dagenperjaar1</f>
        <v>#DIV/0!</v>
      </c>
      <c r="V54" s="27" t="e">
        <f>U54*ROUND(R54,2)</f>
        <v>#DIV/0!</v>
      </c>
    </row>
    <row r="55" spans="1:22" x14ac:dyDescent="0.4">
      <c r="A55" s="91" t="s">
        <v>291</v>
      </c>
      <c r="B55" s="92" t="s">
        <v>297</v>
      </c>
      <c r="C55" s="92" t="s">
        <v>395</v>
      </c>
      <c r="D55" s="92" t="s">
        <v>403</v>
      </c>
      <c r="E55" s="93" t="s">
        <v>404</v>
      </c>
      <c r="F55" s="92" t="s">
        <v>341</v>
      </c>
      <c r="G55" s="92" t="s">
        <v>205</v>
      </c>
      <c r="H55" s="92" t="s">
        <v>11</v>
      </c>
      <c r="I55" s="92" t="s">
        <v>293</v>
      </c>
      <c r="J55" s="93" t="s">
        <v>206</v>
      </c>
      <c r="K55" s="92" t="s">
        <v>342</v>
      </c>
      <c r="L55" s="92" t="s">
        <v>402</v>
      </c>
      <c r="M55" s="92" t="s">
        <v>348</v>
      </c>
      <c r="N55" s="94">
        <v>40.36</v>
      </c>
      <c r="O55" s="94">
        <f>N55*VLOOKUP(H55,dagsoorttabel1,2,FALSE)</f>
        <v>24.215999999999998</v>
      </c>
      <c r="P55" s="95">
        <f>prodnorm24</f>
        <v>0</v>
      </c>
      <c r="Q55" s="92" t="s">
        <v>97</v>
      </c>
      <c r="R55" s="26">
        <f>uurtarief24</f>
        <v>0</v>
      </c>
      <c r="S55" s="94" t="e">
        <f>IF(ISBLANK(P55),0,O55/ROUND(P55,4))</f>
        <v>#DIV/0!</v>
      </c>
      <c r="T55" s="26" t="e">
        <f>ROUND(R55,2)*S55</f>
        <v>#DIV/0!</v>
      </c>
      <c r="U55" s="94" t="e">
        <f>S55*dagenperjaar1</f>
        <v>#DIV/0!</v>
      </c>
      <c r="V55" s="27" t="e">
        <f>U55*ROUND(R55,2)</f>
        <v>#DIV/0!</v>
      </c>
    </row>
    <row r="56" spans="1:22" x14ac:dyDescent="0.4">
      <c r="A56" s="91" t="s">
        <v>291</v>
      </c>
      <c r="B56" s="92" t="s">
        <v>297</v>
      </c>
      <c r="C56" s="92" t="s">
        <v>395</v>
      </c>
      <c r="D56" s="92" t="s">
        <v>405</v>
      </c>
      <c r="E56" s="93" t="s">
        <v>406</v>
      </c>
      <c r="F56" s="92" t="s">
        <v>341</v>
      </c>
      <c r="G56" s="92" t="s">
        <v>205</v>
      </c>
      <c r="H56" s="92" t="s">
        <v>11</v>
      </c>
      <c r="I56" s="92" t="s">
        <v>293</v>
      </c>
      <c r="J56" s="93" t="s">
        <v>206</v>
      </c>
      <c r="K56" s="92" t="s">
        <v>342</v>
      </c>
      <c r="L56" s="92" t="s">
        <v>402</v>
      </c>
      <c r="M56" s="92" t="s">
        <v>348</v>
      </c>
      <c r="N56" s="94">
        <v>4.4000000000000004</v>
      </c>
      <c r="O56" s="94">
        <f>N56*VLOOKUP(H56,dagsoorttabel1,2,FALSE)</f>
        <v>2.64</v>
      </c>
      <c r="P56" s="95">
        <f>prodnorm24</f>
        <v>0</v>
      </c>
      <c r="Q56" s="92" t="s">
        <v>97</v>
      </c>
      <c r="R56" s="26">
        <f>uurtarief24</f>
        <v>0</v>
      </c>
      <c r="S56" s="94" t="e">
        <f>IF(ISBLANK(P56),0,O56/ROUND(P56,4))</f>
        <v>#DIV/0!</v>
      </c>
      <c r="T56" s="26" t="e">
        <f>ROUND(R56,2)*S56</f>
        <v>#DIV/0!</v>
      </c>
      <c r="U56" s="94" t="e">
        <f>S56*dagenperjaar1</f>
        <v>#DIV/0!</v>
      </c>
      <c r="V56" s="27" t="e">
        <f>U56*ROUND(R56,2)</f>
        <v>#DIV/0!</v>
      </c>
    </row>
    <row r="57" spans="1:22" x14ac:dyDescent="0.4">
      <c r="A57" s="91" t="s">
        <v>291</v>
      </c>
      <c r="B57" s="92" t="s">
        <v>297</v>
      </c>
      <c r="C57" s="92" t="s">
        <v>395</v>
      </c>
      <c r="D57" s="92" t="s">
        <v>407</v>
      </c>
      <c r="E57" s="93" t="s">
        <v>408</v>
      </c>
      <c r="F57" s="92" t="s">
        <v>341</v>
      </c>
      <c r="G57" s="92" t="s">
        <v>205</v>
      </c>
      <c r="H57" s="92" t="s">
        <v>11</v>
      </c>
      <c r="I57" s="92" t="s">
        <v>293</v>
      </c>
      <c r="J57" s="93" t="s">
        <v>206</v>
      </c>
      <c r="K57" s="92" t="s">
        <v>342</v>
      </c>
      <c r="L57" s="92" t="s">
        <v>402</v>
      </c>
      <c r="M57" s="92" t="s">
        <v>348</v>
      </c>
      <c r="N57" s="94">
        <v>4.7</v>
      </c>
      <c r="O57" s="94">
        <f>N57*VLOOKUP(H57,dagsoorttabel1,2,FALSE)</f>
        <v>2.82</v>
      </c>
      <c r="P57" s="95">
        <f>prodnorm24</f>
        <v>0</v>
      </c>
      <c r="Q57" s="92" t="s">
        <v>97</v>
      </c>
      <c r="R57" s="26">
        <f>uurtarief24</f>
        <v>0</v>
      </c>
      <c r="S57" s="94" t="e">
        <f>IF(ISBLANK(P57),0,O57/ROUND(P57,4))</f>
        <v>#DIV/0!</v>
      </c>
      <c r="T57" s="26" t="e">
        <f>ROUND(R57,2)*S57</f>
        <v>#DIV/0!</v>
      </c>
      <c r="U57" s="94" t="e">
        <f>S57*dagenperjaar1</f>
        <v>#DIV/0!</v>
      </c>
      <c r="V57" s="27" t="e">
        <f>U57*ROUND(R57,2)</f>
        <v>#DIV/0!</v>
      </c>
    </row>
    <row r="58" spans="1:22" x14ac:dyDescent="0.4">
      <c r="A58" s="91" t="s">
        <v>291</v>
      </c>
      <c r="B58" s="92" t="s">
        <v>297</v>
      </c>
      <c r="C58" s="92" t="s">
        <v>395</v>
      </c>
      <c r="D58" s="92" t="s">
        <v>409</v>
      </c>
      <c r="E58" s="93" t="s">
        <v>410</v>
      </c>
      <c r="F58" s="92" t="s">
        <v>341</v>
      </c>
      <c r="G58" s="92" t="s">
        <v>205</v>
      </c>
      <c r="H58" s="92" t="s">
        <v>11</v>
      </c>
      <c r="I58" s="92" t="s">
        <v>293</v>
      </c>
      <c r="J58" s="93" t="s">
        <v>206</v>
      </c>
      <c r="K58" s="92" t="s">
        <v>342</v>
      </c>
      <c r="L58" s="92" t="s">
        <v>402</v>
      </c>
      <c r="M58" s="92" t="s">
        <v>348</v>
      </c>
      <c r="N58" s="94">
        <v>8.57</v>
      </c>
      <c r="O58" s="94">
        <f>N58*VLOOKUP(H58,dagsoorttabel1,2,FALSE)</f>
        <v>5.1420000000000003</v>
      </c>
      <c r="P58" s="95">
        <f>prodnorm24</f>
        <v>0</v>
      </c>
      <c r="Q58" s="92" t="s">
        <v>97</v>
      </c>
      <c r="R58" s="26">
        <f>uurtarief24</f>
        <v>0</v>
      </c>
      <c r="S58" s="94" t="e">
        <f>IF(ISBLANK(P58),0,O58/ROUND(P58,4))</f>
        <v>#DIV/0!</v>
      </c>
      <c r="T58" s="26" t="e">
        <f>ROUND(R58,2)*S58</f>
        <v>#DIV/0!</v>
      </c>
      <c r="U58" s="94" t="e">
        <f>S58*dagenperjaar1</f>
        <v>#DIV/0!</v>
      </c>
      <c r="V58" s="27" t="e">
        <f>U58*ROUND(R58,2)</f>
        <v>#DIV/0!</v>
      </c>
    </row>
    <row r="59" spans="1:22" x14ac:dyDescent="0.4">
      <c r="A59" s="91" t="s">
        <v>291</v>
      </c>
      <c r="B59" s="92" t="s">
        <v>297</v>
      </c>
      <c r="C59" s="92" t="s">
        <v>395</v>
      </c>
      <c r="D59" s="92" t="s">
        <v>411</v>
      </c>
      <c r="E59" s="93" t="s">
        <v>406</v>
      </c>
      <c r="F59" s="92" t="s">
        <v>341</v>
      </c>
      <c r="G59" s="92" t="s">
        <v>205</v>
      </c>
      <c r="H59" s="92" t="s">
        <v>11</v>
      </c>
      <c r="I59" s="92" t="s">
        <v>293</v>
      </c>
      <c r="J59" s="93" t="s">
        <v>206</v>
      </c>
      <c r="K59" s="92" t="s">
        <v>342</v>
      </c>
      <c r="L59" s="92" t="s">
        <v>402</v>
      </c>
      <c r="M59" s="92" t="s">
        <v>348</v>
      </c>
      <c r="N59" s="94">
        <v>4.5999999999999996</v>
      </c>
      <c r="O59" s="94">
        <f>N59*VLOOKUP(H59,dagsoorttabel1,2,FALSE)</f>
        <v>2.76</v>
      </c>
      <c r="P59" s="95">
        <f>prodnorm24</f>
        <v>0</v>
      </c>
      <c r="Q59" s="92" t="s">
        <v>97</v>
      </c>
      <c r="R59" s="26">
        <f>uurtarief24</f>
        <v>0</v>
      </c>
      <c r="S59" s="94" t="e">
        <f>IF(ISBLANK(P59),0,O59/ROUND(P59,4))</f>
        <v>#DIV/0!</v>
      </c>
      <c r="T59" s="26" t="e">
        <f>ROUND(R59,2)*S59</f>
        <v>#DIV/0!</v>
      </c>
      <c r="U59" s="94" t="e">
        <f>S59*dagenperjaar1</f>
        <v>#DIV/0!</v>
      </c>
      <c r="V59" s="27" t="e">
        <f>U59*ROUND(R59,2)</f>
        <v>#DIV/0!</v>
      </c>
    </row>
    <row r="60" spans="1:22" x14ac:dyDescent="0.4">
      <c r="A60" s="91" t="s">
        <v>291</v>
      </c>
      <c r="B60" s="92" t="s">
        <v>297</v>
      </c>
      <c r="C60" s="92" t="s">
        <v>395</v>
      </c>
      <c r="D60" s="92" t="s">
        <v>412</v>
      </c>
      <c r="E60" s="93" t="s">
        <v>408</v>
      </c>
      <c r="F60" s="92" t="s">
        <v>341</v>
      </c>
      <c r="G60" s="92" t="s">
        <v>205</v>
      </c>
      <c r="H60" s="92" t="s">
        <v>11</v>
      </c>
      <c r="I60" s="92" t="s">
        <v>293</v>
      </c>
      <c r="J60" s="93" t="s">
        <v>206</v>
      </c>
      <c r="K60" s="92" t="s">
        <v>342</v>
      </c>
      <c r="L60" s="92" t="s">
        <v>402</v>
      </c>
      <c r="M60" s="92" t="s">
        <v>348</v>
      </c>
      <c r="N60" s="94">
        <v>4.4000000000000004</v>
      </c>
      <c r="O60" s="94">
        <f>N60*VLOOKUP(H60,dagsoorttabel1,2,FALSE)</f>
        <v>2.64</v>
      </c>
      <c r="P60" s="95">
        <f>prodnorm24</f>
        <v>0</v>
      </c>
      <c r="Q60" s="92" t="s">
        <v>97</v>
      </c>
      <c r="R60" s="26">
        <f>uurtarief24</f>
        <v>0</v>
      </c>
      <c r="S60" s="94" t="e">
        <f>IF(ISBLANK(P60),0,O60/ROUND(P60,4))</f>
        <v>#DIV/0!</v>
      </c>
      <c r="T60" s="26" t="e">
        <f>ROUND(R60,2)*S60</f>
        <v>#DIV/0!</v>
      </c>
      <c r="U60" s="94" t="e">
        <f>S60*dagenperjaar1</f>
        <v>#DIV/0!</v>
      </c>
      <c r="V60" s="27" t="e">
        <f>U60*ROUND(R60,2)</f>
        <v>#DIV/0!</v>
      </c>
    </row>
    <row r="61" spans="1:22" x14ac:dyDescent="0.4">
      <c r="A61" s="91" t="s">
        <v>291</v>
      </c>
      <c r="B61" s="92" t="s">
        <v>297</v>
      </c>
      <c r="C61" s="92" t="s">
        <v>395</v>
      </c>
      <c r="D61" s="92" t="s">
        <v>413</v>
      </c>
      <c r="E61" s="93" t="s">
        <v>414</v>
      </c>
      <c r="F61" s="92" t="s">
        <v>341</v>
      </c>
      <c r="G61" s="92" t="s">
        <v>205</v>
      </c>
      <c r="H61" s="92" t="s">
        <v>11</v>
      </c>
      <c r="I61" s="92" t="s">
        <v>293</v>
      </c>
      <c r="J61" s="93" t="s">
        <v>206</v>
      </c>
      <c r="K61" s="92" t="s">
        <v>342</v>
      </c>
      <c r="L61" s="92" t="s">
        <v>402</v>
      </c>
      <c r="M61" s="92" t="s">
        <v>348</v>
      </c>
      <c r="N61" s="94">
        <v>78.09</v>
      </c>
      <c r="O61" s="94">
        <f>N61*VLOOKUP(H61,dagsoorttabel1,2,FALSE)</f>
        <v>46.853999999999999</v>
      </c>
      <c r="P61" s="95">
        <f>prodnorm24</f>
        <v>0</v>
      </c>
      <c r="Q61" s="92" t="s">
        <v>97</v>
      </c>
      <c r="R61" s="26">
        <f>uurtarief24</f>
        <v>0</v>
      </c>
      <c r="S61" s="94" t="e">
        <f>IF(ISBLANK(P61),0,O61/ROUND(P61,4))</f>
        <v>#DIV/0!</v>
      </c>
      <c r="T61" s="26" t="e">
        <f>ROUND(R61,2)*S61</f>
        <v>#DIV/0!</v>
      </c>
      <c r="U61" s="94" t="e">
        <f>S61*dagenperjaar1</f>
        <v>#DIV/0!</v>
      </c>
      <c r="V61" s="27" t="e">
        <f>U61*ROUND(R61,2)</f>
        <v>#DIV/0!</v>
      </c>
    </row>
    <row r="62" spans="1:22" x14ac:dyDescent="0.4">
      <c r="A62" s="91" t="s">
        <v>291</v>
      </c>
      <c r="B62" s="92" t="s">
        <v>297</v>
      </c>
      <c r="C62" s="92" t="s">
        <v>395</v>
      </c>
      <c r="D62" s="92" t="s">
        <v>415</v>
      </c>
      <c r="E62" s="93" t="s">
        <v>416</v>
      </c>
      <c r="F62" s="92" t="s">
        <v>341</v>
      </c>
      <c r="G62" s="92" t="s">
        <v>205</v>
      </c>
      <c r="H62" s="92" t="s">
        <v>11</v>
      </c>
      <c r="I62" s="92" t="s">
        <v>293</v>
      </c>
      <c r="J62" s="93" t="s">
        <v>206</v>
      </c>
      <c r="K62" s="92" t="s">
        <v>342</v>
      </c>
      <c r="L62" s="92" t="s">
        <v>402</v>
      </c>
      <c r="M62" s="92" t="s">
        <v>348</v>
      </c>
      <c r="N62" s="94">
        <v>74.5</v>
      </c>
      <c r="O62" s="94">
        <f>N62*VLOOKUP(H62,dagsoorttabel1,2,FALSE)</f>
        <v>44.699999999999996</v>
      </c>
      <c r="P62" s="95">
        <f>prodnorm24</f>
        <v>0</v>
      </c>
      <c r="Q62" s="92" t="s">
        <v>97</v>
      </c>
      <c r="R62" s="26">
        <f>uurtarief24</f>
        <v>0</v>
      </c>
      <c r="S62" s="94" t="e">
        <f>IF(ISBLANK(P62),0,O62/ROUND(P62,4))</f>
        <v>#DIV/0!</v>
      </c>
      <c r="T62" s="26" t="e">
        <f>ROUND(R62,2)*S62</f>
        <v>#DIV/0!</v>
      </c>
      <c r="U62" s="94" t="e">
        <f>S62*dagenperjaar1</f>
        <v>#DIV/0!</v>
      </c>
      <c r="V62" s="27" t="e">
        <f>U62*ROUND(R62,2)</f>
        <v>#DIV/0!</v>
      </c>
    </row>
    <row r="63" spans="1:22" x14ac:dyDescent="0.4">
      <c r="A63" s="91" t="s">
        <v>291</v>
      </c>
      <c r="B63" s="92" t="s">
        <v>297</v>
      </c>
      <c r="C63" s="92" t="s">
        <v>395</v>
      </c>
      <c r="D63" s="92" t="s">
        <v>417</v>
      </c>
      <c r="E63" s="93" t="s">
        <v>356</v>
      </c>
      <c r="F63" s="92" t="s">
        <v>315</v>
      </c>
      <c r="G63" s="92" t="s">
        <v>330</v>
      </c>
      <c r="H63" s="92"/>
      <c r="I63" s="92"/>
      <c r="J63" s="92"/>
      <c r="K63" s="92" t="s">
        <v>34</v>
      </c>
      <c r="L63" s="92" t="s">
        <v>402</v>
      </c>
      <c r="M63" s="92" t="s">
        <v>348</v>
      </c>
      <c r="N63" s="94">
        <v>3.9</v>
      </c>
      <c r="O63" s="94"/>
      <c r="P63" s="95"/>
      <c r="Q63" s="92"/>
      <c r="R63" s="26"/>
      <c r="S63" s="94"/>
      <c r="T63" s="26"/>
      <c r="U63" s="96"/>
      <c r="V63" s="27"/>
    </row>
    <row r="64" spans="1:22" x14ac:dyDescent="0.4">
      <c r="A64" s="91" t="s">
        <v>291</v>
      </c>
      <c r="B64" s="92" t="s">
        <v>297</v>
      </c>
      <c r="C64" s="92" t="s">
        <v>395</v>
      </c>
      <c r="D64" s="92" t="s">
        <v>418</v>
      </c>
      <c r="E64" s="93" t="s">
        <v>419</v>
      </c>
      <c r="F64" s="92" t="s">
        <v>315</v>
      </c>
      <c r="G64" s="92" t="s">
        <v>227</v>
      </c>
      <c r="H64" s="92" t="s">
        <v>9</v>
      </c>
      <c r="I64" s="92" t="s">
        <v>293</v>
      </c>
      <c r="J64" s="93" t="s">
        <v>228</v>
      </c>
      <c r="K64" s="92" t="s">
        <v>312</v>
      </c>
      <c r="L64" s="92" t="s">
        <v>402</v>
      </c>
      <c r="M64" s="92" t="s">
        <v>348</v>
      </c>
      <c r="N64" s="94">
        <v>9.6</v>
      </c>
      <c r="O64" s="94">
        <f>N64*VLOOKUP(H64,dagsoorttabel1,2,FALSE)</f>
        <v>9.6</v>
      </c>
      <c r="P64" s="95">
        <f>prodnorm39</f>
        <v>0</v>
      </c>
      <c r="Q64" s="92" t="s">
        <v>97</v>
      </c>
      <c r="R64" s="26">
        <f>uurtarief39</f>
        <v>0</v>
      </c>
      <c r="S64" s="94" t="e">
        <f>IF(ISBLANK(P64),0,O64/ROUND(P64,4))</f>
        <v>#DIV/0!</v>
      </c>
      <c r="T64" s="26" t="e">
        <f>ROUND(R64,2)*S64</f>
        <v>#DIV/0!</v>
      </c>
      <c r="U64" s="94" t="e">
        <f>S64*dagenperjaar1</f>
        <v>#DIV/0!</v>
      </c>
      <c r="V64" s="27" t="e">
        <f>U64*ROUND(R64,2)</f>
        <v>#DIV/0!</v>
      </c>
    </row>
    <row r="65" spans="1:22" x14ac:dyDescent="0.4">
      <c r="A65" s="91" t="s">
        <v>291</v>
      </c>
      <c r="B65" s="92" t="s">
        <v>297</v>
      </c>
      <c r="C65" s="92" t="s">
        <v>395</v>
      </c>
      <c r="D65" s="92" t="s">
        <v>418</v>
      </c>
      <c r="E65" s="93" t="s">
        <v>419</v>
      </c>
      <c r="F65" s="92" t="s">
        <v>315</v>
      </c>
      <c r="G65" s="92" t="s">
        <v>229</v>
      </c>
      <c r="H65" s="92" t="s">
        <v>11</v>
      </c>
      <c r="I65" s="92" t="s">
        <v>359</v>
      </c>
      <c r="J65" s="93" t="s">
        <v>230</v>
      </c>
      <c r="K65" s="92" t="s">
        <v>312</v>
      </c>
      <c r="L65" s="92" t="s">
        <v>402</v>
      </c>
      <c r="M65" s="92" t="s">
        <v>348</v>
      </c>
      <c r="N65" s="94">
        <v>9.6</v>
      </c>
      <c r="O65" s="94">
        <f>N65*VLOOKUP(H65,dagsoorttabel1,2,FALSE)</f>
        <v>5.76</v>
      </c>
      <c r="P65" s="95">
        <f>prodnorm40</f>
        <v>0</v>
      </c>
      <c r="Q65" s="92" t="s">
        <v>97</v>
      </c>
      <c r="R65" s="26">
        <f>uurtarief40</f>
        <v>0</v>
      </c>
      <c r="S65" s="94" t="e">
        <f>IF(ISBLANK(P65),0,O65/ROUND(P65,4))</f>
        <v>#DIV/0!</v>
      </c>
      <c r="T65" s="26" t="e">
        <f>ROUND(R65,2)*S65</f>
        <v>#DIV/0!</v>
      </c>
      <c r="U65" s="94" t="e">
        <f>S65*dagenperjaar1</f>
        <v>#DIV/0!</v>
      </c>
      <c r="V65" s="27" t="e">
        <f>U65*ROUND(R65,2)</f>
        <v>#DIV/0!</v>
      </c>
    </row>
    <row r="66" spans="1:22" x14ac:dyDescent="0.4">
      <c r="A66" s="91" t="s">
        <v>291</v>
      </c>
      <c r="B66" s="92" t="s">
        <v>297</v>
      </c>
      <c r="C66" s="92" t="s">
        <v>395</v>
      </c>
      <c r="D66" s="92" t="s">
        <v>420</v>
      </c>
      <c r="E66" s="93" t="s">
        <v>421</v>
      </c>
      <c r="F66" s="92" t="s">
        <v>315</v>
      </c>
      <c r="G66" s="92" t="s">
        <v>227</v>
      </c>
      <c r="H66" s="92" t="s">
        <v>9</v>
      </c>
      <c r="I66" s="92" t="s">
        <v>293</v>
      </c>
      <c r="J66" s="93" t="s">
        <v>228</v>
      </c>
      <c r="K66" s="92" t="s">
        <v>312</v>
      </c>
      <c r="L66" s="92" t="s">
        <v>402</v>
      </c>
      <c r="M66" s="92" t="s">
        <v>348</v>
      </c>
      <c r="N66" s="94">
        <v>10.199999999999999</v>
      </c>
      <c r="O66" s="94">
        <f>N66*VLOOKUP(H66,dagsoorttabel1,2,FALSE)</f>
        <v>10.199999999999999</v>
      </c>
      <c r="P66" s="95">
        <f>prodnorm39</f>
        <v>0</v>
      </c>
      <c r="Q66" s="92" t="s">
        <v>97</v>
      </c>
      <c r="R66" s="26">
        <f>uurtarief39</f>
        <v>0</v>
      </c>
      <c r="S66" s="94" t="e">
        <f>IF(ISBLANK(P66),0,O66/ROUND(P66,4))</f>
        <v>#DIV/0!</v>
      </c>
      <c r="T66" s="26" t="e">
        <f>ROUND(R66,2)*S66</f>
        <v>#DIV/0!</v>
      </c>
      <c r="U66" s="94" t="e">
        <f>S66*dagenperjaar1</f>
        <v>#DIV/0!</v>
      </c>
      <c r="V66" s="27" t="e">
        <f>U66*ROUND(R66,2)</f>
        <v>#DIV/0!</v>
      </c>
    </row>
    <row r="67" spans="1:22" x14ac:dyDescent="0.4">
      <c r="A67" s="91" t="s">
        <v>291</v>
      </c>
      <c r="B67" s="92" t="s">
        <v>297</v>
      </c>
      <c r="C67" s="92" t="s">
        <v>395</v>
      </c>
      <c r="D67" s="92" t="s">
        <v>420</v>
      </c>
      <c r="E67" s="93" t="s">
        <v>421</v>
      </c>
      <c r="F67" s="92" t="s">
        <v>315</v>
      </c>
      <c r="G67" s="92" t="s">
        <v>229</v>
      </c>
      <c r="H67" s="92" t="s">
        <v>11</v>
      </c>
      <c r="I67" s="92" t="s">
        <v>359</v>
      </c>
      <c r="J67" s="93" t="s">
        <v>230</v>
      </c>
      <c r="K67" s="92" t="s">
        <v>312</v>
      </c>
      <c r="L67" s="92" t="s">
        <v>402</v>
      </c>
      <c r="M67" s="92" t="s">
        <v>348</v>
      </c>
      <c r="N67" s="94">
        <v>10.199999999999999</v>
      </c>
      <c r="O67" s="94">
        <f>N67*VLOOKUP(H67,dagsoorttabel1,2,FALSE)</f>
        <v>6.1199999999999992</v>
      </c>
      <c r="P67" s="95">
        <f>prodnorm40</f>
        <v>0</v>
      </c>
      <c r="Q67" s="92" t="s">
        <v>97</v>
      </c>
      <c r="R67" s="26">
        <f>uurtarief40</f>
        <v>0</v>
      </c>
      <c r="S67" s="94" t="e">
        <f>IF(ISBLANK(P67),0,O67/ROUND(P67,4))</f>
        <v>#DIV/0!</v>
      </c>
      <c r="T67" s="26" t="e">
        <f>ROUND(R67,2)*S67</f>
        <v>#DIV/0!</v>
      </c>
      <c r="U67" s="94" t="e">
        <f>S67*dagenperjaar1</f>
        <v>#DIV/0!</v>
      </c>
      <c r="V67" s="27" t="e">
        <f>U67*ROUND(R67,2)</f>
        <v>#DIV/0!</v>
      </c>
    </row>
    <row r="68" spans="1:22" x14ac:dyDescent="0.4">
      <c r="A68" s="91" t="s">
        <v>291</v>
      </c>
      <c r="B68" s="92" t="s">
        <v>297</v>
      </c>
      <c r="C68" s="92" t="s">
        <v>395</v>
      </c>
      <c r="D68" s="92" t="s">
        <v>422</v>
      </c>
      <c r="E68" s="93" t="s">
        <v>361</v>
      </c>
      <c r="F68" s="92" t="s">
        <v>315</v>
      </c>
      <c r="G68" s="92" t="s">
        <v>227</v>
      </c>
      <c r="H68" s="92" t="s">
        <v>9</v>
      </c>
      <c r="I68" s="92" t="s">
        <v>293</v>
      </c>
      <c r="J68" s="93" t="s">
        <v>228</v>
      </c>
      <c r="K68" s="92" t="s">
        <v>312</v>
      </c>
      <c r="L68" s="92" t="s">
        <v>402</v>
      </c>
      <c r="M68" s="92" t="s">
        <v>348</v>
      </c>
      <c r="N68" s="94">
        <v>4.3</v>
      </c>
      <c r="O68" s="94">
        <f>N68*VLOOKUP(H68,dagsoorttabel1,2,FALSE)</f>
        <v>4.3</v>
      </c>
      <c r="P68" s="95">
        <f>prodnorm39</f>
        <v>0</v>
      </c>
      <c r="Q68" s="92" t="s">
        <v>97</v>
      </c>
      <c r="R68" s="26">
        <f>uurtarief39</f>
        <v>0</v>
      </c>
      <c r="S68" s="94" t="e">
        <f>IF(ISBLANK(P68),0,O68/ROUND(P68,4))</f>
        <v>#DIV/0!</v>
      </c>
      <c r="T68" s="26" t="e">
        <f>ROUND(R68,2)*S68</f>
        <v>#DIV/0!</v>
      </c>
      <c r="U68" s="94" t="e">
        <f>S68*dagenperjaar1</f>
        <v>#DIV/0!</v>
      </c>
      <c r="V68" s="27" t="e">
        <f>U68*ROUND(R68,2)</f>
        <v>#DIV/0!</v>
      </c>
    </row>
    <row r="69" spans="1:22" x14ac:dyDescent="0.4">
      <c r="A69" s="91" t="s">
        <v>291</v>
      </c>
      <c r="B69" s="92" t="s">
        <v>297</v>
      </c>
      <c r="C69" s="92" t="s">
        <v>395</v>
      </c>
      <c r="D69" s="92" t="s">
        <v>422</v>
      </c>
      <c r="E69" s="93" t="s">
        <v>361</v>
      </c>
      <c r="F69" s="92" t="s">
        <v>315</v>
      </c>
      <c r="G69" s="92" t="s">
        <v>229</v>
      </c>
      <c r="H69" s="92" t="s">
        <v>11</v>
      </c>
      <c r="I69" s="92" t="s">
        <v>359</v>
      </c>
      <c r="J69" s="93" t="s">
        <v>230</v>
      </c>
      <c r="K69" s="92" t="s">
        <v>312</v>
      </c>
      <c r="L69" s="92" t="s">
        <v>402</v>
      </c>
      <c r="M69" s="92" t="s">
        <v>348</v>
      </c>
      <c r="N69" s="94">
        <v>4.3</v>
      </c>
      <c r="O69" s="94">
        <f>N69*VLOOKUP(H69,dagsoorttabel1,2,FALSE)</f>
        <v>2.5799999999999996</v>
      </c>
      <c r="P69" s="95">
        <f>prodnorm40</f>
        <v>0</v>
      </c>
      <c r="Q69" s="92" t="s">
        <v>97</v>
      </c>
      <c r="R69" s="26">
        <f>uurtarief40</f>
        <v>0</v>
      </c>
      <c r="S69" s="94" t="e">
        <f>IF(ISBLANK(P69),0,O69/ROUND(P69,4))</f>
        <v>#DIV/0!</v>
      </c>
      <c r="T69" s="26" t="e">
        <f>ROUND(R69,2)*S69</f>
        <v>#DIV/0!</v>
      </c>
      <c r="U69" s="94" t="e">
        <f>S69*dagenperjaar1</f>
        <v>#DIV/0!</v>
      </c>
      <c r="V69" s="27" t="e">
        <f>U69*ROUND(R69,2)</f>
        <v>#DIV/0!</v>
      </c>
    </row>
    <row r="70" spans="1:22" x14ac:dyDescent="0.4">
      <c r="A70" s="91" t="s">
        <v>291</v>
      </c>
      <c r="B70" s="92" t="s">
        <v>297</v>
      </c>
      <c r="C70" s="92" t="s">
        <v>395</v>
      </c>
      <c r="D70" s="92" t="s">
        <v>423</v>
      </c>
      <c r="E70" s="93" t="s">
        <v>424</v>
      </c>
      <c r="F70" s="92" t="s">
        <v>425</v>
      </c>
      <c r="G70" s="92" t="s">
        <v>257</v>
      </c>
      <c r="H70" s="92" t="s">
        <v>9</v>
      </c>
      <c r="I70" s="92" t="s">
        <v>293</v>
      </c>
      <c r="J70" s="93" t="s">
        <v>258</v>
      </c>
      <c r="K70" s="92" t="s">
        <v>342</v>
      </c>
      <c r="L70" s="92" t="s">
        <v>402</v>
      </c>
      <c r="M70" s="92" t="s">
        <v>348</v>
      </c>
      <c r="N70" s="94">
        <v>1</v>
      </c>
      <c r="O70" s="94">
        <f>N70*VLOOKUP(H70,dagsoorttabel1,2,FALSE)</f>
        <v>1</v>
      </c>
      <c r="P70" s="95">
        <f>prodnorm14</f>
        <v>0</v>
      </c>
      <c r="Q70" s="92" t="s">
        <v>259</v>
      </c>
      <c r="R70" s="26">
        <f>uurtarief14</f>
        <v>0</v>
      </c>
      <c r="S70" s="94">
        <f>O70*ROUND(P70,4)/60</f>
        <v>0</v>
      </c>
      <c r="T70" s="26">
        <f>ROUND(R70,2)*S70</f>
        <v>0</v>
      </c>
      <c r="U70" s="94">
        <f>S70*dagenperjaar1</f>
        <v>0</v>
      </c>
      <c r="V70" s="27">
        <f>U70*ROUND(R70,2)</f>
        <v>0</v>
      </c>
    </row>
    <row r="71" spans="1:22" x14ac:dyDescent="0.4">
      <c r="A71" s="91" t="s">
        <v>291</v>
      </c>
      <c r="B71" s="92" t="s">
        <v>297</v>
      </c>
      <c r="C71" s="92" t="s">
        <v>395</v>
      </c>
      <c r="D71" s="92" t="s">
        <v>423</v>
      </c>
      <c r="E71" s="93" t="s">
        <v>424</v>
      </c>
      <c r="F71" s="92" t="s">
        <v>425</v>
      </c>
      <c r="G71" s="92" t="s">
        <v>202</v>
      </c>
      <c r="H71" s="92" t="s">
        <v>9</v>
      </c>
      <c r="I71" s="92" t="s">
        <v>293</v>
      </c>
      <c r="J71" s="93" t="s">
        <v>204</v>
      </c>
      <c r="K71" s="92" t="s">
        <v>342</v>
      </c>
      <c r="L71" s="92" t="s">
        <v>402</v>
      </c>
      <c r="M71" s="92" t="s">
        <v>348</v>
      </c>
      <c r="N71" s="94">
        <v>45.5</v>
      </c>
      <c r="O71" s="94">
        <f>N71*VLOOKUP(H71,dagsoorttabel1,2,FALSE)</f>
        <v>45.5</v>
      </c>
      <c r="P71" s="95">
        <f>prodnorm23</f>
        <v>0</v>
      </c>
      <c r="Q71" s="92" t="s">
        <v>97</v>
      </c>
      <c r="R71" s="26">
        <f>uurtarief23</f>
        <v>0</v>
      </c>
      <c r="S71" s="94" t="e">
        <f>IF(ISBLANK(P71),0,O71/ROUND(P71,4))</f>
        <v>#DIV/0!</v>
      </c>
      <c r="T71" s="26" t="e">
        <f>ROUND(R71,2)*S71</f>
        <v>#DIV/0!</v>
      </c>
      <c r="U71" s="94" t="e">
        <f>S71*dagenperjaar1</f>
        <v>#DIV/0!</v>
      </c>
      <c r="V71" s="27" t="e">
        <f>U71*ROUND(R71,2)</f>
        <v>#DIV/0!</v>
      </c>
    </row>
    <row r="72" spans="1:22" x14ac:dyDescent="0.4">
      <c r="A72" s="91" t="s">
        <v>291</v>
      </c>
      <c r="B72" s="92" t="s">
        <v>297</v>
      </c>
      <c r="C72" s="92" t="s">
        <v>426</v>
      </c>
      <c r="D72" s="92" t="s">
        <v>427</v>
      </c>
      <c r="E72" s="93" t="s">
        <v>428</v>
      </c>
      <c r="F72" s="92" t="s">
        <v>429</v>
      </c>
      <c r="G72" s="92" t="s">
        <v>330</v>
      </c>
      <c r="H72" s="92"/>
      <c r="I72" s="92"/>
      <c r="J72" s="92"/>
      <c r="K72" s="92" t="s">
        <v>34</v>
      </c>
      <c r="L72" s="92" t="s">
        <v>308</v>
      </c>
      <c r="M72" s="92" t="s">
        <v>348</v>
      </c>
      <c r="N72" s="94">
        <v>52</v>
      </c>
      <c r="O72" s="94"/>
      <c r="P72" s="95"/>
      <c r="Q72" s="92"/>
      <c r="R72" s="26"/>
      <c r="S72" s="94"/>
      <c r="T72" s="26"/>
      <c r="U72" s="96"/>
      <c r="V72" s="27"/>
    </row>
    <row r="73" spans="1:22" x14ac:dyDescent="0.4">
      <c r="A73" s="91" t="s">
        <v>291</v>
      </c>
      <c r="B73" s="92" t="s">
        <v>297</v>
      </c>
      <c r="C73" s="92" t="s">
        <v>426</v>
      </c>
      <c r="D73" s="92" t="s">
        <v>430</v>
      </c>
      <c r="E73" s="93" t="s">
        <v>431</v>
      </c>
      <c r="F73" s="92" t="s">
        <v>341</v>
      </c>
      <c r="G73" s="92" t="s">
        <v>205</v>
      </c>
      <c r="H73" s="92" t="s">
        <v>11</v>
      </c>
      <c r="I73" s="92" t="s">
        <v>293</v>
      </c>
      <c r="J73" s="93" t="s">
        <v>206</v>
      </c>
      <c r="K73" s="92" t="s">
        <v>342</v>
      </c>
      <c r="L73" s="92" t="s">
        <v>432</v>
      </c>
      <c r="M73" s="92" t="s">
        <v>348</v>
      </c>
      <c r="N73" s="94">
        <v>50</v>
      </c>
      <c r="O73" s="94">
        <f>N73*VLOOKUP(H73,dagsoorttabel1,2,FALSE)</f>
        <v>30</v>
      </c>
      <c r="P73" s="95">
        <f>prodnorm24</f>
        <v>0</v>
      </c>
      <c r="Q73" s="92" t="s">
        <v>97</v>
      </c>
      <c r="R73" s="26">
        <f>uurtarief24</f>
        <v>0</v>
      </c>
      <c r="S73" s="94" t="e">
        <f>IF(ISBLANK(P73),0,O73/ROUND(P73,4))</f>
        <v>#DIV/0!</v>
      </c>
      <c r="T73" s="26" t="e">
        <f>ROUND(R73,2)*S73</f>
        <v>#DIV/0!</v>
      </c>
      <c r="U73" s="94" t="e">
        <f>S73*dagenperjaar1</f>
        <v>#DIV/0!</v>
      </c>
      <c r="V73" s="27" t="e">
        <f>U73*ROUND(R73,2)</f>
        <v>#DIV/0!</v>
      </c>
    </row>
    <row r="74" spans="1:22" x14ac:dyDescent="0.4">
      <c r="A74" s="91" t="s">
        <v>291</v>
      </c>
      <c r="B74" s="92" t="s">
        <v>297</v>
      </c>
      <c r="C74" s="92" t="s">
        <v>426</v>
      </c>
      <c r="D74" s="92" t="s">
        <v>433</v>
      </c>
      <c r="E74" s="93" t="s">
        <v>401</v>
      </c>
      <c r="F74" s="92" t="s">
        <v>341</v>
      </c>
      <c r="G74" s="92" t="s">
        <v>241</v>
      </c>
      <c r="H74" s="92" t="s">
        <v>11</v>
      </c>
      <c r="I74" s="92" t="s">
        <v>293</v>
      </c>
      <c r="J74" s="93" t="s">
        <v>242</v>
      </c>
      <c r="K74" s="92" t="s">
        <v>320</v>
      </c>
      <c r="L74" s="92" t="s">
        <v>432</v>
      </c>
      <c r="M74" s="92" t="s">
        <v>348</v>
      </c>
      <c r="N74" s="94">
        <v>64.8</v>
      </c>
      <c r="O74" s="94">
        <f>N74*VLOOKUP(H74,dagsoorttabel1,2,FALSE)</f>
        <v>38.879999999999995</v>
      </c>
      <c r="P74" s="95">
        <f>prodnorm48</f>
        <v>0</v>
      </c>
      <c r="Q74" s="92" t="s">
        <v>97</v>
      </c>
      <c r="R74" s="26">
        <f>uurtarief48</f>
        <v>0</v>
      </c>
      <c r="S74" s="94" t="e">
        <f>IF(ISBLANK(P74),0,O74/ROUND(P74,4))</f>
        <v>#DIV/0!</v>
      </c>
      <c r="T74" s="26" t="e">
        <f>ROUND(R74,2)*S74</f>
        <v>#DIV/0!</v>
      </c>
      <c r="U74" s="94" t="e">
        <f>S74*dagenperjaar1</f>
        <v>#DIV/0!</v>
      </c>
      <c r="V74" s="27" t="e">
        <f>U74*ROUND(R74,2)</f>
        <v>#DIV/0!</v>
      </c>
    </row>
    <row r="75" spans="1:22" x14ac:dyDescent="0.4">
      <c r="A75" s="91" t="s">
        <v>291</v>
      </c>
      <c r="B75" s="92" t="s">
        <v>297</v>
      </c>
      <c r="C75" s="92" t="s">
        <v>426</v>
      </c>
      <c r="D75" s="92" t="s">
        <v>434</v>
      </c>
      <c r="E75" s="93" t="s">
        <v>435</v>
      </c>
      <c r="F75" s="92" t="s">
        <v>341</v>
      </c>
      <c r="G75" s="92" t="s">
        <v>205</v>
      </c>
      <c r="H75" s="92" t="s">
        <v>11</v>
      </c>
      <c r="I75" s="92" t="s">
        <v>293</v>
      </c>
      <c r="J75" s="93" t="s">
        <v>206</v>
      </c>
      <c r="K75" s="92" t="s">
        <v>342</v>
      </c>
      <c r="L75" s="92" t="s">
        <v>432</v>
      </c>
      <c r="M75" s="92" t="s">
        <v>348</v>
      </c>
      <c r="N75" s="94">
        <v>81.900000000000006</v>
      </c>
      <c r="O75" s="94">
        <f>N75*VLOOKUP(H75,dagsoorttabel1,2,FALSE)</f>
        <v>49.14</v>
      </c>
      <c r="P75" s="95">
        <f>prodnorm24</f>
        <v>0</v>
      </c>
      <c r="Q75" s="92" t="s">
        <v>97</v>
      </c>
      <c r="R75" s="26">
        <f>uurtarief24</f>
        <v>0</v>
      </c>
      <c r="S75" s="94" t="e">
        <f>IF(ISBLANK(P75),0,O75/ROUND(P75,4))</f>
        <v>#DIV/0!</v>
      </c>
      <c r="T75" s="26" t="e">
        <f>ROUND(R75,2)*S75</f>
        <v>#DIV/0!</v>
      </c>
      <c r="U75" s="94" t="e">
        <f>S75*dagenperjaar1</f>
        <v>#DIV/0!</v>
      </c>
      <c r="V75" s="27" t="e">
        <f>U75*ROUND(R75,2)</f>
        <v>#DIV/0!</v>
      </c>
    </row>
    <row r="76" spans="1:22" x14ac:dyDescent="0.4">
      <c r="A76" s="91" t="s">
        <v>291</v>
      </c>
      <c r="B76" s="92" t="s">
        <v>297</v>
      </c>
      <c r="C76" s="92" t="s">
        <v>426</v>
      </c>
      <c r="D76" s="92" t="s">
        <v>436</v>
      </c>
      <c r="E76" s="93" t="s">
        <v>437</v>
      </c>
      <c r="F76" s="92" t="s">
        <v>341</v>
      </c>
      <c r="G76" s="92" t="s">
        <v>213</v>
      </c>
      <c r="H76" s="92" t="s">
        <v>11</v>
      </c>
      <c r="I76" s="92" t="s">
        <v>293</v>
      </c>
      <c r="J76" s="93" t="s">
        <v>214</v>
      </c>
      <c r="K76" s="92" t="s">
        <v>342</v>
      </c>
      <c r="L76" s="92" t="s">
        <v>438</v>
      </c>
      <c r="M76" s="92" t="s">
        <v>348</v>
      </c>
      <c r="N76" s="94">
        <v>57</v>
      </c>
      <c r="O76" s="94">
        <f>N76*VLOOKUP(H76,dagsoorttabel1,2,FALSE)</f>
        <v>34.199999999999996</v>
      </c>
      <c r="P76" s="95">
        <f>prodnorm29</f>
        <v>0</v>
      </c>
      <c r="Q76" s="92" t="s">
        <v>97</v>
      </c>
      <c r="R76" s="26">
        <f>uurtarief29</f>
        <v>0</v>
      </c>
      <c r="S76" s="94" t="e">
        <f>IF(ISBLANK(P76),0,O76/ROUND(P76,4))</f>
        <v>#DIV/0!</v>
      </c>
      <c r="T76" s="26" t="e">
        <f>ROUND(R76,2)*S76</f>
        <v>#DIV/0!</v>
      </c>
      <c r="U76" s="94" t="e">
        <f>S76*dagenperjaar1</f>
        <v>#DIV/0!</v>
      </c>
      <c r="V76" s="27" t="e">
        <f>U76*ROUND(R76,2)</f>
        <v>#DIV/0!</v>
      </c>
    </row>
    <row r="77" spans="1:22" x14ac:dyDescent="0.4">
      <c r="A77" s="91" t="s">
        <v>291</v>
      </c>
      <c r="B77" s="92" t="s">
        <v>297</v>
      </c>
      <c r="C77" s="92" t="s">
        <v>426</v>
      </c>
      <c r="D77" s="92" t="s">
        <v>439</v>
      </c>
      <c r="E77" s="93" t="s">
        <v>440</v>
      </c>
      <c r="F77" s="92" t="s">
        <v>425</v>
      </c>
      <c r="G77" s="92" t="s">
        <v>257</v>
      </c>
      <c r="H77" s="92" t="s">
        <v>9</v>
      </c>
      <c r="I77" s="92" t="s">
        <v>293</v>
      </c>
      <c r="J77" s="93" t="s">
        <v>258</v>
      </c>
      <c r="K77" s="92" t="s">
        <v>342</v>
      </c>
      <c r="L77" s="92" t="s">
        <v>432</v>
      </c>
      <c r="M77" s="92" t="s">
        <v>348</v>
      </c>
      <c r="N77" s="94">
        <v>1</v>
      </c>
      <c r="O77" s="94">
        <f>N77*VLOOKUP(H77,dagsoorttabel1,2,FALSE)</f>
        <v>1</v>
      </c>
      <c r="P77" s="95">
        <f>prodnorm14</f>
        <v>0</v>
      </c>
      <c r="Q77" s="92" t="s">
        <v>259</v>
      </c>
      <c r="R77" s="26">
        <f>uurtarief14</f>
        <v>0</v>
      </c>
      <c r="S77" s="94">
        <f>O77*ROUND(P77,4)/60</f>
        <v>0</v>
      </c>
      <c r="T77" s="26">
        <f>ROUND(R77,2)*S77</f>
        <v>0</v>
      </c>
      <c r="U77" s="94">
        <f>S77*dagenperjaar1</f>
        <v>0</v>
      </c>
      <c r="V77" s="27">
        <f>U77*ROUND(R77,2)</f>
        <v>0</v>
      </c>
    </row>
    <row r="78" spans="1:22" x14ac:dyDescent="0.4">
      <c r="A78" s="91" t="s">
        <v>291</v>
      </c>
      <c r="B78" s="92" t="s">
        <v>297</v>
      </c>
      <c r="C78" s="92" t="s">
        <v>426</v>
      </c>
      <c r="D78" s="92" t="s">
        <v>439</v>
      </c>
      <c r="E78" s="93" t="s">
        <v>440</v>
      </c>
      <c r="F78" s="92" t="s">
        <v>425</v>
      </c>
      <c r="G78" s="92" t="s">
        <v>202</v>
      </c>
      <c r="H78" s="92" t="s">
        <v>11</v>
      </c>
      <c r="I78" s="92" t="s">
        <v>293</v>
      </c>
      <c r="J78" s="93" t="s">
        <v>204</v>
      </c>
      <c r="K78" s="92" t="s">
        <v>342</v>
      </c>
      <c r="L78" s="92" t="s">
        <v>432</v>
      </c>
      <c r="M78" s="92" t="s">
        <v>348</v>
      </c>
      <c r="N78" s="94">
        <v>49</v>
      </c>
      <c r="O78" s="94">
        <f>N78*VLOOKUP(H78,dagsoorttabel1,2,FALSE)</f>
        <v>29.4</v>
      </c>
      <c r="P78" s="95">
        <f>prodnorm22</f>
        <v>0</v>
      </c>
      <c r="Q78" s="92" t="s">
        <v>97</v>
      </c>
      <c r="R78" s="26">
        <f>uurtarief22</f>
        <v>0</v>
      </c>
      <c r="S78" s="94" t="e">
        <f>IF(ISBLANK(P78),0,O78/ROUND(P78,4))</f>
        <v>#DIV/0!</v>
      </c>
      <c r="T78" s="26" t="e">
        <f>ROUND(R78,2)*S78</f>
        <v>#DIV/0!</v>
      </c>
      <c r="U78" s="94" t="e">
        <f>S78*dagenperjaar1</f>
        <v>#DIV/0!</v>
      </c>
      <c r="V78" s="27" t="e">
        <f>U78*ROUND(R78,2)</f>
        <v>#DIV/0!</v>
      </c>
    </row>
    <row r="79" spans="1:22" x14ac:dyDescent="0.4">
      <c r="A79" s="91" t="s">
        <v>291</v>
      </c>
      <c r="B79" s="92" t="s">
        <v>297</v>
      </c>
      <c r="C79" s="92" t="s">
        <v>426</v>
      </c>
      <c r="D79" s="92" t="s">
        <v>441</v>
      </c>
      <c r="E79" s="93" t="s">
        <v>442</v>
      </c>
      <c r="F79" s="92" t="s">
        <v>341</v>
      </c>
      <c r="G79" s="92" t="s">
        <v>205</v>
      </c>
      <c r="H79" s="92" t="s">
        <v>11</v>
      </c>
      <c r="I79" s="92" t="s">
        <v>293</v>
      </c>
      <c r="J79" s="93" t="s">
        <v>206</v>
      </c>
      <c r="K79" s="92" t="s">
        <v>342</v>
      </c>
      <c r="L79" s="92" t="s">
        <v>438</v>
      </c>
      <c r="M79" s="92" t="s">
        <v>348</v>
      </c>
      <c r="N79" s="94">
        <v>19</v>
      </c>
      <c r="O79" s="94">
        <f>N79*VLOOKUP(H79,dagsoorttabel1,2,FALSE)</f>
        <v>11.4</v>
      </c>
      <c r="P79" s="95">
        <f>prodnorm24</f>
        <v>0</v>
      </c>
      <c r="Q79" s="92" t="s">
        <v>97</v>
      </c>
      <c r="R79" s="26">
        <f>uurtarief24</f>
        <v>0</v>
      </c>
      <c r="S79" s="94" t="e">
        <f>IF(ISBLANK(P79),0,O79/ROUND(P79,4))</f>
        <v>#DIV/0!</v>
      </c>
      <c r="T79" s="26" t="e">
        <f>ROUND(R79,2)*S79</f>
        <v>#DIV/0!</v>
      </c>
      <c r="U79" s="94" t="e">
        <f>S79*dagenperjaar1</f>
        <v>#DIV/0!</v>
      </c>
      <c r="V79" s="27" t="e">
        <f>U79*ROUND(R79,2)</f>
        <v>#DIV/0!</v>
      </c>
    </row>
    <row r="80" spans="1:22" x14ac:dyDescent="0.4">
      <c r="A80" s="91" t="s">
        <v>291</v>
      </c>
      <c r="B80" s="92" t="s">
        <v>297</v>
      </c>
      <c r="C80" s="92" t="s">
        <v>426</v>
      </c>
      <c r="D80" s="92" t="s">
        <v>443</v>
      </c>
      <c r="E80" s="93" t="s">
        <v>444</v>
      </c>
      <c r="F80" s="92" t="s">
        <v>341</v>
      </c>
      <c r="G80" s="92" t="s">
        <v>205</v>
      </c>
      <c r="H80" s="92" t="s">
        <v>11</v>
      </c>
      <c r="I80" s="92" t="s">
        <v>293</v>
      </c>
      <c r="J80" s="93" t="s">
        <v>206</v>
      </c>
      <c r="K80" s="92" t="s">
        <v>342</v>
      </c>
      <c r="L80" s="92" t="s">
        <v>438</v>
      </c>
      <c r="M80" s="92" t="s">
        <v>348</v>
      </c>
      <c r="N80" s="94">
        <v>40</v>
      </c>
      <c r="O80" s="94">
        <f>N80*VLOOKUP(H80,dagsoorttabel1,2,FALSE)</f>
        <v>24</v>
      </c>
      <c r="P80" s="95">
        <f>prodnorm24</f>
        <v>0</v>
      </c>
      <c r="Q80" s="92" t="s">
        <v>97</v>
      </c>
      <c r="R80" s="26">
        <f>uurtarief24</f>
        <v>0</v>
      </c>
      <c r="S80" s="94" t="e">
        <f>IF(ISBLANK(P80),0,O80/ROUND(P80,4))</f>
        <v>#DIV/0!</v>
      </c>
      <c r="T80" s="26" t="e">
        <f>ROUND(R80,2)*S80</f>
        <v>#DIV/0!</v>
      </c>
      <c r="U80" s="94" t="e">
        <f>S80*dagenperjaar1</f>
        <v>#DIV/0!</v>
      </c>
      <c r="V80" s="27" t="e">
        <f>U80*ROUND(R80,2)</f>
        <v>#DIV/0!</v>
      </c>
    </row>
    <row r="81" spans="1:22" x14ac:dyDescent="0.4">
      <c r="A81" s="91" t="s">
        <v>291</v>
      </c>
      <c r="B81" s="92" t="s">
        <v>297</v>
      </c>
      <c r="C81" s="92" t="s">
        <v>426</v>
      </c>
      <c r="D81" s="92" t="s">
        <v>445</v>
      </c>
      <c r="E81" s="93" t="s">
        <v>442</v>
      </c>
      <c r="F81" s="92" t="s">
        <v>341</v>
      </c>
      <c r="G81" s="92" t="s">
        <v>205</v>
      </c>
      <c r="H81" s="92" t="s">
        <v>11</v>
      </c>
      <c r="I81" s="92" t="s">
        <v>293</v>
      </c>
      <c r="J81" s="93" t="s">
        <v>206</v>
      </c>
      <c r="K81" s="92" t="s">
        <v>342</v>
      </c>
      <c r="L81" s="92" t="s">
        <v>438</v>
      </c>
      <c r="M81" s="92" t="s">
        <v>348</v>
      </c>
      <c r="N81" s="94">
        <v>14</v>
      </c>
      <c r="O81" s="94">
        <f>N81*VLOOKUP(H81,dagsoorttabel1,2,FALSE)</f>
        <v>8.4</v>
      </c>
      <c r="P81" s="95">
        <f>prodnorm24</f>
        <v>0</v>
      </c>
      <c r="Q81" s="92" t="s">
        <v>97</v>
      </c>
      <c r="R81" s="26">
        <f>uurtarief24</f>
        <v>0</v>
      </c>
      <c r="S81" s="94" t="e">
        <f>IF(ISBLANK(P81),0,O81/ROUND(P81,4))</f>
        <v>#DIV/0!</v>
      </c>
      <c r="T81" s="26" t="e">
        <f>ROUND(R81,2)*S81</f>
        <v>#DIV/0!</v>
      </c>
      <c r="U81" s="94" t="e">
        <f>S81*dagenperjaar1</f>
        <v>#DIV/0!</v>
      </c>
      <c r="V81" s="27" t="e">
        <f>U81*ROUND(R81,2)</f>
        <v>#DIV/0!</v>
      </c>
    </row>
    <row r="82" spans="1:22" ht="29.15" x14ac:dyDescent="0.4">
      <c r="A82" s="91" t="s">
        <v>291</v>
      </c>
      <c r="B82" s="92" t="s">
        <v>297</v>
      </c>
      <c r="C82" s="92" t="s">
        <v>426</v>
      </c>
      <c r="D82" s="92" t="s">
        <v>446</v>
      </c>
      <c r="E82" s="93" t="s">
        <v>447</v>
      </c>
      <c r="F82" s="92" t="s">
        <v>315</v>
      </c>
      <c r="G82" s="92" t="s">
        <v>231</v>
      </c>
      <c r="H82" s="92" t="s">
        <v>11</v>
      </c>
      <c r="I82" s="92" t="s">
        <v>293</v>
      </c>
      <c r="J82" s="93" t="s">
        <v>232</v>
      </c>
      <c r="K82" s="92" t="s">
        <v>320</v>
      </c>
      <c r="L82" s="92" t="s">
        <v>448</v>
      </c>
      <c r="M82" s="92" t="s">
        <v>295</v>
      </c>
      <c r="N82" s="94">
        <v>49</v>
      </c>
      <c r="O82" s="94">
        <f>N82*VLOOKUP(H82,dagsoorttabel1,2,FALSE)</f>
        <v>29.4</v>
      </c>
      <c r="P82" s="95">
        <f>prodnorm41</f>
        <v>0</v>
      </c>
      <c r="Q82" s="92" t="s">
        <v>97</v>
      </c>
      <c r="R82" s="26">
        <f>uurtarief41</f>
        <v>0</v>
      </c>
      <c r="S82" s="94" t="e">
        <f>IF(ISBLANK(P82),0,O82/ROUND(P82,4))</f>
        <v>#DIV/0!</v>
      </c>
      <c r="T82" s="26" t="e">
        <f>ROUND(R82,2)*S82</f>
        <v>#DIV/0!</v>
      </c>
      <c r="U82" s="94" t="e">
        <f>S82*dagenperjaar1</f>
        <v>#DIV/0!</v>
      </c>
      <c r="V82" s="27" t="e">
        <f>U82*ROUND(R82,2)</f>
        <v>#DIV/0!</v>
      </c>
    </row>
    <row r="83" spans="1:22" x14ac:dyDescent="0.4">
      <c r="A83" s="91" t="s">
        <v>291</v>
      </c>
      <c r="B83" s="92" t="s">
        <v>297</v>
      </c>
      <c r="C83" s="92" t="s">
        <v>426</v>
      </c>
      <c r="D83" s="92" t="s">
        <v>449</v>
      </c>
      <c r="E83" s="93" t="s">
        <v>450</v>
      </c>
      <c r="F83" s="92" t="s">
        <v>341</v>
      </c>
      <c r="G83" s="92" t="s">
        <v>330</v>
      </c>
      <c r="H83" s="92"/>
      <c r="I83" s="92"/>
      <c r="J83" s="92"/>
      <c r="K83" s="92" t="s">
        <v>34</v>
      </c>
      <c r="L83" s="92" t="s">
        <v>451</v>
      </c>
      <c r="M83" s="92" t="s">
        <v>452</v>
      </c>
      <c r="N83" s="94">
        <v>64.7</v>
      </c>
      <c r="O83" s="94"/>
      <c r="P83" s="95"/>
      <c r="Q83" s="92"/>
      <c r="R83" s="26"/>
      <c r="S83" s="94"/>
      <c r="T83" s="26"/>
      <c r="U83" s="96"/>
      <c r="V83" s="27"/>
    </row>
    <row r="84" spans="1:22" x14ac:dyDescent="0.4">
      <c r="A84" s="91" t="s">
        <v>291</v>
      </c>
      <c r="B84" s="92" t="s">
        <v>297</v>
      </c>
      <c r="C84" s="92" t="s">
        <v>426</v>
      </c>
      <c r="D84" s="92" t="s">
        <v>453</v>
      </c>
      <c r="E84" s="93" t="s">
        <v>454</v>
      </c>
      <c r="F84" s="92" t="s">
        <v>341</v>
      </c>
      <c r="G84" s="92" t="s">
        <v>330</v>
      </c>
      <c r="H84" s="92"/>
      <c r="I84" s="92"/>
      <c r="J84" s="92"/>
      <c r="K84" s="92" t="s">
        <v>34</v>
      </c>
      <c r="L84" s="92" t="s">
        <v>451</v>
      </c>
      <c r="M84" s="92" t="s">
        <v>452</v>
      </c>
      <c r="N84" s="94">
        <v>40.5</v>
      </c>
      <c r="O84" s="94"/>
      <c r="P84" s="95"/>
      <c r="Q84" s="92"/>
      <c r="R84" s="26"/>
      <c r="S84" s="94"/>
      <c r="T84" s="26"/>
      <c r="U84" s="96"/>
      <c r="V84" s="27"/>
    </row>
    <row r="85" spans="1:22" x14ac:dyDescent="0.4">
      <c r="A85" s="91" t="s">
        <v>291</v>
      </c>
      <c r="B85" s="92" t="s">
        <v>297</v>
      </c>
      <c r="C85" s="92" t="s">
        <v>426</v>
      </c>
      <c r="D85" s="92" t="s">
        <v>455</v>
      </c>
      <c r="E85" s="93" t="s">
        <v>350</v>
      </c>
      <c r="F85" s="92" t="s">
        <v>341</v>
      </c>
      <c r="G85" s="92" t="s">
        <v>330</v>
      </c>
      <c r="H85" s="92"/>
      <c r="I85" s="92"/>
      <c r="J85" s="92"/>
      <c r="K85" s="92" t="s">
        <v>34</v>
      </c>
      <c r="L85" s="92" t="s">
        <v>451</v>
      </c>
      <c r="M85" s="92" t="s">
        <v>452</v>
      </c>
      <c r="N85" s="94">
        <v>106</v>
      </c>
      <c r="O85" s="94"/>
      <c r="P85" s="95"/>
      <c r="Q85" s="92"/>
      <c r="R85" s="26"/>
      <c r="S85" s="94"/>
      <c r="T85" s="26"/>
      <c r="U85" s="96"/>
      <c r="V85" s="27"/>
    </row>
    <row r="86" spans="1:22" x14ac:dyDescent="0.4">
      <c r="A86" s="91" t="s">
        <v>291</v>
      </c>
      <c r="B86" s="92" t="s">
        <v>297</v>
      </c>
      <c r="C86" s="92" t="s">
        <v>426</v>
      </c>
      <c r="D86" s="92" t="s">
        <v>456</v>
      </c>
      <c r="E86" s="93" t="s">
        <v>352</v>
      </c>
      <c r="F86" s="92" t="s">
        <v>341</v>
      </c>
      <c r="G86" s="92" t="s">
        <v>330</v>
      </c>
      <c r="H86" s="92"/>
      <c r="I86" s="92"/>
      <c r="J86" s="92"/>
      <c r="K86" s="92" t="s">
        <v>34</v>
      </c>
      <c r="L86" s="92" t="s">
        <v>451</v>
      </c>
      <c r="M86" s="92" t="s">
        <v>452</v>
      </c>
      <c r="N86" s="94">
        <v>63.25</v>
      </c>
      <c r="O86" s="94"/>
      <c r="P86" s="95"/>
      <c r="Q86" s="92"/>
      <c r="R86" s="26"/>
      <c r="S86" s="94"/>
      <c r="T86" s="26"/>
      <c r="U86" s="96"/>
      <c r="V86" s="27"/>
    </row>
    <row r="87" spans="1:22" x14ac:dyDescent="0.4">
      <c r="A87" s="91" t="s">
        <v>291</v>
      </c>
      <c r="B87" s="92" t="s">
        <v>297</v>
      </c>
      <c r="C87" s="92" t="s">
        <v>426</v>
      </c>
      <c r="D87" s="92" t="s">
        <v>457</v>
      </c>
      <c r="E87" s="93" t="s">
        <v>458</v>
      </c>
      <c r="F87" s="92" t="s">
        <v>315</v>
      </c>
      <c r="G87" s="92" t="s">
        <v>330</v>
      </c>
      <c r="H87" s="92"/>
      <c r="I87" s="92"/>
      <c r="J87" s="92"/>
      <c r="K87" s="92" t="s">
        <v>34</v>
      </c>
      <c r="L87" s="92" t="s">
        <v>451</v>
      </c>
      <c r="M87" s="92" t="s">
        <v>452</v>
      </c>
      <c r="N87" s="94">
        <v>3.9</v>
      </c>
      <c r="O87" s="94"/>
      <c r="P87" s="95"/>
      <c r="Q87" s="92"/>
      <c r="R87" s="26"/>
      <c r="S87" s="94"/>
      <c r="T87" s="26"/>
      <c r="U87" s="96"/>
      <c r="V87" s="27"/>
    </row>
    <row r="88" spans="1:22" x14ac:dyDescent="0.4">
      <c r="A88" s="91" t="s">
        <v>291</v>
      </c>
      <c r="B88" s="92" t="s">
        <v>297</v>
      </c>
      <c r="C88" s="92" t="s">
        <v>426</v>
      </c>
      <c r="D88" s="92" t="s">
        <v>459</v>
      </c>
      <c r="E88" s="93" t="s">
        <v>358</v>
      </c>
      <c r="F88" s="92" t="s">
        <v>315</v>
      </c>
      <c r="G88" s="92" t="s">
        <v>330</v>
      </c>
      <c r="H88" s="92"/>
      <c r="I88" s="92"/>
      <c r="J88" s="92"/>
      <c r="K88" s="92" t="s">
        <v>34</v>
      </c>
      <c r="L88" s="92" t="s">
        <v>451</v>
      </c>
      <c r="M88" s="92" t="s">
        <v>452</v>
      </c>
      <c r="N88" s="94">
        <v>9.6</v>
      </c>
      <c r="O88" s="94"/>
      <c r="P88" s="95"/>
      <c r="Q88" s="92"/>
      <c r="R88" s="26"/>
      <c r="S88" s="94"/>
      <c r="T88" s="26"/>
      <c r="U88" s="96"/>
      <c r="V88" s="27"/>
    </row>
    <row r="89" spans="1:22" x14ac:dyDescent="0.4">
      <c r="A89" s="91" t="s">
        <v>291</v>
      </c>
      <c r="B89" s="92" t="s">
        <v>297</v>
      </c>
      <c r="C89" s="92" t="s">
        <v>426</v>
      </c>
      <c r="D89" s="92" t="s">
        <v>460</v>
      </c>
      <c r="E89" s="93" t="s">
        <v>421</v>
      </c>
      <c r="F89" s="92" t="s">
        <v>315</v>
      </c>
      <c r="G89" s="92" t="s">
        <v>330</v>
      </c>
      <c r="H89" s="92"/>
      <c r="I89" s="92"/>
      <c r="J89" s="92"/>
      <c r="K89" s="92" t="s">
        <v>34</v>
      </c>
      <c r="L89" s="92" t="s">
        <v>451</v>
      </c>
      <c r="M89" s="92" t="s">
        <v>452</v>
      </c>
      <c r="N89" s="94">
        <v>10.199999999999999</v>
      </c>
      <c r="O89" s="94"/>
      <c r="P89" s="95"/>
      <c r="Q89" s="92"/>
      <c r="R89" s="26"/>
      <c r="S89" s="94"/>
      <c r="T89" s="26"/>
      <c r="U89" s="96"/>
      <c r="V89" s="27"/>
    </row>
    <row r="90" spans="1:22" x14ac:dyDescent="0.4">
      <c r="A90" s="91" t="s">
        <v>291</v>
      </c>
      <c r="B90" s="92" t="s">
        <v>297</v>
      </c>
      <c r="C90" s="92" t="s">
        <v>426</v>
      </c>
      <c r="D90" s="92" t="s">
        <v>461</v>
      </c>
      <c r="E90" s="93" t="s">
        <v>462</v>
      </c>
      <c r="F90" s="92" t="s">
        <v>315</v>
      </c>
      <c r="G90" s="92" t="s">
        <v>330</v>
      </c>
      <c r="H90" s="92"/>
      <c r="I90" s="92"/>
      <c r="J90" s="92"/>
      <c r="K90" s="92" t="s">
        <v>34</v>
      </c>
      <c r="L90" s="92" t="s">
        <v>451</v>
      </c>
      <c r="M90" s="92" t="s">
        <v>452</v>
      </c>
      <c r="N90" s="94">
        <v>4.3</v>
      </c>
      <c r="O90" s="94"/>
      <c r="P90" s="95"/>
      <c r="Q90" s="92"/>
      <c r="R90" s="26"/>
      <c r="S90" s="94"/>
      <c r="T90" s="26"/>
      <c r="U90" s="96"/>
      <c r="V90" s="27"/>
    </row>
    <row r="91" spans="1:22" x14ac:dyDescent="0.4">
      <c r="A91" s="91" t="s">
        <v>291</v>
      </c>
      <c r="B91" s="92" t="s">
        <v>297</v>
      </c>
      <c r="C91" s="92" t="s">
        <v>463</v>
      </c>
      <c r="D91" s="92" t="s">
        <v>464</v>
      </c>
      <c r="E91" s="93" t="s">
        <v>465</v>
      </c>
      <c r="F91" s="92" t="s">
        <v>341</v>
      </c>
      <c r="G91" s="92" t="s">
        <v>330</v>
      </c>
      <c r="H91" s="92"/>
      <c r="I91" s="92"/>
      <c r="J91" s="92"/>
      <c r="K91" s="92" t="s">
        <v>34</v>
      </c>
      <c r="L91" s="92" t="s">
        <v>466</v>
      </c>
      <c r="M91" s="92" t="s">
        <v>467</v>
      </c>
      <c r="N91" s="94">
        <v>15</v>
      </c>
      <c r="O91" s="94"/>
      <c r="P91" s="95"/>
      <c r="Q91" s="92"/>
      <c r="R91" s="26"/>
      <c r="S91" s="94"/>
      <c r="T91" s="26"/>
      <c r="U91" s="96"/>
      <c r="V91" s="27"/>
    </row>
    <row r="92" spans="1:22" x14ac:dyDescent="0.4">
      <c r="A92" s="91" t="s">
        <v>291</v>
      </c>
      <c r="B92" s="92" t="s">
        <v>297</v>
      </c>
      <c r="C92" s="92" t="s">
        <v>463</v>
      </c>
      <c r="D92" s="92" t="s">
        <v>468</v>
      </c>
      <c r="E92" s="93" t="s">
        <v>370</v>
      </c>
      <c r="F92" s="92" t="s">
        <v>341</v>
      </c>
      <c r="G92" s="92" t="s">
        <v>330</v>
      </c>
      <c r="H92" s="92"/>
      <c r="I92" s="92"/>
      <c r="J92" s="92"/>
      <c r="K92" s="92" t="s">
        <v>34</v>
      </c>
      <c r="L92" s="92" t="s">
        <v>466</v>
      </c>
      <c r="M92" s="92" t="s">
        <v>467</v>
      </c>
      <c r="N92" s="94">
        <v>78</v>
      </c>
      <c r="O92" s="94"/>
      <c r="P92" s="95"/>
      <c r="Q92" s="92"/>
      <c r="R92" s="26"/>
      <c r="S92" s="94"/>
      <c r="T92" s="26"/>
      <c r="U92" s="96"/>
      <c r="V92" s="27"/>
    </row>
    <row r="93" spans="1:22" x14ac:dyDescent="0.4">
      <c r="A93" s="91" t="s">
        <v>291</v>
      </c>
      <c r="B93" s="92" t="s">
        <v>297</v>
      </c>
      <c r="C93" s="92" t="s">
        <v>463</v>
      </c>
      <c r="D93" s="92" t="s">
        <v>469</v>
      </c>
      <c r="E93" s="93" t="s">
        <v>470</v>
      </c>
      <c r="F93" s="92" t="s">
        <v>471</v>
      </c>
      <c r="G93" s="92" t="s">
        <v>330</v>
      </c>
      <c r="H93" s="92"/>
      <c r="I93" s="92"/>
      <c r="J93" s="92"/>
      <c r="K93" s="92" t="s">
        <v>34</v>
      </c>
      <c r="L93" s="92" t="s">
        <v>466</v>
      </c>
      <c r="M93" s="92" t="s">
        <v>467</v>
      </c>
      <c r="N93" s="94">
        <v>225</v>
      </c>
      <c r="O93" s="94"/>
      <c r="P93" s="95"/>
      <c r="Q93" s="92"/>
      <c r="R93" s="26"/>
      <c r="S93" s="94"/>
      <c r="T93" s="26"/>
      <c r="U93" s="96"/>
      <c r="V93" s="27"/>
    </row>
    <row r="94" spans="1:22" x14ac:dyDescent="0.4">
      <c r="A94" s="91" t="s">
        <v>291</v>
      </c>
      <c r="B94" s="92" t="s">
        <v>297</v>
      </c>
      <c r="C94" s="92" t="s">
        <v>463</v>
      </c>
      <c r="D94" s="92" t="s">
        <v>472</v>
      </c>
      <c r="E94" s="93" t="s">
        <v>473</v>
      </c>
      <c r="F94" s="92" t="s">
        <v>471</v>
      </c>
      <c r="G94" s="92" t="s">
        <v>330</v>
      </c>
      <c r="H94" s="92"/>
      <c r="I94" s="92"/>
      <c r="J94" s="92"/>
      <c r="K94" s="92" t="s">
        <v>34</v>
      </c>
      <c r="L94" s="92" t="s">
        <v>466</v>
      </c>
      <c r="M94" s="92" t="s">
        <v>467</v>
      </c>
      <c r="N94" s="94">
        <v>14</v>
      </c>
      <c r="O94" s="94"/>
      <c r="P94" s="95"/>
      <c r="Q94" s="92"/>
      <c r="R94" s="26"/>
      <c r="S94" s="94"/>
      <c r="T94" s="26"/>
      <c r="U94" s="96"/>
      <c r="V94" s="27"/>
    </row>
    <row r="95" spans="1:22" x14ac:dyDescent="0.4">
      <c r="A95" s="91" t="s">
        <v>291</v>
      </c>
      <c r="B95" s="92" t="s">
        <v>297</v>
      </c>
      <c r="C95" s="92" t="s">
        <v>463</v>
      </c>
      <c r="D95" s="92" t="s">
        <v>474</v>
      </c>
      <c r="E95" s="93" t="s">
        <v>392</v>
      </c>
      <c r="F95" s="92" t="s">
        <v>341</v>
      </c>
      <c r="G95" s="92" t="s">
        <v>330</v>
      </c>
      <c r="H95" s="92"/>
      <c r="I95" s="92"/>
      <c r="J95" s="92"/>
      <c r="K95" s="92" t="s">
        <v>34</v>
      </c>
      <c r="L95" s="92" t="s">
        <v>466</v>
      </c>
      <c r="M95" s="92" t="s">
        <v>467</v>
      </c>
      <c r="N95" s="94">
        <v>6</v>
      </c>
      <c r="O95" s="94"/>
      <c r="P95" s="95"/>
      <c r="Q95" s="92"/>
      <c r="R95" s="26"/>
      <c r="S95" s="94"/>
      <c r="T95" s="26"/>
      <c r="U95" s="96"/>
      <c r="V95" s="27"/>
    </row>
    <row r="96" spans="1:22" x14ac:dyDescent="0.4">
      <c r="A96" s="91" t="s">
        <v>291</v>
      </c>
      <c r="B96" s="92" t="s">
        <v>297</v>
      </c>
      <c r="C96" s="92" t="s">
        <v>463</v>
      </c>
      <c r="D96" s="92" t="s">
        <v>475</v>
      </c>
      <c r="E96" s="93" t="s">
        <v>392</v>
      </c>
      <c r="F96" s="92" t="s">
        <v>341</v>
      </c>
      <c r="G96" s="92" t="s">
        <v>330</v>
      </c>
      <c r="H96" s="92"/>
      <c r="I96" s="92"/>
      <c r="J96" s="92"/>
      <c r="K96" s="92" t="s">
        <v>34</v>
      </c>
      <c r="L96" s="92" t="s">
        <v>466</v>
      </c>
      <c r="M96" s="92" t="s">
        <v>467</v>
      </c>
      <c r="N96" s="94">
        <v>6</v>
      </c>
      <c r="O96" s="94"/>
      <c r="P96" s="95"/>
      <c r="Q96" s="92"/>
      <c r="R96" s="26"/>
      <c r="S96" s="94"/>
      <c r="T96" s="26"/>
      <c r="U96" s="96"/>
      <c r="V96" s="27"/>
    </row>
    <row r="97" spans="1:22" x14ac:dyDescent="0.4">
      <c r="A97" s="91" t="s">
        <v>291</v>
      </c>
      <c r="B97" s="92" t="s">
        <v>297</v>
      </c>
      <c r="C97" s="92" t="s">
        <v>463</v>
      </c>
      <c r="D97" s="92" t="s">
        <v>476</v>
      </c>
      <c r="E97" s="93" t="s">
        <v>465</v>
      </c>
      <c r="F97" s="92" t="s">
        <v>471</v>
      </c>
      <c r="G97" s="92" t="s">
        <v>330</v>
      </c>
      <c r="H97" s="92"/>
      <c r="I97" s="92"/>
      <c r="J97" s="92"/>
      <c r="K97" s="92" t="s">
        <v>34</v>
      </c>
      <c r="L97" s="92" t="s">
        <v>466</v>
      </c>
      <c r="M97" s="92" t="s">
        <v>467</v>
      </c>
      <c r="N97" s="94">
        <v>39</v>
      </c>
      <c r="O97" s="94"/>
      <c r="P97" s="95"/>
      <c r="Q97" s="92"/>
      <c r="R97" s="26"/>
      <c r="S97" s="94"/>
      <c r="T97" s="26"/>
      <c r="U97" s="96"/>
      <c r="V97" s="27"/>
    </row>
    <row r="98" spans="1:22" x14ac:dyDescent="0.4">
      <c r="A98" s="91" t="s">
        <v>291</v>
      </c>
      <c r="B98" s="92" t="s">
        <v>297</v>
      </c>
      <c r="C98" s="92" t="s">
        <v>463</v>
      </c>
      <c r="D98" s="92" t="s">
        <v>477</v>
      </c>
      <c r="E98" s="93" t="s">
        <v>392</v>
      </c>
      <c r="F98" s="92" t="s">
        <v>341</v>
      </c>
      <c r="G98" s="92" t="s">
        <v>330</v>
      </c>
      <c r="H98" s="92"/>
      <c r="I98" s="92"/>
      <c r="J98" s="92"/>
      <c r="K98" s="92" t="s">
        <v>34</v>
      </c>
      <c r="L98" s="92" t="s">
        <v>466</v>
      </c>
      <c r="M98" s="92" t="s">
        <v>467</v>
      </c>
      <c r="N98" s="94">
        <v>2.8</v>
      </c>
      <c r="O98" s="94"/>
      <c r="P98" s="95"/>
      <c r="Q98" s="92"/>
      <c r="R98" s="26"/>
      <c r="S98" s="94"/>
      <c r="T98" s="26"/>
      <c r="U98" s="96"/>
      <c r="V98" s="27"/>
    </row>
    <row r="99" spans="1:22" x14ac:dyDescent="0.4">
      <c r="A99" s="91" t="s">
        <v>291</v>
      </c>
      <c r="B99" s="92" t="s">
        <v>297</v>
      </c>
      <c r="C99" s="92" t="s">
        <v>463</v>
      </c>
      <c r="D99" s="92" t="s">
        <v>478</v>
      </c>
      <c r="E99" s="93" t="s">
        <v>392</v>
      </c>
      <c r="F99" s="92" t="s">
        <v>341</v>
      </c>
      <c r="G99" s="92" t="s">
        <v>330</v>
      </c>
      <c r="H99" s="92"/>
      <c r="I99" s="92"/>
      <c r="J99" s="92"/>
      <c r="K99" s="92" t="s">
        <v>34</v>
      </c>
      <c r="L99" s="92" t="s">
        <v>466</v>
      </c>
      <c r="M99" s="92" t="s">
        <v>467</v>
      </c>
      <c r="N99" s="94">
        <v>2.8</v>
      </c>
      <c r="O99" s="94"/>
      <c r="P99" s="95"/>
      <c r="Q99" s="92"/>
      <c r="R99" s="26"/>
      <c r="S99" s="94"/>
      <c r="T99" s="26"/>
      <c r="U99" s="96"/>
      <c r="V99" s="27"/>
    </row>
    <row r="100" spans="1:22" x14ac:dyDescent="0.4">
      <c r="A100" s="91" t="s">
        <v>291</v>
      </c>
      <c r="B100" s="92" t="s">
        <v>297</v>
      </c>
      <c r="C100" s="92" t="s">
        <v>463</v>
      </c>
      <c r="D100" s="92" t="s">
        <v>479</v>
      </c>
      <c r="E100" s="93" t="s">
        <v>392</v>
      </c>
      <c r="F100" s="92" t="s">
        <v>341</v>
      </c>
      <c r="G100" s="92" t="s">
        <v>330</v>
      </c>
      <c r="H100" s="92"/>
      <c r="I100" s="92"/>
      <c r="J100" s="92"/>
      <c r="K100" s="92" t="s">
        <v>34</v>
      </c>
      <c r="L100" s="92" t="s">
        <v>466</v>
      </c>
      <c r="M100" s="92" t="s">
        <v>467</v>
      </c>
      <c r="N100" s="94">
        <v>5.8</v>
      </c>
      <c r="O100" s="94"/>
      <c r="P100" s="95"/>
      <c r="Q100" s="92"/>
      <c r="R100" s="26"/>
      <c r="S100" s="94"/>
      <c r="T100" s="26"/>
      <c r="U100" s="96"/>
      <c r="V100" s="27"/>
    </row>
    <row r="101" spans="1:22" x14ac:dyDescent="0.4">
      <c r="A101" s="91" t="s">
        <v>291</v>
      </c>
      <c r="B101" s="92" t="s">
        <v>297</v>
      </c>
      <c r="C101" s="92" t="s">
        <v>463</v>
      </c>
      <c r="D101" s="92" t="s">
        <v>480</v>
      </c>
      <c r="E101" s="93" t="s">
        <v>392</v>
      </c>
      <c r="F101" s="92" t="s">
        <v>341</v>
      </c>
      <c r="G101" s="92" t="s">
        <v>330</v>
      </c>
      <c r="H101" s="92"/>
      <c r="I101" s="92"/>
      <c r="J101" s="92"/>
      <c r="K101" s="92" t="s">
        <v>34</v>
      </c>
      <c r="L101" s="92" t="s">
        <v>466</v>
      </c>
      <c r="M101" s="92" t="s">
        <v>467</v>
      </c>
      <c r="N101" s="94">
        <v>5.8</v>
      </c>
      <c r="O101" s="94"/>
      <c r="P101" s="95"/>
      <c r="Q101" s="92"/>
      <c r="R101" s="26"/>
      <c r="S101" s="94"/>
      <c r="T101" s="26"/>
      <c r="U101" s="96"/>
      <c r="V101" s="27"/>
    </row>
    <row r="102" spans="1:22" x14ac:dyDescent="0.4">
      <c r="A102" s="91" t="s">
        <v>291</v>
      </c>
      <c r="B102" s="92" t="s">
        <v>297</v>
      </c>
      <c r="C102" s="92" t="s">
        <v>463</v>
      </c>
      <c r="D102" s="92" t="s">
        <v>481</v>
      </c>
      <c r="E102" s="93" t="s">
        <v>465</v>
      </c>
      <c r="F102" s="92" t="s">
        <v>341</v>
      </c>
      <c r="G102" s="92" t="s">
        <v>330</v>
      </c>
      <c r="H102" s="92"/>
      <c r="I102" s="92"/>
      <c r="J102" s="92"/>
      <c r="K102" s="92" t="s">
        <v>34</v>
      </c>
      <c r="L102" s="92" t="s">
        <v>466</v>
      </c>
      <c r="M102" s="92" t="s">
        <v>467</v>
      </c>
      <c r="N102" s="94">
        <v>15</v>
      </c>
      <c r="O102" s="94"/>
      <c r="P102" s="95"/>
      <c r="Q102" s="92"/>
      <c r="R102" s="26"/>
      <c r="S102" s="94"/>
      <c r="T102" s="26"/>
      <c r="U102" s="96"/>
      <c r="V102" s="27"/>
    </row>
    <row r="103" spans="1:22" x14ac:dyDescent="0.4">
      <c r="A103" s="91" t="s">
        <v>291</v>
      </c>
      <c r="B103" s="92" t="s">
        <v>297</v>
      </c>
      <c r="C103" s="92" t="s">
        <v>463</v>
      </c>
      <c r="D103" s="92" t="s">
        <v>482</v>
      </c>
      <c r="E103" s="93" t="s">
        <v>483</v>
      </c>
      <c r="F103" s="92" t="s">
        <v>315</v>
      </c>
      <c r="G103" s="92" t="s">
        <v>257</v>
      </c>
      <c r="H103" s="92" t="s">
        <v>9</v>
      </c>
      <c r="I103" s="92" t="s">
        <v>293</v>
      </c>
      <c r="J103" s="93" t="s">
        <v>258</v>
      </c>
      <c r="K103" s="92" t="s">
        <v>320</v>
      </c>
      <c r="L103" s="92" t="s">
        <v>484</v>
      </c>
      <c r="M103" s="92" t="s">
        <v>295</v>
      </c>
      <c r="N103" s="94">
        <v>1</v>
      </c>
      <c r="O103" s="94">
        <f>N103*VLOOKUP(H103,dagsoorttabel1,2,FALSE)</f>
        <v>1</v>
      </c>
      <c r="P103" s="95">
        <f>prodnorm14</f>
        <v>0</v>
      </c>
      <c r="Q103" s="92" t="s">
        <v>259</v>
      </c>
      <c r="R103" s="26">
        <f>uurtarief14</f>
        <v>0</v>
      </c>
      <c r="S103" s="94">
        <f>O103*ROUND(P103,4)/60</f>
        <v>0</v>
      </c>
      <c r="T103" s="26">
        <f>ROUND(R103,2)*S103</f>
        <v>0</v>
      </c>
      <c r="U103" s="94">
        <f>S103*dagenperjaar1</f>
        <v>0</v>
      </c>
      <c r="V103" s="27">
        <f>U103*ROUND(R103,2)</f>
        <v>0</v>
      </c>
    </row>
    <row r="104" spans="1:22" x14ac:dyDescent="0.4">
      <c r="A104" s="91" t="s">
        <v>291</v>
      </c>
      <c r="B104" s="92" t="s">
        <v>297</v>
      </c>
      <c r="C104" s="92" t="s">
        <v>463</v>
      </c>
      <c r="D104" s="92" t="s">
        <v>482</v>
      </c>
      <c r="E104" s="93" t="s">
        <v>483</v>
      </c>
      <c r="F104" s="92" t="s">
        <v>315</v>
      </c>
      <c r="G104" s="92" t="s">
        <v>231</v>
      </c>
      <c r="H104" s="92" t="s">
        <v>9</v>
      </c>
      <c r="I104" s="92" t="s">
        <v>293</v>
      </c>
      <c r="J104" s="93" t="s">
        <v>232</v>
      </c>
      <c r="K104" s="92" t="s">
        <v>320</v>
      </c>
      <c r="L104" s="92" t="s">
        <v>484</v>
      </c>
      <c r="M104" s="92" t="s">
        <v>295</v>
      </c>
      <c r="N104" s="94">
        <v>30.36</v>
      </c>
      <c r="O104" s="94">
        <f>N104*VLOOKUP(H104,dagsoorttabel1,2,FALSE)</f>
        <v>30.36</v>
      </c>
      <c r="P104" s="95">
        <f>prodnorm42</f>
        <v>0</v>
      </c>
      <c r="Q104" s="92" t="s">
        <v>97</v>
      </c>
      <c r="R104" s="26">
        <f>uurtarief42</f>
        <v>0</v>
      </c>
      <c r="S104" s="94" t="e">
        <f>IF(ISBLANK(P104),0,O104/ROUND(P104,4))</f>
        <v>#DIV/0!</v>
      </c>
      <c r="T104" s="26" t="e">
        <f>ROUND(R104,2)*S104</f>
        <v>#DIV/0!</v>
      </c>
      <c r="U104" s="94" t="e">
        <f>S104*dagenperjaar1</f>
        <v>#DIV/0!</v>
      </c>
      <c r="V104" s="27" t="e">
        <f>U104*ROUND(R104,2)</f>
        <v>#DIV/0!</v>
      </c>
    </row>
    <row r="105" spans="1:22" x14ac:dyDescent="0.4">
      <c r="A105" s="91" t="s">
        <v>291</v>
      </c>
      <c r="B105" s="92" t="s">
        <v>297</v>
      </c>
      <c r="C105" s="92" t="s">
        <v>463</v>
      </c>
      <c r="D105" s="92" t="s">
        <v>485</v>
      </c>
      <c r="E105" s="93" t="s">
        <v>421</v>
      </c>
      <c r="F105" s="92" t="s">
        <v>315</v>
      </c>
      <c r="G105" s="92" t="s">
        <v>330</v>
      </c>
      <c r="H105" s="92"/>
      <c r="I105" s="92"/>
      <c r="J105" s="92"/>
      <c r="K105" s="92" t="s">
        <v>34</v>
      </c>
      <c r="L105" s="92" t="s">
        <v>466</v>
      </c>
      <c r="M105" s="92" t="s">
        <v>467</v>
      </c>
      <c r="N105" s="94">
        <v>2.8</v>
      </c>
      <c r="O105" s="94"/>
      <c r="P105" s="95"/>
      <c r="Q105" s="92"/>
      <c r="R105" s="26"/>
      <c r="S105" s="94"/>
      <c r="T105" s="26"/>
      <c r="U105" s="96"/>
      <c r="V105" s="27"/>
    </row>
    <row r="106" spans="1:22" x14ac:dyDescent="0.4">
      <c r="A106" s="91" t="s">
        <v>291</v>
      </c>
      <c r="B106" s="92" t="s">
        <v>297</v>
      </c>
      <c r="C106" s="92" t="s">
        <v>463</v>
      </c>
      <c r="D106" s="92" t="s">
        <v>486</v>
      </c>
      <c r="E106" s="93" t="s">
        <v>487</v>
      </c>
      <c r="F106" s="92" t="s">
        <v>315</v>
      </c>
      <c r="G106" s="92" t="s">
        <v>330</v>
      </c>
      <c r="H106" s="92"/>
      <c r="I106" s="92"/>
      <c r="J106" s="92"/>
      <c r="K106" s="92" t="s">
        <v>34</v>
      </c>
      <c r="L106" s="92" t="s">
        <v>466</v>
      </c>
      <c r="M106" s="92" t="s">
        <v>467</v>
      </c>
      <c r="N106" s="94">
        <v>2.8</v>
      </c>
      <c r="O106" s="94"/>
      <c r="P106" s="95"/>
      <c r="Q106" s="92"/>
      <c r="R106" s="26"/>
      <c r="S106" s="94"/>
      <c r="T106" s="26"/>
      <c r="U106" s="96"/>
      <c r="V106" s="27"/>
    </row>
    <row r="107" spans="1:22" x14ac:dyDescent="0.4">
      <c r="A107" s="91" t="s">
        <v>291</v>
      </c>
      <c r="B107" s="92" t="s">
        <v>297</v>
      </c>
      <c r="C107" s="92" t="s">
        <v>463</v>
      </c>
      <c r="D107" s="92" t="s">
        <v>488</v>
      </c>
      <c r="E107" s="93" t="s">
        <v>358</v>
      </c>
      <c r="F107" s="92" t="s">
        <v>315</v>
      </c>
      <c r="G107" s="92" t="s">
        <v>330</v>
      </c>
      <c r="H107" s="92"/>
      <c r="I107" s="92"/>
      <c r="J107" s="92"/>
      <c r="K107" s="92" t="s">
        <v>34</v>
      </c>
      <c r="L107" s="92" t="s">
        <v>466</v>
      </c>
      <c r="M107" s="92" t="s">
        <v>467</v>
      </c>
      <c r="N107" s="94">
        <v>2.8</v>
      </c>
      <c r="O107" s="94"/>
      <c r="P107" s="95"/>
      <c r="Q107" s="92"/>
      <c r="R107" s="26"/>
      <c r="S107" s="94"/>
      <c r="T107" s="26"/>
      <c r="U107" s="96"/>
      <c r="V107" s="27"/>
    </row>
    <row r="108" spans="1:22" x14ac:dyDescent="0.4">
      <c r="A108" s="91" t="s">
        <v>291</v>
      </c>
      <c r="B108" s="92" t="s">
        <v>297</v>
      </c>
      <c r="C108" s="92" t="s">
        <v>463</v>
      </c>
      <c r="D108" s="92" t="s">
        <v>489</v>
      </c>
      <c r="E108" s="93" t="s">
        <v>490</v>
      </c>
      <c r="F108" s="92" t="s">
        <v>315</v>
      </c>
      <c r="G108" s="92" t="s">
        <v>215</v>
      </c>
      <c r="H108" s="92" t="s">
        <v>9</v>
      </c>
      <c r="I108" s="92" t="s">
        <v>293</v>
      </c>
      <c r="J108" s="93" t="s">
        <v>216</v>
      </c>
      <c r="K108" s="92" t="s">
        <v>320</v>
      </c>
      <c r="L108" s="92" t="s">
        <v>491</v>
      </c>
      <c r="M108" s="92" t="s">
        <v>348</v>
      </c>
      <c r="N108" s="94">
        <v>3.2</v>
      </c>
      <c r="O108" s="94">
        <f>N108*VLOOKUP(H108,dagsoorttabel1,2,FALSE)</f>
        <v>3.2</v>
      </c>
      <c r="P108" s="95">
        <f>prodnorm31</f>
        <v>0</v>
      </c>
      <c r="Q108" s="92" t="s">
        <v>97</v>
      </c>
      <c r="R108" s="26">
        <f>uurtarief31</f>
        <v>0</v>
      </c>
      <c r="S108" s="94" t="e">
        <f>IF(ISBLANK(P108),0,O108/ROUND(P108,4))</f>
        <v>#DIV/0!</v>
      </c>
      <c r="T108" s="26" t="e">
        <f>ROUND(R108,2)*S108</f>
        <v>#DIV/0!</v>
      </c>
      <c r="U108" s="94" t="e">
        <f>S108*dagenperjaar1</f>
        <v>#DIV/0!</v>
      </c>
      <c r="V108" s="27" t="e">
        <f>U108*ROUND(R108,2)</f>
        <v>#DIV/0!</v>
      </c>
    </row>
    <row r="109" spans="1:22" x14ac:dyDescent="0.4">
      <c r="A109" s="91" t="s">
        <v>291</v>
      </c>
      <c r="B109" s="92" t="s">
        <v>297</v>
      </c>
      <c r="C109" s="92" t="s">
        <v>463</v>
      </c>
      <c r="D109" s="92" t="s">
        <v>492</v>
      </c>
      <c r="E109" s="93" t="s">
        <v>401</v>
      </c>
      <c r="F109" s="92" t="s">
        <v>341</v>
      </c>
      <c r="G109" s="92" t="s">
        <v>241</v>
      </c>
      <c r="H109" s="92" t="s">
        <v>11</v>
      </c>
      <c r="I109" s="92" t="s">
        <v>293</v>
      </c>
      <c r="J109" s="93" t="s">
        <v>242</v>
      </c>
      <c r="K109" s="92" t="s">
        <v>320</v>
      </c>
      <c r="L109" s="92" t="s">
        <v>493</v>
      </c>
      <c r="M109" s="92" t="s">
        <v>348</v>
      </c>
      <c r="N109" s="94">
        <v>51.7</v>
      </c>
      <c r="O109" s="94">
        <f>N109*VLOOKUP(H109,dagsoorttabel1,2,FALSE)</f>
        <v>31.02</v>
      </c>
      <c r="P109" s="95">
        <f>prodnorm48</f>
        <v>0</v>
      </c>
      <c r="Q109" s="92" t="s">
        <v>97</v>
      </c>
      <c r="R109" s="26">
        <f>uurtarief48</f>
        <v>0</v>
      </c>
      <c r="S109" s="94" t="e">
        <f>IF(ISBLANK(P109),0,O109/ROUND(P109,4))</f>
        <v>#DIV/0!</v>
      </c>
      <c r="T109" s="26" t="e">
        <f>ROUND(R109,2)*S109</f>
        <v>#DIV/0!</v>
      </c>
      <c r="U109" s="94" t="e">
        <f>S109*dagenperjaar1</f>
        <v>#DIV/0!</v>
      </c>
      <c r="V109" s="27" t="e">
        <f>U109*ROUND(R109,2)</f>
        <v>#DIV/0!</v>
      </c>
    </row>
    <row r="110" spans="1:22" x14ac:dyDescent="0.4">
      <c r="A110" s="91" t="s">
        <v>291</v>
      </c>
      <c r="B110" s="92" t="s">
        <v>297</v>
      </c>
      <c r="C110" s="92" t="s">
        <v>463</v>
      </c>
      <c r="D110" s="92" t="s">
        <v>494</v>
      </c>
      <c r="E110" s="93" t="s">
        <v>495</v>
      </c>
      <c r="F110" s="92" t="s">
        <v>341</v>
      </c>
      <c r="G110" s="92" t="s">
        <v>213</v>
      </c>
      <c r="H110" s="92" t="s">
        <v>11</v>
      </c>
      <c r="I110" s="92" t="s">
        <v>293</v>
      </c>
      <c r="J110" s="93" t="s">
        <v>214</v>
      </c>
      <c r="K110" s="92" t="s">
        <v>342</v>
      </c>
      <c r="L110" s="92" t="s">
        <v>493</v>
      </c>
      <c r="M110" s="92" t="s">
        <v>348</v>
      </c>
      <c r="N110" s="94">
        <v>12</v>
      </c>
      <c r="O110" s="94">
        <f>N110*VLOOKUP(H110,dagsoorttabel1,2,FALSE)</f>
        <v>7.1999999999999993</v>
      </c>
      <c r="P110" s="95">
        <f>prodnorm29</f>
        <v>0</v>
      </c>
      <c r="Q110" s="92" t="s">
        <v>97</v>
      </c>
      <c r="R110" s="26">
        <f>uurtarief29</f>
        <v>0</v>
      </c>
      <c r="S110" s="94" t="e">
        <f>IF(ISBLANK(P110),0,O110/ROUND(P110,4))</f>
        <v>#DIV/0!</v>
      </c>
      <c r="T110" s="26" t="e">
        <f>ROUND(R110,2)*S110</f>
        <v>#DIV/0!</v>
      </c>
      <c r="U110" s="94" t="e">
        <f>S110*dagenperjaar1</f>
        <v>#DIV/0!</v>
      </c>
      <c r="V110" s="27" t="e">
        <f>U110*ROUND(R110,2)</f>
        <v>#DIV/0!</v>
      </c>
    </row>
    <row r="111" spans="1:22" x14ac:dyDescent="0.4">
      <c r="A111" s="91" t="s">
        <v>291</v>
      </c>
      <c r="B111" s="92" t="s">
        <v>297</v>
      </c>
      <c r="C111" s="92" t="s">
        <v>463</v>
      </c>
      <c r="D111" s="92" t="s">
        <v>496</v>
      </c>
      <c r="E111" s="93" t="s">
        <v>495</v>
      </c>
      <c r="F111" s="92" t="s">
        <v>341</v>
      </c>
      <c r="G111" s="92" t="s">
        <v>213</v>
      </c>
      <c r="H111" s="92" t="s">
        <v>11</v>
      </c>
      <c r="I111" s="92" t="s">
        <v>293</v>
      </c>
      <c r="J111" s="93" t="s">
        <v>214</v>
      </c>
      <c r="K111" s="92" t="s">
        <v>342</v>
      </c>
      <c r="L111" s="92" t="s">
        <v>493</v>
      </c>
      <c r="M111" s="92" t="s">
        <v>348</v>
      </c>
      <c r="N111" s="94">
        <v>12</v>
      </c>
      <c r="O111" s="94">
        <f>N111*VLOOKUP(H111,dagsoorttabel1,2,FALSE)</f>
        <v>7.1999999999999993</v>
      </c>
      <c r="P111" s="95">
        <f>prodnorm29</f>
        <v>0</v>
      </c>
      <c r="Q111" s="92" t="s">
        <v>97</v>
      </c>
      <c r="R111" s="26">
        <f>uurtarief29</f>
        <v>0</v>
      </c>
      <c r="S111" s="94" t="e">
        <f>IF(ISBLANK(P111),0,O111/ROUND(P111,4))</f>
        <v>#DIV/0!</v>
      </c>
      <c r="T111" s="26" t="e">
        <f>ROUND(R111,2)*S111</f>
        <v>#DIV/0!</v>
      </c>
      <c r="U111" s="94" t="e">
        <f>S111*dagenperjaar1</f>
        <v>#DIV/0!</v>
      </c>
      <c r="V111" s="27" t="e">
        <f>U111*ROUND(R111,2)</f>
        <v>#DIV/0!</v>
      </c>
    </row>
    <row r="112" spans="1:22" x14ac:dyDescent="0.4">
      <c r="A112" s="91" t="s">
        <v>291</v>
      </c>
      <c r="B112" s="92" t="s">
        <v>297</v>
      </c>
      <c r="C112" s="92" t="s">
        <v>463</v>
      </c>
      <c r="D112" s="92" t="s">
        <v>497</v>
      </c>
      <c r="E112" s="93" t="s">
        <v>498</v>
      </c>
      <c r="F112" s="92" t="s">
        <v>341</v>
      </c>
      <c r="G112" s="92" t="s">
        <v>205</v>
      </c>
      <c r="H112" s="92" t="s">
        <v>11</v>
      </c>
      <c r="I112" s="92" t="s">
        <v>293</v>
      </c>
      <c r="J112" s="93" t="s">
        <v>206</v>
      </c>
      <c r="K112" s="92" t="s">
        <v>342</v>
      </c>
      <c r="L112" s="92" t="s">
        <v>493</v>
      </c>
      <c r="M112" s="92" t="s">
        <v>348</v>
      </c>
      <c r="N112" s="94">
        <v>50.2</v>
      </c>
      <c r="O112" s="94">
        <f>N112*VLOOKUP(H112,dagsoorttabel1,2,FALSE)</f>
        <v>30.12</v>
      </c>
      <c r="P112" s="95">
        <f>prodnorm24</f>
        <v>0</v>
      </c>
      <c r="Q112" s="92" t="s">
        <v>97</v>
      </c>
      <c r="R112" s="26">
        <f>uurtarief24</f>
        <v>0</v>
      </c>
      <c r="S112" s="94" t="e">
        <f>IF(ISBLANK(P112),0,O112/ROUND(P112,4))</f>
        <v>#DIV/0!</v>
      </c>
      <c r="T112" s="26" t="e">
        <f>ROUND(R112,2)*S112</f>
        <v>#DIV/0!</v>
      </c>
      <c r="U112" s="94" t="e">
        <f>S112*dagenperjaar1</f>
        <v>#DIV/0!</v>
      </c>
      <c r="V112" s="27" t="e">
        <f>U112*ROUND(R112,2)</f>
        <v>#DIV/0!</v>
      </c>
    </row>
    <row r="113" spans="1:22" x14ac:dyDescent="0.4">
      <c r="A113" s="91" t="s">
        <v>291</v>
      </c>
      <c r="B113" s="92" t="s">
        <v>297</v>
      </c>
      <c r="C113" s="92" t="s">
        <v>463</v>
      </c>
      <c r="D113" s="92" t="s">
        <v>499</v>
      </c>
      <c r="E113" s="93" t="s">
        <v>382</v>
      </c>
      <c r="F113" s="92" t="s">
        <v>341</v>
      </c>
      <c r="G113" s="92" t="s">
        <v>205</v>
      </c>
      <c r="H113" s="92" t="s">
        <v>11</v>
      </c>
      <c r="I113" s="92" t="s">
        <v>293</v>
      </c>
      <c r="J113" s="93" t="s">
        <v>206</v>
      </c>
      <c r="K113" s="92" t="s">
        <v>342</v>
      </c>
      <c r="L113" s="92" t="s">
        <v>493</v>
      </c>
      <c r="M113" s="92" t="s">
        <v>348</v>
      </c>
      <c r="N113" s="94">
        <v>5</v>
      </c>
      <c r="O113" s="94">
        <f>N113*VLOOKUP(H113,dagsoorttabel1,2,FALSE)</f>
        <v>3</v>
      </c>
      <c r="P113" s="95">
        <f>prodnorm24</f>
        <v>0</v>
      </c>
      <c r="Q113" s="92" t="s">
        <v>97</v>
      </c>
      <c r="R113" s="26">
        <f>uurtarief24</f>
        <v>0</v>
      </c>
      <c r="S113" s="94" t="e">
        <f>IF(ISBLANK(P113),0,O113/ROUND(P113,4))</f>
        <v>#DIV/0!</v>
      </c>
      <c r="T113" s="26" t="e">
        <f>ROUND(R113,2)*S113</f>
        <v>#DIV/0!</v>
      </c>
      <c r="U113" s="94" t="e">
        <f>S113*dagenperjaar1</f>
        <v>#DIV/0!</v>
      </c>
      <c r="V113" s="27" t="e">
        <f>U113*ROUND(R113,2)</f>
        <v>#DIV/0!</v>
      </c>
    </row>
    <row r="114" spans="1:22" x14ac:dyDescent="0.4">
      <c r="A114" s="91" t="s">
        <v>291</v>
      </c>
      <c r="B114" s="92" t="s">
        <v>297</v>
      </c>
      <c r="C114" s="92" t="s">
        <v>463</v>
      </c>
      <c r="D114" s="92" t="s">
        <v>500</v>
      </c>
      <c r="E114" s="93" t="s">
        <v>380</v>
      </c>
      <c r="F114" s="92" t="s">
        <v>341</v>
      </c>
      <c r="G114" s="92" t="s">
        <v>205</v>
      </c>
      <c r="H114" s="92" t="s">
        <v>11</v>
      </c>
      <c r="I114" s="92" t="s">
        <v>293</v>
      </c>
      <c r="J114" s="93" t="s">
        <v>206</v>
      </c>
      <c r="K114" s="92" t="s">
        <v>342</v>
      </c>
      <c r="L114" s="92" t="s">
        <v>493</v>
      </c>
      <c r="M114" s="92" t="s">
        <v>348</v>
      </c>
      <c r="N114" s="94">
        <v>5</v>
      </c>
      <c r="O114" s="94">
        <f>N114*VLOOKUP(H114,dagsoorttabel1,2,FALSE)</f>
        <v>3</v>
      </c>
      <c r="P114" s="95">
        <f>prodnorm24</f>
        <v>0</v>
      </c>
      <c r="Q114" s="92" t="s">
        <v>97</v>
      </c>
      <c r="R114" s="26">
        <f>uurtarief24</f>
        <v>0</v>
      </c>
      <c r="S114" s="94" t="e">
        <f>IF(ISBLANK(P114),0,O114/ROUND(P114,4))</f>
        <v>#DIV/0!</v>
      </c>
      <c r="T114" s="26" t="e">
        <f>ROUND(R114,2)*S114</f>
        <v>#DIV/0!</v>
      </c>
      <c r="U114" s="94" t="e">
        <f>S114*dagenperjaar1</f>
        <v>#DIV/0!</v>
      </c>
      <c r="V114" s="27" t="e">
        <f>U114*ROUND(R114,2)</f>
        <v>#DIV/0!</v>
      </c>
    </row>
    <row r="115" spans="1:22" x14ac:dyDescent="0.4">
      <c r="A115" s="91" t="s">
        <v>291</v>
      </c>
      <c r="B115" s="92" t="s">
        <v>297</v>
      </c>
      <c r="C115" s="92" t="s">
        <v>463</v>
      </c>
      <c r="D115" s="92" t="s">
        <v>501</v>
      </c>
      <c r="E115" s="93" t="s">
        <v>380</v>
      </c>
      <c r="F115" s="92" t="s">
        <v>341</v>
      </c>
      <c r="G115" s="92" t="s">
        <v>205</v>
      </c>
      <c r="H115" s="92" t="s">
        <v>11</v>
      </c>
      <c r="I115" s="92" t="s">
        <v>293</v>
      </c>
      <c r="J115" s="93" t="s">
        <v>206</v>
      </c>
      <c r="K115" s="92" t="s">
        <v>342</v>
      </c>
      <c r="L115" s="92" t="s">
        <v>493</v>
      </c>
      <c r="M115" s="92" t="s">
        <v>348</v>
      </c>
      <c r="N115" s="94">
        <v>5</v>
      </c>
      <c r="O115" s="94">
        <f>N115*VLOOKUP(H115,dagsoorttabel1,2,FALSE)</f>
        <v>3</v>
      </c>
      <c r="P115" s="95">
        <f>prodnorm24</f>
        <v>0</v>
      </c>
      <c r="Q115" s="92" t="s">
        <v>97</v>
      </c>
      <c r="R115" s="26">
        <f>uurtarief24</f>
        <v>0</v>
      </c>
      <c r="S115" s="94" t="e">
        <f>IF(ISBLANK(P115),0,O115/ROUND(P115,4))</f>
        <v>#DIV/0!</v>
      </c>
      <c r="T115" s="26" t="e">
        <f>ROUND(R115,2)*S115</f>
        <v>#DIV/0!</v>
      </c>
      <c r="U115" s="94" t="e">
        <f>S115*dagenperjaar1</f>
        <v>#DIV/0!</v>
      </c>
      <c r="V115" s="27" t="e">
        <f>U115*ROUND(R115,2)</f>
        <v>#DIV/0!</v>
      </c>
    </row>
    <row r="116" spans="1:22" x14ac:dyDescent="0.4">
      <c r="A116" s="91" t="s">
        <v>291</v>
      </c>
      <c r="B116" s="92" t="s">
        <v>297</v>
      </c>
      <c r="C116" s="92" t="s">
        <v>463</v>
      </c>
      <c r="D116" s="92" t="s">
        <v>502</v>
      </c>
      <c r="E116" s="93" t="s">
        <v>382</v>
      </c>
      <c r="F116" s="92" t="s">
        <v>341</v>
      </c>
      <c r="G116" s="92" t="s">
        <v>205</v>
      </c>
      <c r="H116" s="92" t="s">
        <v>11</v>
      </c>
      <c r="I116" s="92" t="s">
        <v>293</v>
      </c>
      <c r="J116" s="93" t="s">
        <v>206</v>
      </c>
      <c r="K116" s="92" t="s">
        <v>342</v>
      </c>
      <c r="L116" s="92" t="s">
        <v>493</v>
      </c>
      <c r="M116" s="92" t="s">
        <v>348</v>
      </c>
      <c r="N116" s="94">
        <v>5</v>
      </c>
      <c r="O116" s="94">
        <f>N116*VLOOKUP(H116,dagsoorttabel1,2,FALSE)</f>
        <v>3</v>
      </c>
      <c r="P116" s="95">
        <f>prodnorm24</f>
        <v>0</v>
      </c>
      <c r="Q116" s="92" t="s">
        <v>97</v>
      </c>
      <c r="R116" s="26">
        <f>uurtarief24</f>
        <v>0</v>
      </c>
      <c r="S116" s="94" t="e">
        <f>IF(ISBLANK(P116),0,O116/ROUND(P116,4))</f>
        <v>#DIV/0!</v>
      </c>
      <c r="T116" s="26" t="e">
        <f>ROUND(R116,2)*S116</f>
        <v>#DIV/0!</v>
      </c>
      <c r="U116" s="94" t="e">
        <f>S116*dagenperjaar1</f>
        <v>#DIV/0!</v>
      </c>
      <c r="V116" s="27" t="e">
        <f>U116*ROUND(R116,2)</f>
        <v>#DIV/0!</v>
      </c>
    </row>
    <row r="117" spans="1:22" x14ac:dyDescent="0.4">
      <c r="A117" s="91" t="s">
        <v>291</v>
      </c>
      <c r="B117" s="92" t="s">
        <v>297</v>
      </c>
      <c r="C117" s="92" t="s">
        <v>463</v>
      </c>
      <c r="D117" s="92" t="s">
        <v>503</v>
      </c>
      <c r="E117" s="93" t="s">
        <v>498</v>
      </c>
      <c r="F117" s="92" t="s">
        <v>341</v>
      </c>
      <c r="G117" s="92" t="s">
        <v>205</v>
      </c>
      <c r="H117" s="92" t="s">
        <v>11</v>
      </c>
      <c r="I117" s="92" t="s">
        <v>293</v>
      </c>
      <c r="J117" s="93" t="s">
        <v>206</v>
      </c>
      <c r="K117" s="92" t="s">
        <v>342</v>
      </c>
      <c r="L117" s="92" t="s">
        <v>493</v>
      </c>
      <c r="M117" s="92" t="s">
        <v>348</v>
      </c>
      <c r="N117" s="94">
        <v>58.5</v>
      </c>
      <c r="O117" s="94">
        <f>N117*VLOOKUP(H117,dagsoorttabel1,2,FALSE)</f>
        <v>35.1</v>
      </c>
      <c r="P117" s="95">
        <f>prodnorm24</f>
        <v>0</v>
      </c>
      <c r="Q117" s="92" t="s">
        <v>97</v>
      </c>
      <c r="R117" s="26">
        <f>uurtarief24</f>
        <v>0</v>
      </c>
      <c r="S117" s="94" t="e">
        <f>IF(ISBLANK(P117),0,O117/ROUND(P117,4))</f>
        <v>#DIV/0!</v>
      </c>
      <c r="T117" s="26" t="e">
        <f>ROUND(R117,2)*S117</f>
        <v>#DIV/0!</v>
      </c>
      <c r="U117" s="94" t="e">
        <f>S117*dagenperjaar1</f>
        <v>#DIV/0!</v>
      </c>
      <c r="V117" s="27" t="e">
        <f>U117*ROUND(R117,2)</f>
        <v>#DIV/0!</v>
      </c>
    </row>
    <row r="118" spans="1:22" x14ac:dyDescent="0.4">
      <c r="A118" s="91" t="s">
        <v>291</v>
      </c>
      <c r="B118" s="92" t="s">
        <v>297</v>
      </c>
      <c r="C118" s="92" t="s">
        <v>463</v>
      </c>
      <c r="D118" s="92" t="s">
        <v>504</v>
      </c>
      <c r="E118" s="93" t="s">
        <v>505</v>
      </c>
      <c r="F118" s="92" t="s">
        <v>341</v>
      </c>
      <c r="G118" s="92" t="s">
        <v>205</v>
      </c>
      <c r="H118" s="92" t="s">
        <v>11</v>
      </c>
      <c r="I118" s="92" t="s">
        <v>293</v>
      </c>
      <c r="J118" s="93" t="s">
        <v>206</v>
      </c>
      <c r="K118" s="92" t="s">
        <v>342</v>
      </c>
      <c r="L118" s="92" t="s">
        <v>493</v>
      </c>
      <c r="M118" s="92" t="s">
        <v>348</v>
      </c>
      <c r="N118" s="94">
        <v>54</v>
      </c>
      <c r="O118" s="94">
        <f>N118*VLOOKUP(H118,dagsoorttabel1,2,FALSE)</f>
        <v>32.4</v>
      </c>
      <c r="P118" s="95">
        <f>prodnorm24</f>
        <v>0</v>
      </c>
      <c r="Q118" s="92" t="s">
        <v>97</v>
      </c>
      <c r="R118" s="26">
        <f>uurtarief24</f>
        <v>0</v>
      </c>
      <c r="S118" s="94" t="e">
        <f>IF(ISBLANK(P118),0,O118/ROUND(P118,4))</f>
        <v>#DIV/0!</v>
      </c>
      <c r="T118" s="26" t="e">
        <f>ROUND(R118,2)*S118</f>
        <v>#DIV/0!</v>
      </c>
      <c r="U118" s="94" t="e">
        <f>S118*dagenperjaar1</f>
        <v>#DIV/0!</v>
      </c>
      <c r="V118" s="27" t="e">
        <f>U118*ROUND(R118,2)</f>
        <v>#DIV/0!</v>
      </c>
    </row>
    <row r="119" spans="1:22" x14ac:dyDescent="0.4">
      <c r="A119" s="91" t="s">
        <v>291</v>
      </c>
      <c r="B119" s="92" t="s">
        <v>297</v>
      </c>
      <c r="C119" s="92" t="s">
        <v>463</v>
      </c>
      <c r="D119" s="92" t="s">
        <v>506</v>
      </c>
      <c r="E119" s="93" t="s">
        <v>356</v>
      </c>
      <c r="F119" s="92" t="s">
        <v>315</v>
      </c>
      <c r="G119" s="92" t="s">
        <v>330</v>
      </c>
      <c r="H119" s="92"/>
      <c r="I119" s="92"/>
      <c r="J119" s="92"/>
      <c r="K119" s="92" t="s">
        <v>34</v>
      </c>
      <c r="L119" s="92" t="s">
        <v>491</v>
      </c>
      <c r="M119" s="92" t="s">
        <v>348</v>
      </c>
      <c r="N119" s="94">
        <v>3.9</v>
      </c>
      <c r="O119" s="94"/>
      <c r="P119" s="95"/>
      <c r="Q119" s="92"/>
      <c r="R119" s="26"/>
      <c r="S119" s="94"/>
      <c r="T119" s="26"/>
      <c r="U119" s="96"/>
      <c r="V119" s="27"/>
    </row>
    <row r="120" spans="1:22" x14ac:dyDescent="0.4">
      <c r="A120" s="91" t="s">
        <v>291</v>
      </c>
      <c r="B120" s="92" t="s">
        <v>297</v>
      </c>
      <c r="C120" s="92" t="s">
        <v>463</v>
      </c>
      <c r="D120" s="92" t="s">
        <v>507</v>
      </c>
      <c r="E120" s="93" t="s">
        <v>358</v>
      </c>
      <c r="F120" s="92" t="s">
        <v>315</v>
      </c>
      <c r="G120" s="92" t="s">
        <v>227</v>
      </c>
      <c r="H120" s="92" t="s">
        <v>9</v>
      </c>
      <c r="I120" s="92" t="s">
        <v>293</v>
      </c>
      <c r="J120" s="93" t="s">
        <v>228</v>
      </c>
      <c r="K120" s="92" t="s">
        <v>312</v>
      </c>
      <c r="L120" s="92" t="s">
        <v>491</v>
      </c>
      <c r="M120" s="92" t="s">
        <v>348</v>
      </c>
      <c r="N120" s="94">
        <v>10.9</v>
      </c>
      <c r="O120" s="94">
        <f>N120*VLOOKUP(H120,dagsoorttabel1,2,FALSE)</f>
        <v>10.9</v>
      </c>
      <c r="P120" s="95">
        <f>prodnorm39</f>
        <v>0</v>
      </c>
      <c r="Q120" s="92" t="s">
        <v>97</v>
      </c>
      <c r="R120" s="26">
        <f>uurtarief39</f>
        <v>0</v>
      </c>
      <c r="S120" s="94" t="e">
        <f>IF(ISBLANK(P120),0,O120/ROUND(P120,4))</f>
        <v>#DIV/0!</v>
      </c>
      <c r="T120" s="26" t="e">
        <f>ROUND(R120,2)*S120</f>
        <v>#DIV/0!</v>
      </c>
      <c r="U120" s="94" t="e">
        <f>S120*dagenperjaar1</f>
        <v>#DIV/0!</v>
      </c>
      <c r="V120" s="27" t="e">
        <f>U120*ROUND(R120,2)</f>
        <v>#DIV/0!</v>
      </c>
    </row>
    <row r="121" spans="1:22" x14ac:dyDescent="0.4">
      <c r="A121" s="91" t="s">
        <v>291</v>
      </c>
      <c r="B121" s="92" t="s">
        <v>297</v>
      </c>
      <c r="C121" s="92" t="s">
        <v>463</v>
      </c>
      <c r="D121" s="92" t="s">
        <v>507</v>
      </c>
      <c r="E121" s="93" t="s">
        <v>358</v>
      </c>
      <c r="F121" s="92" t="s">
        <v>315</v>
      </c>
      <c r="G121" s="92" t="s">
        <v>229</v>
      </c>
      <c r="H121" s="92" t="s">
        <v>11</v>
      </c>
      <c r="I121" s="92" t="s">
        <v>359</v>
      </c>
      <c r="J121" s="93" t="s">
        <v>230</v>
      </c>
      <c r="K121" s="92" t="s">
        <v>312</v>
      </c>
      <c r="L121" s="92" t="s">
        <v>491</v>
      </c>
      <c r="M121" s="92" t="s">
        <v>348</v>
      </c>
      <c r="N121" s="94">
        <v>10.9</v>
      </c>
      <c r="O121" s="94">
        <f>N121*VLOOKUP(H121,dagsoorttabel1,2,FALSE)</f>
        <v>6.54</v>
      </c>
      <c r="P121" s="95">
        <f>prodnorm40</f>
        <v>0</v>
      </c>
      <c r="Q121" s="92" t="s">
        <v>97</v>
      </c>
      <c r="R121" s="26">
        <f>uurtarief40</f>
        <v>0</v>
      </c>
      <c r="S121" s="94" t="e">
        <f>IF(ISBLANK(P121),0,O121/ROUND(P121,4))</f>
        <v>#DIV/0!</v>
      </c>
      <c r="T121" s="26" t="e">
        <f>ROUND(R121,2)*S121</f>
        <v>#DIV/0!</v>
      </c>
      <c r="U121" s="94" t="e">
        <f>S121*dagenperjaar1</f>
        <v>#DIV/0!</v>
      </c>
      <c r="V121" s="27" t="e">
        <f>U121*ROUND(R121,2)</f>
        <v>#DIV/0!</v>
      </c>
    </row>
    <row r="122" spans="1:22" x14ac:dyDescent="0.4">
      <c r="A122" s="91" t="s">
        <v>291</v>
      </c>
      <c r="B122" s="92" t="s">
        <v>297</v>
      </c>
      <c r="C122" s="92" t="s">
        <v>463</v>
      </c>
      <c r="D122" s="92" t="s">
        <v>508</v>
      </c>
      <c r="E122" s="93" t="s">
        <v>363</v>
      </c>
      <c r="F122" s="92" t="s">
        <v>315</v>
      </c>
      <c r="G122" s="92" t="s">
        <v>227</v>
      </c>
      <c r="H122" s="92" t="s">
        <v>9</v>
      </c>
      <c r="I122" s="92" t="s">
        <v>293</v>
      </c>
      <c r="J122" s="93" t="s">
        <v>228</v>
      </c>
      <c r="K122" s="92" t="s">
        <v>312</v>
      </c>
      <c r="L122" s="92" t="s">
        <v>491</v>
      </c>
      <c r="M122" s="92" t="s">
        <v>348</v>
      </c>
      <c r="N122" s="94">
        <v>9.02</v>
      </c>
      <c r="O122" s="94">
        <f>N122*VLOOKUP(H122,dagsoorttabel1,2,FALSE)</f>
        <v>9.02</v>
      </c>
      <c r="P122" s="95">
        <f>prodnorm39</f>
        <v>0</v>
      </c>
      <c r="Q122" s="92" t="s">
        <v>97</v>
      </c>
      <c r="R122" s="26">
        <f>uurtarief39</f>
        <v>0</v>
      </c>
      <c r="S122" s="94" t="e">
        <f>IF(ISBLANK(P122),0,O122/ROUND(P122,4))</f>
        <v>#DIV/0!</v>
      </c>
      <c r="T122" s="26" t="e">
        <f>ROUND(R122,2)*S122</f>
        <v>#DIV/0!</v>
      </c>
      <c r="U122" s="94" t="e">
        <f>S122*dagenperjaar1</f>
        <v>#DIV/0!</v>
      </c>
      <c r="V122" s="27" t="e">
        <f>U122*ROUND(R122,2)</f>
        <v>#DIV/0!</v>
      </c>
    </row>
    <row r="123" spans="1:22" x14ac:dyDescent="0.4">
      <c r="A123" s="91" t="s">
        <v>291</v>
      </c>
      <c r="B123" s="92" t="s">
        <v>297</v>
      </c>
      <c r="C123" s="92" t="s">
        <v>463</v>
      </c>
      <c r="D123" s="92" t="s">
        <v>508</v>
      </c>
      <c r="E123" s="93" t="s">
        <v>363</v>
      </c>
      <c r="F123" s="92" t="s">
        <v>315</v>
      </c>
      <c r="G123" s="92" t="s">
        <v>229</v>
      </c>
      <c r="H123" s="92" t="s">
        <v>11</v>
      </c>
      <c r="I123" s="92" t="s">
        <v>359</v>
      </c>
      <c r="J123" s="93" t="s">
        <v>230</v>
      </c>
      <c r="K123" s="92" t="s">
        <v>312</v>
      </c>
      <c r="L123" s="92" t="s">
        <v>491</v>
      </c>
      <c r="M123" s="92" t="s">
        <v>348</v>
      </c>
      <c r="N123" s="94">
        <v>9.02</v>
      </c>
      <c r="O123" s="94">
        <f>N123*VLOOKUP(H123,dagsoorttabel1,2,FALSE)</f>
        <v>5.4119999999999999</v>
      </c>
      <c r="P123" s="95">
        <f>prodnorm40</f>
        <v>0</v>
      </c>
      <c r="Q123" s="92" t="s">
        <v>97</v>
      </c>
      <c r="R123" s="26">
        <f>uurtarief40</f>
        <v>0</v>
      </c>
      <c r="S123" s="94" t="e">
        <f>IF(ISBLANK(P123),0,O123/ROUND(P123,4))</f>
        <v>#DIV/0!</v>
      </c>
      <c r="T123" s="26" t="e">
        <f>ROUND(R123,2)*S123</f>
        <v>#DIV/0!</v>
      </c>
      <c r="U123" s="94" t="e">
        <f>S123*dagenperjaar1</f>
        <v>#DIV/0!</v>
      </c>
      <c r="V123" s="27" t="e">
        <f>U123*ROUND(R123,2)</f>
        <v>#DIV/0!</v>
      </c>
    </row>
    <row r="124" spans="1:22" x14ac:dyDescent="0.4">
      <c r="A124" s="91" t="s">
        <v>291</v>
      </c>
      <c r="B124" s="92" t="s">
        <v>297</v>
      </c>
      <c r="C124" s="92" t="s">
        <v>463</v>
      </c>
      <c r="D124" s="92" t="s">
        <v>509</v>
      </c>
      <c r="E124" s="93" t="s">
        <v>510</v>
      </c>
      <c r="F124" s="92" t="s">
        <v>315</v>
      </c>
      <c r="G124" s="92" t="s">
        <v>227</v>
      </c>
      <c r="H124" s="92" t="s">
        <v>9</v>
      </c>
      <c r="I124" s="92" t="s">
        <v>293</v>
      </c>
      <c r="J124" s="93" t="s">
        <v>228</v>
      </c>
      <c r="K124" s="92" t="s">
        <v>312</v>
      </c>
      <c r="L124" s="92" t="s">
        <v>491</v>
      </c>
      <c r="M124" s="92" t="s">
        <v>348</v>
      </c>
      <c r="N124" s="94">
        <v>4.5999999999999996</v>
      </c>
      <c r="O124" s="94">
        <f>N124*VLOOKUP(H124,dagsoorttabel1,2,FALSE)</f>
        <v>4.5999999999999996</v>
      </c>
      <c r="P124" s="95">
        <f>prodnorm39</f>
        <v>0</v>
      </c>
      <c r="Q124" s="92" t="s">
        <v>97</v>
      </c>
      <c r="R124" s="26">
        <f>uurtarief39</f>
        <v>0</v>
      </c>
      <c r="S124" s="94" t="e">
        <f>IF(ISBLANK(P124),0,O124/ROUND(P124,4))</f>
        <v>#DIV/0!</v>
      </c>
      <c r="T124" s="26" t="e">
        <f>ROUND(R124,2)*S124</f>
        <v>#DIV/0!</v>
      </c>
      <c r="U124" s="94" t="e">
        <f>S124*dagenperjaar1</f>
        <v>#DIV/0!</v>
      </c>
      <c r="V124" s="27" t="e">
        <f>U124*ROUND(R124,2)</f>
        <v>#DIV/0!</v>
      </c>
    </row>
    <row r="125" spans="1:22" x14ac:dyDescent="0.4">
      <c r="A125" s="91" t="s">
        <v>291</v>
      </c>
      <c r="B125" s="92" t="s">
        <v>297</v>
      </c>
      <c r="C125" s="92" t="s">
        <v>463</v>
      </c>
      <c r="D125" s="92" t="s">
        <v>509</v>
      </c>
      <c r="E125" s="93" t="s">
        <v>510</v>
      </c>
      <c r="F125" s="92" t="s">
        <v>315</v>
      </c>
      <c r="G125" s="92" t="s">
        <v>229</v>
      </c>
      <c r="H125" s="92" t="s">
        <v>11</v>
      </c>
      <c r="I125" s="92" t="s">
        <v>359</v>
      </c>
      <c r="J125" s="93" t="s">
        <v>230</v>
      </c>
      <c r="K125" s="92" t="s">
        <v>312</v>
      </c>
      <c r="L125" s="92" t="s">
        <v>491</v>
      </c>
      <c r="M125" s="92" t="s">
        <v>348</v>
      </c>
      <c r="N125" s="94">
        <v>4.5999999999999996</v>
      </c>
      <c r="O125" s="94">
        <f>N125*VLOOKUP(H125,dagsoorttabel1,2,FALSE)</f>
        <v>2.76</v>
      </c>
      <c r="P125" s="95">
        <f>prodnorm40</f>
        <v>0</v>
      </c>
      <c r="Q125" s="92" t="s">
        <v>97</v>
      </c>
      <c r="R125" s="26">
        <f>uurtarief40</f>
        <v>0</v>
      </c>
      <c r="S125" s="94" t="e">
        <f>IF(ISBLANK(P125),0,O125/ROUND(P125,4))</f>
        <v>#DIV/0!</v>
      </c>
      <c r="T125" s="26" t="e">
        <f>ROUND(R125,2)*S125</f>
        <v>#DIV/0!</v>
      </c>
      <c r="U125" s="94" t="e">
        <f>S125*dagenperjaar1</f>
        <v>#DIV/0!</v>
      </c>
      <c r="V125" s="27" t="e">
        <f>U125*ROUND(R125,2)</f>
        <v>#DIV/0!</v>
      </c>
    </row>
    <row r="126" spans="1:22" x14ac:dyDescent="0.4">
      <c r="A126" s="91" t="s">
        <v>291</v>
      </c>
      <c r="B126" s="92" t="s">
        <v>297</v>
      </c>
      <c r="C126" s="92" t="s">
        <v>463</v>
      </c>
      <c r="D126" s="92" t="s">
        <v>511</v>
      </c>
      <c r="E126" s="93" t="s">
        <v>512</v>
      </c>
      <c r="F126" s="92" t="s">
        <v>425</v>
      </c>
      <c r="G126" s="92" t="s">
        <v>257</v>
      </c>
      <c r="H126" s="92" t="s">
        <v>9</v>
      </c>
      <c r="I126" s="92" t="s">
        <v>293</v>
      </c>
      <c r="J126" s="93" t="s">
        <v>258</v>
      </c>
      <c r="K126" s="92" t="s">
        <v>342</v>
      </c>
      <c r="L126" s="92" t="s">
        <v>491</v>
      </c>
      <c r="M126" s="92" t="s">
        <v>348</v>
      </c>
      <c r="N126" s="94">
        <v>1</v>
      </c>
      <c r="O126" s="94">
        <f>N126*VLOOKUP(H126,dagsoorttabel1,2,FALSE)</f>
        <v>1</v>
      </c>
      <c r="P126" s="95">
        <f>prodnorm14</f>
        <v>0</v>
      </c>
      <c r="Q126" s="92" t="s">
        <v>259</v>
      </c>
      <c r="R126" s="26">
        <f>uurtarief14</f>
        <v>0</v>
      </c>
      <c r="S126" s="94">
        <f>O126*ROUND(P126,4)/60</f>
        <v>0</v>
      </c>
      <c r="T126" s="26">
        <f>ROUND(R126,2)*S126</f>
        <v>0</v>
      </c>
      <c r="U126" s="94">
        <f>S126*dagenperjaar1</f>
        <v>0</v>
      </c>
      <c r="V126" s="27">
        <f>U126*ROUND(R126,2)</f>
        <v>0</v>
      </c>
    </row>
    <row r="127" spans="1:22" x14ac:dyDescent="0.4">
      <c r="A127" s="91" t="s">
        <v>291</v>
      </c>
      <c r="B127" s="92" t="s">
        <v>297</v>
      </c>
      <c r="C127" s="92" t="s">
        <v>463</v>
      </c>
      <c r="D127" s="92" t="s">
        <v>511</v>
      </c>
      <c r="E127" s="93" t="s">
        <v>512</v>
      </c>
      <c r="F127" s="92" t="s">
        <v>425</v>
      </c>
      <c r="G127" s="92" t="s">
        <v>202</v>
      </c>
      <c r="H127" s="92" t="s">
        <v>11</v>
      </c>
      <c r="I127" s="92" t="s">
        <v>293</v>
      </c>
      <c r="J127" s="93" t="s">
        <v>204</v>
      </c>
      <c r="K127" s="92" t="s">
        <v>342</v>
      </c>
      <c r="L127" s="92" t="s">
        <v>491</v>
      </c>
      <c r="M127" s="92" t="s">
        <v>348</v>
      </c>
      <c r="N127" s="94">
        <v>45</v>
      </c>
      <c r="O127" s="94">
        <f>N127*VLOOKUP(H127,dagsoorttabel1,2,FALSE)</f>
        <v>27</v>
      </c>
      <c r="P127" s="95">
        <f>prodnorm22</f>
        <v>0</v>
      </c>
      <c r="Q127" s="92" t="s">
        <v>97</v>
      </c>
      <c r="R127" s="26">
        <f>uurtarief22</f>
        <v>0</v>
      </c>
      <c r="S127" s="94" t="e">
        <f>IF(ISBLANK(P127),0,O127/ROUND(P127,4))</f>
        <v>#DIV/0!</v>
      </c>
      <c r="T127" s="26" t="e">
        <f>ROUND(R127,2)*S127</f>
        <v>#DIV/0!</v>
      </c>
      <c r="U127" s="94" t="e">
        <f>S127*dagenperjaar1</f>
        <v>#DIV/0!</v>
      </c>
      <c r="V127" s="27" t="e">
        <f>U127*ROUND(R127,2)</f>
        <v>#DIV/0!</v>
      </c>
    </row>
    <row r="128" spans="1:22" x14ac:dyDescent="0.4">
      <c r="A128" s="91" t="s">
        <v>291</v>
      </c>
      <c r="B128" s="92" t="s">
        <v>342</v>
      </c>
      <c r="C128" s="92" t="s">
        <v>298</v>
      </c>
      <c r="D128" s="92" t="s">
        <v>513</v>
      </c>
      <c r="E128" s="93" t="s">
        <v>514</v>
      </c>
      <c r="F128" s="92" t="s">
        <v>301</v>
      </c>
      <c r="G128" s="92" t="s">
        <v>330</v>
      </c>
      <c r="H128" s="92"/>
      <c r="I128" s="92"/>
      <c r="J128" s="92"/>
      <c r="K128" s="92" t="s">
        <v>34</v>
      </c>
      <c r="L128" s="92" t="s">
        <v>302</v>
      </c>
      <c r="M128" s="92" t="s">
        <v>34</v>
      </c>
      <c r="N128" s="94">
        <v>2.2200000000000002</v>
      </c>
      <c r="O128" s="94"/>
      <c r="P128" s="95"/>
      <c r="Q128" s="92"/>
      <c r="R128" s="26"/>
      <c r="S128" s="94"/>
      <c r="T128" s="26"/>
      <c r="U128" s="96"/>
      <c r="V128" s="27"/>
    </row>
    <row r="129" spans="1:22" x14ac:dyDescent="0.4">
      <c r="A129" s="91" t="s">
        <v>291</v>
      </c>
      <c r="B129" s="92" t="s">
        <v>342</v>
      </c>
      <c r="C129" s="92" t="s">
        <v>298</v>
      </c>
      <c r="D129" s="92" t="s">
        <v>515</v>
      </c>
      <c r="E129" s="93" t="s">
        <v>516</v>
      </c>
      <c r="F129" s="92" t="s">
        <v>301</v>
      </c>
      <c r="G129" s="92" t="s">
        <v>245</v>
      </c>
      <c r="H129" s="92" t="s">
        <v>17</v>
      </c>
      <c r="I129" s="92" t="s">
        <v>293</v>
      </c>
      <c r="J129" s="93" t="s">
        <v>246</v>
      </c>
      <c r="K129" s="92" t="s">
        <v>34</v>
      </c>
      <c r="L129" s="92" t="s">
        <v>302</v>
      </c>
      <c r="M129" s="92" t="s">
        <v>295</v>
      </c>
      <c r="N129" s="94">
        <v>51.11</v>
      </c>
      <c r="O129" s="94">
        <f>N129*VLOOKUP(H129,dagsoorttabel1,2,FALSE)</f>
        <v>0.80172549019607842</v>
      </c>
      <c r="P129" s="95">
        <f>prodnorm51</f>
        <v>0</v>
      </c>
      <c r="Q129" s="92" t="s">
        <v>97</v>
      </c>
      <c r="R129" s="26">
        <f>uurtarief51</f>
        <v>0</v>
      </c>
      <c r="S129" s="94" t="e">
        <f>IF(ISBLANK(P129),0,O129/ROUND(P129,4))</f>
        <v>#DIV/0!</v>
      </c>
      <c r="T129" s="26" t="e">
        <f>ROUND(R129,2)*S129</f>
        <v>#DIV/0!</v>
      </c>
      <c r="U129" s="94" t="e">
        <f>S129*dagenperjaar1</f>
        <v>#DIV/0!</v>
      </c>
      <c r="V129" s="27" t="e">
        <f>U129*ROUND(R129,2)</f>
        <v>#DIV/0!</v>
      </c>
    </row>
    <row r="130" spans="1:22" x14ac:dyDescent="0.4">
      <c r="A130" s="91" t="s">
        <v>291</v>
      </c>
      <c r="B130" s="92" t="s">
        <v>342</v>
      </c>
      <c r="C130" s="92" t="s">
        <v>298</v>
      </c>
      <c r="D130" s="92" t="s">
        <v>517</v>
      </c>
      <c r="E130" s="93" t="s">
        <v>518</v>
      </c>
      <c r="F130" s="92" t="s">
        <v>301</v>
      </c>
      <c r="G130" s="92" t="s">
        <v>330</v>
      </c>
      <c r="H130" s="92"/>
      <c r="I130" s="92"/>
      <c r="J130" s="92"/>
      <c r="K130" s="92" t="s">
        <v>34</v>
      </c>
      <c r="L130" s="92" t="s">
        <v>519</v>
      </c>
      <c r="M130" s="92" t="s">
        <v>34</v>
      </c>
      <c r="N130" s="94">
        <v>12.239999999999998</v>
      </c>
      <c r="O130" s="94"/>
      <c r="P130" s="95"/>
      <c r="Q130" s="92"/>
      <c r="R130" s="26"/>
      <c r="S130" s="94"/>
      <c r="T130" s="26"/>
      <c r="U130" s="96"/>
      <c r="V130" s="27"/>
    </row>
    <row r="131" spans="1:22" x14ac:dyDescent="0.4">
      <c r="A131" s="91" t="s">
        <v>291</v>
      </c>
      <c r="B131" s="92" t="s">
        <v>342</v>
      </c>
      <c r="C131" s="92" t="s">
        <v>298</v>
      </c>
      <c r="D131" s="92" t="s">
        <v>520</v>
      </c>
      <c r="E131" s="93" t="s">
        <v>521</v>
      </c>
      <c r="F131" s="92" t="s">
        <v>301</v>
      </c>
      <c r="G131" s="92" t="s">
        <v>263</v>
      </c>
      <c r="H131" s="92" t="s">
        <v>20</v>
      </c>
      <c r="I131" s="92" t="s">
        <v>293</v>
      </c>
      <c r="J131" s="93" t="s">
        <v>264</v>
      </c>
      <c r="K131" s="92" t="s">
        <v>34</v>
      </c>
      <c r="L131" s="92" t="s">
        <v>302</v>
      </c>
      <c r="M131" s="92" t="s">
        <v>295</v>
      </c>
      <c r="N131" s="94">
        <v>7.92</v>
      </c>
      <c r="O131" s="94">
        <f>N131*VLOOKUP(H131,dagsoorttabel1,2,FALSE)</f>
        <v>3.1058823529411764E-2</v>
      </c>
      <c r="P131" s="95">
        <f>prodnorm16</f>
        <v>0</v>
      </c>
      <c r="Q131" s="92" t="s">
        <v>97</v>
      </c>
      <c r="R131" s="26">
        <f>uurtarief16</f>
        <v>0</v>
      </c>
      <c r="S131" s="94" t="e">
        <f>IF(ISBLANK(P131),0,O131/ROUND(P131,4))</f>
        <v>#DIV/0!</v>
      </c>
      <c r="T131" s="26" t="e">
        <f>ROUND(R131,2)*S131</f>
        <v>#DIV/0!</v>
      </c>
      <c r="U131" s="94" t="e">
        <f>S131*dagenperjaar1</f>
        <v>#DIV/0!</v>
      </c>
      <c r="V131" s="27" t="e">
        <f>U131*ROUND(R131,2)</f>
        <v>#DIV/0!</v>
      </c>
    </row>
    <row r="132" spans="1:22" x14ac:dyDescent="0.4">
      <c r="A132" s="91" t="s">
        <v>291</v>
      </c>
      <c r="B132" s="92" t="s">
        <v>342</v>
      </c>
      <c r="C132" s="92" t="s">
        <v>298</v>
      </c>
      <c r="D132" s="92" t="s">
        <v>522</v>
      </c>
      <c r="E132" s="93" t="s">
        <v>523</v>
      </c>
      <c r="F132" s="92" t="s">
        <v>301</v>
      </c>
      <c r="G132" s="92" t="s">
        <v>245</v>
      </c>
      <c r="H132" s="92" t="s">
        <v>17</v>
      </c>
      <c r="I132" s="92" t="s">
        <v>293</v>
      </c>
      <c r="J132" s="93" t="s">
        <v>246</v>
      </c>
      <c r="K132" s="92" t="s">
        <v>34</v>
      </c>
      <c r="L132" s="92" t="s">
        <v>308</v>
      </c>
      <c r="M132" s="92" t="s">
        <v>295</v>
      </c>
      <c r="N132" s="94">
        <v>1020.88</v>
      </c>
      <c r="O132" s="94">
        <f>N132*VLOOKUP(H132,dagsoorttabel1,2,FALSE)</f>
        <v>16.013803921568627</v>
      </c>
      <c r="P132" s="95">
        <f>prodnorm51</f>
        <v>0</v>
      </c>
      <c r="Q132" s="92" t="s">
        <v>97</v>
      </c>
      <c r="R132" s="26">
        <f>uurtarief51</f>
        <v>0</v>
      </c>
      <c r="S132" s="94" t="e">
        <f>IF(ISBLANK(P132),0,O132/ROUND(P132,4))</f>
        <v>#DIV/0!</v>
      </c>
      <c r="T132" s="26" t="e">
        <f>ROUND(R132,2)*S132</f>
        <v>#DIV/0!</v>
      </c>
      <c r="U132" s="94" t="e">
        <f>S132*dagenperjaar1</f>
        <v>#DIV/0!</v>
      </c>
      <c r="V132" s="27" t="e">
        <f>U132*ROUND(R132,2)</f>
        <v>#DIV/0!</v>
      </c>
    </row>
    <row r="133" spans="1:22" x14ac:dyDescent="0.4">
      <c r="A133" s="91" t="s">
        <v>291</v>
      </c>
      <c r="B133" s="92" t="s">
        <v>342</v>
      </c>
      <c r="C133" s="92" t="s">
        <v>298</v>
      </c>
      <c r="D133" s="92" t="s">
        <v>524</v>
      </c>
      <c r="E133" s="93" t="s">
        <v>525</v>
      </c>
      <c r="F133" s="92" t="s">
        <v>341</v>
      </c>
      <c r="G133" s="92" t="s">
        <v>247</v>
      </c>
      <c r="H133" s="92" t="s">
        <v>17</v>
      </c>
      <c r="I133" s="92" t="s">
        <v>293</v>
      </c>
      <c r="J133" s="93" t="s">
        <v>248</v>
      </c>
      <c r="K133" s="92" t="s">
        <v>34</v>
      </c>
      <c r="L133" s="92" t="s">
        <v>302</v>
      </c>
      <c r="M133" s="92" t="s">
        <v>295</v>
      </c>
      <c r="N133" s="94">
        <v>32.700000000000003</v>
      </c>
      <c r="O133" s="94">
        <f>N133*VLOOKUP(H133,dagsoorttabel1,2,FALSE)</f>
        <v>0.51294117647058823</v>
      </c>
      <c r="P133" s="95">
        <f>prodnorm52</f>
        <v>0</v>
      </c>
      <c r="Q133" s="92" t="s">
        <v>97</v>
      </c>
      <c r="R133" s="26">
        <f>uurtarief52</f>
        <v>0</v>
      </c>
      <c r="S133" s="94" t="e">
        <f>IF(ISBLANK(P133),0,O133/ROUND(P133,4))</f>
        <v>#DIV/0!</v>
      </c>
      <c r="T133" s="26" t="e">
        <f>ROUND(R133,2)*S133</f>
        <v>#DIV/0!</v>
      </c>
      <c r="U133" s="94" t="e">
        <f>S133*dagenperjaar1</f>
        <v>#DIV/0!</v>
      </c>
      <c r="V133" s="27" t="e">
        <f>U133*ROUND(R133,2)</f>
        <v>#DIV/0!</v>
      </c>
    </row>
    <row r="134" spans="1:22" ht="29.15" x14ac:dyDescent="0.4">
      <c r="A134" s="91" t="s">
        <v>291</v>
      </c>
      <c r="B134" s="92" t="s">
        <v>342</v>
      </c>
      <c r="C134" s="92" t="s">
        <v>298</v>
      </c>
      <c r="D134" s="92" t="s">
        <v>526</v>
      </c>
      <c r="E134" s="93" t="s">
        <v>527</v>
      </c>
      <c r="F134" s="92" t="s">
        <v>341</v>
      </c>
      <c r="G134" s="92" t="s">
        <v>251</v>
      </c>
      <c r="H134" s="92" t="s">
        <v>13</v>
      </c>
      <c r="I134" s="92" t="s">
        <v>293</v>
      </c>
      <c r="J134" s="93" t="s">
        <v>252</v>
      </c>
      <c r="K134" s="92" t="s">
        <v>320</v>
      </c>
      <c r="L134" s="92" t="s">
        <v>302</v>
      </c>
      <c r="M134" s="92" t="s">
        <v>295</v>
      </c>
      <c r="N134" s="94">
        <v>2.66</v>
      </c>
      <c r="O134" s="94">
        <f>N134*VLOOKUP(H134,dagsoorttabel1,2,FALSE)</f>
        <v>0.53200000000000003</v>
      </c>
      <c r="P134" s="95">
        <f>prodnorm57</f>
        <v>0</v>
      </c>
      <c r="Q134" s="92" t="s">
        <v>97</v>
      </c>
      <c r="R134" s="26">
        <f>uurtarief57</f>
        <v>0</v>
      </c>
      <c r="S134" s="94" t="e">
        <f>IF(ISBLANK(P134),0,O134/ROUND(P134,4))</f>
        <v>#DIV/0!</v>
      </c>
      <c r="T134" s="26" t="e">
        <f>ROUND(R134,2)*S134</f>
        <v>#DIV/0!</v>
      </c>
      <c r="U134" s="94" t="e">
        <f>S134*dagenperjaar1</f>
        <v>#DIV/0!</v>
      </c>
      <c r="V134" s="27" t="e">
        <f>U134*ROUND(R134,2)</f>
        <v>#DIV/0!</v>
      </c>
    </row>
    <row r="135" spans="1:22" ht="29.15" x14ac:dyDescent="0.4">
      <c r="A135" s="91" t="s">
        <v>291</v>
      </c>
      <c r="B135" s="92" t="s">
        <v>342</v>
      </c>
      <c r="C135" s="92" t="s">
        <v>298</v>
      </c>
      <c r="D135" s="92" t="s">
        <v>528</v>
      </c>
      <c r="E135" s="93" t="s">
        <v>529</v>
      </c>
      <c r="F135" s="92" t="s">
        <v>341</v>
      </c>
      <c r="G135" s="92" t="s">
        <v>251</v>
      </c>
      <c r="H135" s="92" t="s">
        <v>13</v>
      </c>
      <c r="I135" s="92" t="s">
        <v>293</v>
      </c>
      <c r="J135" s="93" t="s">
        <v>252</v>
      </c>
      <c r="K135" s="92" t="s">
        <v>320</v>
      </c>
      <c r="L135" s="92" t="s">
        <v>302</v>
      </c>
      <c r="M135" s="92" t="s">
        <v>295</v>
      </c>
      <c r="N135" s="94">
        <v>4.1199999999999992</v>
      </c>
      <c r="O135" s="94">
        <f>N135*VLOOKUP(H135,dagsoorttabel1,2,FALSE)</f>
        <v>0.82399999999999984</v>
      </c>
      <c r="P135" s="95">
        <f>prodnorm57</f>
        <v>0</v>
      </c>
      <c r="Q135" s="92" t="s">
        <v>97</v>
      </c>
      <c r="R135" s="26">
        <f>uurtarief57</f>
        <v>0</v>
      </c>
      <c r="S135" s="94" t="e">
        <f>IF(ISBLANK(P135),0,O135/ROUND(P135,4))</f>
        <v>#DIV/0!</v>
      </c>
      <c r="T135" s="26" t="e">
        <f>ROUND(R135,2)*S135</f>
        <v>#DIV/0!</v>
      </c>
      <c r="U135" s="94" t="e">
        <f>S135*dagenperjaar1</f>
        <v>#DIV/0!</v>
      </c>
      <c r="V135" s="27" t="e">
        <f>U135*ROUND(R135,2)</f>
        <v>#DIV/0!</v>
      </c>
    </row>
    <row r="136" spans="1:22" x14ac:dyDescent="0.4">
      <c r="A136" s="91" t="s">
        <v>291</v>
      </c>
      <c r="B136" s="92" t="s">
        <v>342</v>
      </c>
      <c r="C136" s="92" t="s">
        <v>368</v>
      </c>
      <c r="D136" s="92" t="s">
        <v>530</v>
      </c>
      <c r="E136" s="93" t="s">
        <v>531</v>
      </c>
      <c r="F136" s="92" t="s">
        <v>532</v>
      </c>
      <c r="G136" s="92" t="s">
        <v>231</v>
      </c>
      <c r="H136" s="92" t="s">
        <v>9</v>
      </c>
      <c r="I136" s="92" t="s">
        <v>293</v>
      </c>
      <c r="J136" s="93" t="s">
        <v>232</v>
      </c>
      <c r="K136" s="92" t="s">
        <v>320</v>
      </c>
      <c r="L136" s="92" t="s">
        <v>294</v>
      </c>
      <c r="M136" s="92" t="s">
        <v>295</v>
      </c>
      <c r="N136" s="94">
        <v>27.6</v>
      </c>
      <c r="O136" s="94">
        <f>N136*VLOOKUP(H136,dagsoorttabel1,2,FALSE)</f>
        <v>27.6</v>
      </c>
      <c r="P136" s="95">
        <f>prodnorm42</f>
        <v>0</v>
      </c>
      <c r="Q136" s="92" t="s">
        <v>97</v>
      </c>
      <c r="R136" s="26">
        <f>uurtarief42</f>
        <v>0</v>
      </c>
      <c r="S136" s="94" t="e">
        <f>IF(ISBLANK(P136),0,O136/ROUND(P136,4))</f>
        <v>#DIV/0!</v>
      </c>
      <c r="T136" s="26" t="e">
        <f>ROUND(R136,2)*S136</f>
        <v>#DIV/0!</v>
      </c>
      <c r="U136" s="94" t="e">
        <f>S136*dagenperjaar1</f>
        <v>#DIV/0!</v>
      </c>
      <c r="V136" s="27" t="e">
        <f>U136*ROUND(R136,2)</f>
        <v>#DIV/0!</v>
      </c>
    </row>
    <row r="137" spans="1:22" x14ac:dyDescent="0.4">
      <c r="A137" s="91" t="s">
        <v>291</v>
      </c>
      <c r="B137" s="92" t="s">
        <v>342</v>
      </c>
      <c r="C137" s="92" t="s">
        <v>368</v>
      </c>
      <c r="D137" s="92" t="s">
        <v>533</v>
      </c>
      <c r="E137" s="93" t="s">
        <v>534</v>
      </c>
      <c r="F137" s="92" t="s">
        <v>532</v>
      </c>
      <c r="G137" s="92" t="s">
        <v>219</v>
      </c>
      <c r="H137" s="92" t="s">
        <v>15</v>
      </c>
      <c r="I137" s="92" t="s">
        <v>293</v>
      </c>
      <c r="J137" s="93" t="s">
        <v>220</v>
      </c>
      <c r="K137" s="92" t="s">
        <v>320</v>
      </c>
      <c r="L137" s="92" t="s">
        <v>347</v>
      </c>
      <c r="M137" s="92" t="s">
        <v>348</v>
      </c>
      <c r="N137" s="94">
        <v>5.6499999999999995</v>
      </c>
      <c r="O137" s="94">
        <f>N137*VLOOKUP(H137,dagsoorttabel1,2,FALSE)</f>
        <v>0.26588235294117646</v>
      </c>
      <c r="P137" s="95">
        <f>prodnorm33</f>
        <v>0</v>
      </c>
      <c r="Q137" s="92" t="s">
        <v>97</v>
      </c>
      <c r="R137" s="26">
        <f>uurtarief33</f>
        <v>0</v>
      </c>
      <c r="S137" s="94" t="e">
        <f>IF(ISBLANK(P137),0,O137/ROUND(P137,4))</f>
        <v>#DIV/0!</v>
      </c>
      <c r="T137" s="26" t="e">
        <f>ROUND(R137,2)*S137</f>
        <v>#DIV/0!</v>
      </c>
      <c r="U137" s="94" t="e">
        <f>S137*dagenperjaar1</f>
        <v>#DIV/0!</v>
      </c>
      <c r="V137" s="27" t="e">
        <f>U137*ROUND(R137,2)</f>
        <v>#DIV/0!</v>
      </c>
    </row>
    <row r="138" spans="1:22" x14ac:dyDescent="0.4">
      <c r="A138" s="91" t="s">
        <v>291</v>
      </c>
      <c r="B138" s="92" t="s">
        <v>342</v>
      </c>
      <c r="C138" s="92" t="s">
        <v>368</v>
      </c>
      <c r="D138" s="92" t="s">
        <v>535</v>
      </c>
      <c r="E138" s="93" t="s">
        <v>536</v>
      </c>
      <c r="F138" s="92" t="s">
        <v>532</v>
      </c>
      <c r="G138" s="92" t="s">
        <v>219</v>
      </c>
      <c r="H138" s="92" t="s">
        <v>15</v>
      </c>
      <c r="I138" s="92" t="s">
        <v>293</v>
      </c>
      <c r="J138" s="93" t="s">
        <v>220</v>
      </c>
      <c r="K138" s="92" t="s">
        <v>320</v>
      </c>
      <c r="L138" s="92" t="s">
        <v>402</v>
      </c>
      <c r="M138" s="92" t="s">
        <v>348</v>
      </c>
      <c r="N138" s="94">
        <v>68.42</v>
      </c>
      <c r="O138" s="94">
        <f>N138*VLOOKUP(H138,dagsoorttabel1,2,FALSE)</f>
        <v>3.2197647058823531</v>
      </c>
      <c r="P138" s="95">
        <f>prodnorm33</f>
        <v>0</v>
      </c>
      <c r="Q138" s="92" t="s">
        <v>97</v>
      </c>
      <c r="R138" s="26">
        <f>uurtarief33</f>
        <v>0</v>
      </c>
      <c r="S138" s="94" t="e">
        <f>IF(ISBLANK(P138),0,O138/ROUND(P138,4))</f>
        <v>#DIV/0!</v>
      </c>
      <c r="T138" s="26" t="e">
        <f>ROUND(R138,2)*S138</f>
        <v>#DIV/0!</v>
      </c>
      <c r="U138" s="94" t="e">
        <f>S138*dagenperjaar1</f>
        <v>#DIV/0!</v>
      </c>
      <c r="V138" s="27" t="e">
        <f>U138*ROUND(R138,2)</f>
        <v>#DIV/0!</v>
      </c>
    </row>
    <row r="139" spans="1:22" x14ac:dyDescent="0.4">
      <c r="A139" s="91" t="s">
        <v>291</v>
      </c>
      <c r="B139" s="92" t="s">
        <v>342</v>
      </c>
      <c r="C139" s="92" t="s">
        <v>368</v>
      </c>
      <c r="D139" s="92" t="s">
        <v>537</v>
      </c>
      <c r="E139" s="93" t="s">
        <v>538</v>
      </c>
      <c r="F139" s="92" t="s">
        <v>532</v>
      </c>
      <c r="G139" s="92" t="s">
        <v>219</v>
      </c>
      <c r="H139" s="92" t="s">
        <v>15</v>
      </c>
      <c r="I139" s="92" t="s">
        <v>293</v>
      </c>
      <c r="J139" s="93" t="s">
        <v>220</v>
      </c>
      <c r="K139" s="92" t="s">
        <v>320</v>
      </c>
      <c r="L139" s="92" t="s">
        <v>402</v>
      </c>
      <c r="M139" s="92" t="s">
        <v>348</v>
      </c>
      <c r="N139" s="94">
        <v>71.03</v>
      </c>
      <c r="O139" s="94">
        <f>N139*VLOOKUP(H139,dagsoorttabel1,2,FALSE)</f>
        <v>3.3425882352941176</v>
      </c>
      <c r="P139" s="95">
        <f>prodnorm33</f>
        <v>0</v>
      </c>
      <c r="Q139" s="92" t="s">
        <v>97</v>
      </c>
      <c r="R139" s="26">
        <f>uurtarief33</f>
        <v>0</v>
      </c>
      <c r="S139" s="94" t="e">
        <f>IF(ISBLANK(P139),0,O139/ROUND(P139,4))</f>
        <v>#DIV/0!</v>
      </c>
      <c r="T139" s="26" t="e">
        <f>ROUND(R139,2)*S139</f>
        <v>#DIV/0!</v>
      </c>
      <c r="U139" s="94" t="e">
        <f>S139*dagenperjaar1</f>
        <v>#DIV/0!</v>
      </c>
      <c r="V139" s="27" t="e">
        <f>U139*ROUND(R139,2)</f>
        <v>#DIV/0!</v>
      </c>
    </row>
    <row r="140" spans="1:22" x14ac:dyDescent="0.4">
      <c r="A140" s="91" t="s">
        <v>291</v>
      </c>
      <c r="B140" s="92" t="s">
        <v>342</v>
      </c>
      <c r="C140" s="92" t="s">
        <v>368</v>
      </c>
      <c r="D140" s="92" t="s">
        <v>539</v>
      </c>
      <c r="E140" s="93" t="s">
        <v>540</v>
      </c>
      <c r="F140" s="92" t="s">
        <v>532</v>
      </c>
      <c r="G140" s="92" t="s">
        <v>257</v>
      </c>
      <c r="H140" s="92" t="s">
        <v>9</v>
      </c>
      <c r="I140" s="92" t="s">
        <v>293</v>
      </c>
      <c r="J140" s="93" t="s">
        <v>258</v>
      </c>
      <c r="K140" s="92" t="s">
        <v>320</v>
      </c>
      <c r="L140" s="92" t="s">
        <v>294</v>
      </c>
      <c r="M140" s="92" t="s">
        <v>295</v>
      </c>
      <c r="N140" s="94">
        <v>1</v>
      </c>
      <c r="O140" s="94">
        <f>N140*VLOOKUP(H140,dagsoorttabel1,2,FALSE)</f>
        <v>1</v>
      </c>
      <c r="P140" s="95">
        <f>prodnorm14</f>
        <v>0</v>
      </c>
      <c r="Q140" s="92" t="s">
        <v>259</v>
      </c>
      <c r="R140" s="26">
        <f>uurtarief14</f>
        <v>0</v>
      </c>
      <c r="S140" s="94">
        <f>O140*ROUND(P140,4)/60</f>
        <v>0</v>
      </c>
      <c r="T140" s="26">
        <f>ROUND(R140,2)*S140</f>
        <v>0</v>
      </c>
      <c r="U140" s="94">
        <f>S140*dagenperjaar1</f>
        <v>0</v>
      </c>
      <c r="V140" s="27">
        <f>U140*ROUND(R140,2)</f>
        <v>0</v>
      </c>
    </row>
    <row r="141" spans="1:22" x14ac:dyDescent="0.4">
      <c r="A141" s="91" t="s">
        <v>291</v>
      </c>
      <c r="B141" s="92" t="s">
        <v>342</v>
      </c>
      <c r="C141" s="92" t="s">
        <v>368</v>
      </c>
      <c r="D141" s="92" t="s">
        <v>539</v>
      </c>
      <c r="E141" s="93" t="s">
        <v>540</v>
      </c>
      <c r="F141" s="92" t="s">
        <v>532</v>
      </c>
      <c r="G141" s="92" t="s">
        <v>231</v>
      </c>
      <c r="H141" s="92" t="s">
        <v>9</v>
      </c>
      <c r="I141" s="92" t="s">
        <v>293</v>
      </c>
      <c r="J141" s="93" t="s">
        <v>232</v>
      </c>
      <c r="K141" s="92" t="s">
        <v>320</v>
      </c>
      <c r="L141" s="92" t="s">
        <v>294</v>
      </c>
      <c r="M141" s="92" t="s">
        <v>295</v>
      </c>
      <c r="N141" s="94">
        <v>19</v>
      </c>
      <c r="O141" s="94">
        <f>N141*VLOOKUP(H141,dagsoorttabel1,2,FALSE)</f>
        <v>19</v>
      </c>
      <c r="P141" s="95">
        <f>prodnorm42</f>
        <v>0</v>
      </c>
      <c r="Q141" s="92" t="s">
        <v>97</v>
      </c>
      <c r="R141" s="26">
        <f>uurtarief42</f>
        <v>0</v>
      </c>
      <c r="S141" s="94" t="e">
        <f>IF(ISBLANK(P141),0,O141/ROUND(P141,4))</f>
        <v>#DIV/0!</v>
      </c>
      <c r="T141" s="26" t="e">
        <f>ROUND(R141,2)*S141</f>
        <v>#DIV/0!</v>
      </c>
      <c r="U141" s="94" t="e">
        <f>S141*dagenperjaar1</f>
        <v>#DIV/0!</v>
      </c>
      <c r="V141" s="27" t="e">
        <f>U141*ROUND(R141,2)</f>
        <v>#DIV/0!</v>
      </c>
    </row>
    <row r="142" spans="1:22" x14ac:dyDescent="0.4">
      <c r="A142" s="91" t="s">
        <v>291</v>
      </c>
      <c r="B142" s="92" t="s">
        <v>342</v>
      </c>
      <c r="C142" s="92" t="s">
        <v>368</v>
      </c>
      <c r="D142" s="92" t="s">
        <v>541</v>
      </c>
      <c r="E142" s="93" t="s">
        <v>542</v>
      </c>
      <c r="F142" s="92" t="s">
        <v>532</v>
      </c>
      <c r="G142" s="92" t="s">
        <v>231</v>
      </c>
      <c r="H142" s="92" t="s">
        <v>9</v>
      </c>
      <c r="I142" s="92" t="s">
        <v>293</v>
      </c>
      <c r="J142" s="93" t="s">
        <v>232</v>
      </c>
      <c r="K142" s="92" t="s">
        <v>320</v>
      </c>
      <c r="L142" s="92" t="s">
        <v>294</v>
      </c>
      <c r="M142" s="92" t="s">
        <v>295</v>
      </c>
      <c r="N142" s="94">
        <v>56.39</v>
      </c>
      <c r="O142" s="94">
        <f>N142*VLOOKUP(H142,dagsoorttabel1,2,FALSE)</f>
        <v>56.39</v>
      </c>
      <c r="P142" s="95">
        <f>prodnorm42</f>
        <v>0</v>
      </c>
      <c r="Q142" s="92" t="s">
        <v>97</v>
      </c>
      <c r="R142" s="26">
        <f>uurtarief42</f>
        <v>0</v>
      </c>
      <c r="S142" s="94" t="e">
        <f>IF(ISBLANK(P142),0,O142/ROUND(P142,4))</f>
        <v>#DIV/0!</v>
      </c>
      <c r="T142" s="26" t="e">
        <f>ROUND(R142,2)*S142</f>
        <v>#DIV/0!</v>
      </c>
      <c r="U142" s="94" t="e">
        <f>S142*dagenperjaar1</f>
        <v>#DIV/0!</v>
      </c>
      <c r="V142" s="27" t="e">
        <f>U142*ROUND(R142,2)</f>
        <v>#DIV/0!</v>
      </c>
    </row>
    <row r="143" spans="1:22" x14ac:dyDescent="0.4">
      <c r="A143" s="91" t="s">
        <v>291</v>
      </c>
      <c r="B143" s="92" t="s">
        <v>342</v>
      </c>
      <c r="C143" s="92" t="s">
        <v>368</v>
      </c>
      <c r="D143" s="92" t="s">
        <v>543</v>
      </c>
      <c r="E143" s="93" t="s">
        <v>544</v>
      </c>
      <c r="F143" s="92" t="s">
        <v>532</v>
      </c>
      <c r="G143" s="92" t="s">
        <v>330</v>
      </c>
      <c r="H143" s="92"/>
      <c r="I143" s="92"/>
      <c r="J143" s="92"/>
      <c r="K143" s="92" t="s">
        <v>34</v>
      </c>
      <c r="L143" s="92" t="s">
        <v>451</v>
      </c>
      <c r="M143" s="92" t="s">
        <v>452</v>
      </c>
      <c r="N143" s="94">
        <v>19.100000000000001</v>
      </c>
      <c r="O143" s="94"/>
      <c r="P143" s="95"/>
      <c r="Q143" s="92"/>
      <c r="R143" s="26"/>
      <c r="S143" s="94"/>
      <c r="T143" s="26"/>
      <c r="U143" s="96"/>
      <c r="V143" s="27"/>
    </row>
    <row r="144" spans="1:22" x14ac:dyDescent="0.4">
      <c r="A144" s="91" t="s">
        <v>291</v>
      </c>
      <c r="B144" s="92" t="s">
        <v>342</v>
      </c>
      <c r="C144" s="92" t="s">
        <v>368</v>
      </c>
      <c r="D144" s="92" t="s">
        <v>545</v>
      </c>
      <c r="E144" s="93" t="s">
        <v>546</v>
      </c>
      <c r="F144" s="92" t="s">
        <v>532</v>
      </c>
      <c r="G144" s="92" t="s">
        <v>330</v>
      </c>
      <c r="H144" s="92"/>
      <c r="I144" s="92"/>
      <c r="J144" s="92"/>
      <c r="K144" s="92" t="s">
        <v>34</v>
      </c>
      <c r="L144" s="92" t="s">
        <v>466</v>
      </c>
      <c r="M144" s="92" t="s">
        <v>467</v>
      </c>
      <c r="N144" s="94">
        <v>16.8</v>
      </c>
      <c r="O144" s="94"/>
      <c r="P144" s="95"/>
      <c r="Q144" s="92"/>
      <c r="R144" s="26"/>
      <c r="S144" s="94"/>
      <c r="T144" s="26"/>
      <c r="U144" s="96"/>
      <c r="V144" s="27"/>
    </row>
    <row r="145" spans="1:22" x14ac:dyDescent="0.4">
      <c r="A145" s="91" t="s">
        <v>291</v>
      </c>
      <c r="B145" s="92" t="s">
        <v>342</v>
      </c>
      <c r="C145" s="92" t="s">
        <v>368</v>
      </c>
      <c r="D145" s="92" t="s">
        <v>547</v>
      </c>
      <c r="E145" s="93" t="s">
        <v>548</v>
      </c>
      <c r="F145" s="92" t="s">
        <v>301</v>
      </c>
      <c r="G145" s="92" t="s">
        <v>263</v>
      </c>
      <c r="H145" s="92" t="s">
        <v>20</v>
      </c>
      <c r="I145" s="92" t="s">
        <v>293</v>
      </c>
      <c r="J145" s="93" t="s">
        <v>264</v>
      </c>
      <c r="K145" s="92" t="s">
        <v>34</v>
      </c>
      <c r="L145" s="92" t="s">
        <v>302</v>
      </c>
      <c r="M145" s="92" t="s">
        <v>549</v>
      </c>
      <c r="N145" s="94">
        <v>1.1000000000000001</v>
      </c>
      <c r="O145" s="94">
        <f>N145*VLOOKUP(H145,dagsoorttabel1,2,FALSE)</f>
        <v>4.3137254901960791E-3</v>
      </c>
      <c r="P145" s="95">
        <f>prodnorm16</f>
        <v>0</v>
      </c>
      <c r="Q145" s="92" t="s">
        <v>97</v>
      </c>
      <c r="R145" s="26">
        <f>uurtarief16</f>
        <v>0</v>
      </c>
      <c r="S145" s="94" t="e">
        <f>IF(ISBLANK(P145),0,O145/ROUND(P145,4))</f>
        <v>#DIV/0!</v>
      </c>
      <c r="T145" s="26" t="e">
        <f>ROUND(R145,2)*S145</f>
        <v>#DIV/0!</v>
      </c>
      <c r="U145" s="94" t="e">
        <f>S145*dagenperjaar1</f>
        <v>#DIV/0!</v>
      </c>
      <c r="V145" s="27" t="e">
        <f>U145*ROUND(R145,2)</f>
        <v>#DIV/0!</v>
      </c>
    </row>
    <row r="146" spans="1:22" x14ac:dyDescent="0.4">
      <c r="A146" s="91" t="s">
        <v>291</v>
      </c>
      <c r="B146" s="92" t="s">
        <v>342</v>
      </c>
      <c r="C146" s="92" t="s">
        <v>368</v>
      </c>
      <c r="D146" s="92" t="s">
        <v>550</v>
      </c>
      <c r="E146" s="93" t="s">
        <v>551</v>
      </c>
      <c r="F146" s="92" t="s">
        <v>532</v>
      </c>
      <c r="G146" s="92" t="s">
        <v>207</v>
      </c>
      <c r="H146" s="92" t="s">
        <v>9</v>
      </c>
      <c r="I146" s="92" t="s">
        <v>293</v>
      </c>
      <c r="J146" s="93" t="s">
        <v>208</v>
      </c>
      <c r="K146" s="92" t="s">
        <v>342</v>
      </c>
      <c r="L146" s="92" t="s">
        <v>347</v>
      </c>
      <c r="M146" s="92" t="s">
        <v>348</v>
      </c>
      <c r="N146" s="94">
        <v>34</v>
      </c>
      <c r="O146" s="94">
        <f>N146*VLOOKUP(H146,dagsoorttabel1,2,FALSE)</f>
        <v>34</v>
      </c>
      <c r="P146" s="95">
        <f>prodnorm26</f>
        <v>0</v>
      </c>
      <c r="Q146" s="92" t="s">
        <v>97</v>
      </c>
      <c r="R146" s="26">
        <f>uurtarief26</f>
        <v>0</v>
      </c>
      <c r="S146" s="94" t="e">
        <f>IF(ISBLANK(P146),0,O146/ROUND(P146,4))</f>
        <v>#DIV/0!</v>
      </c>
      <c r="T146" s="26" t="e">
        <f>ROUND(R146,2)*S146</f>
        <v>#DIV/0!</v>
      </c>
      <c r="U146" s="94" t="e">
        <f>S146*dagenperjaar1</f>
        <v>#DIV/0!</v>
      </c>
      <c r="V146" s="27" t="e">
        <f>U146*ROUND(R146,2)</f>
        <v>#DIV/0!</v>
      </c>
    </row>
    <row r="147" spans="1:22" x14ac:dyDescent="0.4">
      <c r="A147" s="91" t="s">
        <v>291</v>
      </c>
      <c r="B147" s="92" t="s">
        <v>342</v>
      </c>
      <c r="C147" s="92" t="s">
        <v>368</v>
      </c>
      <c r="D147" s="92" t="s">
        <v>552</v>
      </c>
      <c r="E147" s="93" t="s">
        <v>356</v>
      </c>
      <c r="F147" s="92" t="s">
        <v>315</v>
      </c>
      <c r="G147" s="92" t="s">
        <v>330</v>
      </c>
      <c r="H147" s="92"/>
      <c r="I147" s="92"/>
      <c r="J147" s="92"/>
      <c r="K147" s="92" t="s">
        <v>34</v>
      </c>
      <c r="L147" s="92" t="s">
        <v>294</v>
      </c>
      <c r="M147" s="92" t="s">
        <v>295</v>
      </c>
      <c r="N147" s="94">
        <v>5.6</v>
      </c>
      <c r="O147" s="94"/>
      <c r="P147" s="95"/>
      <c r="Q147" s="92"/>
      <c r="R147" s="26"/>
      <c r="S147" s="94"/>
      <c r="T147" s="26"/>
      <c r="U147" s="96"/>
      <c r="V147" s="27"/>
    </row>
    <row r="148" spans="1:22" x14ac:dyDescent="0.4">
      <c r="A148" s="91" t="s">
        <v>291</v>
      </c>
      <c r="B148" s="92" t="s">
        <v>342</v>
      </c>
      <c r="C148" s="92" t="s">
        <v>368</v>
      </c>
      <c r="D148" s="92" t="s">
        <v>553</v>
      </c>
      <c r="E148" s="93" t="s">
        <v>358</v>
      </c>
      <c r="F148" s="92" t="s">
        <v>315</v>
      </c>
      <c r="G148" s="92" t="s">
        <v>227</v>
      </c>
      <c r="H148" s="92" t="s">
        <v>9</v>
      </c>
      <c r="I148" s="92" t="s">
        <v>293</v>
      </c>
      <c r="J148" s="93" t="s">
        <v>228</v>
      </c>
      <c r="K148" s="92" t="s">
        <v>312</v>
      </c>
      <c r="L148" s="92" t="s">
        <v>347</v>
      </c>
      <c r="M148" s="92" t="s">
        <v>348</v>
      </c>
      <c r="N148" s="94">
        <v>9.6999999999999993</v>
      </c>
      <c r="O148" s="94">
        <f>N148*VLOOKUP(H148,dagsoorttabel1,2,FALSE)</f>
        <v>9.6999999999999993</v>
      </c>
      <c r="P148" s="95">
        <f>prodnorm39</f>
        <v>0</v>
      </c>
      <c r="Q148" s="92" t="s">
        <v>97</v>
      </c>
      <c r="R148" s="26">
        <f>uurtarief39</f>
        <v>0</v>
      </c>
      <c r="S148" s="94" t="e">
        <f>IF(ISBLANK(P148),0,O148/ROUND(P148,4))</f>
        <v>#DIV/0!</v>
      </c>
      <c r="T148" s="26" t="e">
        <f>ROUND(R148,2)*S148</f>
        <v>#DIV/0!</v>
      </c>
      <c r="U148" s="94" t="e">
        <f>S148*dagenperjaar1</f>
        <v>#DIV/0!</v>
      </c>
      <c r="V148" s="27" t="e">
        <f>U148*ROUND(R148,2)</f>
        <v>#DIV/0!</v>
      </c>
    </row>
    <row r="149" spans="1:22" x14ac:dyDescent="0.4">
      <c r="A149" s="91" t="s">
        <v>291</v>
      </c>
      <c r="B149" s="92" t="s">
        <v>342</v>
      </c>
      <c r="C149" s="92" t="s">
        <v>368</v>
      </c>
      <c r="D149" s="92" t="s">
        <v>553</v>
      </c>
      <c r="E149" s="93" t="s">
        <v>358</v>
      </c>
      <c r="F149" s="92" t="s">
        <v>315</v>
      </c>
      <c r="G149" s="92" t="s">
        <v>229</v>
      </c>
      <c r="H149" s="92" t="s">
        <v>11</v>
      </c>
      <c r="I149" s="92" t="s">
        <v>359</v>
      </c>
      <c r="J149" s="93" t="s">
        <v>230</v>
      </c>
      <c r="K149" s="92" t="s">
        <v>312</v>
      </c>
      <c r="L149" s="92" t="s">
        <v>347</v>
      </c>
      <c r="M149" s="92" t="s">
        <v>348</v>
      </c>
      <c r="N149" s="94">
        <v>9.6999999999999993</v>
      </c>
      <c r="O149" s="94">
        <f>N149*VLOOKUP(H149,dagsoorttabel1,2,FALSE)</f>
        <v>5.8199999999999994</v>
      </c>
      <c r="P149" s="95">
        <f>prodnorm40</f>
        <v>0</v>
      </c>
      <c r="Q149" s="92" t="s">
        <v>97</v>
      </c>
      <c r="R149" s="26">
        <f>uurtarief40</f>
        <v>0</v>
      </c>
      <c r="S149" s="94" t="e">
        <f>IF(ISBLANK(P149),0,O149/ROUND(P149,4))</f>
        <v>#DIV/0!</v>
      </c>
      <c r="T149" s="26" t="e">
        <f>ROUND(R149,2)*S149</f>
        <v>#DIV/0!</v>
      </c>
      <c r="U149" s="94" t="e">
        <f>S149*dagenperjaar1</f>
        <v>#DIV/0!</v>
      </c>
      <c r="V149" s="27" t="e">
        <f>U149*ROUND(R149,2)</f>
        <v>#DIV/0!</v>
      </c>
    </row>
    <row r="150" spans="1:22" x14ac:dyDescent="0.4">
      <c r="A150" s="91" t="s">
        <v>291</v>
      </c>
      <c r="B150" s="92" t="s">
        <v>342</v>
      </c>
      <c r="C150" s="92" t="s">
        <v>368</v>
      </c>
      <c r="D150" s="92" t="s">
        <v>554</v>
      </c>
      <c r="E150" s="93" t="s">
        <v>421</v>
      </c>
      <c r="F150" s="92" t="s">
        <v>315</v>
      </c>
      <c r="G150" s="92" t="s">
        <v>227</v>
      </c>
      <c r="H150" s="92" t="s">
        <v>9</v>
      </c>
      <c r="I150" s="92" t="s">
        <v>293</v>
      </c>
      <c r="J150" s="93" t="s">
        <v>228</v>
      </c>
      <c r="K150" s="92" t="s">
        <v>312</v>
      </c>
      <c r="L150" s="92" t="s">
        <v>347</v>
      </c>
      <c r="M150" s="92" t="s">
        <v>348</v>
      </c>
      <c r="N150" s="94">
        <v>9.6999999999999993</v>
      </c>
      <c r="O150" s="94">
        <f>N150*VLOOKUP(H150,dagsoorttabel1,2,FALSE)</f>
        <v>9.6999999999999993</v>
      </c>
      <c r="P150" s="95">
        <f>prodnorm39</f>
        <v>0</v>
      </c>
      <c r="Q150" s="92" t="s">
        <v>97</v>
      </c>
      <c r="R150" s="26">
        <f>uurtarief39</f>
        <v>0</v>
      </c>
      <c r="S150" s="94" t="e">
        <f>IF(ISBLANK(P150),0,O150/ROUND(P150,4))</f>
        <v>#DIV/0!</v>
      </c>
      <c r="T150" s="26" t="e">
        <f>ROUND(R150,2)*S150</f>
        <v>#DIV/0!</v>
      </c>
      <c r="U150" s="94" t="e">
        <f>S150*dagenperjaar1</f>
        <v>#DIV/0!</v>
      </c>
      <c r="V150" s="27" t="e">
        <f>U150*ROUND(R150,2)</f>
        <v>#DIV/0!</v>
      </c>
    </row>
    <row r="151" spans="1:22" x14ac:dyDescent="0.4">
      <c r="A151" s="91" t="s">
        <v>291</v>
      </c>
      <c r="B151" s="92" t="s">
        <v>342</v>
      </c>
      <c r="C151" s="92" t="s">
        <v>368</v>
      </c>
      <c r="D151" s="92" t="s">
        <v>554</v>
      </c>
      <c r="E151" s="93" t="s">
        <v>421</v>
      </c>
      <c r="F151" s="92" t="s">
        <v>315</v>
      </c>
      <c r="G151" s="92" t="s">
        <v>229</v>
      </c>
      <c r="H151" s="92" t="s">
        <v>11</v>
      </c>
      <c r="I151" s="92" t="s">
        <v>359</v>
      </c>
      <c r="J151" s="93" t="s">
        <v>230</v>
      </c>
      <c r="K151" s="92" t="s">
        <v>312</v>
      </c>
      <c r="L151" s="92" t="s">
        <v>347</v>
      </c>
      <c r="M151" s="92" t="s">
        <v>348</v>
      </c>
      <c r="N151" s="94">
        <v>9.6999999999999993</v>
      </c>
      <c r="O151" s="94">
        <f>N151*VLOOKUP(H151,dagsoorttabel1,2,FALSE)</f>
        <v>5.8199999999999994</v>
      </c>
      <c r="P151" s="95">
        <f>prodnorm40</f>
        <v>0</v>
      </c>
      <c r="Q151" s="92" t="s">
        <v>97</v>
      </c>
      <c r="R151" s="26">
        <f>uurtarief40</f>
        <v>0</v>
      </c>
      <c r="S151" s="94" t="e">
        <f>IF(ISBLANK(P151),0,O151/ROUND(P151,4))</f>
        <v>#DIV/0!</v>
      </c>
      <c r="T151" s="26" t="e">
        <f>ROUND(R151,2)*S151</f>
        <v>#DIV/0!</v>
      </c>
      <c r="U151" s="94" t="e">
        <f>S151*dagenperjaar1</f>
        <v>#DIV/0!</v>
      </c>
      <c r="V151" s="27" t="e">
        <f>U151*ROUND(R151,2)</f>
        <v>#DIV/0!</v>
      </c>
    </row>
    <row r="152" spans="1:22" x14ac:dyDescent="0.4">
      <c r="A152" s="91" t="s">
        <v>291</v>
      </c>
      <c r="B152" s="92" t="s">
        <v>342</v>
      </c>
      <c r="C152" s="92" t="s">
        <v>368</v>
      </c>
      <c r="D152" s="92" t="s">
        <v>555</v>
      </c>
      <c r="E152" s="93" t="s">
        <v>556</v>
      </c>
      <c r="F152" s="92" t="s">
        <v>315</v>
      </c>
      <c r="G152" s="92" t="s">
        <v>227</v>
      </c>
      <c r="H152" s="92" t="s">
        <v>9</v>
      </c>
      <c r="I152" s="92" t="s">
        <v>293</v>
      </c>
      <c r="J152" s="93" t="s">
        <v>228</v>
      </c>
      <c r="K152" s="92" t="s">
        <v>312</v>
      </c>
      <c r="L152" s="92" t="s">
        <v>347</v>
      </c>
      <c r="M152" s="92" t="s">
        <v>348</v>
      </c>
      <c r="N152" s="94">
        <v>4.0999999999999996</v>
      </c>
      <c r="O152" s="94">
        <f>N152*VLOOKUP(H152,dagsoorttabel1,2,FALSE)</f>
        <v>4.0999999999999996</v>
      </c>
      <c r="P152" s="95">
        <f>prodnorm39</f>
        <v>0</v>
      </c>
      <c r="Q152" s="92" t="s">
        <v>97</v>
      </c>
      <c r="R152" s="26">
        <f>uurtarief39</f>
        <v>0</v>
      </c>
      <c r="S152" s="94" t="e">
        <f>IF(ISBLANK(P152),0,O152/ROUND(P152,4))</f>
        <v>#DIV/0!</v>
      </c>
      <c r="T152" s="26" t="e">
        <f>ROUND(R152,2)*S152</f>
        <v>#DIV/0!</v>
      </c>
      <c r="U152" s="94" t="e">
        <f>S152*dagenperjaar1</f>
        <v>#DIV/0!</v>
      </c>
      <c r="V152" s="27" t="e">
        <f>U152*ROUND(R152,2)</f>
        <v>#DIV/0!</v>
      </c>
    </row>
    <row r="153" spans="1:22" x14ac:dyDescent="0.4">
      <c r="A153" s="91" t="s">
        <v>291</v>
      </c>
      <c r="B153" s="92" t="s">
        <v>342</v>
      </c>
      <c r="C153" s="92" t="s">
        <v>368</v>
      </c>
      <c r="D153" s="92" t="s">
        <v>555</v>
      </c>
      <c r="E153" s="93" t="s">
        <v>556</v>
      </c>
      <c r="F153" s="92" t="s">
        <v>315</v>
      </c>
      <c r="G153" s="92" t="s">
        <v>229</v>
      </c>
      <c r="H153" s="92" t="s">
        <v>11</v>
      </c>
      <c r="I153" s="92" t="s">
        <v>359</v>
      </c>
      <c r="J153" s="93" t="s">
        <v>230</v>
      </c>
      <c r="K153" s="92" t="s">
        <v>312</v>
      </c>
      <c r="L153" s="92" t="s">
        <v>347</v>
      </c>
      <c r="M153" s="92" t="s">
        <v>348</v>
      </c>
      <c r="N153" s="94">
        <v>4.0999999999999996</v>
      </c>
      <c r="O153" s="94">
        <f>N153*VLOOKUP(H153,dagsoorttabel1,2,FALSE)</f>
        <v>2.4599999999999995</v>
      </c>
      <c r="P153" s="95">
        <f>prodnorm40</f>
        <v>0</v>
      </c>
      <c r="Q153" s="92" t="s">
        <v>97</v>
      </c>
      <c r="R153" s="26">
        <f>uurtarief40</f>
        <v>0</v>
      </c>
      <c r="S153" s="94" t="e">
        <f>IF(ISBLANK(P153),0,O153/ROUND(P153,4))</f>
        <v>#DIV/0!</v>
      </c>
      <c r="T153" s="26" t="e">
        <f>ROUND(R153,2)*S153</f>
        <v>#DIV/0!</v>
      </c>
      <c r="U153" s="94" t="e">
        <f>S153*dagenperjaar1</f>
        <v>#DIV/0!</v>
      </c>
      <c r="V153" s="27" t="e">
        <f>U153*ROUND(R153,2)</f>
        <v>#DIV/0!</v>
      </c>
    </row>
    <row r="154" spans="1:22" x14ac:dyDescent="0.4">
      <c r="A154" s="91" t="s">
        <v>291</v>
      </c>
      <c r="B154" s="92" t="s">
        <v>342</v>
      </c>
      <c r="C154" s="92" t="s">
        <v>368</v>
      </c>
      <c r="D154" s="92" t="s">
        <v>557</v>
      </c>
      <c r="E154" s="93" t="s">
        <v>558</v>
      </c>
      <c r="F154" s="92" t="s">
        <v>532</v>
      </c>
      <c r="G154" s="92" t="s">
        <v>207</v>
      </c>
      <c r="H154" s="92" t="s">
        <v>9</v>
      </c>
      <c r="I154" s="92" t="s">
        <v>293</v>
      </c>
      <c r="J154" s="93" t="s">
        <v>208</v>
      </c>
      <c r="K154" s="92" t="s">
        <v>342</v>
      </c>
      <c r="L154" s="92" t="s">
        <v>402</v>
      </c>
      <c r="M154" s="92" t="s">
        <v>348</v>
      </c>
      <c r="N154" s="94">
        <v>94</v>
      </c>
      <c r="O154" s="94">
        <f>N154*VLOOKUP(H154,dagsoorttabel1,2,FALSE)</f>
        <v>94</v>
      </c>
      <c r="P154" s="95">
        <f>prodnorm26</f>
        <v>0</v>
      </c>
      <c r="Q154" s="92" t="s">
        <v>97</v>
      </c>
      <c r="R154" s="26">
        <f>uurtarief26</f>
        <v>0</v>
      </c>
      <c r="S154" s="94" t="e">
        <f>IF(ISBLANK(P154),0,O154/ROUND(P154,4))</f>
        <v>#DIV/0!</v>
      </c>
      <c r="T154" s="26" t="e">
        <f>ROUND(R154,2)*S154</f>
        <v>#DIV/0!</v>
      </c>
      <c r="U154" s="94" t="e">
        <f>S154*dagenperjaar1</f>
        <v>#DIV/0!</v>
      </c>
      <c r="V154" s="27" t="e">
        <f>U154*ROUND(R154,2)</f>
        <v>#DIV/0!</v>
      </c>
    </row>
    <row r="155" spans="1:22" x14ac:dyDescent="0.4">
      <c r="A155" s="91" t="s">
        <v>291</v>
      </c>
      <c r="B155" s="92" t="s">
        <v>342</v>
      </c>
      <c r="C155" s="92" t="s">
        <v>368</v>
      </c>
      <c r="D155" s="92" t="s">
        <v>559</v>
      </c>
      <c r="E155" s="93" t="s">
        <v>560</v>
      </c>
      <c r="F155" s="92" t="s">
        <v>471</v>
      </c>
      <c r="G155" s="92" t="s">
        <v>330</v>
      </c>
      <c r="H155" s="92"/>
      <c r="I155" s="92"/>
      <c r="J155" s="92"/>
      <c r="K155" s="92" t="s">
        <v>34</v>
      </c>
      <c r="L155" s="92" t="s">
        <v>347</v>
      </c>
      <c r="M155" s="92" t="s">
        <v>348</v>
      </c>
      <c r="N155" s="94">
        <v>59.2</v>
      </c>
      <c r="O155" s="94"/>
      <c r="P155" s="95"/>
      <c r="Q155" s="92"/>
      <c r="R155" s="26"/>
      <c r="S155" s="94"/>
      <c r="T155" s="26"/>
      <c r="U155" s="96"/>
      <c r="V155" s="27"/>
    </row>
    <row r="156" spans="1:22" x14ac:dyDescent="0.4">
      <c r="A156" s="91" t="s">
        <v>291</v>
      </c>
      <c r="B156" s="92" t="s">
        <v>342</v>
      </c>
      <c r="C156" s="92" t="s">
        <v>368</v>
      </c>
      <c r="D156" s="92" t="s">
        <v>561</v>
      </c>
      <c r="E156" s="93" t="s">
        <v>562</v>
      </c>
      <c r="F156" s="92" t="s">
        <v>341</v>
      </c>
      <c r="G156" s="92" t="s">
        <v>233</v>
      </c>
      <c r="H156" s="92" t="s">
        <v>9</v>
      </c>
      <c r="I156" s="92" t="s">
        <v>293</v>
      </c>
      <c r="J156" s="93" t="s">
        <v>234</v>
      </c>
      <c r="K156" s="92" t="s">
        <v>320</v>
      </c>
      <c r="L156" s="92" t="s">
        <v>294</v>
      </c>
      <c r="M156" s="92" t="s">
        <v>295</v>
      </c>
      <c r="N156" s="94">
        <v>25.6</v>
      </c>
      <c r="O156" s="94">
        <f>N156*VLOOKUP(H156,dagsoorttabel1,2,FALSE)</f>
        <v>25.6</v>
      </c>
      <c r="P156" s="95">
        <f>prodnorm44</f>
        <v>0</v>
      </c>
      <c r="Q156" s="92" t="s">
        <v>97</v>
      </c>
      <c r="R156" s="26">
        <f>uurtarief44</f>
        <v>0</v>
      </c>
      <c r="S156" s="94" t="e">
        <f>IF(ISBLANK(P156),0,O156/ROUND(P156,4))</f>
        <v>#DIV/0!</v>
      </c>
      <c r="T156" s="26" t="e">
        <f>ROUND(R156,2)*S156</f>
        <v>#DIV/0!</v>
      </c>
      <c r="U156" s="94" t="e">
        <f>S156*dagenperjaar1</f>
        <v>#DIV/0!</v>
      </c>
      <c r="V156" s="27" t="e">
        <f>U156*ROUND(R156,2)</f>
        <v>#DIV/0!</v>
      </c>
    </row>
    <row r="157" spans="1:22" ht="29.15" x14ac:dyDescent="0.4">
      <c r="A157" s="91" t="s">
        <v>291</v>
      </c>
      <c r="B157" s="92" t="s">
        <v>342</v>
      </c>
      <c r="C157" s="92" t="s">
        <v>368</v>
      </c>
      <c r="D157" s="92" t="s">
        <v>563</v>
      </c>
      <c r="E157" s="93" t="s">
        <v>564</v>
      </c>
      <c r="F157" s="92" t="s">
        <v>341</v>
      </c>
      <c r="G157" s="92" t="s">
        <v>257</v>
      </c>
      <c r="H157" s="92" t="s">
        <v>9</v>
      </c>
      <c r="I157" s="92" t="s">
        <v>293</v>
      </c>
      <c r="J157" s="93" t="s">
        <v>258</v>
      </c>
      <c r="K157" s="92" t="s">
        <v>320</v>
      </c>
      <c r="L157" s="92" t="s">
        <v>374</v>
      </c>
      <c r="M157" s="92" t="s">
        <v>348</v>
      </c>
      <c r="N157" s="94">
        <v>1</v>
      </c>
      <c r="O157" s="94">
        <f>N157*VLOOKUP(H157,dagsoorttabel1,2,FALSE)</f>
        <v>1</v>
      </c>
      <c r="P157" s="95">
        <f>prodnorm14</f>
        <v>0</v>
      </c>
      <c r="Q157" s="92" t="s">
        <v>259</v>
      </c>
      <c r="R157" s="26">
        <f>uurtarief14</f>
        <v>0</v>
      </c>
      <c r="S157" s="94">
        <f>O157*ROUND(P157,4)/60</f>
        <v>0</v>
      </c>
      <c r="T157" s="26">
        <f>ROUND(R157,2)*S157</f>
        <v>0</v>
      </c>
      <c r="U157" s="94">
        <f>S157*dagenperjaar1</f>
        <v>0</v>
      </c>
      <c r="V157" s="27">
        <f>U157*ROUND(R157,2)</f>
        <v>0</v>
      </c>
    </row>
    <row r="158" spans="1:22" ht="29.15" x14ac:dyDescent="0.4">
      <c r="A158" s="91" t="s">
        <v>291</v>
      </c>
      <c r="B158" s="92" t="s">
        <v>342</v>
      </c>
      <c r="C158" s="92" t="s">
        <v>368</v>
      </c>
      <c r="D158" s="92" t="s">
        <v>563</v>
      </c>
      <c r="E158" s="93" t="s">
        <v>564</v>
      </c>
      <c r="F158" s="92" t="s">
        <v>341</v>
      </c>
      <c r="G158" s="92" t="s">
        <v>241</v>
      </c>
      <c r="H158" s="92" t="s">
        <v>11</v>
      </c>
      <c r="I158" s="92" t="s">
        <v>293</v>
      </c>
      <c r="J158" s="93" t="s">
        <v>242</v>
      </c>
      <c r="K158" s="92" t="s">
        <v>320</v>
      </c>
      <c r="L158" s="92" t="s">
        <v>374</v>
      </c>
      <c r="M158" s="92" t="s">
        <v>348</v>
      </c>
      <c r="N158" s="94">
        <v>45.42</v>
      </c>
      <c r="O158" s="94">
        <f>N158*VLOOKUP(H158,dagsoorttabel1,2,FALSE)</f>
        <v>27.251999999999999</v>
      </c>
      <c r="P158" s="95">
        <f>prodnorm48</f>
        <v>0</v>
      </c>
      <c r="Q158" s="92" t="s">
        <v>97</v>
      </c>
      <c r="R158" s="26">
        <f>uurtarief48</f>
        <v>0</v>
      </c>
      <c r="S158" s="94" t="e">
        <f>IF(ISBLANK(P158),0,O158/ROUND(P158,4))</f>
        <v>#DIV/0!</v>
      </c>
      <c r="T158" s="26" t="e">
        <f>ROUND(R158,2)*S158</f>
        <v>#DIV/0!</v>
      </c>
      <c r="U158" s="94" t="e">
        <f>S158*dagenperjaar1</f>
        <v>#DIV/0!</v>
      </c>
      <c r="V158" s="27" t="e">
        <f>U158*ROUND(R158,2)</f>
        <v>#DIV/0!</v>
      </c>
    </row>
    <row r="159" spans="1:22" x14ac:dyDescent="0.4">
      <c r="A159" s="91" t="s">
        <v>291</v>
      </c>
      <c r="B159" s="92" t="s">
        <v>342</v>
      </c>
      <c r="C159" s="92" t="s">
        <v>368</v>
      </c>
      <c r="D159" s="92" t="s">
        <v>565</v>
      </c>
      <c r="E159" s="93" t="s">
        <v>566</v>
      </c>
      <c r="F159" s="92" t="s">
        <v>341</v>
      </c>
      <c r="G159" s="92" t="s">
        <v>205</v>
      </c>
      <c r="H159" s="92" t="s">
        <v>11</v>
      </c>
      <c r="I159" s="92" t="s">
        <v>293</v>
      </c>
      <c r="J159" s="93" t="s">
        <v>206</v>
      </c>
      <c r="K159" s="92" t="s">
        <v>342</v>
      </c>
      <c r="L159" s="92" t="s">
        <v>374</v>
      </c>
      <c r="M159" s="92" t="s">
        <v>348</v>
      </c>
      <c r="N159" s="94">
        <v>142.69999999999999</v>
      </c>
      <c r="O159" s="94">
        <f>N159*VLOOKUP(H159,dagsoorttabel1,2,FALSE)</f>
        <v>85.61999999999999</v>
      </c>
      <c r="P159" s="95">
        <f>prodnorm24</f>
        <v>0</v>
      </c>
      <c r="Q159" s="92" t="s">
        <v>97</v>
      </c>
      <c r="R159" s="26">
        <f>uurtarief24</f>
        <v>0</v>
      </c>
      <c r="S159" s="94" t="e">
        <f>IF(ISBLANK(P159),0,O159/ROUND(P159,4))</f>
        <v>#DIV/0!</v>
      </c>
      <c r="T159" s="26" t="e">
        <f>ROUND(R159,2)*S159</f>
        <v>#DIV/0!</v>
      </c>
      <c r="U159" s="94" t="e">
        <f>S159*dagenperjaar1</f>
        <v>#DIV/0!</v>
      </c>
      <c r="V159" s="27" t="e">
        <f>U159*ROUND(R159,2)</f>
        <v>#DIV/0!</v>
      </c>
    </row>
    <row r="160" spans="1:22" x14ac:dyDescent="0.4">
      <c r="A160" s="91" t="s">
        <v>291</v>
      </c>
      <c r="B160" s="92" t="s">
        <v>342</v>
      </c>
      <c r="C160" s="92" t="s">
        <v>368</v>
      </c>
      <c r="D160" s="92" t="s">
        <v>567</v>
      </c>
      <c r="E160" s="93" t="s">
        <v>568</v>
      </c>
      <c r="F160" s="92" t="s">
        <v>341</v>
      </c>
      <c r="G160" s="92" t="s">
        <v>213</v>
      </c>
      <c r="H160" s="92" t="s">
        <v>9</v>
      </c>
      <c r="I160" s="92" t="s">
        <v>293</v>
      </c>
      <c r="J160" s="93" t="s">
        <v>214</v>
      </c>
      <c r="K160" s="92" t="s">
        <v>342</v>
      </c>
      <c r="L160" s="92" t="s">
        <v>347</v>
      </c>
      <c r="M160" s="92" t="s">
        <v>348</v>
      </c>
      <c r="N160" s="94">
        <v>19.3</v>
      </c>
      <c r="O160" s="94">
        <f>N160*VLOOKUP(H160,dagsoorttabel1,2,FALSE)</f>
        <v>19.3</v>
      </c>
      <c r="P160" s="95">
        <f>prodnorm30</f>
        <v>0</v>
      </c>
      <c r="Q160" s="92" t="s">
        <v>97</v>
      </c>
      <c r="R160" s="26">
        <f>uurtarief30</f>
        <v>0</v>
      </c>
      <c r="S160" s="94" t="e">
        <f>IF(ISBLANK(P160),0,O160/ROUND(P160,4))</f>
        <v>#DIV/0!</v>
      </c>
      <c r="T160" s="26" t="e">
        <f>ROUND(R160,2)*S160</f>
        <v>#DIV/0!</v>
      </c>
      <c r="U160" s="94" t="e">
        <f>S160*dagenperjaar1</f>
        <v>#DIV/0!</v>
      </c>
      <c r="V160" s="27" t="e">
        <f>U160*ROUND(R160,2)</f>
        <v>#DIV/0!</v>
      </c>
    </row>
    <row r="161" spans="1:22" x14ac:dyDescent="0.4">
      <c r="A161" s="91" t="s">
        <v>291</v>
      </c>
      <c r="B161" s="92" t="s">
        <v>342</v>
      </c>
      <c r="C161" s="92" t="s">
        <v>368</v>
      </c>
      <c r="D161" s="92" t="s">
        <v>569</v>
      </c>
      <c r="E161" s="93" t="s">
        <v>570</v>
      </c>
      <c r="F161" s="92" t="s">
        <v>341</v>
      </c>
      <c r="G161" s="92" t="s">
        <v>213</v>
      </c>
      <c r="H161" s="92" t="s">
        <v>9</v>
      </c>
      <c r="I161" s="92" t="s">
        <v>293</v>
      </c>
      <c r="J161" s="93" t="s">
        <v>214</v>
      </c>
      <c r="K161" s="92" t="s">
        <v>342</v>
      </c>
      <c r="L161" s="92" t="s">
        <v>347</v>
      </c>
      <c r="M161" s="92" t="s">
        <v>348</v>
      </c>
      <c r="N161" s="94">
        <v>19.3</v>
      </c>
      <c r="O161" s="94">
        <f>N161*VLOOKUP(H161,dagsoorttabel1,2,FALSE)</f>
        <v>19.3</v>
      </c>
      <c r="P161" s="95">
        <f>prodnorm30</f>
        <v>0</v>
      </c>
      <c r="Q161" s="92" t="s">
        <v>97</v>
      </c>
      <c r="R161" s="26">
        <f>uurtarief30</f>
        <v>0</v>
      </c>
      <c r="S161" s="94" t="e">
        <f>IF(ISBLANK(P161),0,O161/ROUND(P161,4))</f>
        <v>#DIV/0!</v>
      </c>
      <c r="T161" s="26" t="e">
        <f>ROUND(R161,2)*S161</f>
        <v>#DIV/0!</v>
      </c>
      <c r="U161" s="94" t="e">
        <f>S161*dagenperjaar1</f>
        <v>#DIV/0!</v>
      </c>
      <c r="V161" s="27" t="e">
        <f>U161*ROUND(R161,2)</f>
        <v>#DIV/0!</v>
      </c>
    </row>
    <row r="162" spans="1:22" x14ac:dyDescent="0.4">
      <c r="A162" s="91" t="s">
        <v>291</v>
      </c>
      <c r="B162" s="92" t="s">
        <v>342</v>
      </c>
      <c r="C162" s="92" t="s">
        <v>368</v>
      </c>
      <c r="D162" s="92" t="s">
        <v>571</v>
      </c>
      <c r="E162" s="93" t="s">
        <v>572</v>
      </c>
      <c r="F162" s="92" t="s">
        <v>341</v>
      </c>
      <c r="G162" s="92" t="s">
        <v>213</v>
      </c>
      <c r="H162" s="92" t="s">
        <v>9</v>
      </c>
      <c r="I162" s="92" t="s">
        <v>293</v>
      </c>
      <c r="J162" s="93" t="s">
        <v>214</v>
      </c>
      <c r="K162" s="92" t="s">
        <v>342</v>
      </c>
      <c r="L162" s="92" t="s">
        <v>347</v>
      </c>
      <c r="M162" s="92" t="s">
        <v>348</v>
      </c>
      <c r="N162" s="94">
        <v>19.399999999999999</v>
      </c>
      <c r="O162" s="94">
        <f>N162*VLOOKUP(H162,dagsoorttabel1,2,FALSE)</f>
        <v>19.399999999999999</v>
      </c>
      <c r="P162" s="95">
        <f>prodnorm30</f>
        <v>0</v>
      </c>
      <c r="Q162" s="92" t="s">
        <v>97</v>
      </c>
      <c r="R162" s="26">
        <f>uurtarief30</f>
        <v>0</v>
      </c>
      <c r="S162" s="94" t="e">
        <f>IF(ISBLANK(P162),0,O162/ROUND(P162,4))</f>
        <v>#DIV/0!</v>
      </c>
      <c r="T162" s="26" t="e">
        <f>ROUND(R162,2)*S162</f>
        <v>#DIV/0!</v>
      </c>
      <c r="U162" s="94" t="e">
        <f>S162*dagenperjaar1</f>
        <v>#DIV/0!</v>
      </c>
      <c r="V162" s="27" t="e">
        <f>U162*ROUND(R162,2)</f>
        <v>#DIV/0!</v>
      </c>
    </row>
    <row r="163" spans="1:22" x14ac:dyDescent="0.4">
      <c r="A163" s="91" t="s">
        <v>291</v>
      </c>
      <c r="B163" s="92" t="s">
        <v>342</v>
      </c>
      <c r="C163" s="92" t="s">
        <v>368</v>
      </c>
      <c r="D163" s="92" t="s">
        <v>573</v>
      </c>
      <c r="E163" s="93" t="s">
        <v>574</v>
      </c>
      <c r="F163" s="92" t="s">
        <v>341</v>
      </c>
      <c r="G163" s="92" t="s">
        <v>205</v>
      </c>
      <c r="H163" s="92" t="s">
        <v>11</v>
      </c>
      <c r="I163" s="92" t="s">
        <v>293</v>
      </c>
      <c r="J163" s="93" t="s">
        <v>206</v>
      </c>
      <c r="K163" s="92" t="s">
        <v>342</v>
      </c>
      <c r="L163" s="92" t="s">
        <v>347</v>
      </c>
      <c r="M163" s="92" t="s">
        <v>348</v>
      </c>
      <c r="N163" s="94">
        <v>8.5</v>
      </c>
      <c r="O163" s="94">
        <f>N163*VLOOKUP(H163,dagsoorttabel1,2,FALSE)</f>
        <v>5.0999999999999996</v>
      </c>
      <c r="P163" s="95">
        <f>prodnorm24</f>
        <v>0</v>
      </c>
      <c r="Q163" s="92" t="s">
        <v>97</v>
      </c>
      <c r="R163" s="26">
        <f>uurtarief24</f>
        <v>0</v>
      </c>
      <c r="S163" s="94" t="e">
        <f>IF(ISBLANK(P163),0,O163/ROUND(P163,4))</f>
        <v>#DIV/0!</v>
      </c>
      <c r="T163" s="26" t="e">
        <f>ROUND(R163,2)*S163</f>
        <v>#DIV/0!</v>
      </c>
      <c r="U163" s="94" t="e">
        <f>S163*dagenperjaar1</f>
        <v>#DIV/0!</v>
      </c>
      <c r="V163" s="27" t="e">
        <f>U163*ROUND(R163,2)</f>
        <v>#DIV/0!</v>
      </c>
    </row>
    <row r="164" spans="1:22" x14ac:dyDescent="0.4">
      <c r="A164" s="91" t="s">
        <v>291</v>
      </c>
      <c r="B164" s="92" t="s">
        <v>342</v>
      </c>
      <c r="C164" s="92" t="s">
        <v>368</v>
      </c>
      <c r="D164" s="92" t="s">
        <v>575</v>
      </c>
      <c r="E164" s="93" t="s">
        <v>576</v>
      </c>
      <c r="F164" s="92" t="s">
        <v>301</v>
      </c>
      <c r="G164" s="92" t="s">
        <v>330</v>
      </c>
      <c r="H164" s="92"/>
      <c r="I164" s="92"/>
      <c r="J164" s="92"/>
      <c r="K164" s="92" t="s">
        <v>34</v>
      </c>
      <c r="L164" s="92" t="s">
        <v>302</v>
      </c>
      <c r="M164" s="92" t="s">
        <v>549</v>
      </c>
      <c r="N164" s="94">
        <v>9.6199999999999992</v>
      </c>
      <c r="O164" s="94"/>
      <c r="P164" s="95"/>
      <c r="Q164" s="92"/>
      <c r="R164" s="26"/>
      <c r="S164" s="94"/>
      <c r="T164" s="26"/>
      <c r="U164" s="96"/>
      <c r="V164" s="27"/>
    </row>
    <row r="165" spans="1:22" x14ac:dyDescent="0.4">
      <c r="A165" s="91" t="s">
        <v>291</v>
      </c>
      <c r="B165" s="92" t="s">
        <v>342</v>
      </c>
      <c r="C165" s="92" t="s">
        <v>368</v>
      </c>
      <c r="D165" s="92" t="s">
        <v>577</v>
      </c>
      <c r="E165" s="93" t="s">
        <v>548</v>
      </c>
      <c r="F165" s="92" t="s">
        <v>301</v>
      </c>
      <c r="G165" s="92" t="s">
        <v>263</v>
      </c>
      <c r="H165" s="92" t="s">
        <v>20</v>
      </c>
      <c r="I165" s="92" t="s">
        <v>293</v>
      </c>
      <c r="J165" s="93" t="s">
        <v>264</v>
      </c>
      <c r="K165" s="92" t="s">
        <v>34</v>
      </c>
      <c r="L165" s="92" t="s">
        <v>302</v>
      </c>
      <c r="M165" s="92" t="s">
        <v>549</v>
      </c>
      <c r="N165" s="94">
        <v>1.48</v>
      </c>
      <c r="O165" s="94">
        <f>N165*VLOOKUP(H165,dagsoorttabel1,2,FALSE)</f>
        <v>5.8039215686274508E-3</v>
      </c>
      <c r="P165" s="95">
        <f>prodnorm16</f>
        <v>0</v>
      </c>
      <c r="Q165" s="92" t="s">
        <v>97</v>
      </c>
      <c r="R165" s="26">
        <f>uurtarief16</f>
        <v>0</v>
      </c>
      <c r="S165" s="94" t="e">
        <f>IF(ISBLANK(P165),0,O165/ROUND(P165,4))</f>
        <v>#DIV/0!</v>
      </c>
      <c r="T165" s="26" t="e">
        <f>ROUND(R165,2)*S165</f>
        <v>#DIV/0!</v>
      </c>
      <c r="U165" s="94" t="e">
        <f>S165*dagenperjaar1</f>
        <v>#DIV/0!</v>
      </c>
      <c r="V165" s="27" t="e">
        <f>U165*ROUND(R165,2)</f>
        <v>#DIV/0!</v>
      </c>
    </row>
    <row r="166" spans="1:22" x14ac:dyDescent="0.4">
      <c r="A166" s="91" t="s">
        <v>291</v>
      </c>
      <c r="B166" s="92" t="s">
        <v>342</v>
      </c>
      <c r="C166" s="92" t="s">
        <v>368</v>
      </c>
      <c r="D166" s="92" t="s">
        <v>578</v>
      </c>
      <c r="E166" s="93" t="s">
        <v>579</v>
      </c>
      <c r="F166" s="92" t="s">
        <v>341</v>
      </c>
      <c r="G166" s="92" t="s">
        <v>251</v>
      </c>
      <c r="H166" s="92" t="s">
        <v>13</v>
      </c>
      <c r="I166" s="92" t="s">
        <v>293</v>
      </c>
      <c r="J166" s="93" t="s">
        <v>252</v>
      </c>
      <c r="K166" s="92" t="s">
        <v>320</v>
      </c>
      <c r="L166" s="92" t="s">
        <v>302</v>
      </c>
      <c r="M166" s="92" t="s">
        <v>295</v>
      </c>
      <c r="N166" s="94">
        <v>12.5</v>
      </c>
      <c r="O166" s="94">
        <f>N166*VLOOKUP(H166,dagsoorttabel1,2,FALSE)</f>
        <v>2.5</v>
      </c>
      <c r="P166" s="95">
        <f>prodnorm57</f>
        <v>0</v>
      </c>
      <c r="Q166" s="92" t="s">
        <v>97</v>
      </c>
      <c r="R166" s="26">
        <f>uurtarief57</f>
        <v>0</v>
      </c>
      <c r="S166" s="94" t="e">
        <f>IF(ISBLANK(P166),0,O166/ROUND(P166,4))</f>
        <v>#DIV/0!</v>
      </c>
      <c r="T166" s="26" t="e">
        <f>ROUND(R166,2)*S166</f>
        <v>#DIV/0!</v>
      </c>
      <c r="U166" s="94" t="e">
        <f>S166*dagenperjaar1</f>
        <v>#DIV/0!</v>
      </c>
      <c r="V166" s="27" t="e">
        <f>U166*ROUND(R166,2)</f>
        <v>#DIV/0!</v>
      </c>
    </row>
    <row r="167" spans="1:22" x14ac:dyDescent="0.4">
      <c r="A167" s="91" t="s">
        <v>291</v>
      </c>
      <c r="B167" s="92" t="s">
        <v>342</v>
      </c>
      <c r="C167" s="92" t="s">
        <v>426</v>
      </c>
      <c r="D167" s="92" t="s">
        <v>580</v>
      </c>
      <c r="E167" s="93" t="s">
        <v>401</v>
      </c>
      <c r="F167" s="92" t="s">
        <v>341</v>
      </c>
      <c r="G167" s="92" t="s">
        <v>241</v>
      </c>
      <c r="H167" s="92" t="s">
        <v>11</v>
      </c>
      <c r="I167" s="92" t="s">
        <v>293</v>
      </c>
      <c r="J167" s="93" t="s">
        <v>242</v>
      </c>
      <c r="K167" s="92" t="s">
        <v>320</v>
      </c>
      <c r="L167" s="92" t="s">
        <v>432</v>
      </c>
      <c r="M167" s="92" t="s">
        <v>348</v>
      </c>
      <c r="N167" s="94">
        <v>46.2</v>
      </c>
      <c r="O167" s="94">
        <f>N167*VLOOKUP(H167,dagsoorttabel1,2,FALSE)</f>
        <v>27.720000000000002</v>
      </c>
      <c r="P167" s="95">
        <f>prodnorm48</f>
        <v>0</v>
      </c>
      <c r="Q167" s="92" t="s">
        <v>97</v>
      </c>
      <c r="R167" s="26">
        <f>uurtarief48</f>
        <v>0</v>
      </c>
      <c r="S167" s="94" t="e">
        <f>IF(ISBLANK(P167),0,O167/ROUND(P167,4))</f>
        <v>#DIV/0!</v>
      </c>
      <c r="T167" s="26" t="e">
        <f>ROUND(R167,2)*S167</f>
        <v>#DIV/0!</v>
      </c>
      <c r="U167" s="94" t="e">
        <f>S167*dagenperjaar1</f>
        <v>#DIV/0!</v>
      </c>
      <c r="V167" s="27" t="e">
        <f>U167*ROUND(R167,2)</f>
        <v>#DIV/0!</v>
      </c>
    </row>
    <row r="168" spans="1:22" x14ac:dyDescent="0.4">
      <c r="A168" s="91" t="s">
        <v>291</v>
      </c>
      <c r="B168" s="92" t="s">
        <v>342</v>
      </c>
      <c r="C168" s="92" t="s">
        <v>426</v>
      </c>
      <c r="D168" s="92" t="s">
        <v>581</v>
      </c>
      <c r="E168" s="93" t="s">
        <v>370</v>
      </c>
      <c r="F168" s="92" t="s">
        <v>341</v>
      </c>
      <c r="G168" s="92" t="s">
        <v>205</v>
      </c>
      <c r="H168" s="92" t="s">
        <v>11</v>
      </c>
      <c r="I168" s="92" t="s">
        <v>293</v>
      </c>
      <c r="J168" s="93" t="s">
        <v>206</v>
      </c>
      <c r="K168" s="92" t="s">
        <v>342</v>
      </c>
      <c r="L168" s="92" t="s">
        <v>432</v>
      </c>
      <c r="M168" s="92" t="s">
        <v>348</v>
      </c>
      <c r="N168" s="94">
        <v>65</v>
      </c>
      <c r="O168" s="94">
        <f>N168*VLOOKUP(H168,dagsoorttabel1,2,FALSE)</f>
        <v>39</v>
      </c>
      <c r="P168" s="95">
        <f>prodnorm24</f>
        <v>0</v>
      </c>
      <c r="Q168" s="92" t="s">
        <v>97</v>
      </c>
      <c r="R168" s="26">
        <f>uurtarief24</f>
        <v>0</v>
      </c>
      <c r="S168" s="94" t="e">
        <f>IF(ISBLANK(P168),0,O168/ROUND(P168,4))</f>
        <v>#DIV/0!</v>
      </c>
      <c r="T168" s="26" t="e">
        <f>ROUND(R168,2)*S168</f>
        <v>#DIV/0!</v>
      </c>
      <c r="U168" s="94" t="e">
        <f>S168*dagenperjaar1</f>
        <v>#DIV/0!</v>
      </c>
      <c r="V168" s="27" t="e">
        <f>U168*ROUND(R168,2)</f>
        <v>#DIV/0!</v>
      </c>
    </row>
    <row r="169" spans="1:22" x14ac:dyDescent="0.4">
      <c r="A169" s="91" t="s">
        <v>291</v>
      </c>
      <c r="B169" s="92" t="s">
        <v>342</v>
      </c>
      <c r="C169" s="92" t="s">
        <v>426</v>
      </c>
      <c r="D169" s="92" t="s">
        <v>582</v>
      </c>
      <c r="E169" s="93" t="s">
        <v>583</v>
      </c>
      <c r="F169" s="92" t="s">
        <v>341</v>
      </c>
      <c r="G169" s="92" t="s">
        <v>205</v>
      </c>
      <c r="H169" s="92" t="s">
        <v>11</v>
      </c>
      <c r="I169" s="92" t="s">
        <v>293</v>
      </c>
      <c r="J169" s="93" t="s">
        <v>206</v>
      </c>
      <c r="K169" s="92" t="s">
        <v>342</v>
      </c>
      <c r="L169" s="92" t="s">
        <v>432</v>
      </c>
      <c r="M169" s="92" t="s">
        <v>348</v>
      </c>
      <c r="N169" s="94">
        <v>56.3</v>
      </c>
      <c r="O169" s="94">
        <f>N169*VLOOKUP(H169,dagsoorttabel1,2,FALSE)</f>
        <v>33.779999999999994</v>
      </c>
      <c r="P169" s="95">
        <f>prodnorm24</f>
        <v>0</v>
      </c>
      <c r="Q169" s="92" t="s">
        <v>97</v>
      </c>
      <c r="R169" s="26">
        <f>uurtarief24</f>
        <v>0</v>
      </c>
      <c r="S169" s="94" t="e">
        <f>IF(ISBLANK(P169),0,O169/ROUND(P169,4))</f>
        <v>#DIV/0!</v>
      </c>
      <c r="T169" s="26" t="e">
        <f>ROUND(R169,2)*S169</f>
        <v>#DIV/0!</v>
      </c>
      <c r="U169" s="94" t="e">
        <f>S169*dagenperjaar1</f>
        <v>#DIV/0!</v>
      </c>
      <c r="V169" s="27" t="e">
        <f>U169*ROUND(R169,2)</f>
        <v>#DIV/0!</v>
      </c>
    </row>
    <row r="170" spans="1:22" x14ac:dyDescent="0.4">
      <c r="A170" s="91" t="s">
        <v>291</v>
      </c>
      <c r="B170" s="92" t="s">
        <v>342</v>
      </c>
      <c r="C170" s="92" t="s">
        <v>426</v>
      </c>
      <c r="D170" s="92" t="s">
        <v>584</v>
      </c>
      <c r="E170" s="93" t="s">
        <v>585</v>
      </c>
      <c r="F170" s="92" t="s">
        <v>425</v>
      </c>
      <c r="G170" s="92" t="s">
        <v>219</v>
      </c>
      <c r="H170" s="92" t="s">
        <v>15</v>
      </c>
      <c r="I170" s="92" t="s">
        <v>293</v>
      </c>
      <c r="J170" s="93" t="s">
        <v>220</v>
      </c>
      <c r="K170" s="92" t="s">
        <v>320</v>
      </c>
      <c r="L170" s="92" t="s">
        <v>432</v>
      </c>
      <c r="M170" s="92" t="s">
        <v>348</v>
      </c>
      <c r="N170" s="94">
        <v>29</v>
      </c>
      <c r="O170" s="94">
        <f>N170*VLOOKUP(H170,dagsoorttabel1,2,FALSE)</f>
        <v>1.3647058823529412</v>
      </c>
      <c r="P170" s="95">
        <f>prodnorm33</f>
        <v>0</v>
      </c>
      <c r="Q170" s="92" t="s">
        <v>97</v>
      </c>
      <c r="R170" s="26">
        <f>uurtarief33</f>
        <v>0</v>
      </c>
      <c r="S170" s="94" t="e">
        <f>IF(ISBLANK(P170),0,O170/ROUND(P170,4))</f>
        <v>#DIV/0!</v>
      </c>
      <c r="T170" s="26" t="e">
        <f>ROUND(R170,2)*S170</f>
        <v>#DIV/0!</v>
      </c>
      <c r="U170" s="94" t="e">
        <f>S170*dagenperjaar1</f>
        <v>#DIV/0!</v>
      </c>
      <c r="V170" s="27" t="e">
        <f>U170*ROUND(R170,2)</f>
        <v>#DIV/0!</v>
      </c>
    </row>
    <row r="171" spans="1:22" x14ac:dyDescent="0.4">
      <c r="A171" s="91" t="s">
        <v>291</v>
      </c>
      <c r="B171" s="92" t="s">
        <v>342</v>
      </c>
      <c r="C171" s="92" t="s">
        <v>426</v>
      </c>
      <c r="D171" s="92" t="s">
        <v>586</v>
      </c>
      <c r="E171" s="93" t="s">
        <v>587</v>
      </c>
      <c r="F171" s="92" t="s">
        <v>425</v>
      </c>
      <c r="G171" s="92" t="s">
        <v>257</v>
      </c>
      <c r="H171" s="92" t="s">
        <v>9</v>
      </c>
      <c r="I171" s="92" t="s">
        <v>293</v>
      </c>
      <c r="J171" s="93" t="s">
        <v>258</v>
      </c>
      <c r="K171" s="92" t="s">
        <v>320</v>
      </c>
      <c r="L171" s="92" t="s">
        <v>588</v>
      </c>
      <c r="M171" s="92" t="s">
        <v>348</v>
      </c>
      <c r="N171" s="94">
        <v>1</v>
      </c>
      <c r="O171" s="94">
        <f>N171*VLOOKUP(H171,dagsoorttabel1,2,FALSE)</f>
        <v>1</v>
      </c>
      <c r="P171" s="95">
        <f>prodnorm14</f>
        <v>0</v>
      </c>
      <c r="Q171" s="92" t="s">
        <v>259</v>
      </c>
      <c r="R171" s="26">
        <f>uurtarief14</f>
        <v>0</v>
      </c>
      <c r="S171" s="94">
        <f>O171*ROUND(P171,4)/60</f>
        <v>0</v>
      </c>
      <c r="T171" s="26">
        <f>ROUND(R171,2)*S171</f>
        <v>0</v>
      </c>
      <c r="U171" s="94">
        <f>S171*dagenperjaar1</f>
        <v>0</v>
      </c>
      <c r="V171" s="27">
        <f>U171*ROUND(R171,2)</f>
        <v>0</v>
      </c>
    </row>
    <row r="172" spans="1:22" x14ac:dyDescent="0.4">
      <c r="A172" s="91" t="s">
        <v>291</v>
      </c>
      <c r="B172" s="92" t="s">
        <v>342</v>
      </c>
      <c r="C172" s="92" t="s">
        <v>426</v>
      </c>
      <c r="D172" s="92" t="s">
        <v>586</v>
      </c>
      <c r="E172" s="93" t="s">
        <v>587</v>
      </c>
      <c r="F172" s="92" t="s">
        <v>425</v>
      </c>
      <c r="G172" s="92" t="s">
        <v>215</v>
      </c>
      <c r="H172" s="92" t="s">
        <v>9</v>
      </c>
      <c r="I172" s="92" t="s">
        <v>293</v>
      </c>
      <c r="J172" s="93" t="s">
        <v>216</v>
      </c>
      <c r="K172" s="92" t="s">
        <v>320</v>
      </c>
      <c r="L172" s="92" t="s">
        <v>588</v>
      </c>
      <c r="M172" s="92" t="s">
        <v>348</v>
      </c>
      <c r="N172" s="94">
        <v>64</v>
      </c>
      <c r="O172" s="94">
        <f>N172*VLOOKUP(H172,dagsoorttabel1,2,FALSE)</f>
        <v>64</v>
      </c>
      <c r="P172" s="95">
        <f>prodnorm31</f>
        <v>0</v>
      </c>
      <c r="Q172" s="92" t="s">
        <v>97</v>
      </c>
      <c r="R172" s="26">
        <f>uurtarief31</f>
        <v>0</v>
      </c>
      <c r="S172" s="94" t="e">
        <f>IF(ISBLANK(P172),0,O172/ROUND(P172,4))</f>
        <v>#DIV/0!</v>
      </c>
      <c r="T172" s="26" t="e">
        <f>ROUND(R172,2)*S172</f>
        <v>#DIV/0!</v>
      </c>
      <c r="U172" s="94" t="e">
        <f>S172*dagenperjaar1</f>
        <v>#DIV/0!</v>
      </c>
      <c r="V172" s="27" t="e">
        <f>U172*ROUND(R172,2)</f>
        <v>#DIV/0!</v>
      </c>
    </row>
    <row r="173" spans="1:22" x14ac:dyDescent="0.4">
      <c r="A173" s="91" t="s">
        <v>291</v>
      </c>
      <c r="B173" s="92" t="s">
        <v>342</v>
      </c>
      <c r="C173" s="92" t="s">
        <v>426</v>
      </c>
      <c r="D173" s="92" t="s">
        <v>589</v>
      </c>
      <c r="E173" s="93" t="s">
        <v>548</v>
      </c>
      <c r="F173" s="92" t="s">
        <v>301</v>
      </c>
      <c r="G173" s="92" t="s">
        <v>263</v>
      </c>
      <c r="H173" s="92" t="s">
        <v>20</v>
      </c>
      <c r="I173" s="92" t="s">
        <v>293</v>
      </c>
      <c r="J173" s="93" t="s">
        <v>264</v>
      </c>
      <c r="K173" s="92" t="s">
        <v>34</v>
      </c>
      <c r="L173" s="92" t="s">
        <v>302</v>
      </c>
      <c r="M173" s="92" t="s">
        <v>549</v>
      </c>
      <c r="N173" s="94">
        <v>1.2</v>
      </c>
      <c r="O173" s="94">
        <f>N173*VLOOKUP(H173,dagsoorttabel1,2,FALSE)</f>
        <v>4.7058823529411761E-3</v>
      </c>
      <c r="P173" s="95">
        <f>prodnorm16</f>
        <v>0</v>
      </c>
      <c r="Q173" s="92" t="s">
        <v>97</v>
      </c>
      <c r="R173" s="26">
        <f>uurtarief16</f>
        <v>0</v>
      </c>
      <c r="S173" s="94" t="e">
        <f>IF(ISBLANK(P173),0,O173/ROUND(P173,4))</f>
        <v>#DIV/0!</v>
      </c>
      <c r="T173" s="26" t="e">
        <f>ROUND(R173,2)*S173</f>
        <v>#DIV/0!</v>
      </c>
      <c r="U173" s="94" t="e">
        <f>S173*dagenperjaar1</f>
        <v>#DIV/0!</v>
      </c>
      <c r="V173" s="27" t="e">
        <f>U173*ROUND(R173,2)</f>
        <v>#DIV/0!</v>
      </c>
    </row>
    <row r="174" spans="1:22" x14ac:dyDescent="0.4">
      <c r="A174" s="91" t="s">
        <v>291</v>
      </c>
      <c r="B174" s="92" t="s">
        <v>342</v>
      </c>
      <c r="C174" s="92" t="s">
        <v>426</v>
      </c>
      <c r="D174" s="92" t="s">
        <v>590</v>
      </c>
      <c r="E174" s="93" t="s">
        <v>591</v>
      </c>
      <c r="F174" s="92" t="s">
        <v>341</v>
      </c>
      <c r="G174" s="92" t="s">
        <v>213</v>
      </c>
      <c r="H174" s="92" t="s">
        <v>11</v>
      </c>
      <c r="I174" s="92" t="s">
        <v>293</v>
      </c>
      <c r="J174" s="93" t="s">
        <v>214</v>
      </c>
      <c r="K174" s="92" t="s">
        <v>342</v>
      </c>
      <c r="L174" s="92" t="s">
        <v>432</v>
      </c>
      <c r="M174" s="92" t="s">
        <v>348</v>
      </c>
      <c r="N174" s="94">
        <v>14</v>
      </c>
      <c r="O174" s="94">
        <f>N174*VLOOKUP(H174,dagsoorttabel1,2,FALSE)</f>
        <v>8.4</v>
      </c>
      <c r="P174" s="95">
        <f>prodnorm29</f>
        <v>0</v>
      </c>
      <c r="Q174" s="92" t="s">
        <v>97</v>
      </c>
      <c r="R174" s="26">
        <f>uurtarief29</f>
        <v>0</v>
      </c>
      <c r="S174" s="94" t="e">
        <f>IF(ISBLANK(P174),0,O174/ROUND(P174,4))</f>
        <v>#DIV/0!</v>
      </c>
      <c r="T174" s="26" t="e">
        <f>ROUND(R174,2)*S174</f>
        <v>#DIV/0!</v>
      </c>
      <c r="U174" s="94" t="e">
        <f>S174*dagenperjaar1</f>
        <v>#DIV/0!</v>
      </c>
      <c r="V174" s="27" t="e">
        <f>U174*ROUND(R174,2)</f>
        <v>#DIV/0!</v>
      </c>
    </row>
    <row r="175" spans="1:22" x14ac:dyDescent="0.4">
      <c r="A175" s="91" t="s">
        <v>291</v>
      </c>
      <c r="B175" s="92" t="s">
        <v>342</v>
      </c>
      <c r="C175" s="92" t="s">
        <v>426</v>
      </c>
      <c r="D175" s="92" t="s">
        <v>592</v>
      </c>
      <c r="E175" s="93" t="s">
        <v>401</v>
      </c>
      <c r="F175" s="92" t="s">
        <v>341</v>
      </c>
      <c r="G175" s="92" t="s">
        <v>241</v>
      </c>
      <c r="H175" s="92" t="s">
        <v>11</v>
      </c>
      <c r="I175" s="92" t="s">
        <v>293</v>
      </c>
      <c r="J175" s="93" t="s">
        <v>242</v>
      </c>
      <c r="K175" s="92" t="s">
        <v>320</v>
      </c>
      <c r="L175" s="92" t="s">
        <v>432</v>
      </c>
      <c r="M175" s="92" t="s">
        <v>348</v>
      </c>
      <c r="N175" s="94">
        <v>39.299999999999997</v>
      </c>
      <c r="O175" s="94">
        <f>N175*VLOOKUP(H175,dagsoorttabel1,2,FALSE)</f>
        <v>23.58</v>
      </c>
      <c r="P175" s="95">
        <f>prodnorm48</f>
        <v>0</v>
      </c>
      <c r="Q175" s="92" t="s">
        <v>97</v>
      </c>
      <c r="R175" s="26">
        <f>uurtarief48</f>
        <v>0</v>
      </c>
      <c r="S175" s="94" t="e">
        <f>IF(ISBLANK(P175),0,O175/ROUND(P175,4))</f>
        <v>#DIV/0!</v>
      </c>
      <c r="T175" s="26" t="e">
        <f>ROUND(R175,2)*S175</f>
        <v>#DIV/0!</v>
      </c>
      <c r="U175" s="94" t="e">
        <f>S175*dagenperjaar1</f>
        <v>#DIV/0!</v>
      </c>
      <c r="V175" s="27" t="e">
        <f>U175*ROUND(R175,2)</f>
        <v>#DIV/0!</v>
      </c>
    </row>
    <row r="176" spans="1:22" x14ac:dyDescent="0.4">
      <c r="A176" s="91" t="s">
        <v>291</v>
      </c>
      <c r="B176" s="92" t="s">
        <v>342</v>
      </c>
      <c r="C176" s="92" t="s">
        <v>426</v>
      </c>
      <c r="D176" s="92" t="s">
        <v>593</v>
      </c>
      <c r="E176" s="93" t="s">
        <v>591</v>
      </c>
      <c r="F176" s="92" t="s">
        <v>341</v>
      </c>
      <c r="G176" s="92" t="s">
        <v>213</v>
      </c>
      <c r="H176" s="92" t="s">
        <v>11</v>
      </c>
      <c r="I176" s="92" t="s">
        <v>293</v>
      </c>
      <c r="J176" s="93" t="s">
        <v>214</v>
      </c>
      <c r="K176" s="92" t="s">
        <v>342</v>
      </c>
      <c r="L176" s="92" t="s">
        <v>432</v>
      </c>
      <c r="M176" s="92" t="s">
        <v>348</v>
      </c>
      <c r="N176" s="94">
        <v>14</v>
      </c>
      <c r="O176" s="94">
        <f>N176*VLOOKUP(H176,dagsoorttabel1,2,FALSE)</f>
        <v>8.4</v>
      </c>
      <c r="P176" s="95">
        <f>prodnorm29</f>
        <v>0</v>
      </c>
      <c r="Q176" s="92" t="s">
        <v>97</v>
      </c>
      <c r="R176" s="26">
        <f>uurtarief29</f>
        <v>0</v>
      </c>
      <c r="S176" s="94" t="e">
        <f>IF(ISBLANK(P176),0,O176/ROUND(P176,4))</f>
        <v>#DIV/0!</v>
      </c>
      <c r="T176" s="26" t="e">
        <f>ROUND(R176,2)*S176</f>
        <v>#DIV/0!</v>
      </c>
      <c r="U176" s="94" t="e">
        <f>S176*dagenperjaar1</f>
        <v>#DIV/0!</v>
      </c>
      <c r="V176" s="27" t="e">
        <f>U176*ROUND(R176,2)</f>
        <v>#DIV/0!</v>
      </c>
    </row>
    <row r="177" spans="1:22" x14ac:dyDescent="0.4">
      <c r="A177" s="91" t="s">
        <v>291</v>
      </c>
      <c r="B177" s="92" t="s">
        <v>342</v>
      </c>
      <c r="C177" s="92" t="s">
        <v>426</v>
      </c>
      <c r="D177" s="92" t="s">
        <v>594</v>
      </c>
      <c r="E177" s="93" t="s">
        <v>583</v>
      </c>
      <c r="F177" s="92" t="s">
        <v>341</v>
      </c>
      <c r="G177" s="92" t="s">
        <v>205</v>
      </c>
      <c r="H177" s="92" t="s">
        <v>11</v>
      </c>
      <c r="I177" s="92" t="s">
        <v>293</v>
      </c>
      <c r="J177" s="93" t="s">
        <v>206</v>
      </c>
      <c r="K177" s="92" t="s">
        <v>342</v>
      </c>
      <c r="L177" s="92" t="s">
        <v>432</v>
      </c>
      <c r="M177" s="92" t="s">
        <v>348</v>
      </c>
      <c r="N177" s="94">
        <v>93.3</v>
      </c>
      <c r="O177" s="94">
        <f>N177*VLOOKUP(H177,dagsoorttabel1,2,FALSE)</f>
        <v>55.98</v>
      </c>
      <c r="P177" s="95">
        <f>prodnorm24</f>
        <v>0</v>
      </c>
      <c r="Q177" s="92" t="s">
        <v>97</v>
      </c>
      <c r="R177" s="26">
        <f>uurtarief24</f>
        <v>0</v>
      </c>
      <c r="S177" s="94" t="e">
        <f>IF(ISBLANK(P177),0,O177/ROUND(P177,4))</f>
        <v>#DIV/0!</v>
      </c>
      <c r="T177" s="26" t="e">
        <f>ROUND(R177,2)*S177</f>
        <v>#DIV/0!</v>
      </c>
      <c r="U177" s="94" t="e">
        <f>S177*dagenperjaar1</f>
        <v>#DIV/0!</v>
      </c>
      <c r="V177" s="27" t="e">
        <f>U177*ROUND(R177,2)</f>
        <v>#DIV/0!</v>
      </c>
    </row>
    <row r="178" spans="1:22" x14ac:dyDescent="0.4">
      <c r="A178" s="91" t="s">
        <v>291</v>
      </c>
      <c r="B178" s="92" t="s">
        <v>342</v>
      </c>
      <c r="C178" s="92" t="s">
        <v>426</v>
      </c>
      <c r="D178" s="92" t="s">
        <v>595</v>
      </c>
      <c r="E178" s="93" t="s">
        <v>596</v>
      </c>
      <c r="F178" s="92" t="s">
        <v>315</v>
      </c>
      <c r="G178" s="92" t="s">
        <v>219</v>
      </c>
      <c r="H178" s="92" t="s">
        <v>15</v>
      </c>
      <c r="I178" s="92" t="s">
        <v>293</v>
      </c>
      <c r="J178" s="93" t="s">
        <v>220</v>
      </c>
      <c r="K178" s="92" t="s">
        <v>320</v>
      </c>
      <c r="L178" s="92" t="s">
        <v>432</v>
      </c>
      <c r="M178" s="92" t="s">
        <v>348</v>
      </c>
      <c r="N178" s="94">
        <v>6</v>
      </c>
      <c r="O178" s="94">
        <f>N178*VLOOKUP(H178,dagsoorttabel1,2,FALSE)</f>
        <v>0.28235294117647058</v>
      </c>
      <c r="P178" s="95">
        <f>prodnorm33</f>
        <v>0</v>
      </c>
      <c r="Q178" s="92" t="s">
        <v>97</v>
      </c>
      <c r="R178" s="26">
        <f>uurtarief33</f>
        <v>0</v>
      </c>
      <c r="S178" s="94" t="e">
        <f>IF(ISBLANK(P178),0,O178/ROUND(P178,4))</f>
        <v>#DIV/0!</v>
      </c>
      <c r="T178" s="26" t="e">
        <f>ROUND(R178,2)*S178</f>
        <v>#DIV/0!</v>
      </c>
      <c r="U178" s="94" t="e">
        <f>S178*dagenperjaar1</f>
        <v>#DIV/0!</v>
      </c>
      <c r="V178" s="27" t="e">
        <f>U178*ROUND(R178,2)</f>
        <v>#DIV/0!</v>
      </c>
    </row>
    <row r="179" spans="1:22" x14ac:dyDescent="0.4">
      <c r="A179" s="91" t="s">
        <v>291</v>
      </c>
      <c r="B179" s="92" t="s">
        <v>342</v>
      </c>
      <c r="C179" s="92" t="s">
        <v>426</v>
      </c>
      <c r="D179" s="92" t="s">
        <v>597</v>
      </c>
      <c r="E179" s="93" t="s">
        <v>358</v>
      </c>
      <c r="F179" s="92" t="s">
        <v>315</v>
      </c>
      <c r="G179" s="92" t="s">
        <v>227</v>
      </c>
      <c r="H179" s="92" t="s">
        <v>9</v>
      </c>
      <c r="I179" s="92" t="s">
        <v>293</v>
      </c>
      <c r="J179" s="93" t="s">
        <v>228</v>
      </c>
      <c r="K179" s="92" t="s">
        <v>312</v>
      </c>
      <c r="L179" s="92" t="s">
        <v>588</v>
      </c>
      <c r="M179" s="92" t="s">
        <v>348</v>
      </c>
      <c r="N179" s="94">
        <v>11</v>
      </c>
      <c r="O179" s="94">
        <f>N179*VLOOKUP(H179,dagsoorttabel1,2,FALSE)</f>
        <v>11</v>
      </c>
      <c r="P179" s="95">
        <f>prodnorm39</f>
        <v>0</v>
      </c>
      <c r="Q179" s="92" t="s">
        <v>97</v>
      </c>
      <c r="R179" s="26">
        <f>uurtarief39</f>
        <v>0</v>
      </c>
      <c r="S179" s="94" t="e">
        <f>IF(ISBLANK(P179),0,O179/ROUND(P179,4))</f>
        <v>#DIV/0!</v>
      </c>
      <c r="T179" s="26" t="e">
        <f>ROUND(R179,2)*S179</f>
        <v>#DIV/0!</v>
      </c>
      <c r="U179" s="94" t="e">
        <f>S179*dagenperjaar1</f>
        <v>#DIV/0!</v>
      </c>
      <c r="V179" s="27" t="e">
        <f>U179*ROUND(R179,2)</f>
        <v>#DIV/0!</v>
      </c>
    </row>
    <row r="180" spans="1:22" x14ac:dyDescent="0.4">
      <c r="A180" s="91" t="s">
        <v>291</v>
      </c>
      <c r="B180" s="92" t="s">
        <v>342</v>
      </c>
      <c r="C180" s="92" t="s">
        <v>426</v>
      </c>
      <c r="D180" s="92" t="s">
        <v>597</v>
      </c>
      <c r="E180" s="93" t="s">
        <v>358</v>
      </c>
      <c r="F180" s="92" t="s">
        <v>315</v>
      </c>
      <c r="G180" s="92" t="s">
        <v>229</v>
      </c>
      <c r="H180" s="92" t="s">
        <v>11</v>
      </c>
      <c r="I180" s="92" t="s">
        <v>359</v>
      </c>
      <c r="J180" s="93" t="s">
        <v>230</v>
      </c>
      <c r="K180" s="92" t="s">
        <v>312</v>
      </c>
      <c r="L180" s="92" t="s">
        <v>588</v>
      </c>
      <c r="M180" s="92" t="s">
        <v>348</v>
      </c>
      <c r="N180" s="94">
        <v>11</v>
      </c>
      <c r="O180" s="94">
        <f>N180*VLOOKUP(H180,dagsoorttabel1,2,FALSE)</f>
        <v>6.6</v>
      </c>
      <c r="P180" s="95">
        <f>prodnorm40</f>
        <v>0</v>
      </c>
      <c r="Q180" s="92" t="s">
        <v>97</v>
      </c>
      <c r="R180" s="26">
        <f>uurtarief40</f>
        <v>0</v>
      </c>
      <c r="S180" s="94" t="e">
        <f>IF(ISBLANK(P180),0,O180/ROUND(P180,4))</f>
        <v>#DIV/0!</v>
      </c>
      <c r="T180" s="26" t="e">
        <f>ROUND(R180,2)*S180</f>
        <v>#DIV/0!</v>
      </c>
      <c r="U180" s="94" t="e">
        <f>S180*dagenperjaar1</f>
        <v>#DIV/0!</v>
      </c>
      <c r="V180" s="27" t="e">
        <f>U180*ROUND(R180,2)</f>
        <v>#DIV/0!</v>
      </c>
    </row>
    <row r="181" spans="1:22" x14ac:dyDescent="0.4">
      <c r="A181" s="91" t="s">
        <v>291</v>
      </c>
      <c r="B181" s="92" t="s">
        <v>342</v>
      </c>
      <c r="C181" s="92" t="s">
        <v>426</v>
      </c>
      <c r="D181" s="92" t="s">
        <v>598</v>
      </c>
      <c r="E181" s="93" t="s">
        <v>421</v>
      </c>
      <c r="F181" s="92" t="s">
        <v>315</v>
      </c>
      <c r="G181" s="92" t="s">
        <v>227</v>
      </c>
      <c r="H181" s="92" t="s">
        <v>9</v>
      </c>
      <c r="I181" s="92" t="s">
        <v>293</v>
      </c>
      <c r="J181" s="93" t="s">
        <v>228</v>
      </c>
      <c r="K181" s="92" t="s">
        <v>312</v>
      </c>
      <c r="L181" s="92" t="s">
        <v>588</v>
      </c>
      <c r="M181" s="92" t="s">
        <v>348</v>
      </c>
      <c r="N181" s="94">
        <v>11</v>
      </c>
      <c r="O181" s="94">
        <f>N181*VLOOKUP(H181,dagsoorttabel1,2,FALSE)</f>
        <v>11</v>
      </c>
      <c r="P181" s="95">
        <f>prodnorm39</f>
        <v>0</v>
      </c>
      <c r="Q181" s="92" t="s">
        <v>97</v>
      </c>
      <c r="R181" s="26">
        <f>uurtarief39</f>
        <v>0</v>
      </c>
      <c r="S181" s="94" t="e">
        <f>IF(ISBLANK(P181),0,O181/ROUND(P181,4))</f>
        <v>#DIV/0!</v>
      </c>
      <c r="T181" s="26" t="e">
        <f>ROUND(R181,2)*S181</f>
        <v>#DIV/0!</v>
      </c>
      <c r="U181" s="94" t="e">
        <f>S181*dagenperjaar1</f>
        <v>#DIV/0!</v>
      </c>
      <c r="V181" s="27" t="e">
        <f>U181*ROUND(R181,2)</f>
        <v>#DIV/0!</v>
      </c>
    </row>
    <row r="182" spans="1:22" x14ac:dyDescent="0.4">
      <c r="A182" s="91" t="s">
        <v>291</v>
      </c>
      <c r="B182" s="92" t="s">
        <v>342</v>
      </c>
      <c r="C182" s="92" t="s">
        <v>426</v>
      </c>
      <c r="D182" s="92" t="s">
        <v>598</v>
      </c>
      <c r="E182" s="93" t="s">
        <v>421</v>
      </c>
      <c r="F182" s="92" t="s">
        <v>315</v>
      </c>
      <c r="G182" s="92" t="s">
        <v>229</v>
      </c>
      <c r="H182" s="92" t="s">
        <v>11</v>
      </c>
      <c r="I182" s="92" t="s">
        <v>359</v>
      </c>
      <c r="J182" s="93" t="s">
        <v>230</v>
      </c>
      <c r="K182" s="92" t="s">
        <v>312</v>
      </c>
      <c r="L182" s="92" t="s">
        <v>588</v>
      </c>
      <c r="M182" s="92" t="s">
        <v>348</v>
      </c>
      <c r="N182" s="94">
        <v>11</v>
      </c>
      <c r="O182" s="94">
        <f>N182*VLOOKUP(H182,dagsoorttabel1,2,FALSE)</f>
        <v>6.6</v>
      </c>
      <c r="P182" s="95">
        <f>prodnorm40</f>
        <v>0</v>
      </c>
      <c r="Q182" s="92" t="s">
        <v>97</v>
      </c>
      <c r="R182" s="26">
        <f>uurtarief40</f>
        <v>0</v>
      </c>
      <c r="S182" s="94" t="e">
        <f>IF(ISBLANK(P182),0,O182/ROUND(P182,4))</f>
        <v>#DIV/0!</v>
      </c>
      <c r="T182" s="26" t="e">
        <f>ROUND(R182,2)*S182</f>
        <v>#DIV/0!</v>
      </c>
      <c r="U182" s="94" t="e">
        <f>S182*dagenperjaar1</f>
        <v>#DIV/0!</v>
      </c>
      <c r="V182" s="27" t="e">
        <f>U182*ROUND(R182,2)</f>
        <v>#DIV/0!</v>
      </c>
    </row>
    <row r="183" spans="1:22" x14ac:dyDescent="0.4">
      <c r="A183" s="91" t="s">
        <v>291</v>
      </c>
      <c r="B183" s="92" t="s">
        <v>342</v>
      </c>
      <c r="C183" s="92" t="s">
        <v>426</v>
      </c>
      <c r="D183" s="92" t="s">
        <v>599</v>
      </c>
      <c r="E183" s="93" t="s">
        <v>600</v>
      </c>
      <c r="F183" s="92" t="s">
        <v>315</v>
      </c>
      <c r="G183" s="92" t="s">
        <v>219</v>
      </c>
      <c r="H183" s="92" t="s">
        <v>15</v>
      </c>
      <c r="I183" s="92" t="s">
        <v>293</v>
      </c>
      <c r="J183" s="93" t="s">
        <v>220</v>
      </c>
      <c r="K183" s="92" t="s">
        <v>320</v>
      </c>
      <c r="L183" s="92" t="s">
        <v>432</v>
      </c>
      <c r="M183" s="92" t="s">
        <v>348</v>
      </c>
      <c r="N183" s="94">
        <v>9</v>
      </c>
      <c r="O183" s="94">
        <f>N183*VLOOKUP(H183,dagsoorttabel1,2,FALSE)</f>
        <v>0.42352941176470588</v>
      </c>
      <c r="P183" s="95">
        <f>prodnorm33</f>
        <v>0</v>
      </c>
      <c r="Q183" s="92" t="s">
        <v>97</v>
      </c>
      <c r="R183" s="26">
        <f>uurtarief33</f>
        <v>0</v>
      </c>
      <c r="S183" s="94" t="e">
        <f>IF(ISBLANK(P183),0,O183/ROUND(P183,4))</f>
        <v>#DIV/0!</v>
      </c>
      <c r="T183" s="26" t="e">
        <f>ROUND(R183,2)*S183</f>
        <v>#DIV/0!</v>
      </c>
      <c r="U183" s="94" t="e">
        <f>S183*dagenperjaar1</f>
        <v>#DIV/0!</v>
      </c>
      <c r="V183" s="27" t="e">
        <f>U183*ROUND(R183,2)</f>
        <v>#DIV/0!</v>
      </c>
    </row>
    <row r="184" spans="1:22" x14ac:dyDescent="0.4">
      <c r="A184" s="91" t="s">
        <v>291</v>
      </c>
      <c r="B184" s="92" t="s">
        <v>342</v>
      </c>
      <c r="C184" s="92" t="s">
        <v>426</v>
      </c>
      <c r="D184" s="92" t="s">
        <v>601</v>
      </c>
      <c r="E184" s="93" t="s">
        <v>583</v>
      </c>
      <c r="F184" s="92" t="s">
        <v>341</v>
      </c>
      <c r="G184" s="92" t="s">
        <v>205</v>
      </c>
      <c r="H184" s="92" t="s">
        <v>11</v>
      </c>
      <c r="I184" s="92" t="s">
        <v>293</v>
      </c>
      <c r="J184" s="93" t="s">
        <v>206</v>
      </c>
      <c r="K184" s="92" t="s">
        <v>342</v>
      </c>
      <c r="L184" s="92" t="s">
        <v>432</v>
      </c>
      <c r="M184" s="92" t="s">
        <v>348</v>
      </c>
      <c r="N184" s="94">
        <v>38.9</v>
      </c>
      <c r="O184" s="94">
        <f>N184*VLOOKUP(H184,dagsoorttabel1,2,FALSE)</f>
        <v>23.34</v>
      </c>
      <c r="P184" s="95">
        <f>prodnorm24</f>
        <v>0</v>
      </c>
      <c r="Q184" s="92" t="s">
        <v>97</v>
      </c>
      <c r="R184" s="26">
        <f>uurtarief24</f>
        <v>0</v>
      </c>
      <c r="S184" s="94" t="e">
        <f>IF(ISBLANK(P184),0,O184/ROUND(P184,4))</f>
        <v>#DIV/0!</v>
      </c>
      <c r="T184" s="26" t="e">
        <f>ROUND(R184,2)*S184</f>
        <v>#DIV/0!</v>
      </c>
      <c r="U184" s="94" t="e">
        <f>S184*dagenperjaar1</f>
        <v>#DIV/0!</v>
      </c>
      <c r="V184" s="27" t="e">
        <f>U184*ROUND(R184,2)</f>
        <v>#DIV/0!</v>
      </c>
    </row>
    <row r="185" spans="1:22" x14ac:dyDescent="0.4">
      <c r="A185" s="91" t="s">
        <v>291</v>
      </c>
      <c r="B185" s="92" t="s">
        <v>342</v>
      </c>
      <c r="C185" s="92" t="s">
        <v>426</v>
      </c>
      <c r="D185" s="92" t="s">
        <v>602</v>
      </c>
      <c r="E185" s="93" t="s">
        <v>392</v>
      </c>
      <c r="F185" s="92" t="s">
        <v>341</v>
      </c>
      <c r="G185" s="92" t="s">
        <v>205</v>
      </c>
      <c r="H185" s="92" t="s">
        <v>11</v>
      </c>
      <c r="I185" s="92" t="s">
        <v>293</v>
      </c>
      <c r="J185" s="93" t="s">
        <v>206</v>
      </c>
      <c r="K185" s="92" t="s">
        <v>342</v>
      </c>
      <c r="L185" s="92" t="s">
        <v>432</v>
      </c>
      <c r="M185" s="92" t="s">
        <v>348</v>
      </c>
      <c r="N185" s="94">
        <v>7</v>
      </c>
      <c r="O185" s="94">
        <f>N185*VLOOKUP(H185,dagsoorttabel1,2,FALSE)</f>
        <v>4.2</v>
      </c>
      <c r="P185" s="95">
        <f>prodnorm24</f>
        <v>0</v>
      </c>
      <c r="Q185" s="92" t="s">
        <v>97</v>
      </c>
      <c r="R185" s="26">
        <f>uurtarief24</f>
        <v>0</v>
      </c>
      <c r="S185" s="94" t="e">
        <f>IF(ISBLANK(P185),0,O185/ROUND(P185,4))</f>
        <v>#DIV/0!</v>
      </c>
      <c r="T185" s="26" t="e">
        <f>ROUND(R185,2)*S185</f>
        <v>#DIV/0!</v>
      </c>
      <c r="U185" s="94" t="e">
        <f>S185*dagenperjaar1</f>
        <v>#DIV/0!</v>
      </c>
      <c r="V185" s="27" t="e">
        <f>U185*ROUND(R185,2)</f>
        <v>#DIV/0!</v>
      </c>
    </row>
    <row r="186" spans="1:22" x14ac:dyDescent="0.4">
      <c r="A186" s="91" t="s">
        <v>291</v>
      </c>
      <c r="B186" s="92" t="s">
        <v>342</v>
      </c>
      <c r="C186" s="92" t="s">
        <v>426</v>
      </c>
      <c r="D186" s="92" t="s">
        <v>603</v>
      </c>
      <c r="E186" s="93" t="s">
        <v>591</v>
      </c>
      <c r="F186" s="92" t="s">
        <v>341</v>
      </c>
      <c r="G186" s="92" t="s">
        <v>213</v>
      </c>
      <c r="H186" s="92" t="s">
        <v>11</v>
      </c>
      <c r="I186" s="92" t="s">
        <v>293</v>
      </c>
      <c r="J186" s="93" t="s">
        <v>214</v>
      </c>
      <c r="K186" s="92" t="s">
        <v>342</v>
      </c>
      <c r="L186" s="92" t="s">
        <v>432</v>
      </c>
      <c r="M186" s="92" t="s">
        <v>348</v>
      </c>
      <c r="N186" s="94">
        <v>12</v>
      </c>
      <c r="O186" s="94">
        <f>N186*VLOOKUP(H186,dagsoorttabel1,2,FALSE)</f>
        <v>7.1999999999999993</v>
      </c>
      <c r="P186" s="95">
        <f>prodnorm29</f>
        <v>0</v>
      </c>
      <c r="Q186" s="92" t="s">
        <v>97</v>
      </c>
      <c r="R186" s="26">
        <f>uurtarief29</f>
        <v>0</v>
      </c>
      <c r="S186" s="94" t="e">
        <f>IF(ISBLANK(P186),0,O186/ROUND(P186,4))</f>
        <v>#DIV/0!</v>
      </c>
      <c r="T186" s="26" t="e">
        <f>ROUND(R186,2)*S186</f>
        <v>#DIV/0!</v>
      </c>
      <c r="U186" s="94" t="e">
        <f>S186*dagenperjaar1</f>
        <v>#DIV/0!</v>
      </c>
      <c r="V186" s="27" t="e">
        <f>U186*ROUND(R186,2)</f>
        <v>#DIV/0!</v>
      </c>
    </row>
    <row r="187" spans="1:22" x14ac:dyDescent="0.4">
      <c r="A187" s="91" t="s">
        <v>291</v>
      </c>
      <c r="B187" s="92" t="s">
        <v>342</v>
      </c>
      <c r="C187" s="92" t="s">
        <v>426</v>
      </c>
      <c r="D187" s="92" t="s">
        <v>603</v>
      </c>
      <c r="E187" s="93" t="s">
        <v>392</v>
      </c>
      <c r="F187" s="92" t="s">
        <v>341</v>
      </c>
      <c r="G187" s="92" t="s">
        <v>205</v>
      </c>
      <c r="H187" s="92" t="s">
        <v>11</v>
      </c>
      <c r="I187" s="92" t="s">
        <v>293</v>
      </c>
      <c r="J187" s="93" t="s">
        <v>206</v>
      </c>
      <c r="K187" s="92" t="s">
        <v>342</v>
      </c>
      <c r="L187" s="92" t="s">
        <v>432</v>
      </c>
      <c r="M187" s="92" t="s">
        <v>348</v>
      </c>
      <c r="N187" s="94">
        <v>7</v>
      </c>
      <c r="O187" s="94">
        <f>N187*VLOOKUP(H187,dagsoorttabel1,2,FALSE)</f>
        <v>4.2</v>
      </c>
      <c r="P187" s="95">
        <f>prodnorm24</f>
        <v>0</v>
      </c>
      <c r="Q187" s="92" t="s">
        <v>97</v>
      </c>
      <c r="R187" s="26">
        <f>uurtarief24</f>
        <v>0</v>
      </c>
      <c r="S187" s="94" t="e">
        <f>IF(ISBLANK(P187),0,O187/ROUND(P187,4))</f>
        <v>#DIV/0!</v>
      </c>
      <c r="T187" s="26" t="e">
        <f>ROUND(R187,2)*S187</f>
        <v>#DIV/0!</v>
      </c>
      <c r="U187" s="94" t="e">
        <f>S187*dagenperjaar1</f>
        <v>#DIV/0!</v>
      </c>
      <c r="V187" s="27" t="e">
        <f>U187*ROUND(R187,2)</f>
        <v>#DIV/0!</v>
      </c>
    </row>
    <row r="188" spans="1:22" x14ac:dyDescent="0.4">
      <c r="A188" s="91" t="s">
        <v>291</v>
      </c>
      <c r="B188" s="92" t="s">
        <v>342</v>
      </c>
      <c r="C188" s="92" t="s">
        <v>426</v>
      </c>
      <c r="D188" s="92" t="s">
        <v>604</v>
      </c>
      <c r="E188" s="93" t="s">
        <v>401</v>
      </c>
      <c r="F188" s="92" t="s">
        <v>341</v>
      </c>
      <c r="G188" s="92" t="s">
        <v>241</v>
      </c>
      <c r="H188" s="92" t="s">
        <v>11</v>
      </c>
      <c r="I188" s="92" t="s">
        <v>293</v>
      </c>
      <c r="J188" s="93" t="s">
        <v>242</v>
      </c>
      <c r="K188" s="92" t="s">
        <v>320</v>
      </c>
      <c r="L188" s="92" t="s">
        <v>432</v>
      </c>
      <c r="M188" s="92" t="s">
        <v>348</v>
      </c>
      <c r="N188" s="94">
        <v>49.64</v>
      </c>
      <c r="O188" s="94">
        <f>N188*VLOOKUP(H188,dagsoorttabel1,2,FALSE)</f>
        <v>29.783999999999999</v>
      </c>
      <c r="P188" s="95">
        <f>prodnorm48</f>
        <v>0</v>
      </c>
      <c r="Q188" s="92" t="s">
        <v>97</v>
      </c>
      <c r="R188" s="26">
        <f>uurtarief48</f>
        <v>0</v>
      </c>
      <c r="S188" s="94" t="e">
        <f>IF(ISBLANK(P188),0,O188/ROUND(P188,4))</f>
        <v>#DIV/0!</v>
      </c>
      <c r="T188" s="26" t="e">
        <f>ROUND(R188,2)*S188</f>
        <v>#DIV/0!</v>
      </c>
      <c r="U188" s="94" t="e">
        <f>S188*dagenperjaar1</f>
        <v>#DIV/0!</v>
      </c>
      <c r="V188" s="27" t="e">
        <f>U188*ROUND(R188,2)</f>
        <v>#DIV/0!</v>
      </c>
    </row>
    <row r="189" spans="1:22" x14ac:dyDescent="0.4">
      <c r="A189" s="91" t="s">
        <v>291</v>
      </c>
      <c r="B189" s="92" t="s">
        <v>342</v>
      </c>
      <c r="C189" s="92" t="s">
        <v>426</v>
      </c>
      <c r="D189" s="92" t="s">
        <v>605</v>
      </c>
      <c r="E189" s="93" t="s">
        <v>583</v>
      </c>
      <c r="F189" s="92" t="s">
        <v>341</v>
      </c>
      <c r="G189" s="92" t="s">
        <v>205</v>
      </c>
      <c r="H189" s="92" t="s">
        <v>11</v>
      </c>
      <c r="I189" s="92" t="s">
        <v>293</v>
      </c>
      <c r="J189" s="93" t="s">
        <v>206</v>
      </c>
      <c r="K189" s="92" t="s">
        <v>342</v>
      </c>
      <c r="L189" s="92" t="s">
        <v>432</v>
      </c>
      <c r="M189" s="92" t="s">
        <v>348</v>
      </c>
      <c r="N189" s="94">
        <v>120.3</v>
      </c>
      <c r="O189" s="94">
        <f>N189*VLOOKUP(H189,dagsoorttabel1,2,FALSE)</f>
        <v>72.179999999999993</v>
      </c>
      <c r="P189" s="95">
        <f>prodnorm24</f>
        <v>0</v>
      </c>
      <c r="Q189" s="92" t="s">
        <v>97</v>
      </c>
      <c r="R189" s="26">
        <f>uurtarief24</f>
        <v>0</v>
      </c>
      <c r="S189" s="94" t="e">
        <f>IF(ISBLANK(P189),0,O189/ROUND(P189,4))</f>
        <v>#DIV/0!</v>
      </c>
      <c r="T189" s="26" t="e">
        <f>ROUND(R189,2)*S189</f>
        <v>#DIV/0!</v>
      </c>
      <c r="U189" s="94" t="e">
        <f>S189*dagenperjaar1</f>
        <v>#DIV/0!</v>
      </c>
      <c r="V189" s="27" t="e">
        <f>U189*ROUND(R189,2)</f>
        <v>#DIV/0!</v>
      </c>
    </row>
    <row r="190" spans="1:22" x14ac:dyDescent="0.4">
      <c r="A190" s="91" t="s">
        <v>291</v>
      </c>
      <c r="B190" s="92" t="s">
        <v>342</v>
      </c>
      <c r="C190" s="92" t="s">
        <v>426</v>
      </c>
      <c r="D190" s="92" t="s">
        <v>606</v>
      </c>
      <c r="E190" s="93" t="s">
        <v>607</v>
      </c>
      <c r="F190" s="92" t="s">
        <v>341</v>
      </c>
      <c r="G190" s="92" t="s">
        <v>251</v>
      </c>
      <c r="H190" s="92" t="s">
        <v>13</v>
      </c>
      <c r="I190" s="92" t="s">
        <v>293</v>
      </c>
      <c r="J190" s="93" t="s">
        <v>252</v>
      </c>
      <c r="K190" s="92" t="s">
        <v>320</v>
      </c>
      <c r="L190" s="92" t="s">
        <v>302</v>
      </c>
      <c r="M190" s="92" t="s">
        <v>295</v>
      </c>
      <c r="N190" s="94">
        <v>12</v>
      </c>
      <c r="O190" s="94">
        <f>N190*VLOOKUP(H190,dagsoorttabel1,2,FALSE)</f>
        <v>2.4000000000000004</v>
      </c>
      <c r="P190" s="95">
        <f>prodnorm57</f>
        <v>0</v>
      </c>
      <c r="Q190" s="92" t="s">
        <v>97</v>
      </c>
      <c r="R190" s="26">
        <f>uurtarief57</f>
        <v>0</v>
      </c>
      <c r="S190" s="94" t="e">
        <f>IF(ISBLANK(P190),0,O190/ROUND(P190,4))</f>
        <v>#DIV/0!</v>
      </c>
      <c r="T190" s="26" t="e">
        <f>ROUND(R190,2)*S190</f>
        <v>#DIV/0!</v>
      </c>
      <c r="U190" s="94" t="e">
        <f>S190*dagenperjaar1</f>
        <v>#DIV/0!</v>
      </c>
      <c r="V190" s="27" t="e">
        <f>U190*ROUND(R190,2)</f>
        <v>#DIV/0!</v>
      </c>
    </row>
    <row r="191" spans="1:22" x14ac:dyDescent="0.4">
      <c r="A191" s="91" t="s">
        <v>291</v>
      </c>
      <c r="B191" s="92" t="s">
        <v>342</v>
      </c>
      <c r="C191" s="92" t="s">
        <v>426</v>
      </c>
      <c r="D191" s="92" t="s">
        <v>608</v>
      </c>
      <c r="E191" s="93" t="s">
        <v>591</v>
      </c>
      <c r="F191" s="92" t="s">
        <v>341</v>
      </c>
      <c r="G191" s="92" t="s">
        <v>213</v>
      </c>
      <c r="H191" s="92" t="s">
        <v>11</v>
      </c>
      <c r="I191" s="92" t="s">
        <v>293</v>
      </c>
      <c r="J191" s="93" t="s">
        <v>214</v>
      </c>
      <c r="K191" s="92" t="s">
        <v>342</v>
      </c>
      <c r="L191" s="92" t="s">
        <v>432</v>
      </c>
      <c r="M191" s="92" t="s">
        <v>348</v>
      </c>
      <c r="N191" s="94">
        <v>12</v>
      </c>
      <c r="O191" s="94">
        <f>N191*VLOOKUP(H191,dagsoorttabel1,2,FALSE)</f>
        <v>7.1999999999999993</v>
      </c>
      <c r="P191" s="95">
        <f>prodnorm29</f>
        <v>0</v>
      </c>
      <c r="Q191" s="92" t="s">
        <v>97</v>
      </c>
      <c r="R191" s="26">
        <f>uurtarief29</f>
        <v>0</v>
      </c>
      <c r="S191" s="94" t="e">
        <f>IF(ISBLANK(P191),0,O191/ROUND(P191,4))</f>
        <v>#DIV/0!</v>
      </c>
      <c r="T191" s="26" t="e">
        <f>ROUND(R191,2)*S191</f>
        <v>#DIV/0!</v>
      </c>
      <c r="U191" s="94" t="e">
        <f>S191*dagenperjaar1</f>
        <v>#DIV/0!</v>
      </c>
      <c r="V191" s="27" t="e">
        <f>U191*ROUND(R191,2)</f>
        <v>#DIV/0!</v>
      </c>
    </row>
    <row r="192" spans="1:22" x14ac:dyDescent="0.4">
      <c r="A192" s="91" t="s">
        <v>291</v>
      </c>
      <c r="B192" s="92" t="s">
        <v>342</v>
      </c>
      <c r="C192" s="92" t="s">
        <v>426</v>
      </c>
      <c r="D192" s="92" t="s">
        <v>609</v>
      </c>
      <c r="E192" s="93" t="s">
        <v>392</v>
      </c>
      <c r="F192" s="92" t="s">
        <v>341</v>
      </c>
      <c r="G192" s="92" t="s">
        <v>205</v>
      </c>
      <c r="H192" s="92" t="s">
        <v>11</v>
      </c>
      <c r="I192" s="92" t="s">
        <v>293</v>
      </c>
      <c r="J192" s="93" t="s">
        <v>206</v>
      </c>
      <c r="K192" s="92" t="s">
        <v>342</v>
      </c>
      <c r="L192" s="92" t="s">
        <v>432</v>
      </c>
      <c r="M192" s="92" t="s">
        <v>348</v>
      </c>
      <c r="N192" s="94">
        <v>7</v>
      </c>
      <c r="O192" s="94">
        <f>N192*VLOOKUP(H192,dagsoorttabel1,2,FALSE)</f>
        <v>4.2</v>
      </c>
      <c r="P192" s="95">
        <f>prodnorm24</f>
        <v>0</v>
      </c>
      <c r="Q192" s="92" t="s">
        <v>97</v>
      </c>
      <c r="R192" s="26">
        <f>uurtarief24</f>
        <v>0</v>
      </c>
      <c r="S192" s="94" t="e">
        <f>IF(ISBLANK(P192),0,O192/ROUND(P192,4))</f>
        <v>#DIV/0!</v>
      </c>
      <c r="T192" s="26" t="e">
        <f>ROUND(R192,2)*S192</f>
        <v>#DIV/0!</v>
      </c>
      <c r="U192" s="94" t="e">
        <f>S192*dagenperjaar1</f>
        <v>#DIV/0!</v>
      </c>
      <c r="V192" s="27" t="e">
        <f>U192*ROUND(R192,2)</f>
        <v>#DIV/0!</v>
      </c>
    </row>
    <row r="193" spans="1:22" x14ac:dyDescent="0.4">
      <c r="A193" s="91" t="s">
        <v>291</v>
      </c>
      <c r="B193" s="92" t="s">
        <v>342</v>
      </c>
      <c r="C193" s="92" t="s">
        <v>426</v>
      </c>
      <c r="D193" s="92" t="s">
        <v>610</v>
      </c>
      <c r="E193" s="93" t="s">
        <v>583</v>
      </c>
      <c r="F193" s="92" t="s">
        <v>341</v>
      </c>
      <c r="G193" s="92" t="s">
        <v>205</v>
      </c>
      <c r="H193" s="92" t="s">
        <v>11</v>
      </c>
      <c r="I193" s="92" t="s">
        <v>293</v>
      </c>
      <c r="J193" s="93" t="s">
        <v>206</v>
      </c>
      <c r="K193" s="92" t="s">
        <v>342</v>
      </c>
      <c r="L193" s="92" t="s">
        <v>432</v>
      </c>
      <c r="M193" s="92" t="s">
        <v>348</v>
      </c>
      <c r="N193" s="94">
        <v>38.799999999999997</v>
      </c>
      <c r="O193" s="94">
        <f>N193*VLOOKUP(H193,dagsoorttabel1,2,FALSE)</f>
        <v>23.279999999999998</v>
      </c>
      <c r="P193" s="95">
        <f>prodnorm24</f>
        <v>0</v>
      </c>
      <c r="Q193" s="92" t="s">
        <v>97</v>
      </c>
      <c r="R193" s="26">
        <f>uurtarief24</f>
        <v>0</v>
      </c>
      <c r="S193" s="94" t="e">
        <f>IF(ISBLANK(P193),0,O193/ROUND(P193,4))</f>
        <v>#DIV/0!</v>
      </c>
      <c r="T193" s="26" t="e">
        <f>ROUND(R193,2)*S193</f>
        <v>#DIV/0!</v>
      </c>
      <c r="U193" s="94" t="e">
        <f>S193*dagenperjaar1</f>
        <v>#DIV/0!</v>
      </c>
      <c r="V193" s="27" t="e">
        <f>U193*ROUND(R193,2)</f>
        <v>#DIV/0!</v>
      </c>
    </row>
    <row r="194" spans="1:22" x14ac:dyDescent="0.4">
      <c r="A194" s="91" t="s">
        <v>291</v>
      </c>
      <c r="B194" s="92" t="s">
        <v>342</v>
      </c>
      <c r="C194" s="92" t="s">
        <v>426</v>
      </c>
      <c r="D194" s="92" t="s">
        <v>611</v>
      </c>
      <c r="E194" s="93" t="s">
        <v>591</v>
      </c>
      <c r="F194" s="92" t="s">
        <v>341</v>
      </c>
      <c r="G194" s="92" t="s">
        <v>213</v>
      </c>
      <c r="H194" s="92" t="s">
        <v>11</v>
      </c>
      <c r="I194" s="92" t="s">
        <v>293</v>
      </c>
      <c r="J194" s="93" t="s">
        <v>214</v>
      </c>
      <c r="K194" s="92" t="s">
        <v>342</v>
      </c>
      <c r="L194" s="92" t="s">
        <v>432</v>
      </c>
      <c r="M194" s="92" t="s">
        <v>348</v>
      </c>
      <c r="N194" s="94">
        <v>13</v>
      </c>
      <c r="O194" s="94">
        <f>N194*VLOOKUP(H194,dagsoorttabel1,2,FALSE)</f>
        <v>7.8</v>
      </c>
      <c r="P194" s="95">
        <f>prodnorm29</f>
        <v>0</v>
      </c>
      <c r="Q194" s="92" t="s">
        <v>97</v>
      </c>
      <c r="R194" s="26">
        <f>uurtarief29</f>
        <v>0</v>
      </c>
      <c r="S194" s="94" t="e">
        <f>IF(ISBLANK(P194),0,O194/ROUND(P194,4))</f>
        <v>#DIV/0!</v>
      </c>
      <c r="T194" s="26" t="e">
        <f>ROUND(R194,2)*S194</f>
        <v>#DIV/0!</v>
      </c>
      <c r="U194" s="94" t="e">
        <f>S194*dagenperjaar1</f>
        <v>#DIV/0!</v>
      </c>
      <c r="V194" s="27" t="e">
        <f>U194*ROUND(R194,2)</f>
        <v>#DIV/0!</v>
      </c>
    </row>
    <row r="195" spans="1:22" x14ac:dyDescent="0.4">
      <c r="A195" s="91" t="s">
        <v>291</v>
      </c>
      <c r="B195" s="92" t="s">
        <v>342</v>
      </c>
      <c r="C195" s="92" t="s">
        <v>426</v>
      </c>
      <c r="D195" s="92" t="s">
        <v>612</v>
      </c>
      <c r="E195" s="93" t="s">
        <v>392</v>
      </c>
      <c r="F195" s="92" t="s">
        <v>341</v>
      </c>
      <c r="G195" s="92" t="s">
        <v>205</v>
      </c>
      <c r="H195" s="92" t="s">
        <v>11</v>
      </c>
      <c r="I195" s="92" t="s">
        <v>293</v>
      </c>
      <c r="J195" s="93" t="s">
        <v>206</v>
      </c>
      <c r="K195" s="92" t="s">
        <v>342</v>
      </c>
      <c r="L195" s="92" t="s">
        <v>432</v>
      </c>
      <c r="M195" s="92" t="s">
        <v>34</v>
      </c>
      <c r="N195" s="94">
        <v>6</v>
      </c>
      <c r="O195" s="94">
        <f>N195*VLOOKUP(H195,dagsoorttabel1,2,FALSE)</f>
        <v>3.5999999999999996</v>
      </c>
      <c r="P195" s="95">
        <f>prodnorm24</f>
        <v>0</v>
      </c>
      <c r="Q195" s="92" t="s">
        <v>97</v>
      </c>
      <c r="R195" s="26">
        <f>uurtarief24</f>
        <v>0</v>
      </c>
      <c r="S195" s="94" t="e">
        <f>IF(ISBLANK(P195),0,O195/ROUND(P195,4))</f>
        <v>#DIV/0!</v>
      </c>
      <c r="T195" s="26" t="e">
        <f>ROUND(R195,2)*S195</f>
        <v>#DIV/0!</v>
      </c>
      <c r="U195" s="94" t="e">
        <f>S195*dagenperjaar1</f>
        <v>#DIV/0!</v>
      </c>
      <c r="V195" s="27" t="e">
        <f>U195*ROUND(R195,2)</f>
        <v>#DIV/0!</v>
      </c>
    </row>
    <row r="196" spans="1:22" x14ac:dyDescent="0.4">
      <c r="A196" s="91" t="s">
        <v>291</v>
      </c>
      <c r="B196" s="92" t="s">
        <v>342</v>
      </c>
      <c r="C196" s="92" t="s">
        <v>426</v>
      </c>
      <c r="D196" s="92" t="s">
        <v>613</v>
      </c>
      <c r="E196" s="93" t="s">
        <v>576</v>
      </c>
      <c r="F196" s="92" t="s">
        <v>301</v>
      </c>
      <c r="G196" s="92" t="s">
        <v>330</v>
      </c>
      <c r="H196" s="92"/>
      <c r="I196" s="92"/>
      <c r="J196" s="92"/>
      <c r="K196" s="92" t="s">
        <v>34</v>
      </c>
      <c r="L196" s="92" t="s">
        <v>302</v>
      </c>
      <c r="M196" s="92" t="s">
        <v>549</v>
      </c>
      <c r="N196" s="94">
        <v>9.5</v>
      </c>
      <c r="O196" s="94"/>
      <c r="P196" s="95"/>
      <c r="Q196" s="92"/>
      <c r="R196" s="26"/>
      <c r="S196" s="94"/>
      <c r="T196" s="26"/>
      <c r="U196" s="96"/>
      <c r="V196" s="27"/>
    </row>
    <row r="197" spans="1:22" x14ac:dyDescent="0.4">
      <c r="A197" s="91" t="s">
        <v>291</v>
      </c>
      <c r="B197" s="92" t="s">
        <v>342</v>
      </c>
      <c r="C197" s="92" t="s">
        <v>426</v>
      </c>
      <c r="D197" s="92" t="s">
        <v>614</v>
      </c>
      <c r="E197" s="93" t="s">
        <v>615</v>
      </c>
      <c r="F197" s="92" t="s">
        <v>341</v>
      </c>
      <c r="G197" s="92" t="s">
        <v>205</v>
      </c>
      <c r="H197" s="92" t="s">
        <v>11</v>
      </c>
      <c r="I197" s="92" t="s">
        <v>293</v>
      </c>
      <c r="J197" s="93" t="s">
        <v>206</v>
      </c>
      <c r="K197" s="92" t="s">
        <v>342</v>
      </c>
      <c r="L197" s="92" t="s">
        <v>432</v>
      </c>
      <c r="M197" s="92" t="s">
        <v>348</v>
      </c>
      <c r="N197" s="94">
        <v>9</v>
      </c>
      <c r="O197" s="94">
        <f>N197*VLOOKUP(H197,dagsoorttabel1,2,FALSE)</f>
        <v>5.3999999999999995</v>
      </c>
      <c r="P197" s="95">
        <f>prodnorm24</f>
        <v>0</v>
      </c>
      <c r="Q197" s="92" t="s">
        <v>97</v>
      </c>
      <c r="R197" s="26">
        <f>uurtarief24</f>
        <v>0</v>
      </c>
      <c r="S197" s="94" t="e">
        <f>IF(ISBLANK(P197),0,O197/ROUND(P197,4))</f>
        <v>#DIV/0!</v>
      </c>
      <c r="T197" s="26" t="e">
        <f>ROUND(R197,2)*S197</f>
        <v>#DIV/0!</v>
      </c>
      <c r="U197" s="94" t="e">
        <f>S197*dagenperjaar1</f>
        <v>#DIV/0!</v>
      </c>
      <c r="V197" s="27" t="e">
        <f>U197*ROUND(R197,2)</f>
        <v>#DIV/0!</v>
      </c>
    </row>
    <row r="198" spans="1:22" x14ac:dyDescent="0.4">
      <c r="A198" s="91" t="s">
        <v>291</v>
      </c>
      <c r="B198" s="92" t="s">
        <v>342</v>
      </c>
      <c r="C198" s="92" t="s">
        <v>426</v>
      </c>
      <c r="D198" s="92" t="s">
        <v>616</v>
      </c>
      <c r="E198" s="93" t="s">
        <v>548</v>
      </c>
      <c r="F198" s="92" t="s">
        <v>301</v>
      </c>
      <c r="G198" s="92" t="s">
        <v>263</v>
      </c>
      <c r="H198" s="92" t="s">
        <v>20</v>
      </c>
      <c r="I198" s="92" t="s">
        <v>293</v>
      </c>
      <c r="J198" s="93" t="s">
        <v>264</v>
      </c>
      <c r="K198" s="92" t="s">
        <v>34</v>
      </c>
      <c r="L198" s="92" t="s">
        <v>302</v>
      </c>
      <c r="M198" s="92" t="s">
        <v>549</v>
      </c>
      <c r="N198" s="94">
        <v>1.3</v>
      </c>
      <c r="O198" s="94">
        <f>N198*VLOOKUP(H198,dagsoorttabel1,2,FALSE)</f>
        <v>5.0980392156862748E-3</v>
      </c>
      <c r="P198" s="95">
        <f>prodnorm16</f>
        <v>0</v>
      </c>
      <c r="Q198" s="92" t="s">
        <v>97</v>
      </c>
      <c r="R198" s="26">
        <f>uurtarief16</f>
        <v>0</v>
      </c>
      <c r="S198" s="94" t="e">
        <f>IF(ISBLANK(P198),0,O198/ROUND(P198,4))</f>
        <v>#DIV/0!</v>
      </c>
      <c r="T198" s="26" t="e">
        <f>ROUND(R198,2)*S198</f>
        <v>#DIV/0!</v>
      </c>
      <c r="U198" s="94" t="e">
        <f>S198*dagenperjaar1</f>
        <v>#DIV/0!</v>
      </c>
      <c r="V198" s="27" t="e">
        <f>U198*ROUND(R198,2)</f>
        <v>#DIV/0!</v>
      </c>
    </row>
    <row r="199" spans="1:22" x14ac:dyDescent="0.4">
      <c r="A199" s="91" t="s">
        <v>291</v>
      </c>
      <c r="B199" s="92" t="s">
        <v>342</v>
      </c>
      <c r="C199" s="92" t="s">
        <v>463</v>
      </c>
      <c r="D199" s="92" t="s">
        <v>617</v>
      </c>
      <c r="E199" s="93" t="s">
        <v>435</v>
      </c>
      <c r="F199" s="92" t="s">
        <v>341</v>
      </c>
      <c r="G199" s="92" t="s">
        <v>330</v>
      </c>
      <c r="H199" s="92"/>
      <c r="I199" s="92"/>
      <c r="J199" s="92"/>
      <c r="K199" s="92" t="s">
        <v>34</v>
      </c>
      <c r="L199" s="92" t="s">
        <v>466</v>
      </c>
      <c r="M199" s="92" t="s">
        <v>467</v>
      </c>
      <c r="N199" s="94">
        <v>271.10000000000002</v>
      </c>
      <c r="O199" s="94"/>
      <c r="P199" s="95"/>
      <c r="Q199" s="92"/>
      <c r="R199" s="26"/>
      <c r="S199" s="94"/>
      <c r="T199" s="26"/>
      <c r="U199" s="96"/>
      <c r="V199" s="27"/>
    </row>
    <row r="200" spans="1:22" x14ac:dyDescent="0.4">
      <c r="A200" s="91" t="s">
        <v>291</v>
      </c>
      <c r="B200" s="92" t="s">
        <v>342</v>
      </c>
      <c r="C200" s="92" t="s">
        <v>463</v>
      </c>
      <c r="D200" s="92" t="s">
        <v>618</v>
      </c>
      <c r="E200" s="93" t="s">
        <v>548</v>
      </c>
      <c r="F200" s="92" t="s">
        <v>301</v>
      </c>
      <c r="G200" s="92" t="s">
        <v>263</v>
      </c>
      <c r="H200" s="92" t="s">
        <v>20</v>
      </c>
      <c r="I200" s="92" t="s">
        <v>293</v>
      </c>
      <c r="J200" s="93" t="s">
        <v>264</v>
      </c>
      <c r="K200" s="92" t="s">
        <v>34</v>
      </c>
      <c r="L200" s="92" t="s">
        <v>302</v>
      </c>
      <c r="M200" s="92" t="s">
        <v>549</v>
      </c>
      <c r="N200" s="94">
        <v>1.1000000000000001</v>
      </c>
      <c r="O200" s="94">
        <f>N200*VLOOKUP(H200,dagsoorttabel1,2,FALSE)</f>
        <v>4.3137254901960791E-3</v>
      </c>
      <c r="P200" s="95">
        <f>prodnorm16</f>
        <v>0</v>
      </c>
      <c r="Q200" s="92" t="s">
        <v>97</v>
      </c>
      <c r="R200" s="26">
        <f>uurtarief16</f>
        <v>0</v>
      </c>
      <c r="S200" s="94" t="e">
        <f>IF(ISBLANK(P200),0,O200/ROUND(P200,4))</f>
        <v>#DIV/0!</v>
      </c>
      <c r="T200" s="26" t="e">
        <f>ROUND(R200,2)*S200</f>
        <v>#DIV/0!</v>
      </c>
      <c r="U200" s="94" t="e">
        <f>S200*dagenperjaar1</f>
        <v>#DIV/0!</v>
      </c>
      <c r="V200" s="27" t="e">
        <f>U200*ROUND(R200,2)</f>
        <v>#DIV/0!</v>
      </c>
    </row>
    <row r="201" spans="1:22" x14ac:dyDescent="0.4">
      <c r="A201" s="91" t="s">
        <v>291</v>
      </c>
      <c r="B201" s="92" t="s">
        <v>342</v>
      </c>
      <c r="C201" s="92" t="s">
        <v>463</v>
      </c>
      <c r="D201" s="92" t="s">
        <v>619</v>
      </c>
      <c r="E201" s="93" t="s">
        <v>465</v>
      </c>
      <c r="F201" s="92" t="s">
        <v>341</v>
      </c>
      <c r="G201" s="92" t="s">
        <v>330</v>
      </c>
      <c r="H201" s="92"/>
      <c r="I201" s="92"/>
      <c r="J201" s="92"/>
      <c r="K201" s="92" t="s">
        <v>34</v>
      </c>
      <c r="L201" s="92" t="s">
        <v>466</v>
      </c>
      <c r="M201" s="92" t="s">
        <v>467</v>
      </c>
      <c r="N201" s="94">
        <v>14</v>
      </c>
      <c r="O201" s="94"/>
      <c r="P201" s="95"/>
      <c r="Q201" s="92"/>
      <c r="R201" s="26"/>
      <c r="S201" s="94"/>
      <c r="T201" s="26"/>
      <c r="U201" s="96"/>
      <c r="V201" s="27"/>
    </row>
    <row r="202" spans="1:22" x14ac:dyDescent="0.4">
      <c r="A202" s="91" t="s">
        <v>291</v>
      </c>
      <c r="B202" s="92" t="s">
        <v>342</v>
      </c>
      <c r="C202" s="92" t="s">
        <v>463</v>
      </c>
      <c r="D202" s="92" t="s">
        <v>620</v>
      </c>
      <c r="E202" s="93" t="s">
        <v>401</v>
      </c>
      <c r="F202" s="92" t="s">
        <v>341</v>
      </c>
      <c r="G202" s="92" t="s">
        <v>330</v>
      </c>
      <c r="H202" s="92"/>
      <c r="I202" s="92"/>
      <c r="J202" s="92"/>
      <c r="K202" s="92" t="s">
        <v>34</v>
      </c>
      <c r="L202" s="92" t="s">
        <v>466</v>
      </c>
      <c r="M202" s="92" t="s">
        <v>467</v>
      </c>
      <c r="N202" s="94">
        <v>40.799999999999997</v>
      </c>
      <c r="O202" s="94"/>
      <c r="P202" s="95"/>
      <c r="Q202" s="92"/>
      <c r="R202" s="26"/>
      <c r="S202" s="94"/>
      <c r="T202" s="26"/>
      <c r="U202" s="96"/>
      <c r="V202" s="27"/>
    </row>
    <row r="203" spans="1:22" x14ac:dyDescent="0.4">
      <c r="A203" s="91" t="s">
        <v>291</v>
      </c>
      <c r="B203" s="92" t="s">
        <v>342</v>
      </c>
      <c r="C203" s="92" t="s">
        <v>463</v>
      </c>
      <c r="D203" s="92" t="s">
        <v>621</v>
      </c>
      <c r="E203" s="93" t="s">
        <v>465</v>
      </c>
      <c r="F203" s="92" t="s">
        <v>341</v>
      </c>
      <c r="G203" s="92" t="s">
        <v>330</v>
      </c>
      <c r="H203" s="92"/>
      <c r="I203" s="92"/>
      <c r="J203" s="92"/>
      <c r="K203" s="92" t="s">
        <v>34</v>
      </c>
      <c r="L203" s="92" t="s">
        <v>466</v>
      </c>
      <c r="M203" s="92" t="s">
        <v>467</v>
      </c>
      <c r="N203" s="94">
        <v>14</v>
      </c>
      <c r="O203" s="94"/>
      <c r="P203" s="95"/>
      <c r="Q203" s="92"/>
      <c r="R203" s="26"/>
      <c r="S203" s="94"/>
      <c r="T203" s="26"/>
      <c r="U203" s="96"/>
      <c r="V203" s="27"/>
    </row>
    <row r="204" spans="1:22" x14ac:dyDescent="0.4">
      <c r="A204" s="91" t="s">
        <v>291</v>
      </c>
      <c r="B204" s="92" t="s">
        <v>342</v>
      </c>
      <c r="C204" s="92" t="s">
        <v>463</v>
      </c>
      <c r="D204" s="92" t="s">
        <v>622</v>
      </c>
      <c r="E204" s="93" t="s">
        <v>435</v>
      </c>
      <c r="F204" s="92" t="s">
        <v>341</v>
      </c>
      <c r="G204" s="92" t="s">
        <v>330</v>
      </c>
      <c r="H204" s="92"/>
      <c r="I204" s="92"/>
      <c r="J204" s="92"/>
      <c r="K204" s="92" t="s">
        <v>34</v>
      </c>
      <c r="L204" s="92" t="s">
        <v>466</v>
      </c>
      <c r="M204" s="92" t="s">
        <v>467</v>
      </c>
      <c r="N204" s="94">
        <v>14</v>
      </c>
      <c r="O204" s="94"/>
      <c r="P204" s="95"/>
      <c r="Q204" s="92"/>
      <c r="R204" s="26"/>
      <c r="S204" s="94"/>
      <c r="T204" s="26"/>
      <c r="U204" s="96"/>
      <c r="V204" s="27"/>
    </row>
    <row r="205" spans="1:22" x14ac:dyDescent="0.4">
      <c r="A205" s="91" t="s">
        <v>291</v>
      </c>
      <c r="B205" s="92" t="s">
        <v>342</v>
      </c>
      <c r="C205" s="92" t="s">
        <v>463</v>
      </c>
      <c r="D205" s="92" t="s">
        <v>623</v>
      </c>
      <c r="E205" s="93" t="s">
        <v>356</v>
      </c>
      <c r="F205" s="92" t="s">
        <v>315</v>
      </c>
      <c r="G205" s="92" t="s">
        <v>330</v>
      </c>
      <c r="H205" s="92"/>
      <c r="I205" s="92"/>
      <c r="J205" s="92"/>
      <c r="K205" s="92" t="s">
        <v>34</v>
      </c>
      <c r="L205" s="92" t="s">
        <v>466</v>
      </c>
      <c r="M205" s="92" t="s">
        <v>467</v>
      </c>
      <c r="N205" s="94">
        <v>6</v>
      </c>
      <c r="O205" s="94"/>
      <c r="P205" s="95"/>
      <c r="Q205" s="92"/>
      <c r="R205" s="26"/>
      <c r="S205" s="94"/>
      <c r="T205" s="26"/>
      <c r="U205" s="96"/>
      <c r="V205" s="27"/>
    </row>
    <row r="206" spans="1:22" x14ac:dyDescent="0.4">
      <c r="A206" s="91" t="s">
        <v>291</v>
      </c>
      <c r="B206" s="92" t="s">
        <v>342</v>
      </c>
      <c r="C206" s="92" t="s">
        <v>463</v>
      </c>
      <c r="D206" s="92" t="s">
        <v>624</v>
      </c>
      <c r="E206" s="93" t="s">
        <v>419</v>
      </c>
      <c r="F206" s="92" t="s">
        <v>315</v>
      </c>
      <c r="G206" s="92" t="s">
        <v>330</v>
      </c>
      <c r="H206" s="92"/>
      <c r="I206" s="92"/>
      <c r="J206" s="92"/>
      <c r="K206" s="92" t="s">
        <v>34</v>
      </c>
      <c r="L206" s="92" t="s">
        <v>466</v>
      </c>
      <c r="M206" s="92" t="s">
        <v>467</v>
      </c>
      <c r="N206" s="94">
        <v>11</v>
      </c>
      <c r="O206" s="94"/>
      <c r="P206" s="95"/>
      <c r="Q206" s="92"/>
      <c r="R206" s="26"/>
      <c r="S206" s="94"/>
      <c r="T206" s="26"/>
      <c r="U206" s="96"/>
      <c r="V206" s="27"/>
    </row>
    <row r="207" spans="1:22" x14ac:dyDescent="0.4">
      <c r="A207" s="91" t="s">
        <v>291</v>
      </c>
      <c r="B207" s="92" t="s">
        <v>342</v>
      </c>
      <c r="C207" s="92" t="s">
        <v>463</v>
      </c>
      <c r="D207" s="92" t="s">
        <v>625</v>
      </c>
      <c r="E207" s="93" t="s">
        <v>363</v>
      </c>
      <c r="F207" s="92" t="s">
        <v>315</v>
      </c>
      <c r="G207" s="92" t="s">
        <v>330</v>
      </c>
      <c r="H207" s="92"/>
      <c r="I207" s="92"/>
      <c r="J207" s="92"/>
      <c r="K207" s="92" t="s">
        <v>34</v>
      </c>
      <c r="L207" s="92" t="s">
        <v>466</v>
      </c>
      <c r="M207" s="92" t="s">
        <v>467</v>
      </c>
      <c r="N207" s="94">
        <v>11</v>
      </c>
      <c r="O207" s="94"/>
      <c r="P207" s="95"/>
      <c r="Q207" s="92"/>
      <c r="R207" s="26"/>
      <c r="S207" s="94"/>
      <c r="T207" s="26"/>
      <c r="U207" s="96"/>
      <c r="V207" s="27"/>
    </row>
    <row r="208" spans="1:22" x14ac:dyDescent="0.4">
      <c r="A208" s="91" t="s">
        <v>291</v>
      </c>
      <c r="B208" s="92" t="s">
        <v>342</v>
      </c>
      <c r="C208" s="92" t="s">
        <v>463</v>
      </c>
      <c r="D208" s="92" t="s">
        <v>626</v>
      </c>
      <c r="E208" s="93" t="s">
        <v>510</v>
      </c>
      <c r="F208" s="92" t="s">
        <v>315</v>
      </c>
      <c r="G208" s="92" t="s">
        <v>330</v>
      </c>
      <c r="H208" s="92"/>
      <c r="I208" s="92"/>
      <c r="J208" s="92"/>
      <c r="K208" s="92" t="s">
        <v>34</v>
      </c>
      <c r="L208" s="92" t="s">
        <v>466</v>
      </c>
      <c r="M208" s="92" t="s">
        <v>467</v>
      </c>
      <c r="N208" s="94">
        <v>4</v>
      </c>
      <c r="O208" s="94"/>
      <c r="P208" s="95"/>
      <c r="Q208" s="92"/>
      <c r="R208" s="26"/>
      <c r="S208" s="94"/>
      <c r="T208" s="26"/>
      <c r="U208" s="96"/>
      <c r="V208" s="27"/>
    </row>
    <row r="209" spans="1:22" x14ac:dyDescent="0.4">
      <c r="A209" s="91" t="s">
        <v>291</v>
      </c>
      <c r="B209" s="92" t="s">
        <v>342</v>
      </c>
      <c r="C209" s="92" t="s">
        <v>463</v>
      </c>
      <c r="D209" s="92" t="s">
        <v>627</v>
      </c>
      <c r="E209" s="93" t="s">
        <v>560</v>
      </c>
      <c r="F209" s="92" t="s">
        <v>425</v>
      </c>
      <c r="G209" s="92" t="s">
        <v>330</v>
      </c>
      <c r="H209" s="92"/>
      <c r="I209" s="92"/>
      <c r="J209" s="92"/>
      <c r="K209" s="92" t="s">
        <v>34</v>
      </c>
      <c r="L209" s="92" t="s">
        <v>484</v>
      </c>
      <c r="M209" s="92" t="s">
        <v>295</v>
      </c>
      <c r="N209" s="94">
        <v>19</v>
      </c>
      <c r="O209" s="94"/>
      <c r="P209" s="95"/>
      <c r="Q209" s="92"/>
      <c r="R209" s="26"/>
      <c r="S209" s="94"/>
      <c r="T209" s="26"/>
      <c r="U209" s="96"/>
      <c r="V209" s="27"/>
    </row>
    <row r="210" spans="1:22" x14ac:dyDescent="0.4">
      <c r="A210" s="91" t="s">
        <v>291</v>
      </c>
      <c r="B210" s="92" t="s">
        <v>342</v>
      </c>
      <c r="C210" s="92" t="s">
        <v>463</v>
      </c>
      <c r="D210" s="92" t="s">
        <v>628</v>
      </c>
      <c r="E210" s="93" t="s">
        <v>629</v>
      </c>
      <c r="F210" s="92" t="s">
        <v>341</v>
      </c>
      <c r="G210" s="92" t="s">
        <v>330</v>
      </c>
      <c r="H210" s="92"/>
      <c r="I210" s="92"/>
      <c r="J210" s="92"/>
      <c r="K210" s="92" t="s">
        <v>34</v>
      </c>
      <c r="L210" s="92" t="s">
        <v>466</v>
      </c>
      <c r="M210" s="92" t="s">
        <v>467</v>
      </c>
      <c r="N210" s="94">
        <v>7</v>
      </c>
      <c r="O210" s="94"/>
      <c r="P210" s="95"/>
      <c r="Q210" s="92"/>
      <c r="R210" s="26"/>
      <c r="S210" s="94"/>
      <c r="T210" s="26"/>
      <c r="U210" s="96"/>
      <c r="V210" s="27"/>
    </row>
    <row r="211" spans="1:22" x14ac:dyDescent="0.4">
      <c r="A211" s="91" t="s">
        <v>291</v>
      </c>
      <c r="B211" s="92" t="s">
        <v>342</v>
      </c>
      <c r="C211" s="92" t="s">
        <v>463</v>
      </c>
      <c r="D211" s="92" t="s">
        <v>630</v>
      </c>
      <c r="E211" s="93" t="s">
        <v>465</v>
      </c>
      <c r="F211" s="92" t="s">
        <v>341</v>
      </c>
      <c r="G211" s="92" t="s">
        <v>330</v>
      </c>
      <c r="H211" s="92"/>
      <c r="I211" s="92"/>
      <c r="J211" s="92"/>
      <c r="K211" s="92" t="s">
        <v>34</v>
      </c>
      <c r="L211" s="92" t="s">
        <v>466</v>
      </c>
      <c r="M211" s="92" t="s">
        <v>467</v>
      </c>
      <c r="N211" s="94">
        <v>12</v>
      </c>
      <c r="O211" s="94"/>
      <c r="P211" s="95"/>
      <c r="Q211" s="92"/>
      <c r="R211" s="26"/>
      <c r="S211" s="94"/>
      <c r="T211" s="26"/>
      <c r="U211" s="96"/>
      <c r="V211" s="27"/>
    </row>
    <row r="212" spans="1:22" x14ac:dyDescent="0.4">
      <c r="A212" s="91" t="s">
        <v>291</v>
      </c>
      <c r="B212" s="92" t="s">
        <v>342</v>
      </c>
      <c r="C212" s="92" t="s">
        <v>463</v>
      </c>
      <c r="D212" s="92" t="s">
        <v>631</v>
      </c>
      <c r="E212" s="93" t="s">
        <v>435</v>
      </c>
      <c r="F212" s="92" t="s">
        <v>341</v>
      </c>
      <c r="G212" s="92" t="s">
        <v>330</v>
      </c>
      <c r="H212" s="92"/>
      <c r="I212" s="92"/>
      <c r="J212" s="92"/>
      <c r="K212" s="92" t="s">
        <v>34</v>
      </c>
      <c r="L212" s="92" t="s">
        <v>466</v>
      </c>
      <c r="M212" s="92" t="s">
        <v>467</v>
      </c>
      <c r="N212" s="94">
        <v>19.600000000000001</v>
      </c>
      <c r="O212" s="94"/>
      <c r="P212" s="95"/>
      <c r="Q212" s="92"/>
      <c r="R212" s="26"/>
      <c r="S212" s="94"/>
      <c r="T212" s="26"/>
      <c r="U212" s="96"/>
      <c r="V212" s="27"/>
    </row>
    <row r="213" spans="1:22" x14ac:dyDescent="0.4">
      <c r="A213" s="91" t="s">
        <v>291</v>
      </c>
      <c r="B213" s="92" t="s">
        <v>342</v>
      </c>
      <c r="C213" s="92" t="s">
        <v>463</v>
      </c>
      <c r="D213" s="92" t="s">
        <v>632</v>
      </c>
      <c r="E213" s="93" t="s">
        <v>401</v>
      </c>
      <c r="F213" s="92" t="s">
        <v>341</v>
      </c>
      <c r="G213" s="92" t="s">
        <v>330</v>
      </c>
      <c r="H213" s="92"/>
      <c r="I213" s="92"/>
      <c r="J213" s="92"/>
      <c r="K213" s="92" t="s">
        <v>34</v>
      </c>
      <c r="L213" s="92" t="s">
        <v>466</v>
      </c>
      <c r="M213" s="92" t="s">
        <v>467</v>
      </c>
      <c r="N213" s="94">
        <v>38.700000000000003</v>
      </c>
      <c r="O213" s="94"/>
      <c r="P213" s="95"/>
      <c r="Q213" s="92"/>
      <c r="R213" s="26"/>
      <c r="S213" s="94"/>
      <c r="T213" s="26"/>
      <c r="U213" s="96"/>
      <c r="V213" s="27"/>
    </row>
    <row r="214" spans="1:22" x14ac:dyDescent="0.4">
      <c r="A214" s="91" t="s">
        <v>291</v>
      </c>
      <c r="B214" s="92" t="s">
        <v>342</v>
      </c>
      <c r="C214" s="92" t="s">
        <v>463</v>
      </c>
      <c r="D214" s="92" t="s">
        <v>633</v>
      </c>
      <c r="E214" s="93" t="s">
        <v>435</v>
      </c>
      <c r="F214" s="92" t="s">
        <v>341</v>
      </c>
      <c r="G214" s="92" t="s">
        <v>330</v>
      </c>
      <c r="H214" s="92"/>
      <c r="I214" s="92"/>
      <c r="J214" s="92"/>
      <c r="K214" s="92" t="s">
        <v>34</v>
      </c>
      <c r="L214" s="92" t="s">
        <v>466</v>
      </c>
      <c r="M214" s="92" t="s">
        <v>467</v>
      </c>
      <c r="N214" s="94">
        <v>73.400000000000006</v>
      </c>
      <c r="O214" s="94"/>
      <c r="P214" s="95"/>
      <c r="Q214" s="92"/>
      <c r="R214" s="26"/>
      <c r="S214" s="94"/>
      <c r="T214" s="26"/>
      <c r="U214" s="96"/>
      <c r="V214" s="27"/>
    </row>
    <row r="215" spans="1:22" x14ac:dyDescent="0.4">
      <c r="A215" s="91" t="s">
        <v>291</v>
      </c>
      <c r="B215" s="92" t="s">
        <v>342</v>
      </c>
      <c r="C215" s="92" t="s">
        <v>463</v>
      </c>
      <c r="D215" s="92" t="s">
        <v>634</v>
      </c>
      <c r="E215" s="93" t="s">
        <v>465</v>
      </c>
      <c r="F215" s="92" t="s">
        <v>341</v>
      </c>
      <c r="G215" s="92" t="s">
        <v>330</v>
      </c>
      <c r="H215" s="92"/>
      <c r="I215" s="92"/>
      <c r="J215" s="92"/>
      <c r="K215" s="92" t="s">
        <v>34</v>
      </c>
      <c r="L215" s="92" t="s">
        <v>466</v>
      </c>
      <c r="M215" s="92" t="s">
        <v>467</v>
      </c>
      <c r="N215" s="94">
        <v>14</v>
      </c>
      <c r="O215" s="94"/>
      <c r="P215" s="95"/>
      <c r="Q215" s="92"/>
      <c r="R215" s="26"/>
      <c r="S215" s="94"/>
      <c r="T215" s="26"/>
      <c r="U215" s="96"/>
      <c r="V215" s="27"/>
    </row>
    <row r="216" spans="1:22" x14ac:dyDescent="0.4">
      <c r="A216" s="91" t="s">
        <v>291</v>
      </c>
      <c r="B216" s="92" t="s">
        <v>342</v>
      </c>
      <c r="C216" s="92" t="s">
        <v>463</v>
      </c>
      <c r="D216" s="92" t="s">
        <v>635</v>
      </c>
      <c r="E216" s="93" t="s">
        <v>465</v>
      </c>
      <c r="F216" s="92" t="s">
        <v>341</v>
      </c>
      <c r="G216" s="92" t="s">
        <v>330</v>
      </c>
      <c r="H216" s="92"/>
      <c r="I216" s="92"/>
      <c r="J216" s="92"/>
      <c r="K216" s="92" t="s">
        <v>34</v>
      </c>
      <c r="L216" s="92" t="s">
        <v>466</v>
      </c>
      <c r="M216" s="92" t="s">
        <v>467</v>
      </c>
      <c r="N216" s="94">
        <v>37</v>
      </c>
      <c r="O216" s="94"/>
      <c r="P216" s="95"/>
      <c r="Q216" s="92"/>
      <c r="R216" s="26"/>
      <c r="S216" s="94"/>
      <c r="T216" s="26"/>
      <c r="U216" s="96"/>
      <c r="V216" s="27"/>
    </row>
    <row r="217" spans="1:22" x14ac:dyDescent="0.4">
      <c r="A217" s="91" t="s">
        <v>291</v>
      </c>
      <c r="B217" s="92" t="s">
        <v>342</v>
      </c>
      <c r="C217" s="92" t="s">
        <v>463</v>
      </c>
      <c r="D217" s="92" t="s">
        <v>636</v>
      </c>
      <c r="E217" s="93" t="s">
        <v>607</v>
      </c>
      <c r="F217" s="92" t="s">
        <v>341</v>
      </c>
      <c r="G217" s="92" t="s">
        <v>251</v>
      </c>
      <c r="H217" s="92" t="s">
        <v>13</v>
      </c>
      <c r="I217" s="92" t="s">
        <v>293</v>
      </c>
      <c r="J217" s="93" t="s">
        <v>252</v>
      </c>
      <c r="K217" s="92" t="s">
        <v>320</v>
      </c>
      <c r="L217" s="92" t="s">
        <v>302</v>
      </c>
      <c r="M217" s="92" t="s">
        <v>295</v>
      </c>
      <c r="N217" s="94">
        <v>14</v>
      </c>
      <c r="O217" s="94">
        <f>N217*VLOOKUP(H217,dagsoorttabel1,2,FALSE)</f>
        <v>2.8000000000000003</v>
      </c>
      <c r="P217" s="95">
        <f>prodnorm57</f>
        <v>0</v>
      </c>
      <c r="Q217" s="92" t="s">
        <v>97</v>
      </c>
      <c r="R217" s="26">
        <f>uurtarief57</f>
        <v>0</v>
      </c>
      <c r="S217" s="94" t="e">
        <f>IF(ISBLANK(P217),0,O217/ROUND(P217,4))</f>
        <v>#DIV/0!</v>
      </c>
      <c r="T217" s="26" t="e">
        <f>ROUND(R217,2)*S217</f>
        <v>#DIV/0!</v>
      </c>
      <c r="U217" s="94" t="e">
        <f>S217*dagenperjaar1</f>
        <v>#DIV/0!</v>
      </c>
      <c r="V217" s="27" t="e">
        <f>U217*ROUND(R217,2)</f>
        <v>#DIV/0!</v>
      </c>
    </row>
    <row r="218" spans="1:22" x14ac:dyDescent="0.4">
      <c r="A218" s="91" t="s">
        <v>291</v>
      </c>
      <c r="B218" s="92" t="s">
        <v>342</v>
      </c>
      <c r="C218" s="92" t="s">
        <v>463</v>
      </c>
      <c r="D218" s="92" t="s">
        <v>637</v>
      </c>
      <c r="E218" s="93" t="s">
        <v>638</v>
      </c>
      <c r="F218" s="92" t="s">
        <v>341</v>
      </c>
      <c r="G218" s="92" t="s">
        <v>330</v>
      </c>
      <c r="H218" s="92"/>
      <c r="I218" s="92"/>
      <c r="J218" s="92"/>
      <c r="K218" s="92" t="s">
        <v>34</v>
      </c>
      <c r="L218" s="92" t="s">
        <v>466</v>
      </c>
      <c r="M218" s="92" t="s">
        <v>467</v>
      </c>
      <c r="N218" s="94">
        <v>14</v>
      </c>
      <c r="O218" s="94"/>
      <c r="P218" s="95"/>
      <c r="Q218" s="92"/>
      <c r="R218" s="26"/>
      <c r="S218" s="94"/>
      <c r="T218" s="26"/>
      <c r="U218" s="96"/>
      <c r="V218" s="27"/>
    </row>
    <row r="219" spans="1:22" x14ac:dyDescent="0.4">
      <c r="A219" s="91" t="s">
        <v>291</v>
      </c>
      <c r="B219" s="92" t="s">
        <v>342</v>
      </c>
      <c r="C219" s="92" t="s">
        <v>463</v>
      </c>
      <c r="D219" s="92" t="s">
        <v>639</v>
      </c>
      <c r="E219" s="93" t="s">
        <v>392</v>
      </c>
      <c r="F219" s="92" t="s">
        <v>341</v>
      </c>
      <c r="G219" s="92" t="s">
        <v>330</v>
      </c>
      <c r="H219" s="92"/>
      <c r="I219" s="92"/>
      <c r="J219" s="92"/>
      <c r="K219" s="92" t="s">
        <v>34</v>
      </c>
      <c r="L219" s="92" t="s">
        <v>466</v>
      </c>
      <c r="M219" s="92" t="s">
        <v>467</v>
      </c>
      <c r="N219" s="94">
        <v>7</v>
      </c>
      <c r="O219" s="94"/>
      <c r="P219" s="95"/>
      <c r="Q219" s="92"/>
      <c r="R219" s="26"/>
      <c r="S219" s="94"/>
      <c r="T219" s="26"/>
      <c r="U219" s="96"/>
      <c r="V219" s="27"/>
    </row>
    <row r="220" spans="1:22" x14ac:dyDescent="0.4">
      <c r="A220" s="91" t="s">
        <v>291</v>
      </c>
      <c r="B220" s="92" t="s">
        <v>342</v>
      </c>
      <c r="C220" s="92" t="s">
        <v>463</v>
      </c>
      <c r="D220" s="92" t="s">
        <v>640</v>
      </c>
      <c r="E220" s="93" t="s">
        <v>435</v>
      </c>
      <c r="F220" s="92" t="s">
        <v>341</v>
      </c>
      <c r="G220" s="92" t="s">
        <v>330</v>
      </c>
      <c r="H220" s="92"/>
      <c r="I220" s="92"/>
      <c r="J220" s="92"/>
      <c r="K220" s="92" t="s">
        <v>34</v>
      </c>
      <c r="L220" s="92" t="s">
        <v>466</v>
      </c>
      <c r="M220" s="92" t="s">
        <v>467</v>
      </c>
      <c r="N220" s="94">
        <v>50</v>
      </c>
      <c r="O220" s="94"/>
      <c r="P220" s="95"/>
      <c r="Q220" s="92"/>
      <c r="R220" s="26"/>
      <c r="S220" s="94"/>
      <c r="T220" s="26"/>
      <c r="U220" s="96"/>
      <c r="V220" s="27"/>
    </row>
    <row r="221" spans="1:22" x14ac:dyDescent="0.4">
      <c r="A221" s="91" t="s">
        <v>291</v>
      </c>
      <c r="B221" s="92" t="s">
        <v>342</v>
      </c>
      <c r="C221" s="92" t="s">
        <v>463</v>
      </c>
      <c r="D221" s="92" t="s">
        <v>641</v>
      </c>
      <c r="E221" s="93" t="s">
        <v>642</v>
      </c>
      <c r="F221" s="92" t="s">
        <v>341</v>
      </c>
      <c r="G221" s="92" t="s">
        <v>330</v>
      </c>
      <c r="H221" s="92"/>
      <c r="I221" s="92"/>
      <c r="J221" s="92"/>
      <c r="K221" s="92" t="s">
        <v>34</v>
      </c>
      <c r="L221" s="92" t="s">
        <v>466</v>
      </c>
      <c r="M221" s="92" t="s">
        <v>467</v>
      </c>
      <c r="N221" s="94">
        <v>13</v>
      </c>
      <c r="O221" s="94"/>
      <c r="P221" s="95"/>
      <c r="Q221" s="92"/>
      <c r="R221" s="26"/>
      <c r="S221" s="94"/>
      <c r="T221" s="26"/>
      <c r="U221" s="96"/>
      <c r="V221" s="27"/>
    </row>
    <row r="222" spans="1:22" x14ac:dyDescent="0.4">
      <c r="A222" s="91" t="s">
        <v>291</v>
      </c>
      <c r="B222" s="92" t="s">
        <v>342</v>
      </c>
      <c r="C222" s="92" t="s">
        <v>463</v>
      </c>
      <c r="D222" s="92" t="s">
        <v>643</v>
      </c>
      <c r="E222" s="93" t="s">
        <v>576</v>
      </c>
      <c r="F222" s="92" t="s">
        <v>301</v>
      </c>
      <c r="G222" s="92" t="s">
        <v>330</v>
      </c>
      <c r="H222" s="92"/>
      <c r="I222" s="92"/>
      <c r="J222" s="92"/>
      <c r="K222" s="92" t="s">
        <v>34</v>
      </c>
      <c r="L222" s="92" t="s">
        <v>302</v>
      </c>
      <c r="M222" s="92" t="s">
        <v>549</v>
      </c>
      <c r="N222" s="94">
        <v>9.5</v>
      </c>
      <c r="O222" s="94"/>
      <c r="P222" s="95"/>
      <c r="Q222" s="92"/>
      <c r="R222" s="26"/>
      <c r="S222" s="94"/>
      <c r="T222" s="26"/>
      <c r="U222" s="96"/>
      <c r="V222" s="27"/>
    </row>
    <row r="223" spans="1:22" x14ac:dyDescent="0.4">
      <c r="A223" s="91" t="s">
        <v>291</v>
      </c>
      <c r="B223" s="92" t="s">
        <v>342</v>
      </c>
      <c r="C223" s="92" t="s">
        <v>463</v>
      </c>
      <c r="D223" s="92" t="s">
        <v>644</v>
      </c>
      <c r="E223" s="93" t="s">
        <v>548</v>
      </c>
      <c r="F223" s="92" t="s">
        <v>301</v>
      </c>
      <c r="G223" s="92" t="s">
        <v>263</v>
      </c>
      <c r="H223" s="92" t="s">
        <v>20</v>
      </c>
      <c r="I223" s="92" t="s">
        <v>293</v>
      </c>
      <c r="J223" s="93" t="s">
        <v>264</v>
      </c>
      <c r="K223" s="92" t="s">
        <v>34</v>
      </c>
      <c r="L223" s="92" t="s">
        <v>302</v>
      </c>
      <c r="M223" s="92" t="s">
        <v>549</v>
      </c>
      <c r="N223" s="94">
        <v>1.2</v>
      </c>
      <c r="O223" s="94">
        <f>N223*VLOOKUP(H223,dagsoorttabel1,2,FALSE)</f>
        <v>4.7058823529411761E-3</v>
      </c>
      <c r="P223" s="95">
        <f>prodnorm16</f>
        <v>0</v>
      </c>
      <c r="Q223" s="92" t="s">
        <v>97</v>
      </c>
      <c r="R223" s="26">
        <f>uurtarief16</f>
        <v>0</v>
      </c>
      <c r="S223" s="94" t="e">
        <f>IF(ISBLANK(P223),0,O223/ROUND(P223,4))</f>
        <v>#DIV/0!</v>
      </c>
      <c r="T223" s="26" t="e">
        <f>ROUND(R223,2)*S223</f>
        <v>#DIV/0!</v>
      </c>
      <c r="U223" s="94" t="e">
        <f>S223*dagenperjaar1</f>
        <v>#DIV/0!</v>
      </c>
      <c r="V223" s="27" t="e">
        <f>U223*ROUND(R223,2)</f>
        <v>#DIV/0!</v>
      </c>
    </row>
    <row r="224" spans="1:22" x14ac:dyDescent="0.4">
      <c r="A224" s="91" t="s">
        <v>291</v>
      </c>
      <c r="B224" s="92" t="s">
        <v>645</v>
      </c>
      <c r="C224" s="92" t="s">
        <v>298</v>
      </c>
      <c r="D224" s="92" t="s">
        <v>646</v>
      </c>
      <c r="E224" s="93" t="s">
        <v>647</v>
      </c>
      <c r="F224" s="92" t="s">
        <v>301</v>
      </c>
      <c r="G224" s="92" t="s">
        <v>330</v>
      </c>
      <c r="H224" s="92"/>
      <c r="I224" s="92"/>
      <c r="J224" s="92"/>
      <c r="K224" s="92" t="s">
        <v>34</v>
      </c>
      <c r="L224" s="92" t="s">
        <v>302</v>
      </c>
      <c r="M224" s="92" t="s">
        <v>34</v>
      </c>
      <c r="N224" s="94">
        <v>25.1</v>
      </c>
      <c r="O224" s="94"/>
      <c r="P224" s="95"/>
      <c r="Q224" s="92"/>
      <c r="R224" s="26"/>
      <c r="S224" s="94"/>
      <c r="T224" s="26"/>
      <c r="U224" s="96"/>
      <c r="V224" s="27"/>
    </row>
    <row r="225" spans="1:22" x14ac:dyDescent="0.4">
      <c r="A225" s="91" t="s">
        <v>291</v>
      </c>
      <c r="B225" s="92" t="s">
        <v>645</v>
      </c>
      <c r="C225" s="92" t="s">
        <v>298</v>
      </c>
      <c r="D225" s="92" t="s">
        <v>648</v>
      </c>
      <c r="E225" s="93" t="s">
        <v>649</v>
      </c>
      <c r="F225" s="92" t="s">
        <v>315</v>
      </c>
      <c r="G225" s="92" t="s">
        <v>243</v>
      </c>
      <c r="H225" s="92" t="s">
        <v>9</v>
      </c>
      <c r="I225" s="92" t="s">
        <v>293</v>
      </c>
      <c r="J225" s="93" t="s">
        <v>244</v>
      </c>
      <c r="K225" s="92" t="s">
        <v>320</v>
      </c>
      <c r="L225" s="92" t="s">
        <v>294</v>
      </c>
      <c r="M225" s="92" t="s">
        <v>295</v>
      </c>
      <c r="N225" s="94">
        <v>5.42</v>
      </c>
      <c r="O225" s="94">
        <f>N225*VLOOKUP(H225,dagsoorttabel1,2,FALSE)</f>
        <v>5.42</v>
      </c>
      <c r="P225" s="95">
        <f>prodnorm50</f>
        <v>0</v>
      </c>
      <c r="Q225" s="92" t="s">
        <v>97</v>
      </c>
      <c r="R225" s="26">
        <f>uurtarief50</f>
        <v>0</v>
      </c>
      <c r="S225" s="94" t="e">
        <f>IF(ISBLANK(P225),0,O225/ROUND(P225,4))</f>
        <v>#DIV/0!</v>
      </c>
      <c r="T225" s="26" t="e">
        <f>ROUND(R225,2)*S225</f>
        <v>#DIV/0!</v>
      </c>
      <c r="U225" s="94" t="e">
        <f>S225*dagenperjaar1</f>
        <v>#DIV/0!</v>
      </c>
      <c r="V225" s="27" t="e">
        <f>U225*ROUND(R225,2)</f>
        <v>#DIV/0!</v>
      </c>
    </row>
    <row r="226" spans="1:22" x14ac:dyDescent="0.4">
      <c r="A226" s="91" t="s">
        <v>291</v>
      </c>
      <c r="B226" s="92" t="s">
        <v>645</v>
      </c>
      <c r="C226" s="92" t="s">
        <v>298</v>
      </c>
      <c r="D226" s="92" t="s">
        <v>650</v>
      </c>
      <c r="E226" s="93" t="s">
        <v>344</v>
      </c>
      <c r="F226" s="92" t="s">
        <v>532</v>
      </c>
      <c r="G226" s="92" t="s">
        <v>231</v>
      </c>
      <c r="H226" s="92" t="s">
        <v>9</v>
      </c>
      <c r="I226" s="92" t="s">
        <v>293</v>
      </c>
      <c r="J226" s="93" t="s">
        <v>232</v>
      </c>
      <c r="K226" s="92" t="s">
        <v>320</v>
      </c>
      <c r="L226" s="92" t="s">
        <v>294</v>
      </c>
      <c r="M226" s="92" t="s">
        <v>295</v>
      </c>
      <c r="N226" s="94">
        <v>32</v>
      </c>
      <c r="O226" s="94">
        <f>N226*VLOOKUP(H226,dagsoorttabel1,2,FALSE)</f>
        <v>32</v>
      </c>
      <c r="P226" s="95">
        <f>prodnorm42</f>
        <v>0</v>
      </c>
      <c r="Q226" s="92" t="s">
        <v>97</v>
      </c>
      <c r="R226" s="26">
        <f>uurtarief42</f>
        <v>0</v>
      </c>
      <c r="S226" s="94" t="e">
        <f>IF(ISBLANK(P226),0,O226/ROUND(P226,4))</f>
        <v>#DIV/0!</v>
      </c>
      <c r="T226" s="26" t="e">
        <f>ROUND(R226,2)*S226</f>
        <v>#DIV/0!</v>
      </c>
      <c r="U226" s="94" t="e">
        <f>S226*dagenperjaar1</f>
        <v>#DIV/0!</v>
      </c>
      <c r="V226" s="27" t="e">
        <f>U226*ROUND(R226,2)</f>
        <v>#DIV/0!</v>
      </c>
    </row>
    <row r="227" spans="1:22" x14ac:dyDescent="0.4">
      <c r="A227" s="91" t="s">
        <v>291</v>
      </c>
      <c r="B227" s="92" t="s">
        <v>645</v>
      </c>
      <c r="C227" s="92" t="s">
        <v>298</v>
      </c>
      <c r="D227" s="92" t="s">
        <v>651</v>
      </c>
      <c r="E227" s="93" t="s">
        <v>652</v>
      </c>
      <c r="F227" s="92" t="s">
        <v>532</v>
      </c>
      <c r="G227" s="92" t="s">
        <v>219</v>
      </c>
      <c r="H227" s="92" t="s">
        <v>15</v>
      </c>
      <c r="I227" s="92" t="s">
        <v>293</v>
      </c>
      <c r="J227" s="93" t="s">
        <v>220</v>
      </c>
      <c r="K227" s="92" t="s">
        <v>320</v>
      </c>
      <c r="L227" s="92" t="s">
        <v>294</v>
      </c>
      <c r="M227" s="92" t="s">
        <v>295</v>
      </c>
      <c r="N227" s="94">
        <v>12</v>
      </c>
      <c r="O227" s="94">
        <f>N227*VLOOKUP(H227,dagsoorttabel1,2,FALSE)</f>
        <v>0.56470588235294117</v>
      </c>
      <c r="P227" s="95">
        <f>prodnorm33</f>
        <v>0</v>
      </c>
      <c r="Q227" s="92" t="s">
        <v>97</v>
      </c>
      <c r="R227" s="26">
        <f>uurtarief33</f>
        <v>0</v>
      </c>
      <c r="S227" s="94" t="e">
        <f>IF(ISBLANK(P227),0,O227/ROUND(P227,4))</f>
        <v>#DIV/0!</v>
      </c>
      <c r="T227" s="26" t="e">
        <f>ROUND(R227,2)*S227</f>
        <v>#DIV/0!</v>
      </c>
      <c r="U227" s="94" t="e">
        <f>S227*dagenperjaar1</f>
        <v>#DIV/0!</v>
      </c>
      <c r="V227" s="27" t="e">
        <f>U227*ROUND(R227,2)</f>
        <v>#DIV/0!</v>
      </c>
    </row>
    <row r="228" spans="1:22" ht="29.15" x14ac:dyDescent="0.4">
      <c r="A228" s="91" t="s">
        <v>291</v>
      </c>
      <c r="B228" s="92" t="s">
        <v>645</v>
      </c>
      <c r="C228" s="92" t="s">
        <v>298</v>
      </c>
      <c r="D228" s="92" t="s">
        <v>653</v>
      </c>
      <c r="E228" s="93" t="s">
        <v>654</v>
      </c>
      <c r="F228" s="92" t="s">
        <v>532</v>
      </c>
      <c r="G228" s="92" t="s">
        <v>219</v>
      </c>
      <c r="H228" s="92" t="s">
        <v>15</v>
      </c>
      <c r="I228" s="92" t="s">
        <v>293</v>
      </c>
      <c r="J228" s="93" t="s">
        <v>220</v>
      </c>
      <c r="K228" s="92" t="s">
        <v>320</v>
      </c>
      <c r="L228" s="92" t="s">
        <v>294</v>
      </c>
      <c r="M228" s="92" t="s">
        <v>295</v>
      </c>
      <c r="N228" s="94">
        <v>7</v>
      </c>
      <c r="O228" s="94">
        <f>N228*VLOOKUP(H228,dagsoorttabel1,2,FALSE)</f>
        <v>0.32941176470588235</v>
      </c>
      <c r="P228" s="95">
        <f>prodnorm33</f>
        <v>0</v>
      </c>
      <c r="Q228" s="92" t="s">
        <v>97</v>
      </c>
      <c r="R228" s="26">
        <f>uurtarief33</f>
        <v>0</v>
      </c>
      <c r="S228" s="94" t="e">
        <f>IF(ISBLANK(P228),0,O228/ROUND(P228,4))</f>
        <v>#DIV/0!</v>
      </c>
      <c r="T228" s="26" t="e">
        <f>ROUND(R228,2)*S228</f>
        <v>#DIV/0!</v>
      </c>
      <c r="U228" s="94" t="e">
        <f>S228*dagenperjaar1</f>
        <v>#DIV/0!</v>
      </c>
      <c r="V228" s="27" t="e">
        <f>U228*ROUND(R228,2)</f>
        <v>#DIV/0!</v>
      </c>
    </row>
    <row r="229" spans="1:22" x14ac:dyDescent="0.4">
      <c r="A229" s="91" t="s">
        <v>291</v>
      </c>
      <c r="B229" s="92" t="s">
        <v>645</v>
      </c>
      <c r="C229" s="92" t="s">
        <v>298</v>
      </c>
      <c r="D229" s="92" t="s">
        <v>655</v>
      </c>
      <c r="E229" s="93" t="s">
        <v>656</v>
      </c>
      <c r="F229" s="92" t="s">
        <v>532</v>
      </c>
      <c r="G229" s="92" t="s">
        <v>223</v>
      </c>
      <c r="H229" s="92" t="s">
        <v>9</v>
      </c>
      <c r="I229" s="92" t="s">
        <v>293</v>
      </c>
      <c r="J229" s="93" t="s">
        <v>224</v>
      </c>
      <c r="K229" s="92" t="s">
        <v>312</v>
      </c>
      <c r="L229" s="92" t="s">
        <v>294</v>
      </c>
      <c r="M229" s="92" t="s">
        <v>295</v>
      </c>
      <c r="N229" s="94">
        <v>8</v>
      </c>
      <c r="O229" s="94">
        <f>N229*VLOOKUP(H229,dagsoorttabel1,2,FALSE)</f>
        <v>8</v>
      </c>
      <c r="P229" s="95">
        <f>prodnorm37</f>
        <v>0</v>
      </c>
      <c r="Q229" s="92" t="s">
        <v>97</v>
      </c>
      <c r="R229" s="26">
        <f>uurtarief37</f>
        <v>0</v>
      </c>
      <c r="S229" s="94" t="e">
        <f>IF(ISBLANK(P229),0,O229/ROUND(P229,4))</f>
        <v>#DIV/0!</v>
      </c>
      <c r="T229" s="26" t="e">
        <f>ROUND(R229,2)*S229</f>
        <v>#DIV/0!</v>
      </c>
      <c r="U229" s="94" t="e">
        <f>S229*dagenperjaar1</f>
        <v>#DIV/0!</v>
      </c>
      <c r="V229" s="27" t="e">
        <f>U229*ROUND(R229,2)</f>
        <v>#DIV/0!</v>
      </c>
    </row>
    <row r="230" spans="1:22" x14ac:dyDescent="0.4">
      <c r="A230" s="91" t="s">
        <v>291</v>
      </c>
      <c r="B230" s="92" t="s">
        <v>645</v>
      </c>
      <c r="C230" s="92" t="s">
        <v>298</v>
      </c>
      <c r="D230" s="92" t="s">
        <v>657</v>
      </c>
      <c r="E230" s="93" t="s">
        <v>658</v>
      </c>
      <c r="F230" s="92" t="s">
        <v>532</v>
      </c>
      <c r="G230" s="92" t="s">
        <v>223</v>
      </c>
      <c r="H230" s="92" t="s">
        <v>9</v>
      </c>
      <c r="I230" s="92" t="s">
        <v>293</v>
      </c>
      <c r="J230" s="93" t="s">
        <v>224</v>
      </c>
      <c r="K230" s="92" t="s">
        <v>312</v>
      </c>
      <c r="L230" s="92" t="s">
        <v>294</v>
      </c>
      <c r="M230" s="92" t="s">
        <v>295</v>
      </c>
      <c r="N230" s="94">
        <v>8</v>
      </c>
      <c r="O230" s="94">
        <f>N230*VLOOKUP(H230,dagsoorttabel1,2,FALSE)</f>
        <v>8</v>
      </c>
      <c r="P230" s="95">
        <f>prodnorm37</f>
        <v>0</v>
      </c>
      <c r="Q230" s="92" t="s">
        <v>97</v>
      </c>
      <c r="R230" s="26">
        <f>uurtarief37</f>
        <v>0</v>
      </c>
      <c r="S230" s="94" t="e">
        <f>IF(ISBLANK(P230),0,O230/ROUND(P230,4))</f>
        <v>#DIV/0!</v>
      </c>
      <c r="T230" s="26" t="e">
        <f>ROUND(R230,2)*S230</f>
        <v>#DIV/0!</v>
      </c>
      <c r="U230" s="94" t="e">
        <f>S230*dagenperjaar1</f>
        <v>#DIV/0!</v>
      </c>
      <c r="V230" s="27" t="e">
        <f>U230*ROUND(R230,2)</f>
        <v>#DIV/0!</v>
      </c>
    </row>
    <row r="231" spans="1:22" x14ac:dyDescent="0.4">
      <c r="A231" s="91" t="s">
        <v>291</v>
      </c>
      <c r="B231" s="92" t="s">
        <v>645</v>
      </c>
      <c r="C231" s="92" t="s">
        <v>298</v>
      </c>
      <c r="D231" s="92" t="s">
        <v>659</v>
      </c>
      <c r="E231" s="93" t="s">
        <v>660</v>
      </c>
      <c r="F231" s="92" t="s">
        <v>532</v>
      </c>
      <c r="G231" s="92" t="s">
        <v>227</v>
      </c>
      <c r="H231" s="92" t="s">
        <v>9</v>
      </c>
      <c r="I231" s="92" t="s">
        <v>293</v>
      </c>
      <c r="J231" s="93" t="s">
        <v>228</v>
      </c>
      <c r="K231" s="92" t="s">
        <v>312</v>
      </c>
      <c r="L231" s="92" t="s">
        <v>294</v>
      </c>
      <c r="M231" s="92" t="s">
        <v>295</v>
      </c>
      <c r="N231" s="94">
        <v>10</v>
      </c>
      <c r="O231" s="94">
        <f>N231*VLOOKUP(H231,dagsoorttabel1,2,FALSE)</f>
        <v>10</v>
      </c>
      <c r="P231" s="95">
        <f>prodnorm39</f>
        <v>0</v>
      </c>
      <c r="Q231" s="92" t="s">
        <v>97</v>
      </c>
      <c r="R231" s="26">
        <f>uurtarief39</f>
        <v>0</v>
      </c>
      <c r="S231" s="94" t="e">
        <f>IF(ISBLANK(P231),0,O231/ROUND(P231,4))</f>
        <v>#DIV/0!</v>
      </c>
      <c r="T231" s="26" t="e">
        <f>ROUND(R231,2)*S231</f>
        <v>#DIV/0!</v>
      </c>
      <c r="U231" s="94" t="e">
        <f>S231*dagenperjaar1</f>
        <v>#DIV/0!</v>
      </c>
      <c r="V231" s="27" t="e">
        <f>U231*ROUND(R231,2)</f>
        <v>#DIV/0!</v>
      </c>
    </row>
    <row r="232" spans="1:22" x14ac:dyDescent="0.4">
      <c r="A232" s="91" t="s">
        <v>291</v>
      </c>
      <c r="B232" s="92" t="s">
        <v>645</v>
      </c>
      <c r="C232" s="92" t="s">
        <v>298</v>
      </c>
      <c r="D232" s="92" t="s">
        <v>659</v>
      </c>
      <c r="E232" s="93" t="s">
        <v>660</v>
      </c>
      <c r="F232" s="92" t="s">
        <v>532</v>
      </c>
      <c r="G232" s="92" t="s">
        <v>229</v>
      </c>
      <c r="H232" s="92" t="s">
        <v>11</v>
      </c>
      <c r="I232" s="92" t="s">
        <v>359</v>
      </c>
      <c r="J232" s="93" t="s">
        <v>230</v>
      </c>
      <c r="K232" s="92" t="s">
        <v>312</v>
      </c>
      <c r="L232" s="92" t="s">
        <v>294</v>
      </c>
      <c r="M232" s="92" t="s">
        <v>295</v>
      </c>
      <c r="N232" s="94">
        <v>10</v>
      </c>
      <c r="O232" s="94">
        <f>N232*VLOOKUP(H232,dagsoorttabel1,2,FALSE)</f>
        <v>6</v>
      </c>
      <c r="P232" s="95">
        <f>prodnorm40</f>
        <v>0</v>
      </c>
      <c r="Q232" s="92" t="s">
        <v>97</v>
      </c>
      <c r="R232" s="26">
        <f>uurtarief40</f>
        <v>0</v>
      </c>
      <c r="S232" s="94" t="e">
        <f>IF(ISBLANK(P232),0,O232/ROUND(P232,4))</f>
        <v>#DIV/0!</v>
      </c>
      <c r="T232" s="26" t="e">
        <f>ROUND(R232,2)*S232</f>
        <v>#DIV/0!</v>
      </c>
      <c r="U232" s="94" t="e">
        <f>S232*dagenperjaar1</f>
        <v>#DIV/0!</v>
      </c>
      <c r="V232" s="27" t="e">
        <f>U232*ROUND(R232,2)</f>
        <v>#DIV/0!</v>
      </c>
    </row>
    <row r="233" spans="1:22" x14ac:dyDescent="0.4">
      <c r="A233" s="91" t="s">
        <v>291</v>
      </c>
      <c r="B233" s="92" t="s">
        <v>645</v>
      </c>
      <c r="C233" s="92" t="s">
        <v>298</v>
      </c>
      <c r="D233" s="92" t="s">
        <v>661</v>
      </c>
      <c r="E233" s="93" t="s">
        <v>662</v>
      </c>
      <c r="F233" s="92" t="s">
        <v>532</v>
      </c>
      <c r="G233" s="92" t="s">
        <v>219</v>
      </c>
      <c r="H233" s="92" t="s">
        <v>15</v>
      </c>
      <c r="I233" s="92" t="s">
        <v>293</v>
      </c>
      <c r="J233" s="93" t="s">
        <v>220</v>
      </c>
      <c r="K233" s="92" t="s">
        <v>320</v>
      </c>
      <c r="L233" s="92" t="s">
        <v>294</v>
      </c>
      <c r="M233" s="92" t="s">
        <v>295</v>
      </c>
      <c r="N233" s="94">
        <v>3</v>
      </c>
      <c r="O233" s="94">
        <f>N233*VLOOKUP(H233,dagsoorttabel1,2,FALSE)</f>
        <v>0.14117647058823529</v>
      </c>
      <c r="P233" s="95">
        <f>prodnorm33</f>
        <v>0</v>
      </c>
      <c r="Q233" s="92" t="s">
        <v>97</v>
      </c>
      <c r="R233" s="26">
        <f>uurtarief33</f>
        <v>0</v>
      </c>
      <c r="S233" s="94" t="e">
        <f>IF(ISBLANK(P233),0,O233/ROUND(P233,4))</f>
        <v>#DIV/0!</v>
      </c>
      <c r="T233" s="26" t="e">
        <f>ROUND(R233,2)*S233</f>
        <v>#DIV/0!</v>
      </c>
      <c r="U233" s="94" t="e">
        <f>S233*dagenperjaar1</f>
        <v>#DIV/0!</v>
      </c>
      <c r="V233" s="27" t="e">
        <f>U233*ROUND(R233,2)</f>
        <v>#DIV/0!</v>
      </c>
    </row>
    <row r="234" spans="1:22" x14ac:dyDescent="0.4">
      <c r="A234" s="91" t="s">
        <v>291</v>
      </c>
      <c r="B234" s="92" t="s">
        <v>645</v>
      </c>
      <c r="C234" s="92" t="s">
        <v>327</v>
      </c>
      <c r="D234" s="92" t="s">
        <v>663</v>
      </c>
      <c r="E234" s="93" t="s">
        <v>664</v>
      </c>
      <c r="F234" s="92" t="s">
        <v>301</v>
      </c>
      <c r="G234" s="92" t="s">
        <v>330</v>
      </c>
      <c r="H234" s="92"/>
      <c r="I234" s="92"/>
      <c r="J234" s="92"/>
      <c r="K234" s="92" t="s">
        <v>34</v>
      </c>
      <c r="L234" s="92" t="s">
        <v>302</v>
      </c>
      <c r="M234" s="92" t="s">
        <v>34</v>
      </c>
      <c r="N234" s="94">
        <v>729.53</v>
      </c>
      <c r="O234" s="94"/>
      <c r="P234" s="95"/>
      <c r="Q234" s="92"/>
      <c r="R234" s="26"/>
      <c r="S234" s="94"/>
      <c r="T234" s="26"/>
      <c r="U234" s="96"/>
      <c r="V234" s="27"/>
    </row>
    <row r="235" spans="1:22" x14ac:dyDescent="0.4">
      <c r="A235" s="91" t="s">
        <v>291</v>
      </c>
      <c r="B235" s="92" t="s">
        <v>645</v>
      </c>
      <c r="C235" s="92" t="s">
        <v>327</v>
      </c>
      <c r="D235" s="92" t="s">
        <v>665</v>
      </c>
      <c r="E235" s="93" t="s">
        <v>666</v>
      </c>
      <c r="F235" s="92" t="s">
        <v>301</v>
      </c>
      <c r="G235" s="92" t="s">
        <v>330</v>
      </c>
      <c r="H235" s="92"/>
      <c r="I235" s="92"/>
      <c r="J235" s="92"/>
      <c r="K235" s="92" t="s">
        <v>34</v>
      </c>
      <c r="L235" s="92" t="s">
        <v>302</v>
      </c>
      <c r="M235" s="92" t="s">
        <v>34</v>
      </c>
      <c r="N235" s="94">
        <v>7.24</v>
      </c>
      <c r="O235" s="94"/>
      <c r="P235" s="95"/>
      <c r="Q235" s="92"/>
      <c r="R235" s="26"/>
      <c r="S235" s="94"/>
      <c r="T235" s="26"/>
      <c r="U235" s="96"/>
      <c r="V235" s="27"/>
    </row>
    <row r="236" spans="1:22" x14ac:dyDescent="0.4">
      <c r="A236" s="91" t="s">
        <v>291</v>
      </c>
      <c r="B236" s="92" t="s">
        <v>645</v>
      </c>
      <c r="C236" s="92" t="s">
        <v>327</v>
      </c>
      <c r="D236" s="92" t="s">
        <v>667</v>
      </c>
      <c r="E236" s="93" t="s">
        <v>668</v>
      </c>
      <c r="F236" s="92" t="s">
        <v>301</v>
      </c>
      <c r="G236" s="92" t="s">
        <v>249</v>
      </c>
      <c r="H236" s="92" t="s">
        <v>13</v>
      </c>
      <c r="I236" s="92" t="s">
        <v>293</v>
      </c>
      <c r="J236" s="93" t="s">
        <v>250</v>
      </c>
      <c r="K236" s="92" t="s">
        <v>320</v>
      </c>
      <c r="L236" s="92" t="s">
        <v>302</v>
      </c>
      <c r="M236" s="92" t="s">
        <v>295</v>
      </c>
      <c r="N236" s="94">
        <v>8.92</v>
      </c>
      <c r="O236" s="94">
        <f>N236*VLOOKUP(H236,dagsoorttabel1,2,FALSE)</f>
        <v>1.784</v>
      </c>
      <c r="P236" s="95">
        <f>prodnorm54</f>
        <v>0</v>
      </c>
      <c r="Q236" s="92" t="s">
        <v>97</v>
      </c>
      <c r="R236" s="26">
        <f>uurtarief54</f>
        <v>0</v>
      </c>
      <c r="S236" s="94" t="e">
        <f>IF(ISBLANK(P236),0,O236/ROUND(P236,4))</f>
        <v>#DIV/0!</v>
      </c>
      <c r="T236" s="26" t="e">
        <f>ROUND(R236,2)*S236</f>
        <v>#DIV/0!</v>
      </c>
      <c r="U236" s="94" t="e">
        <f>S236*dagenperjaar1</f>
        <v>#DIV/0!</v>
      </c>
      <c r="V236" s="27" t="e">
        <f>U236*ROUND(R236,2)</f>
        <v>#DIV/0!</v>
      </c>
    </row>
    <row r="237" spans="1:22" x14ac:dyDescent="0.4">
      <c r="A237" s="91" t="s">
        <v>291</v>
      </c>
      <c r="B237" s="92" t="s">
        <v>645</v>
      </c>
      <c r="C237" s="92" t="s">
        <v>327</v>
      </c>
      <c r="D237" s="92" t="s">
        <v>669</v>
      </c>
      <c r="E237" s="93" t="s">
        <v>670</v>
      </c>
      <c r="F237" s="92" t="s">
        <v>301</v>
      </c>
      <c r="G237" s="92" t="s">
        <v>263</v>
      </c>
      <c r="H237" s="92" t="s">
        <v>20</v>
      </c>
      <c r="I237" s="92" t="s">
        <v>293</v>
      </c>
      <c r="J237" s="93" t="s">
        <v>264</v>
      </c>
      <c r="K237" s="92" t="s">
        <v>34</v>
      </c>
      <c r="L237" s="92" t="s">
        <v>302</v>
      </c>
      <c r="M237" s="92" t="s">
        <v>295</v>
      </c>
      <c r="N237" s="94">
        <v>106.25</v>
      </c>
      <c r="O237" s="94">
        <f>N237*VLOOKUP(H237,dagsoorttabel1,2,FALSE)</f>
        <v>0.41666666666666669</v>
      </c>
      <c r="P237" s="95">
        <f>prodnorm16</f>
        <v>0</v>
      </c>
      <c r="Q237" s="92" t="s">
        <v>97</v>
      </c>
      <c r="R237" s="26">
        <f>uurtarief16</f>
        <v>0</v>
      </c>
      <c r="S237" s="94" t="e">
        <f>IF(ISBLANK(P237),0,O237/ROUND(P237,4))</f>
        <v>#DIV/0!</v>
      </c>
      <c r="T237" s="26" t="e">
        <f>ROUND(R237,2)*S237</f>
        <v>#DIV/0!</v>
      </c>
      <c r="U237" s="94" t="e">
        <f>S237*dagenperjaar1</f>
        <v>#DIV/0!</v>
      </c>
      <c r="V237" s="27" t="e">
        <f>U237*ROUND(R237,2)</f>
        <v>#DIV/0!</v>
      </c>
    </row>
    <row r="238" spans="1:22" x14ac:dyDescent="0.4">
      <c r="A238" s="91" t="s">
        <v>291</v>
      </c>
      <c r="B238" s="92" t="s">
        <v>645</v>
      </c>
      <c r="C238" s="92" t="s">
        <v>327</v>
      </c>
      <c r="D238" s="92" t="s">
        <v>671</v>
      </c>
      <c r="E238" s="93" t="s">
        <v>672</v>
      </c>
      <c r="F238" s="92" t="s">
        <v>301</v>
      </c>
      <c r="G238" s="92" t="s">
        <v>263</v>
      </c>
      <c r="H238" s="92" t="s">
        <v>20</v>
      </c>
      <c r="I238" s="92" t="s">
        <v>293</v>
      </c>
      <c r="J238" s="93" t="s">
        <v>264</v>
      </c>
      <c r="K238" s="92" t="s">
        <v>34</v>
      </c>
      <c r="L238" s="92" t="s">
        <v>302</v>
      </c>
      <c r="M238" s="92" t="s">
        <v>295</v>
      </c>
      <c r="N238" s="94">
        <v>131.55000000000001</v>
      </c>
      <c r="O238" s="94">
        <f>N238*VLOOKUP(H238,dagsoorttabel1,2,FALSE)</f>
        <v>0.51588235294117646</v>
      </c>
      <c r="P238" s="95">
        <f>prodnorm16</f>
        <v>0</v>
      </c>
      <c r="Q238" s="92" t="s">
        <v>97</v>
      </c>
      <c r="R238" s="26">
        <f>uurtarief16</f>
        <v>0</v>
      </c>
      <c r="S238" s="94" t="e">
        <f>IF(ISBLANK(P238),0,O238/ROUND(P238,4))</f>
        <v>#DIV/0!</v>
      </c>
      <c r="T238" s="26" t="e">
        <f>ROUND(R238,2)*S238</f>
        <v>#DIV/0!</v>
      </c>
      <c r="U238" s="94" t="e">
        <f>S238*dagenperjaar1</f>
        <v>#DIV/0!</v>
      </c>
      <c r="V238" s="27" t="e">
        <f>U238*ROUND(R238,2)</f>
        <v>#DIV/0!</v>
      </c>
    </row>
    <row r="239" spans="1:22" x14ac:dyDescent="0.4">
      <c r="A239" s="91" t="s">
        <v>291</v>
      </c>
      <c r="B239" s="92" t="s">
        <v>645</v>
      </c>
      <c r="C239" s="92" t="s">
        <v>327</v>
      </c>
      <c r="D239" s="92" t="s">
        <v>673</v>
      </c>
      <c r="E239" s="93" t="s">
        <v>674</v>
      </c>
      <c r="F239" s="92" t="s">
        <v>301</v>
      </c>
      <c r="G239" s="92" t="s">
        <v>265</v>
      </c>
      <c r="H239" s="92" t="s">
        <v>20</v>
      </c>
      <c r="I239" s="92" t="s">
        <v>293</v>
      </c>
      <c r="J239" s="93" t="s">
        <v>266</v>
      </c>
      <c r="K239" s="92" t="s">
        <v>34</v>
      </c>
      <c r="L239" s="92" t="s">
        <v>302</v>
      </c>
      <c r="M239" s="92" t="s">
        <v>295</v>
      </c>
      <c r="N239" s="94">
        <v>1</v>
      </c>
      <c r="O239" s="94">
        <f>N239*VLOOKUP(H239,dagsoorttabel1,2,FALSE)</f>
        <v>3.9215686274509803E-3</v>
      </c>
      <c r="P239" s="95">
        <f>prodnorm17</f>
        <v>0</v>
      </c>
      <c r="Q239" s="92" t="s">
        <v>262</v>
      </c>
      <c r="R239" s="26">
        <f>uurtarief17</f>
        <v>0</v>
      </c>
      <c r="S239" s="94">
        <f>O239*ROUND(P239,4)/60</f>
        <v>0</v>
      </c>
      <c r="T239" s="26">
        <f>ROUND(R239,2)*S239</f>
        <v>0</v>
      </c>
      <c r="U239" s="94">
        <f>S239*dagenperjaar1</f>
        <v>0</v>
      </c>
      <c r="V239" s="27">
        <f>U239*ROUND(R239,2)</f>
        <v>0</v>
      </c>
    </row>
    <row r="240" spans="1:22" x14ac:dyDescent="0.4">
      <c r="A240" s="91" t="s">
        <v>291</v>
      </c>
      <c r="B240" s="92" t="s">
        <v>645</v>
      </c>
      <c r="C240" s="92" t="s">
        <v>327</v>
      </c>
      <c r="D240" s="92" t="s">
        <v>675</v>
      </c>
      <c r="E240" s="93" t="s">
        <v>676</v>
      </c>
      <c r="F240" s="92" t="s">
        <v>301</v>
      </c>
      <c r="G240" s="92" t="s">
        <v>263</v>
      </c>
      <c r="H240" s="92" t="s">
        <v>20</v>
      </c>
      <c r="I240" s="92" t="s">
        <v>293</v>
      </c>
      <c r="J240" s="93" t="s">
        <v>264</v>
      </c>
      <c r="K240" s="92" t="s">
        <v>34</v>
      </c>
      <c r="L240" s="92" t="s">
        <v>302</v>
      </c>
      <c r="M240" s="92" t="s">
        <v>295</v>
      </c>
      <c r="N240" s="94">
        <v>59.730000000000004</v>
      </c>
      <c r="O240" s="94">
        <f>N240*VLOOKUP(H240,dagsoorttabel1,2,FALSE)</f>
        <v>0.23423529411764707</v>
      </c>
      <c r="P240" s="95">
        <f>prodnorm16</f>
        <v>0</v>
      </c>
      <c r="Q240" s="92" t="s">
        <v>97</v>
      </c>
      <c r="R240" s="26">
        <f>uurtarief16</f>
        <v>0</v>
      </c>
      <c r="S240" s="94" t="e">
        <f>IF(ISBLANK(P240),0,O240/ROUND(P240,4))</f>
        <v>#DIV/0!</v>
      </c>
      <c r="T240" s="26" t="e">
        <f>ROUND(R240,2)*S240</f>
        <v>#DIV/0!</v>
      </c>
      <c r="U240" s="94" t="e">
        <f>S240*dagenperjaar1</f>
        <v>#DIV/0!</v>
      </c>
      <c r="V240" s="27" t="e">
        <f>U240*ROUND(R240,2)</f>
        <v>#DIV/0!</v>
      </c>
    </row>
    <row r="241" spans="1:22" x14ac:dyDescent="0.4">
      <c r="A241" s="91" t="s">
        <v>291</v>
      </c>
      <c r="B241" s="92" t="s">
        <v>645</v>
      </c>
      <c r="C241" s="92" t="s">
        <v>327</v>
      </c>
      <c r="D241" s="92" t="s">
        <v>677</v>
      </c>
      <c r="E241" s="93" t="s">
        <v>678</v>
      </c>
      <c r="F241" s="92" t="s">
        <v>301</v>
      </c>
      <c r="G241" s="92" t="s">
        <v>263</v>
      </c>
      <c r="H241" s="92" t="s">
        <v>20</v>
      </c>
      <c r="I241" s="92" t="s">
        <v>293</v>
      </c>
      <c r="J241" s="93" t="s">
        <v>264</v>
      </c>
      <c r="K241" s="92" t="s">
        <v>34</v>
      </c>
      <c r="L241" s="92" t="s">
        <v>302</v>
      </c>
      <c r="M241" s="92" t="s">
        <v>295</v>
      </c>
      <c r="N241" s="94">
        <v>40.190000000000005</v>
      </c>
      <c r="O241" s="94">
        <f>N241*VLOOKUP(H241,dagsoorttabel1,2,FALSE)</f>
        <v>0.15760784313725493</v>
      </c>
      <c r="P241" s="95">
        <f>prodnorm16</f>
        <v>0</v>
      </c>
      <c r="Q241" s="92" t="s">
        <v>97</v>
      </c>
      <c r="R241" s="26">
        <f>uurtarief16</f>
        <v>0</v>
      </c>
      <c r="S241" s="94" t="e">
        <f>IF(ISBLANK(P241),0,O241/ROUND(P241,4))</f>
        <v>#DIV/0!</v>
      </c>
      <c r="T241" s="26" t="e">
        <f>ROUND(R241,2)*S241</f>
        <v>#DIV/0!</v>
      </c>
      <c r="U241" s="94" t="e">
        <f>S241*dagenperjaar1</f>
        <v>#DIV/0!</v>
      </c>
      <c r="V241" s="27" t="e">
        <f>U241*ROUND(R241,2)</f>
        <v>#DIV/0!</v>
      </c>
    </row>
    <row r="242" spans="1:22" x14ac:dyDescent="0.4">
      <c r="A242" s="91" t="s">
        <v>291</v>
      </c>
      <c r="B242" s="92" t="s">
        <v>645</v>
      </c>
      <c r="C242" s="92" t="s">
        <v>327</v>
      </c>
      <c r="D242" s="92" t="s">
        <v>679</v>
      </c>
      <c r="E242" s="93" t="s">
        <v>680</v>
      </c>
      <c r="F242" s="92" t="s">
        <v>301</v>
      </c>
      <c r="G242" s="92" t="s">
        <v>263</v>
      </c>
      <c r="H242" s="92" t="s">
        <v>20</v>
      </c>
      <c r="I242" s="92" t="s">
        <v>293</v>
      </c>
      <c r="J242" s="93" t="s">
        <v>264</v>
      </c>
      <c r="K242" s="92" t="s">
        <v>34</v>
      </c>
      <c r="L242" s="92" t="s">
        <v>302</v>
      </c>
      <c r="M242" s="92" t="s">
        <v>295</v>
      </c>
      <c r="N242" s="94">
        <v>15.58</v>
      </c>
      <c r="O242" s="94">
        <f>N242*VLOOKUP(H242,dagsoorttabel1,2,FALSE)</f>
        <v>6.1098039215686274E-2</v>
      </c>
      <c r="P242" s="95">
        <f>prodnorm16</f>
        <v>0</v>
      </c>
      <c r="Q242" s="92" t="s">
        <v>97</v>
      </c>
      <c r="R242" s="26">
        <f>uurtarief16</f>
        <v>0</v>
      </c>
      <c r="S242" s="94" t="e">
        <f>IF(ISBLANK(P242),0,O242/ROUND(P242,4))</f>
        <v>#DIV/0!</v>
      </c>
      <c r="T242" s="26" t="e">
        <f>ROUND(R242,2)*S242</f>
        <v>#DIV/0!</v>
      </c>
      <c r="U242" s="94" t="e">
        <f>S242*dagenperjaar1</f>
        <v>#DIV/0!</v>
      </c>
      <c r="V242" s="27" t="e">
        <f>U242*ROUND(R242,2)</f>
        <v>#DIV/0!</v>
      </c>
    </row>
    <row r="243" spans="1:22" x14ac:dyDescent="0.4">
      <c r="A243" s="91" t="s">
        <v>291</v>
      </c>
      <c r="B243" s="92" t="s">
        <v>645</v>
      </c>
      <c r="C243" s="92" t="s">
        <v>327</v>
      </c>
      <c r="D243" s="92" t="s">
        <v>681</v>
      </c>
      <c r="E243" s="93" t="s">
        <v>682</v>
      </c>
      <c r="F243" s="92" t="s">
        <v>301</v>
      </c>
      <c r="G243" s="92" t="s">
        <v>330</v>
      </c>
      <c r="H243" s="92"/>
      <c r="I243" s="92"/>
      <c r="J243" s="92"/>
      <c r="K243" s="92" t="s">
        <v>34</v>
      </c>
      <c r="L243" s="92" t="s">
        <v>302</v>
      </c>
      <c r="M243" s="92" t="s">
        <v>34</v>
      </c>
      <c r="N243" s="94">
        <v>5.08</v>
      </c>
      <c r="O243" s="94"/>
      <c r="P243" s="95"/>
      <c r="Q243" s="92"/>
      <c r="R243" s="26"/>
      <c r="S243" s="94"/>
      <c r="T243" s="26"/>
      <c r="U243" s="96"/>
      <c r="V243" s="27"/>
    </row>
    <row r="244" spans="1:22" x14ac:dyDescent="0.4">
      <c r="A244" s="91" t="s">
        <v>291</v>
      </c>
      <c r="B244" s="92" t="s">
        <v>645</v>
      </c>
      <c r="C244" s="92" t="s">
        <v>327</v>
      </c>
      <c r="D244" s="92" t="s">
        <v>683</v>
      </c>
      <c r="E244" s="93" t="s">
        <v>684</v>
      </c>
      <c r="F244" s="92" t="s">
        <v>341</v>
      </c>
      <c r="G244" s="92" t="s">
        <v>251</v>
      </c>
      <c r="H244" s="92" t="s">
        <v>13</v>
      </c>
      <c r="I244" s="92" t="s">
        <v>293</v>
      </c>
      <c r="J244" s="93" t="s">
        <v>252</v>
      </c>
      <c r="K244" s="92" t="s">
        <v>320</v>
      </c>
      <c r="L244" s="92" t="s">
        <v>302</v>
      </c>
      <c r="M244" s="92" t="s">
        <v>295</v>
      </c>
      <c r="N244" s="94">
        <v>11.52</v>
      </c>
      <c r="O244" s="94">
        <f>N244*VLOOKUP(H244,dagsoorttabel1,2,FALSE)</f>
        <v>2.3039999999999998</v>
      </c>
      <c r="P244" s="95">
        <f>prodnorm57</f>
        <v>0</v>
      </c>
      <c r="Q244" s="92" t="s">
        <v>97</v>
      </c>
      <c r="R244" s="26">
        <f>uurtarief57</f>
        <v>0</v>
      </c>
      <c r="S244" s="94" t="e">
        <f>IF(ISBLANK(P244),0,O244/ROUND(P244,4))</f>
        <v>#DIV/0!</v>
      </c>
      <c r="T244" s="26" t="e">
        <f>ROUND(R244,2)*S244</f>
        <v>#DIV/0!</v>
      </c>
      <c r="U244" s="94" t="e">
        <f>S244*dagenperjaar1</f>
        <v>#DIV/0!</v>
      </c>
      <c r="V244" s="27" t="e">
        <f>U244*ROUND(R244,2)</f>
        <v>#DIV/0!</v>
      </c>
    </row>
    <row r="245" spans="1:22" x14ac:dyDescent="0.4">
      <c r="A245" s="91" t="s">
        <v>291</v>
      </c>
      <c r="B245" s="92" t="s">
        <v>645</v>
      </c>
      <c r="C245" s="92" t="s">
        <v>331</v>
      </c>
      <c r="D245" s="92" t="s">
        <v>685</v>
      </c>
      <c r="E245" s="93" t="s">
        <v>344</v>
      </c>
      <c r="F245" s="92" t="s">
        <v>341</v>
      </c>
      <c r="G245" s="92" t="s">
        <v>257</v>
      </c>
      <c r="H245" s="92" t="s">
        <v>9</v>
      </c>
      <c r="I245" s="92" t="s">
        <v>293</v>
      </c>
      <c r="J245" s="93" t="s">
        <v>258</v>
      </c>
      <c r="K245" s="92" t="s">
        <v>320</v>
      </c>
      <c r="L245" s="92" t="s">
        <v>347</v>
      </c>
      <c r="M245" s="92" t="s">
        <v>348</v>
      </c>
      <c r="N245" s="94">
        <v>1</v>
      </c>
      <c r="O245" s="94">
        <f>N245*VLOOKUP(H245,dagsoorttabel1,2,FALSE)</f>
        <v>1</v>
      </c>
      <c r="P245" s="95">
        <f>prodnorm14</f>
        <v>0</v>
      </c>
      <c r="Q245" s="92" t="s">
        <v>259</v>
      </c>
      <c r="R245" s="26">
        <f>uurtarief14</f>
        <v>0</v>
      </c>
      <c r="S245" s="94">
        <f>O245*ROUND(P245,4)/60</f>
        <v>0</v>
      </c>
      <c r="T245" s="26">
        <f>ROUND(R245,2)*S245</f>
        <v>0</v>
      </c>
      <c r="U245" s="94">
        <f>S245*dagenperjaar1</f>
        <v>0</v>
      </c>
      <c r="V245" s="27">
        <f>U245*ROUND(R245,2)</f>
        <v>0</v>
      </c>
    </row>
    <row r="246" spans="1:22" x14ac:dyDescent="0.4">
      <c r="A246" s="91" t="s">
        <v>291</v>
      </c>
      <c r="B246" s="92" t="s">
        <v>645</v>
      </c>
      <c r="C246" s="92" t="s">
        <v>331</v>
      </c>
      <c r="D246" s="92" t="s">
        <v>685</v>
      </c>
      <c r="E246" s="93" t="s">
        <v>344</v>
      </c>
      <c r="F246" s="92" t="s">
        <v>341</v>
      </c>
      <c r="G246" s="92" t="s">
        <v>241</v>
      </c>
      <c r="H246" s="92" t="s">
        <v>9</v>
      </c>
      <c r="I246" s="92" t="s">
        <v>311</v>
      </c>
      <c r="J246" s="93" t="s">
        <v>242</v>
      </c>
      <c r="K246" s="92" t="s">
        <v>320</v>
      </c>
      <c r="L246" s="92" t="s">
        <v>347</v>
      </c>
      <c r="M246" s="92" t="s">
        <v>348</v>
      </c>
      <c r="N246" s="94">
        <v>65.5</v>
      </c>
      <c r="O246" s="94">
        <f>N246*VLOOKUP(H246,dagsoorttabel1,2,FALSE)</f>
        <v>65.5</v>
      </c>
      <c r="P246" s="95">
        <f>prodnorm49</f>
        <v>0</v>
      </c>
      <c r="Q246" s="92" t="s">
        <v>97</v>
      </c>
      <c r="R246" s="26">
        <f>uurtarief49</f>
        <v>0</v>
      </c>
      <c r="S246" s="94" t="e">
        <f>IF(ISBLANK(P246),0,O246/ROUND(P246,4))</f>
        <v>#DIV/0!</v>
      </c>
      <c r="T246" s="26" t="e">
        <f>ROUND(R246,2)*S246</f>
        <v>#DIV/0!</v>
      </c>
      <c r="U246" s="94" t="e">
        <f>S246*dagenperjaar1</f>
        <v>#DIV/0!</v>
      </c>
      <c r="V246" s="27" t="e">
        <f>U246*ROUND(R246,2)</f>
        <v>#DIV/0!</v>
      </c>
    </row>
    <row r="247" spans="1:22" x14ac:dyDescent="0.4">
      <c r="A247" s="91" t="s">
        <v>291</v>
      </c>
      <c r="B247" s="92" t="s">
        <v>645</v>
      </c>
      <c r="C247" s="92" t="s">
        <v>331</v>
      </c>
      <c r="D247" s="92" t="s">
        <v>686</v>
      </c>
      <c r="E247" s="93" t="s">
        <v>687</v>
      </c>
      <c r="F247" s="92" t="s">
        <v>341</v>
      </c>
      <c r="G247" s="92" t="s">
        <v>213</v>
      </c>
      <c r="H247" s="92" t="s">
        <v>9</v>
      </c>
      <c r="I247" s="92" t="s">
        <v>311</v>
      </c>
      <c r="J247" s="93" t="s">
        <v>214</v>
      </c>
      <c r="K247" s="92" t="s">
        <v>342</v>
      </c>
      <c r="L247" s="92" t="s">
        <v>347</v>
      </c>
      <c r="M247" s="92" t="s">
        <v>348</v>
      </c>
      <c r="N247" s="94">
        <v>25</v>
      </c>
      <c r="O247" s="94">
        <f>N247*VLOOKUP(H247,dagsoorttabel1,2,FALSE)</f>
        <v>25</v>
      </c>
      <c r="P247" s="95">
        <f>prodnorm30</f>
        <v>0</v>
      </c>
      <c r="Q247" s="92" t="s">
        <v>97</v>
      </c>
      <c r="R247" s="26">
        <f>uurtarief30</f>
        <v>0</v>
      </c>
      <c r="S247" s="94" t="e">
        <f>IF(ISBLANK(P247),0,O247/ROUND(P247,4))</f>
        <v>#DIV/0!</v>
      </c>
      <c r="T247" s="26" t="e">
        <f>ROUND(R247,2)*S247</f>
        <v>#DIV/0!</v>
      </c>
      <c r="U247" s="94" t="e">
        <f>S247*dagenperjaar1</f>
        <v>#DIV/0!</v>
      </c>
      <c r="V247" s="27" t="e">
        <f>U247*ROUND(R247,2)</f>
        <v>#DIV/0!</v>
      </c>
    </row>
    <row r="248" spans="1:22" x14ac:dyDescent="0.4">
      <c r="A248" s="91" t="s">
        <v>291</v>
      </c>
      <c r="B248" s="92" t="s">
        <v>645</v>
      </c>
      <c r="C248" s="92" t="s">
        <v>331</v>
      </c>
      <c r="D248" s="92" t="s">
        <v>688</v>
      </c>
      <c r="E248" s="93" t="s">
        <v>689</v>
      </c>
      <c r="F248" s="92" t="s">
        <v>341</v>
      </c>
      <c r="G248" s="92" t="s">
        <v>213</v>
      </c>
      <c r="H248" s="92" t="s">
        <v>9</v>
      </c>
      <c r="I248" s="92" t="s">
        <v>311</v>
      </c>
      <c r="J248" s="93" t="s">
        <v>214</v>
      </c>
      <c r="K248" s="92" t="s">
        <v>342</v>
      </c>
      <c r="L248" s="92" t="s">
        <v>347</v>
      </c>
      <c r="M248" s="92" t="s">
        <v>348</v>
      </c>
      <c r="N248" s="94">
        <v>33</v>
      </c>
      <c r="O248" s="94">
        <f>N248*VLOOKUP(H248,dagsoorttabel1,2,FALSE)</f>
        <v>33</v>
      </c>
      <c r="P248" s="95">
        <f>prodnorm30</f>
        <v>0</v>
      </c>
      <c r="Q248" s="92" t="s">
        <v>97</v>
      </c>
      <c r="R248" s="26">
        <f>uurtarief30</f>
        <v>0</v>
      </c>
      <c r="S248" s="94" t="e">
        <f>IF(ISBLANK(P248),0,O248/ROUND(P248,4))</f>
        <v>#DIV/0!</v>
      </c>
      <c r="T248" s="26" t="e">
        <f>ROUND(R248,2)*S248</f>
        <v>#DIV/0!</v>
      </c>
      <c r="U248" s="94" t="e">
        <f>S248*dagenperjaar1</f>
        <v>#DIV/0!</v>
      </c>
      <c r="V248" s="27" t="e">
        <f>U248*ROUND(R248,2)</f>
        <v>#DIV/0!</v>
      </c>
    </row>
    <row r="249" spans="1:22" x14ac:dyDescent="0.4">
      <c r="A249" s="91" t="s">
        <v>291</v>
      </c>
      <c r="B249" s="92" t="s">
        <v>645</v>
      </c>
      <c r="C249" s="92" t="s">
        <v>331</v>
      </c>
      <c r="D249" s="92" t="s">
        <v>690</v>
      </c>
      <c r="E249" s="93" t="s">
        <v>691</v>
      </c>
      <c r="F249" s="92" t="s">
        <v>341</v>
      </c>
      <c r="G249" s="92" t="s">
        <v>213</v>
      </c>
      <c r="H249" s="92" t="s">
        <v>9</v>
      </c>
      <c r="I249" s="92" t="s">
        <v>311</v>
      </c>
      <c r="J249" s="93" t="s">
        <v>214</v>
      </c>
      <c r="K249" s="92" t="s">
        <v>342</v>
      </c>
      <c r="L249" s="92" t="s">
        <v>347</v>
      </c>
      <c r="M249" s="92" t="s">
        <v>348</v>
      </c>
      <c r="N249" s="94">
        <v>19</v>
      </c>
      <c r="O249" s="94">
        <f>N249*VLOOKUP(H249,dagsoorttabel1,2,FALSE)</f>
        <v>19</v>
      </c>
      <c r="P249" s="95">
        <f>prodnorm30</f>
        <v>0</v>
      </c>
      <c r="Q249" s="92" t="s">
        <v>97</v>
      </c>
      <c r="R249" s="26">
        <f>uurtarief30</f>
        <v>0</v>
      </c>
      <c r="S249" s="94" t="e">
        <f>IF(ISBLANK(P249),0,O249/ROUND(P249,4))</f>
        <v>#DIV/0!</v>
      </c>
      <c r="T249" s="26" t="e">
        <f>ROUND(R249,2)*S249</f>
        <v>#DIV/0!</v>
      </c>
      <c r="U249" s="94" t="e">
        <f>S249*dagenperjaar1</f>
        <v>#DIV/0!</v>
      </c>
      <c r="V249" s="27" t="e">
        <f>U249*ROUND(R249,2)</f>
        <v>#DIV/0!</v>
      </c>
    </row>
    <row r="250" spans="1:22" x14ac:dyDescent="0.4">
      <c r="A250" s="91" t="s">
        <v>291</v>
      </c>
      <c r="B250" s="92" t="s">
        <v>645</v>
      </c>
      <c r="C250" s="92" t="s">
        <v>331</v>
      </c>
      <c r="D250" s="92" t="s">
        <v>692</v>
      </c>
      <c r="E250" s="93" t="s">
        <v>693</v>
      </c>
      <c r="F250" s="92" t="s">
        <v>341</v>
      </c>
      <c r="G250" s="92" t="s">
        <v>251</v>
      </c>
      <c r="H250" s="92" t="s">
        <v>13</v>
      </c>
      <c r="I250" s="92" t="s">
        <v>293</v>
      </c>
      <c r="J250" s="93" t="s">
        <v>252</v>
      </c>
      <c r="K250" s="92" t="s">
        <v>320</v>
      </c>
      <c r="L250" s="92" t="s">
        <v>302</v>
      </c>
      <c r="M250" s="92" t="s">
        <v>295</v>
      </c>
      <c r="N250" s="94">
        <v>12</v>
      </c>
      <c r="O250" s="94">
        <f>N250*VLOOKUP(H250,dagsoorttabel1,2,FALSE)</f>
        <v>2.4000000000000004</v>
      </c>
      <c r="P250" s="95">
        <f>prodnorm57</f>
        <v>0</v>
      </c>
      <c r="Q250" s="92" t="s">
        <v>97</v>
      </c>
      <c r="R250" s="26">
        <f>uurtarief57</f>
        <v>0</v>
      </c>
      <c r="S250" s="94" t="e">
        <f>IF(ISBLANK(P250),0,O250/ROUND(P250,4))</f>
        <v>#DIV/0!</v>
      </c>
      <c r="T250" s="26" t="e">
        <f>ROUND(R250,2)*S250</f>
        <v>#DIV/0!</v>
      </c>
      <c r="U250" s="94" t="e">
        <f>S250*dagenperjaar1</f>
        <v>#DIV/0!</v>
      </c>
      <c r="V250" s="27" t="e">
        <f>U250*ROUND(R250,2)</f>
        <v>#DIV/0!</v>
      </c>
    </row>
    <row r="251" spans="1:22" x14ac:dyDescent="0.4">
      <c r="A251" s="91" t="s">
        <v>291</v>
      </c>
      <c r="B251" s="92" t="s">
        <v>645</v>
      </c>
      <c r="C251" s="92" t="s">
        <v>331</v>
      </c>
      <c r="D251" s="92" t="s">
        <v>694</v>
      </c>
      <c r="E251" s="93" t="s">
        <v>695</v>
      </c>
      <c r="F251" s="92" t="s">
        <v>341</v>
      </c>
      <c r="G251" s="92" t="s">
        <v>213</v>
      </c>
      <c r="H251" s="92" t="s">
        <v>9</v>
      </c>
      <c r="I251" s="92" t="s">
        <v>311</v>
      </c>
      <c r="J251" s="93" t="s">
        <v>214</v>
      </c>
      <c r="K251" s="92" t="s">
        <v>342</v>
      </c>
      <c r="L251" s="92" t="s">
        <v>347</v>
      </c>
      <c r="M251" s="92" t="s">
        <v>348</v>
      </c>
      <c r="N251" s="94">
        <v>32</v>
      </c>
      <c r="O251" s="94">
        <f>N251*VLOOKUP(H251,dagsoorttabel1,2,FALSE)</f>
        <v>32</v>
      </c>
      <c r="P251" s="95">
        <f>prodnorm30</f>
        <v>0</v>
      </c>
      <c r="Q251" s="92" t="s">
        <v>97</v>
      </c>
      <c r="R251" s="26">
        <f>uurtarief30</f>
        <v>0</v>
      </c>
      <c r="S251" s="94" t="e">
        <f>IF(ISBLANK(P251),0,O251/ROUND(P251,4))</f>
        <v>#DIV/0!</v>
      </c>
      <c r="T251" s="26" t="e">
        <f>ROUND(R251,2)*S251</f>
        <v>#DIV/0!</v>
      </c>
      <c r="U251" s="94" t="e">
        <f>S251*dagenperjaar1</f>
        <v>#DIV/0!</v>
      </c>
      <c r="V251" s="27" t="e">
        <f>U251*ROUND(R251,2)</f>
        <v>#DIV/0!</v>
      </c>
    </row>
    <row r="252" spans="1:22" x14ac:dyDescent="0.4">
      <c r="A252" s="91" t="s">
        <v>291</v>
      </c>
      <c r="B252" s="92" t="s">
        <v>645</v>
      </c>
      <c r="C252" s="92" t="s">
        <v>331</v>
      </c>
      <c r="D252" s="92" t="s">
        <v>696</v>
      </c>
      <c r="E252" s="93" t="s">
        <v>697</v>
      </c>
      <c r="F252" s="92" t="s">
        <v>341</v>
      </c>
      <c r="G252" s="92" t="s">
        <v>213</v>
      </c>
      <c r="H252" s="92" t="s">
        <v>9</v>
      </c>
      <c r="I252" s="92" t="s">
        <v>311</v>
      </c>
      <c r="J252" s="93" t="s">
        <v>214</v>
      </c>
      <c r="K252" s="92" t="s">
        <v>342</v>
      </c>
      <c r="L252" s="92" t="s">
        <v>347</v>
      </c>
      <c r="M252" s="92" t="s">
        <v>348</v>
      </c>
      <c r="N252" s="94">
        <v>31</v>
      </c>
      <c r="O252" s="94">
        <f>N252*VLOOKUP(H252,dagsoorttabel1,2,FALSE)</f>
        <v>31</v>
      </c>
      <c r="P252" s="95">
        <f>prodnorm30</f>
        <v>0</v>
      </c>
      <c r="Q252" s="92" t="s">
        <v>97</v>
      </c>
      <c r="R252" s="26">
        <f>uurtarief30</f>
        <v>0</v>
      </c>
      <c r="S252" s="94" t="e">
        <f>IF(ISBLANK(P252),0,O252/ROUND(P252,4))</f>
        <v>#DIV/0!</v>
      </c>
      <c r="T252" s="26" t="e">
        <f>ROUND(R252,2)*S252</f>
        <v>#DIV/0!</v>
      </c>
      <c r="U252" s="94" t="e">
        <f>S252*dagenperjaar1</f>
        <v>#DIV/0!</v>
      </c>
      <c r="V252" s="27" t="e">
        <f>U252*ROUND(R252,2)</f>
        <v>#DIV/0!</v>
      </c>
    </row>
    <row r="253" spans="1:22" x14ac:dyDescent="0.4">
      <c r="A253" s="91" t="s">
        <v>291</v>
      </c>
      <c r="B253" s="92" t="s">
        <v>645</v>
      </c>
      <c r="C253" s="92" t="s">
        <v>331</v>
      </c>
      <c r="D253" s="92" t="s">
        <v>698</v>
      </c>
      <c r="E253" s="93" t="s">
        <v>699</v>
      </c>
      <c r="F253" s="92" t="s">
        <v>341</v>
      </c>
      <c r="G253" s="92" t="s">
        <v>263</v>
      </c>
      <c r="H253" s="92" t="s">
        <v>20</v>
      </c>
      <c r="I253" s="92" t="s">
        <v>293</v>
      </c>
      <c r="J253" s="93" t="s">
        <v>264</v>
      </c>
      <c r="K253" s="92" t="s">
        <v>34</v>
      </c>
      <c r="L253" s="92" t="s">
        <v>302</v>
      </c>
      <c r="M253" s="92" t="s">
        <v>348</v>
      </c>
      <c r="N253" s="94">
        <v>3.29</v>
      </c>
      <c r="O253" s="94">
        <f>N253*VLOOKUP(H253,dagsoorttabel1,2,FALSE)</f>
        <v>1.2901960784313726E-2</v>
      </c>
      <c r="P253" s="95">
        <f>prodnorm16</f>
        <v>0</v>
      </c>
      <c r="Q253" s="92" t="s">
        <v>97</v>
      </c>
      <c r="R253" s="26">
        <f>uurtarief16</f>
        <v>0</v>
      </c>
      <c r="S253" s="94" t="e">
        <f>IF(ISBLANK(P253),0,O253/ROUND(P253,4))</f>
        <v>#DIV/0!</v>
      </c>
      <c r="T253" s="26" t="e">
        <f>ROUND(R253,2)*S253</f>
        <v>#DIV/0!</v>
      </c>
      <c r="U253" s="94" t="e">
        <f>S253*dagenperjaar1</f>
        <v>#DIV/0!</v>
      </c>
      <c r="V253" s="27" t="e">
        <f>U253*ROUND(R253,2)</f>
        <v>#DIV/0!</v>
      </c>
    </row>
    <row r="254" spans="1:22" x14ac:dyDescent="0.4">
      <c r="A254" s="91" t="s">
        <v>291</v>
      </c>
      <c r="B254" s="92" t="s">
        <v>645</v>
      </c>
      <c r="C254" s="92" t="s">
        <v>331</v>
      </c>
      <c r="D254" s="92" t="s">
        <v>700</v>
      </c>
      <c r="E254" s="93" t="s">
        <v>576</v>
      </c>
      <c r="F254" s="92" t="s">
        <v>301</v>
      </c>
      <c r="G254" s="92" t="s">
        <v>330</v>
      </c>
      <c r="H254" s="92"/>
      <c r="I254" s="92"/>
      <c r="J254" s="92"/>
      <c r="K254" s="92" t="s">
        <v>34</v>
      </c>
      <c r="L254" s="92" t="s">
        <v>302</v>
      </c>
      <c r="M254" s="92" t="s">
        <v>549</v>
      </c>
      <c r="N254" s="94">
        <v>7.5</v>
      </c>
      <c r="O254" s="94"/>
      <c r="P254" s="95"/>
      <c r="Q254" s="92"/>
      <c r="R254" s="26"/>
      <c r="S254" s="94"/>
      <c r="T254" s="26"/>
      <c r="U254" s="96"/>
      <c r="V254" s="27"/>
    </row>
    <row r="255" spans="1:22" x14ac:dyDescent="0.4">
      <c r="A255" s="91" t="s">
        <v>291</v>
      </c>
      <c r="B255" s="92" t="s">
        <v>645</v>
      </c>
      <c r="C255" s="92" t="s">
        <v>331</v>
      </c>
      <c r="D255" s="92" t="s">
        <v>701</v>
      </c>
      <c r="E255" s="93" t="s">
        <v>548</v>
      </c>
      <c r="F255" s="92" t="s">
        <v>341</v>
      </c>
      <c r="G255" s="92" t="s">
        <v>263</v>
      </c>
      <c r="H255" s="92" t="s">
        <v>20</v>
      </c>
      <c r="I255" s="92" t="s">
        <v>293</v>
      </c>
      <c r="J255" s="93" t="s">
        <v>264</v>
      </c>
      <c r="K255" s="92" t="s">
        <v>34</v>
      </c>
      <c r="L255" s="92" t="s">
        <v>302</v>
      </c>
      <c r="M255" s="92" t="s">
        <v>549</v>
      </c>
      <c r="N255" s="94">
        <v>1.04</v>
      </c>
      <c r="O255" s="94">
        <f>N255*VLOOKUP(H255,dagsoorttabel1,2,FALSE)</f>
        <v>4.0784313725490198E-3</v>
      </c>
      <c r="P255" s="95">
        <f>prodnorm16</f>
        <v>0</v>
      </c>
      <c r="Q255" s="92" t="s">
        <v>97</v>
      </c>
      <c r="R255" s="26">
        <f>uurtarief16</f>
        <v>0</v>
      </c>
      <c r="S255" s="94" t="e">
        <f>IF(ISBLANK(P255),0,O255/ROUND(P255,4))</f>
        <v>#DIV/0!</v>
      </c>
      <c r="T255" s="26" t="e">
        <f>ROUND(R255,2)*S255</f>
        <v>#DIV/0!</v>
      </c>
      <c r="U255" s="94" t="e">
        <f>S255*dagenperjaar1</f>
        <v>#DIV/0!</v>
      </c>
      <c r="V255" s="27" t="e">
        <f>U255*ROUND(R255,2)</f>
        <v>#DIV/0!</v>
      </c>
    </row>
    <row r="256" spans="1:22" x14ac:dyDescent="0.4">
      <c r="A256" s="91" t="s">
        <v>291</v>
      </c>
      <c r="B256" s="92" t="s">
        <v>645</v>
      </c>
      <c r="C256" s="92" t="s">
        <v>331</v>
      </c>
      <c r="D256" s="92" t="s">
        <v>702</v>
      </c>
      <c r="E256" s="93" t="s">
        <v>560</v>
      </c>
      <c r="F256" s="92" t="s">
        <v>425</v>
      </c>
      <c r="G256" s="92" t="s">
        <v>330</v>
      </c>
      <c r="H256" s="92"/>
      <c r="I256" s="92"/>
      <c r="J256" s="92"/>
      <c r="K256" s="92" t="s">
        <v>34</v>
      </c>
      <c r="L256" s="92" t="s">
        <v>347</v>
      </c>
      <c r="M256" s="92" t="s">
        <v>348</v>
      </c>
      <c r="N256" s="94">
        <v>12.6</v>
      </c>
      <c r="O256" s="94"/>
      <c r="P256" s="95"/>
      <c r="Q256" s="92"/>
      <c r="R256" s="26"/>
      <c r="S256" s="94"/>
      <c r="T256" s="26"/>
      <c r="U256" s="96"/>
      <c r="V256" s="27"/>
    </row>
    <row r="257" spans="1:22" x14ac:dyDescent="0.4">
      <c r="A257" s="91" t="s">
        <v>291</v>
      </c>
      <c r="B257" s="92" t="s">
        <v>645</v>
      </c>
      <c r="C257" s="92" t="s">
        <v>331</v>
      </c>
      <c r="D257" s="92" t="s">
        <v>703</v>
      </c>
      <c r="E257" s="93" t="s">
        <v>704</v>
      </c>
      <c r="F257" s="92" t="s">
        <v>315</v>
      </c>
      <c r="G257" s="92" t="s">
        <v>257</v>
      </c>
      <c r="H257" s="92" t="s">
        <v>9</v>
      </c>
      <c r="I257" s="92" t="s">
        <v>293</v>
      </c>
      <c r="J257" s="93" t="s">
        <v>258</v>
      </c>
      <c r="K257" s="92" t="s">
        <v>320</v>
      </c>
      <c r="L257" s="92" t="s">
        <v>294</v>
      </c>
      <c r="M257" s="92" t="s">
        <v>295</v>
      </c>
      <c r="N257" s="94">
        <v>2</v>
      </c>
      <c r="O257" s="94">
        <f>N257*VLOOKUP(H257,dagsoorttabel1,2,FALSE)</f>
        <v>2</v>
      </c>
      <c r="P257" s="95">
        <f>prodnorm14</f>
        <v>0</v>
      </c>
      <c r="Q257" s="92" t="s">
        <v>259</v>
      </c>
      <c r="R257" s="26">
        <f>uurtarief14</f>
        <v>0</v>
      </c>
      <c r="S257" s="94">
        <f>O257*ROUND(P257,4)/60</f>
        <v>0</v>
      </c>
      <c r="T257" s="26">
        <f>ROUND(R257,2)*S257</f>
        <v>0</v>
      </c>
      <c r="U257" s="94">
        <f>S257*dagenperjaar1</f>
        <v>0</v>
      </c>
      <c r="V257" s="27">
        <f>U257*ROUND(R257,2)</f>
        <v>0</v>
      </c>
    </row>
    <row r="258" spans="1:22" x14ac:dyDescent="0.4">
      <c r="A258" s="91" t="s">
        <v>291</v>
      </c>
      <c r="B258" s="92" t="s">
        <v>645</v>
      </c>
      <c r="C258" s="92" t="s">
        <v>331</v>
      </c>
      <c r="D258" s="92" t="s">
        <v>703</v>
      </c>
      <c r="E258" s="93" t="s">
        <v>704</v>
      </c>
      <c r="F258" s="92" t="s">
        <v>315</v>
      </c>
      <c r="G258" s="92" t="s">
        <v>269</v>
      </c>
      <c r="H258" s="92" t="s">
        <v>17</v>
      </c>
      <c r="I258" s="92" t="s">
        <v>293</v>
      </c>
      <c r="J258" s="93" t="s">
        <v>270</v>
      </c>
      <c r="K258" s="92" t="s">
        <v>320</v>
      </c>
      <c r="L258" s="92" t="s">
        <v>294</v>
      </c>
      <c r="M258" s="92" t="s">
        <v>295</v>
      </c>
      <c r="N258" s="94">
        <v>2</v>
      </c>
      <c r="O258" s="94">
        <f>N258*VLOOKUP(H258,dagsoorttabel1,2,FALSE)</f>
        <v>3.1372549019607843E-2</v>
      </c>
      <c r="P258" s="95">
        <f>prodnorm19</f>
        <v>0</v>
      </c>
      <c r="Q258" s="92" t="s">
        <v>259</v>
      </c>
      <c r="R258" s="26">
        <f>uurtarief19</f>
        <v>0</v>
      </c>
      <c r="S258" s="94">
        <f>O258*ROUND(P258,4)/60</f>
        <v>0</v>
      </c>
      <c r="T258" s="26">
        <f>ROUND(R258,2)*S258</f>
        <v>0</v>
      </c>
      <c r="U258" s="94">
        <f>S258*dagenperjaar1</f>
        <v>0</v>
      </c>
      <c r="V258" s="27">
        <f>U258*ROUND(R258,2)</f>
        <v>0</v>
      </c>
    </row>
    <row r="259" spans="1:22" x14ac:dyDescent="0.4">
      <c r="A259" s="91" t="s">
        <v>291</v>
      </c>
      <c r="B259" s="92" t="s">
        <v>645</v>
      </c>
      <c r="C259" s="92" t="s">
        <v>331</v>
      </c>
      <c r="D259" s="92" t="s">
        <v>703</v>
      </c>
      <c r="E259" s="93" t="s">
        <v>704</v>
      </c>
      <c r="F259" s="92" t="s">
        <v>315</v>
      </c>
      <c r="G259" s="92" t="s">
        <v>271</v>
      </c>
      <c r="H259" s="92" t="s">
        <v>20</v>
      </c>
      <c r="I259" s="92" t="s">
        <v>293</v>
      </c>
      <c r="J259" s="93" t="s">
        <v>272</v>
      </c>
      <c r="K259" s="92" t="s">
        <v>320</v>
      </c>
      <c r="L259" s="92" t="s">
        <v>294</v>
      </c>
      <c r="M259" s="92" t="s">
        <v>295</v>
      </c>
      <c r="N259" s="94">
        <v>594.67000000000007</v>
      </c>
      <c r="O259" s="94">
        <f>N259*VLOOKUP(H259,dagsoorttabel1,2,FALSE)</f>
        <v>2.3320392156862746</v>
      </c>
      <c r="P259" s="95">
        <f>prodnorm20</f>
        <v>0</v>
      </c>
      <c r="Q259" s="92" t="s">
        <v>97</v>
      </c>
      <c r="R259" s="26">
        <f>uurtarief20</f>
        <v>0</v>
      </c>
      <c r="S259" s="94" t="e">
        <f>IF(ISBLANK(P259),0,O259/ROUND(P259,4))</f>
        <v>#DIV/0!</v>
      </c>
      <c r="T259" s="26" t="e">
        <f>ROUND(R259,2)*S259</f>
        <v>#DIV/0!</v>
      </c>
      <c r="U259" s="94" t="e">
        <f>S259*dagenperjaar1</f>
        <v>#DIV/0!</v>
      </c>
      <c r="V259" s="27" t="e">
        <f>U259*ROUND(R259,2)</f>
        <v>#DIV/0!</v>
      </c>
    </row>
    <row r="260" spans="1:22" x14ac:dyDescent="0.4">
      <c r="A260" s="91" t="s">
        <v>291</v>
      </c>
      <c r="B260" s="92" t="s">
        <v>645</v>
      </c>
      <c r="C260" s="92" t="s">
        <v>331</v>
      </c>
      <c r="D260" s="92" t="s">
        <v>703</v>
      </c>
      <c r="E260" s="93" t="s">
        <v>704</v>
      </c>
      <c r="F260" s="92" t="s">
        <v>315</v>
      </c>
      <c r="G260" s="92" t="s">
        <v>217</v>
      </c>
      <c r="H260" s="92" t="s">
        <v>9</v>
      </c>
      <c r="I260" s="92" t="s">
        <v>293</v>
      </c>
      <c r="J260" s="93" t="s">
        <v>218</v>
      </c>
      <c r="K260" s="92" t="s">
        <v>320</v>
      </c>
      <c r="L260" s="92" t="s">
        <v>294</v>
      </c>
      <c r="M260" s="92" t="s">
        <v>295</v>
      </c>
      <c r="N260" s="94">
        <v>594.67000000000007</v>
      </c>
      <c r="O260" s="94">
        <f>N260*VLOOKUP(H260,dagsoorttabel1,2,FALSE)</f>
        <v>594.67000000000007</v>
      </c>
      <c r="P260" s="95">
        <f>prodnorm32</f>
        <v>0</v>
      </c>
      <c r="Q260" s="92" t="s">
        <v>97</v>
      </c>
      <c r="R260" s="26">
        <f>uurtarief32</f>
        <v>0</v>
      </c>
      <c r="S260" s="94" t="e">
        <f>IF(ISBLANK(P260),0,O260/ROUND(P260,4))</f>
        <v>#DIV/0!</v>
      </c>
      <c r="T260" s="26" t="e">
        <f>ROUND(R260,2)*S260</f>
        <v>#DIV/0!</v>
      </c>
      <c r="U260" s="94" t="e">
        <f>S260*dagenperjaar1</f>
        <v>#DIV/0!</v>
      </c>
      <c r="V260" s="27" t="e">
        <f>U260*ROUND(R260,2)</f>
        <v>#DIV/0!</v>
      </c>
    </row>
    <row r="261" spans="1:22" x14ac:dyDescent="0.4">
      <c r="A261" s="91" t="s">
        <v>291</v>
      </c>
      <c r="B261" s="92" t="s">
        <v>645</v>
      </c>
      <c r="C261" s="92" t="s">
        <v>331</v>
      </c>
      <c r="D261" s="92" t="s">
        <v>705</v>
      </c>
      <c r="E261" s="93" t="s">
        <v>706</v>
      </c>
      <c r="F261" s="92" t="s">
        <v>315</v>
      </c>
      <c r="G261" s="92" t="s">
        <v>330</v>
      </c>
      <c r="H261" s="92"/>
      <c r="I261" s="92"/>
      <c r="J261" s="92"/>
      <c r="K261" s="92" t="s">
        <v>34</v>
      </c>
      <c r="L261" s="92" t="s">
        <v>294</v>
      </c>
      <c r="M261" s="92" t="s">
        <v>707</v>
      </c>
      <c r="N261" s="94">
        <v>0.67</v>
      </c>
      <c r="O261" s="94"/>
      <c r="P261" s="95"/>
      <c r="Q261" s="92"/>
      <c r="R261" s="26"/>
      <c r="S261" s="94"/>
      <c r="T261" s="26"/>
      <c r="U261" s="96"/>
      <c r="V261" s="27"/>
    </row>
    <row r="262" spans="1:22" x14ac:dyDescent="0.4">
      <c r="A262" s="91" t="s">
        <v>291</v>
      </c>
      <c r="B262" s="92" t="s">
        <v>645</v>
      </c>
      <c r="C262" s="92" t="s">
        <v>331</v>
      </c>
      <c r="D262" s="92" t="s">
        <v>708</v>
      </c>
      <c r="E262" s="93" t="s">
        <v>709</v>
      </c>
      <c r="F262" s="92" t="s">
        <v>710</v>
      </c>
      <c r="G262" s="92" t="s">
        <v>330</v>
      </c>
      <c r="H262" s="92"/>
      <c r="I262" s="92"/>
      <c r="J262" s="92"/>
      <c r="K262" s="92" t="s">
        <v>34</v>
      </c>
      <c r="L262" s="92" t="s">
        <v>294</v>
      </c>
      <c r="M262" s="92" t="s">
        <v>707</v>
      </c>
      <c r="N262" s="94">
        <v>20</v>
      </c>
      <c r="O262" s="94"/>
      <c r="P262" s="95"/>
      <c r="Q262" s="92"/>
      <c r="R262" s="26"/>
      <c r="S262" s="94"/>
      <c r="T262" s="26"/>
      <c r="U262" s="96"/>
      <c r="V262" s="27"/>
    </row>
    <row r="263" spans="1:22" x14ac:dyDescent="0.4">
      <c r="A263" s="91" t="s">
        <v>291</v>
      </c>
      <c r="B263" s="92" t="s">
        <v>645</v>
      </c>
      <c r="C263" s="92" t="s">
        <v>331</v>
      </c>
      <c r="D263" s="92" t="s">
        <v>711</v>
      </c>
      <c r="E263" s="93" t="s">
        <v>712</v>
      </c>
      <c r="F263" s="92" t="s">
        <v>532</v>
      </c>
      <c r="G263" s="92" t="s">
        <v>330</v>
      </c>
      <c r="H263" s="92"/>
      <c r="I263" s="92"/>
      <c r="J263" s="92"/>
      <c r="K263" s="92" t="s">
        <v>34</v>
      </c>
      <c r="L263" s="92" t="s">
        <v>294</v>
      </c>
      <c r="M263" s="92" t="s">
        <v>707</v>
      </c>
      <c r="N263" s="94">
        <v>38</v>
      </c>
      <c r="O263" s="94"/>
      <c r="P263" s="95"/>
      <c r="Q263" s="92"/>
      <c r="R263" s="26"/>
      <c r="S263" s="94"/>
      <c r="T263" s="26"/>
      <c r="U263" s="96"/>
      <c r="V263" s="27"/>
    </row>
    <row r="264" spans="1:22" x14ac:dyDescent="0.4">
      <c r="A264" s="91" t="s">
        <v>291</v>
      </c>
      <c r="B264" s="92" t="s">
        <v>645</v>
      </c>
      <c r="C264" s="92" t="s">
        <v>331</v>
      </c>
      <c r="D264" s="92" t="s">
        <v>713</v>
      </c>
      <c r="E264" s="93" t="s">
        <v>714</v>
      </c>
      <c r="F264" s="92" t="s">
        <v>532</v>
      </c>
      <c r="G264" s="92" t="s">
        <v>330</v>
      </c>
      <c r="H264" s="92"/>
      <c r="I264" s="92"/>
      <c r="J264" s="92"/>
      <c r="K264" s="92" t="s">
        <v>34</v>
      </c>
      <c r="L264" s="92" t="s">
        <v>294</v>
      </c>
      <c r="M264" s="92" t="s">
        <v>707</v>
      </c>
      <c r="N264" s="94">
        <v>4</v>
      </c>
      <c r="O264" s="94"/>
      <c r="P264" s="95"/>
      <c r="Q264" s="92"/>
      <c r="R264" s="26"/>
      <c r="S264" s="94"/>
      <c r="T264" s="26"/>
      <c r="U264" s="96"/>
      <c r="V264" s="27"/>
    </row>
    <row r="265" spans="1:22" x14ac:dyDescent="0.4">
      <c r="A265" s="91" t="s">
        <v>291</v>
      </c>
      <c r="B265" s="92" t="s">
        <v>645</v>
      </c>
      <c r="C265" s="92" t="s">
        <v>331</v>
      </c>
      <c r="D265" s="92" t="s">
        <v>715</v>
      </c>
      <c r="E265" s="93" t="s">
        <v>576</v>
      </c>
      <c r="F265" s="92" t="s">
        <v>301</v>
      </c>
      <c r="G265" s="92" t="s">
        <v>330</v>
      </c>
      <c r="H265" s="92"/>
      <c r="I265" s="92"/>
      <c r="J265" s="92"/>
      <c r="K265" s="92" t="s">
        <v>34</v>
      </c>
      <c r="L265" s="92" t="s">
        <v>302</v>
      </c>
      <c r="M265" s="92" t="s">
        <v>549</v>
      </c>
      <c r="N265" s="94">
        <v>15.950000000000001</v>
      </c>
      <c r="O265" s="94"/>
      <c r="P265" s="95"/>
      <c r="Q265" s="92"/>
      <c r="R265" s="26"/>
      <c r="S265" s="94"/>
      <c r="T265" s="26"/>
      <c r="U265" s="96"/>
      <c r="V265" s="27"/>
    </row>
    <row r="266" spans="1:22" x14ac:dyDescent="0.4">
      <c r="A266" s="91" t="s">
        <v>291</v>
      </c>
      <c r="B266" s="92" t="s">
        <v>645</v>
      </c>
      <c r="C266" s="92" t="s">
        <v>331</v>
      </c>
      <c r="D266" s="92" t="s">
        <v>716</v>
      </c>
      <c r="E266" s="93" t="s">
        <v>717</v>
      </c>
      <c r="F266" s="92" t="s">
        <v>532</v>
      </c>
      <c r="G266" s="92" t="s">
        <v>330</v>
      </c>
      <c r="H266" s="92"/>
      <c r="I266" s="92"/>
      <c r="J266" s="92"/>
      <c r="K266" s="92" t="s">
        <v>34</v>
      </c>
      <c r="L266" s="92" t="s">
        <v>294</v>
      </c>
      <c r="M266" s="92" t="s">
        <v>707</v>
      </c>
      <c r="N266" s="94">
        <v>33.15</v>
      </c>
      <c r="O266" s="94"/>
      <c r="P266" s="95"/>
      <c r="Q266" s="92"/>
      <c r="R266" s="26"/>
      <c r="S266" s="94"/>
      <c r="T266" s="26"/>
      <c r="U266" s="96"/>
      <c r="V266" s="27"/>
    </row>
    <row r="267" spans="1:22" x14ac:dyDescent="0.4">
      <c r="A267" s="91" t="s">
        <v>291</v>
      </c>
      <c r="B267" s="92" t="s">
        <v>645</v>
      </c>
      <c r="C267" s="92" t="s">
        <v>331</v>
      </c>
      <c r="D267" s="92" t="s">
        <v>718</v>
      </c>
      <c r="E267" s="93" t="s">
        <v>719</v>
      </c>
      <c r="F267" s="92" t="s">
        <v>720</v>
      </c>
      <c r="G267" s="92" t="s">
        <v>330</v>
      </c>
      <c r="H267" s="92"/>
      <c r="I267" s="92"/>
      <c r="J267" s="92"/>
      <c r="K267" s="92" t="s">
        <v>34</v>
      </c>
      <c r="L267" s="92" t="s">
        <v>294</v>
      </c>
      <c r="M267" s="92" t="s">
        <v>707</v>
      </c>
      <c r="N267" s="94">
        <v>16</v>
      </c>
      <c r="O267" s="94"/>
      <c r="P267" s="95"/>
      <c r="Q267" s="92"/>
      <c r="R267" s="26"/>
      <c r="S267" s="94"/>
      <c r="T267" s="26"/>
      <c r="U267" s="96"/>
      <c r="V267" s="27"/>
    </row>
    <row r="268" spans="1:22" x14ac:dyDescent="0.4">
      <c r="A268" s="91" t="s">
        <v>291</v>
      </c>
      <c r="B268" s="92" t="s">
        <v>645</v>
      </c>
      <c r="C268" s="92" t="s">
        <v>331</v>
      </c>
      <c r="D268" s="92" t="s">
        <v>721</v>
      </c>
      <c r="E268" s="93" t="s">
        <v>722</v>
      </c>
      <c r="F268" s="92" t="s">
        <v>532</v>
      </c>
      <c r="G268" s="92" t="s">
        <v>330</v>
      </c>
      <c r="H268" s="92"/>
      <c r="I268" s="92"/>
      <c r="J268" s="92"/>
      <c r="K268" s="92" t="s">
        <v>34</v>
      </c>
      <c r="L268" s="92" t="s">
        <v>294</v>
      </c>
      <c r="M268" s="92" t="s">
        <v>707</v>
      </c>
      <c r="N268" s="94">
        <v>4</v>
      </c>
      <c r="O268" s="94"/>
      <c r="P268" s="95"/>
      <c r="Q268" s="92"/>
      <c r="R268" s="26"/>
      <c r="S268" s="94"/>
      <c r="T268" s="26"/>
      <c r="U268" s="96"/>
      <c r="V268" s="27"/>
    </row>
    <row r="269" spans="1:22" x14ac:dyDescent="0.4">
      <c r="A269" s="91" t="s">
        <v>291</v>
      </c>
      <c r="B269" s="92" t="s">
        <v>645</v>
      </c>
      <c r="C269" s="92" t="s">
        <v>331</v>
      </c>
      <c r="D269" s="92" t="s">
        <v>723</v>
      </c>
      <c r="E269" s="93" t="s">
        <v>684</v>
      </c>
      <c r="F269" s="92" t="s">
        <v>341</v>
      </c>
      <c r="G269" s="92" t="s">
        <v>251</v>
      </c>
      <c r="H269" s="92" t="s">
        <v>13</v>
      </c>
      <c r="I269" s="92" t="s">
        <v>293</v>
      </c>
      <c r="J269" s="93" t="s">
        <v>252</v>
      </c>
      <c r="K269" s="92" t="s">
        <v>320</v>
      </c>
      <c r="L269" s="92" t="s">
        <v>302</v>
      </c>
      <c r="M269" s="92" t="s">
        <v>295</v>
      </c>
      <c r="N269" s="94">
        <v>14.870000000000001</v>
      </c>
      <c r="O269" s="94">
        <f>N269*VLOOKUP(H269,dagsoorttabel1,2,FALSE)</f>
        <v>2.9740000000000002</v>
      </c>
      <c r="P269" s="95">
        <f>prodnorm57</f>
        <v>0</v>
      </c>
      <c r="Q269" s="92" t="s">
        <v>97</v>
      </c>
      <c r="R269" s="26">
        <f>uurtarief57</f>
        <v>0</v>
      </c>
      <c r="S269" s="94" t="e">
        <f>IF(ISBLANK(P269),0,O269/ROUND(P269,4))</f>
        <v>#DIV/0!</v>
      </c>
      <c r="T269" s="26" t="e">
        <f>ROUND(R269,2)*S269</f>
        <v>#DIV/0!</v>
      </c>
      <c r="U269" s="94" t="e">
        <f>S269*dagenperjaar1</f>
        <v>#DIV/0!</v>
      </c>
      <c r="V269" s="27" t="e">
        <f>U269*ROUND(R269,2)</f>
        <v>#DIV/0!</v>
      </c>
    </row>
    <row r="270" spans="1:22" x14ac:dyDescent="0.4">
      <c r="A270" s="91" t="s">
        <v>291</v>
      </c>
      <c r="B270" s="92" t="s">
        <v>645</v>
      </c>
      <c r="C270" s="92" t="s">
        <v>368</v>
      </c>
      <c r="D270" s="92" t="s">
        <v>724</v>
      </c>
      <c r="E270" s="93" t="s">
        <v>725</v>
      </c>
      <c r="F270" s="92" t="s">
        <v>315</v>
      </c>
      <c r="G270" s="92" t="s">
        <v>271</v>
      </c>
      <c r="H270" s="92" t="s">
        <v>20</v>
      </c>
      <c r="I270" s="92" t="s">
        <v>293</v>
      </c>
      <c r="J270" s="93" t="s">
        <v>272</v>
      </c>
      <c r="K270" s="92" t="s">
        <v>320</v>
      </c>
      <c r="L270" s="92" t="s">
        <v>294</v>
      </c>
      <c r="M270" s="92" t="s">
        <v>295</v>
      </c>
      <c r="N270" s="94">
        <v>33.130000000000003</v>
      </c>
      <c r="O270" s="94">
        <f>N270*VLOOKUP(H270,dagsoorttabel1,2,FALSE)</f>
        <v>0.129921568627451</v>
      </c>
      <c r="P270" s="95">
        <f>prodnorm20</f>
        <v>0</v>
      </c>
      <c r="Q270" s="92" t="s">
        <v>97</v>
      </c>
      <c r="R270" s="26">
        <f>uurtarief20</f>
        <v>0</v>
      </c>
      <c r="S270" s="94" t="e">
        <f>IF(ISBLANK(P270),0,O270/ROUND(P270,4))</f>
        <v>#DIV/0!</v>
      </c>
      <c r="T270" s="26" t="e">
        <f>ROUND(R270,2)*S270</f>
        <v>#DIV/0!</v>
      </c>
      <c r="U270" s="94" t="e">
        <f>S270*dagenperjaar1</f>
        <v>#DIV/0!</v>
      </c>
      <c r="V270" s="27" t="e">
        <f>U270*ROUND(R270,2)</f>
        <v>#DIV/0!</v>
      </c>
    </row>
    <row r="271" spans="1:22" x14ac:dyDescent="0.4">
      <c r="A271" s="91" t="s">
        <v>291</v>
      </c>
      <c r="B271" s="92" t="s">
        <v>645</v>
      </c>
      <c r="C271" s="92" t="s">
        <v>368</v>
      </c>
      <c r="D271" s="92" t="s">
        <v>724</v>
      </c>
      <c r="E271" s="93" t="s">
        <v>725</v>
      </c>
      <c r="F271" s="92" t="s">
        <v>315</v>
      </c>
      <c r="G271" s="92" t="s">
        <v>231</v>
      </c>
      <c r="H271" s="92" t="s">
        <v>11</v>
      </c>
      <c r="I271" s="92" t="s">
        <v>293</v>
      </c>
      <c r="J271" s="93" t="s">
        <v>232</v>
      </c>
      <c r="K271" s="92" t="s">
        <v>320</v>
      </c>
      <c r="L271" s="92" t="s">
        <v>294</v>
      </c>
      <c r="M271" s="92" t="s">
        <v>295</v>
      </c>
      <c r="N271" s="94">
        <v>33.130000000000003</v>
      </c>
      <c r="O271" s="94">
        <f>N271*VLOOKUP(H271,dagsoorttabel1,2,FALSE)</f>
        <v>19.878</v>
      </c>
      <c r="P271" s="95">
        <f>prodnorm41</f>
        <v>0</v>
      </c>
      <c r="Q271" s="92" t="s">
        <v>97</v>
      </c>
      <c r="R271" s="26">
        <f>uurtarief41</f>
        <v>0</v>
      </c>
      <c r="S271" s="94" t="e">
        <f>IF(ISBLANK(P271),0,O271/ROUND(P271,4))</f>
        <v>#DIV/0!</v>
      </c>
      <c r="T271" s="26" t="e">
        <f>ROUND(R271,2)*S271</f>
        <v>#DIV/0!</v>
      </c>
      <c r="U271" s="94" t="e">
        <f>S271*dagenperjaar1</f>
        <v>#DIV/0!</v>
      </c>
      <c r="V271" s="27" t="e">
        <f>U271*ROUND(R271,2)</f>
        <v>#DIV/0!</v>
      </c>
    </row>
    <row r="272" spans="1:22" x14ac:dyDescent="0.4">
      <c r="A272" s="91" t="s">
        <v>291</v>
      </c>
      <c r="B272" s="92" t="s">
        <v>645</v>
      </c>
      <c r="C272" s="92" t="s">
        <v>368</v>
      </c>
      <c r="D272" s="92" t="s">
        <v>726</v>
      </c>
      <c r="E272" s="93" t="s">
        <v>727</v>
      </c>
      <c r="F272" s="92" t="s">
        <v>532</v>
      </c>
      <c r="G272" s="92" t="s">
        <v>219</v>
      </c>
      <c r="H272" s="92" t="s">
        <v>15</v>
      </c>
      <c r="I272" s="92" t="s">
        <v>293</v>
      </c>
      <c r="J272" s="93" t="s">
        <v>220</v>
      </c>
      <c r="K272" s="92" t="s">
        <v>320</v>
      </c>
      <c r="L272" s="92" t="s">
        <v>402</v>
      </c>
      <c r="M272" s="92" t="s">
        <v>348</v>
      </c>
      <c r="N272" s="94">
        <v>33.6</v>
      </c>
      <c r="O272" s="94">
        <f>N272*VLOOKUP(H272,dagsoorttabel1,2,FALSE)</f>
        <v>1.5811764705882354</v>
      </c>
      <c r="P272" s="95">
        <f>prodnorm33</f>
        <v>0</v>
      </c>
      <c r="Q272" s="92" t="s">
        <v>97</v>
      </c>
      <c r="R272" s="26">
        <f>uurtarief33</f>
        <v>0</v>
      </c>
      <c r="S272" s="94" t="e">
        <f>IF(ISBLANK(P272),0,O272/ROUND(P272,4))</f>
        <v>#DIV/0!</v>
      </c>
      <c r="T272" s="26" t="e">
        <f>ROUND(R272,2)*S272</f>
        <v>#DIV/0!</v>
      </c>
      <c r="U272" s="94" t="e">
        <f>S272*dagenperjaar1</f>
        <v>#DIV/0!</v>
      </c>
      <c r="V272" s="27" t="e">
        <f>U272*ROUND(R272,2)</f>
        <v>#DIV/0!</v>
      </c>
    </row>
    <row r="273" spans="1:22" x14ac:dyDescent="0.4">
      <c r="A273" s="91" t="s">
        <v>291</v>
      </c>
      <c r="B273" s="92" t="s">
        <v>645</v>
      </c>
      <c r="C273" s="92" t="s">
        <v>368</v>
      </c>
      <c r="D273" s="92" t="s">
        <v>728</v>
      </c>
      <c r="E273" s="93" t="s">
        <v>729</v>
      </c>
      <c r="F273" s="92" t="s">
        <v>532</v>
      </c>
      <c r="G273" s="92" t="s">
        <v>219</v>
      </c>
      <c r="H273" s="92" t="s">
        <v>15</v>
      </c>
      <c r="I273" s="92" t="s">
        <v>293</v>
      </c>
      <c r="J273" s="93" t="s">
        <v>220</v>
      </c>
      <c r="K273" s="92" t="s">
        <v>320</v>
      </c>
      <c r="L273" s="92" t="s">
        <v>402</v>
      </c>
      <c r="M273" s="92" t="s">
        <v>348</v>
      </c>
      <c r="N273" s="94">
        <v>37.349999999999994</v>
      </c>
      <c r="O273" s="94">
        <f>N273*VLOOKUP(H273,dagsoorttabel1,2,FALSE)</f>
        <v>1.7576470588235291</v>
      </c>
      <c r="P273" s="95">
        <f>prodnorm33</f>
        <v>0</v>
      </c>
      <c r="Q273" s="92" t="s">
        <v>97</v>
      </c>
      <c r="R273" s="26">
        <f>uurtarief33</f>
        <v>0</v>
      </c>
      <c r="S273" s="94" t="e">
        <f>IF(ISBLANK(P273),0,O273/ROUND(P273,4))</f>
        <v>#DIV/0!</v>
      </c>
      <c r="T273" s="26" t="e">
        <f>ROUND(R273,2)*S273</f>
        <v>#DIV/0!</v>
      </c>
      <c r="U273" s="94" t="e">
        <f>S273*dagenperjaar1</f>
        <v>#DIV/0!</v>
      </c>
      <c r="V273" s="27" t="e">
        <f>U273*ROUND(R273,2)</f>
        <v>#DIV/0!</v>
      </c>
    </row>
    <row r="274" spans="1:22" x14ac:dyDescent="0.4">
      <c r="A274" s="91" t="s">
        <v>291</v>
      </c>
      <c r="B274" s="92" t="s">
        <v>645</v>
      </c>
      <c r="C274" s="92" t="s">
        <v>368</v>
      </c>
      <c r="D274" s="92" t="s">
        <v>730</v>
      </c>
      <c r="E274" s="93" t="s">
        <v>731</v>
      </c>
      <c r="F274" s="92" t="s">
        <v>315</v>
      </c>
      <c r="G274" s="92" t="s">
        <v>257</v>
      </c>
      <c r="H274" s="92" t="s">
        <v>9</v>
      </c>
      <c r="I274" s="92" t="s">
        <v>293</v>
      </c>
      <c r="J274" s="93" t="s">
        <v>258</v>
      </c>
      <c r="K274" s="92" t="s">
        <v>320</v>
      </c>
      <c r="L274" s="92" t="s">
        <v>294</v>
      </c>
      <c r="M274" s="92" t="s">
        <v>295</v>
      </c>
      <c r="N274" s="94">
        <v>1</v>
      </c>
      <c r="O274" s="94">
        <f>N274*VLOOKUP(H274,dagsoorttabel1,2,FALSE)</f>
        <v>1</v>
      </c>
      <c r="P274" s="95">
        <f>prodnorm14</f>
        <v>0</v>
      </c>
      <c r="Q274" s="92" t="s">
        <v>259</v>
      </c>
      <c r="R274" s="26">
        <f>uurtarief14</f>
        <v>0</v>
      </c>
      <c r="S274" s="94">
        <f>O274*ROUND(P274,4)/60</f>
        <v>0</v>
      </c>
      <c r="T274" s="26">
        <f>ROUND(R274,2)*S274</f>
        <v>0</v>
      </c>
      <c r="U274" s="94">
        <f>S274*dagenperjaar1</f>
        <v>0</v>
      </c>
      <c r="V274" s="27">
        <f>U274*ROUND(R274,2)</f>
        <v>0</v>
      </c>
    </row>
    <row r="275" spans="1:22" x14ac:dyDescent="0.4">
      <c r="A275" s="91" t="s">
        <v>291</v>
      </c>
      <c r="B275" s="92" t="s">
        <v>645</v>
      </c>
      <c r="C275" s="92" t="s">
        <v>368</v>
      </c>
      <c r="D275" s="92" t="s">
        <v>730</v>
      </c>
      <c r="E275" s="93" t="s">
        <v>731</v>
      </c>
      <c r="F275" s="92" t="s">
        <v>315</v>
      </c>
      <c r="G275" s="92" t="s">
        <v>267</v>
      </c>
      <c r="H275" s="92" t="s">
        <v>17</v>
      </c>
      <c r="I275" s="92" t="s">
        <v>293</v>
      </c>
      <c r="J275" s="93" t="s">
        <v>268</v>
      </c>
      <c r="K275" s="92" t="s">
        <v>320</v>
      </c>
      <c r="L275" s="92" t="s">
        <v>294</v>
      </c>
      <c r="M275" s="92" t="s">
        <v>295</v>
      </c>
      <c r="N275" s="94">
        <v>3</v>
      </c>
      <c r="O275" s="94">
        <f>N275*VLOOKUP(H275,dagsoorttabel1,2,FALSE)</f>
        <v>4.7058823529411764E-2</v>
      </c>
      <c r="P275" s="95">
        <f>prodnorm18</f>
        <v>0</v>
      </c>
      <c r="Q275" s="92" t="s">
        <v>259</v>
      </c>
      <c r="R275" s="26">
        <f>uurtarief18</f>
        <v>0</v>
      </c>
      <c r="S275" s="94">
        <f>O275*ROUND(P275,4)/60</f>
        <v>0</v>
      </c>
      <c r="T275" s="26">
        <f>ROUND(R275,2)*S275</f>
        <v>0</v>
      </c>
      <c r="U275" s="94">
        <f>S275*dagenperjaar1</f>
        <v>0</v>
      </c>
      <c r="V275" s="27">
        <f>U275*ROUND(R275,2)</f>
        <v>0</v>
      </c>
    </row>
    <row r="276" spans="1:22" x14ac:dyDescent="0.4">
      <c r="A276" s="91" t="s">
        <v>291</v>
      </c>
      <c r="B276" s="92" t="s">
        <v>645</v>
      </c>
      <c r="C276" s="92" t="s">
        <v>368</v>
      </c>
      <c r="D276" s="92" t="s">
        <v>730</v>
      </c>
      <c r="E276" s="93" t="s">
        <v>731</v>
      </c>
      <c r="F276" s="92" t="s">
        <v>315</v>
      </c>
      <c r="G276" s="92" t="s">
        <v>269</v>
      </c>
      <c r="H276" s="92" t="s">
        <v>17</v>
      </c>
      <c r="I276" s="92" t="s">
        <v>293</v>
      </c>
      <c r="J276" s="93" t="s">
        <v>270</v>
      </c>
      <c r="K276" s="92" t="s">
        <v>320</v>
      </c>
      <c r="L276" s="92" t="s">
        <v>294</v>
      </c>
      <c r="M276" s="92" t="s">
        <v>295</v>
      </c>
      <c r="N276" s="94">
        <v>2</v>
      </c>
      <c r="O276" s="94">
        <f>N276*VLOOKUP(H276,dagsoorttabel1,2,FALSE)</f>
        <v>3.1372549019607843E-2</v>
      </c>
      <c r="P276" s="95">
        <f>prodnorm19</f>
        <v>0</v>
      </c>
      <c r="Q276" s="92" t="s">
        <v>259</v>
      </c>
      <c r="R276" s="26">
        <f>uurtarief19</f>
        <v>0</v>
      </c>
      <c r="S276" s="94">
        <f>O276*ROUND(P276,4)/60</f>
        <v>0</v>
      </c>
      <c r="T276" s="26">
        <f>ROUND(R276,2)*S276</f>
        <v>0</v>
      </c>
      <c r="U276" s="94">
        <f>S276*dagenperjaar1</f>
        <v>0</v>
      </c>
      <c r="V276" s="27">
        <f>U276*ROUND(R276,2)</f>
        <v>0</v>
      </c>
    </row>
    <row r="277" spans="1:22" x14ac:dyDescent="0.4">
      <c r="A277" s="91" t="s">
        <v>291</v>
      </c>
      <c r="B277" s="92" t="s">
        <v>645</v>
      </c>
      <c r="C277" s="92" t="s">
        <v>368</v>
      </c>
      <c r="D277" s="92" t="s">
        <v>730</v>
      </c>
      <c r="E277" s="93" t="s">
        <v>731</v>
      </c>
      <c r="F277" s="92" t="s">
        <v>315</v>
      </c>
      <c r="G277" s="92" t="s">
        <v>271</v>
      </c>
      <c r="H277" s="92" t="s">
        <v>20</v>
      </c>
      <c r="I277" s="92" t="s">
        <v>293</v>
      </c>
      <c r="J277" s="93" t="s">
        <v>272</v>
      </c>
      <c r="K277" s="92" t="s">
        <v>320</v>
      </c>
      <c r="L277" s="92" t="s">
        <v>294</v>
      </c>
      <c r="M277" s="92" t="s">
        <v>295</v>
      </c>
      <c r="N277" s="94">
        <v>311.34000000000003</v>
      </c>
      <c r="O277" s="94">
        <f>N277*VLOOKUP(H277,dagsoorttabel1,2,FALSE)</f>
        <v>1.2209411764705884</v>
      </c>
      <c r="P277" s="95">
        <f>prodnorm20</f>
        <v>0</v>
      </c>
      <c r="Q277" s="92" t="s">
        <v>97</v>
      </c>
      <c r="R277" s="26">
        <f>uurtarief20</f>
        <v>0</v>
      </c>
      <c r="S277" s="94" t="e">
        <f>IF(ISBLANK(P277),0,O277/ROUND(P277,4))</f>
        <v>#DIV/0!</v>
      </c>
      <c r="T277" s="26" t="e">
        <f>ROUND(R277,2)*S277</f>
        <v>#DIV/0!</v>
      </c>
      <c r="U277" s="94" t="e">
        <f>S277*dagenperjaar1</f>
        <v>#DIV/0!</v>
      </c>
      <c r="V277" s="27" t="e">
        <f>U277*ROUND(R277,2)</f>
        <v>#DIV/0!</v>
      </c>
    </row>
    <row r="278" spans="1:22" x14ac:dyDescent="0.4">
      <c r="A278" s="91" t="s">
        <v>291</v>
      </c>
      <c r="B278" s="92" t="s">
        <v>645</v>
      </c>
      <c r="C278" s="92" t="s">
        <v>368</v>
      </c>
      <c r="D278" s="92" t="s">
        <v>730</v>
      </c>
      <c r="E278" s="93" t="s">
        <v>731</v>
      </c>
      <c r="F278" s="92" t="s">
        <v>315</v>
      </c>
      <c r="G278" s="92" t="s">
        <v>217</v>
      </c>
      <c r="H278" s="92" t="s">
        <v>9</v>
      </c>
      <c r="I278" s="92" t="s">
        <v>293</v>
      </c>
      <c r="J278" s="93" t="s">
        <v>218</v>
      </c>
      <c r="K278" s="92" t="s">
        <v>320</v>
      </c>
      <c r="L278" s="92" t="s">
        <v>294</v>
      </c>
      <c r="M278" s="92" t="s">
        <v>295</v>
      </c>
      <c r="N278" s="94">
        <v>311.34000000000003</v>
      </c>
      <c r="O278" s="94">
        <f>N278*VLOOKUP(H278,dagsoorttabel1,2,FALSE)</f>
        <v>311.34000000000003</v>
      </c>
      <c r="P278" s="95">
        <f>prodnorm32</f>
        <v>0</v>
      </c>
      <c r="Q278" s="92" t="s">
        <v>97</v>
      </c>
      <c r="R278" s="26">
        <f>uurtarief32</f>
        <v>0</v>
      </c>
      <c r="S278" s="94" t="e">
        <f>IF(ISBLANK(P278),0,O278/ROUND(P278,4))</f>
        <v>#DIV/0!</v>
      </c>
      <c r="T278" s="26" t="e">
        <f>ROUND(R278,2)*S278</f>
        <v>#DIV/0!</v>
      </c>
      <c r="U278" s="94" t="e">
        <f>S278*dagenperjaar1</f>
        <v>#DIV/0!</v>
      </c>
      <c r="V278" s="27" t="e">
        <f>U278*ROUND(R278,2)</f>
        <v>#DIV/0!</v>
      </c>
    </row>
    <row r="279" spans="1:22" x14ac:dyDescent="0.4">
      <c r="A279" s="91" t="s">
        <v>291</v>
      </c>
      <c r="B279" s="92" t="s">
        <v>645</v>
      </c>
      <c r="C279" s="92" t="s">
        <v>395</v>
      </c>
      <c r="D279" s="92" t="s">
        <v>732</v>
      </c>
      <c r="E279" s="93" t="s">
        <v>401</v>
      </c>
      <c r="F279" s="92" t="s">
        <v>341</v>
      </c>
      <c r="G279" s="92" t="s">
        <v>241</v>
      </c>
      <c r="H279" s="92" t="s">
        <v>11</v>
      </c>
      <c r="I279" s="92" t="s">
        <v>293</v>
      </c>
      <c r="J279" s="93" t="s">
        <v>242</v>
      </c>
      <c r="K279" s="92" t="s">
        <v>320</v>
      </c>
      <c r="L279" s="92" t="s">
        <v>402</v>
      </c>
      <c r="M279" s="92" t="s">
        <v>348</v>
      </c>
      <c r="N279" s="94">
        <v>42.6</v>
      </c>
      <c r="O279" s="94">
        <f>N279*VLOOKUP(H279,dagsoorttabel1,2,FALSE)</f>
        <v>25.56</v>
      </c>
      <c r="P279" s="95">
        <f>prodnorm48</f>
        <v>0</v>
      </c>
      <c r="Q279" s="92" t="s">
        <v>97</v>
      </c>
      <c r="R279" s="26">
        <f>uurtarief48</f>
        <v>0</v>
      </c>
      <c r="S279" s="94" t="e">
        <f>IF(ISBLANK(P279),0,O279/ROUND(P279,4))</f>
        <v>#DIV/0!</v>
      </c>
      <c r="T279" s="26" t="e">
        <f>ROUND(R279,2)*S279</f>
        <v>#DIV/0!</v>
      </c>
      <c r="U279" s="94" t="e">
        <f>S279*dagenperjaar1</f>
        <v>#DIV/0!</v>
      </c>
      <c r="V279" s="27" t="e">
        <f>U279*ROUND(R279,2)</f>
        <v>#DIV/0!</v>
      </c>
    </row>
    <row r="280" spans="1:22" x14ac:dyDescent="0.4">
      <c r="A280" s="91" t="s">
        <v>291</v>
      </c>
      <c r="B280" s="92" t="s">
        <v>645</v>
      </c>
      <c r="C280" s="92" t="s">
        <v>395</v>
      </c>
      <c r="D280" s="92" t="s">
        <v>733</v>
      </c>
      <c r="E280" s="93" t="s">
        <v>734</v>
      </c>
      <c r="F280" s="92" t="s">
        <v>425</v>
      </c>
      <c r="G280" s="92" t="s">
        <v>209</v>
      </c>
      <c r="H280" s="92" t="s">
        <v>11</v>
      </c>
      <c r="I280" s="92" t="s">
        <v>293</v>
      </c>
      <c r="J280" s="93" t="s">
        <v>210</v>
      </c>
      <c r="K280" s="92" t="s">
        <v>342</v>
      </c>
      <c r="L280" s="92" t="s">
        <v>402</v>
      </c>
      <c r="M280" s="92" t="s">
        <v>348</v>
      </c>
      <c r="N280" s="94">
        <v>18.600000000000001</v>
      </c>
      <c r="O280" s="94">
        <f>N280*VLOOKUP(H280,dagsoorttabel1,2,FALSE)</f>
        <v>11.16</v>
      </c>
      <c r="P280" s="95">
        <f>prodnorm27</f>
        <v>0</v>
      </c>
      <c r="Q280" s="92" t="s">
        <v>97</v>
      </c>
      <c r="R280" s="26">
        <f>uurtarief27</f>
        <v>0</v>
      </c>
      <c r="S280" s="94" t="e">
        <f>IF(ISBLANK(P280),0,O280/ROUND(P280,4))</f>
        <v>#DIV/0!</v>
      </c>
      <c r="T280" s="26" t="e">
        <f>ROUND(R280,2)*S280</f>
        <v>#DIV/0!</v>
      </c>
      <c r="U280" s="94" t="e">
        <f>S280*dagenperjaar1</f>
        <v>#DIV/0!</v>
      </c>
      <c r="V280" s="27" t="e">
        <f>U280*ROUND(R280,2)</f>
        <v>#DIV/0!</v>
      </c>
    </row>
    <row r="281" spans="1:22" x14ac:dyDescent="0.4">
      <c r="A281" s="91" t="s">
        <v>291</v>
      </c>
      <c r="B281" s="92" t="s">
        <v>645</v>
      </c>
      <c r="C281" s="92" t="s">
        <v>395</v>
      </c>
      <c r="D281" s="92" t="s">
        <v>735</v>
      </c>
      <c r="E281" s="93" t="s">
        <v>736</v>
      </c>
      <c r="F281" s="92" t="s">
        <v>425</v>
      </c>
      <c r="G281" s="92" t="s">
        <v>209</v>
      </c>
      <c r="H281" s="92" t="s">
        <v>11</v>
      </c>
      <c r="I281" s="92" t="s">
        <v>293</v>
      </c>
      <c r="J281" s="93" t="s">
        <v>210</v>
      </c>
      <c r="K281" s="92" t="s">
        <v>342</v>
      </c>
      <c r="L281" s="92" t="s">
        <v>402</v>
      </c>
      <c r="M281" s="92" t="s">
        <v>348</v>
      </c>
      <c r="N281" s="94">
        <v>23.91</v>
      </c>
      <c r="O281" s="94">
        <f>N281*VLOOKUP(H281,dagsoorttabel1,2,FALSE)</f>
        <v>14.346</v>
      </c>
      <c r="P281" s="95">
        <f>prodnorm27</f>
        <v>0</v>
      </c>
      <c r="Q281" s="92" t="s">
        <v>97</v>
      </c>
      <c r="R281" s="26">
        <f>uurtarief27</f>
        <v>0</v>
      </c>
      <c r="S281" s="94" t="e">
        <f>IF(ISBLANK(P281),0,O281/ROUND(P281,4))</f>
        <v>#DIV/0!</v>
      </c>
      <c r="T281" s="26" t="e">
        <f>ROUND(R281,2)*S281</f>
        <v>#DIV/0!</v>
      </c>
      <c r="U281" s="94" t="e">
        <f>S281*dagenperjaar1</f>
        <v>#DIV/0!</v>
      </c>
      <c r="V281" s="27" t="e">
        <f>U281*ROUND(R281,2)</f>
        <v>#DIV/0!</v>
      </c>
    </row>
    <row r="282" spans="1:22" x14ac:dyDescent="0.4">
      <c r="A282" s="91" t="s">
        <v>291</v>
      </c>
      <c r="B282" s="92" t="s">
        <v>645</v>
      </c>
      <c r="C282" s="92" t="s">
        <v>395</v>
      </c>
      <c r="D282" s="92" t="s">
        <v>737</v>
      </c>
      <c r="E282" s="93" t="s">
        <v>668</v>
      </c>
      <c r="F282" s="92" t="s">
        <v>341</v>
      </c>
      <c r="G282" s="92" t="s">
        <v>251</v>
      </c>
      <c r="H282" s="92" t="s">
        <v>11</v>
      </c>
      <c r="I282" s="92" t="s">
        <v>293</v>
      </c>
      <c r="J282" s="93" t="s">
        <v>252</v>
      </c>
      <c r="K282" s="92" t="s">
        <v>320</v>
      </c>
      <c r="L282" s="92" t="s">
        <v>302</v>
      </c>
      <c r="M282" s="92" t="s">
        <v>295</v>
      </c>
      <c r="N282" s="94">
        <v>11.9</v>
      </c>
      <c r="O282" s="94">
        <f>N282*VLOOKUP(H282,dagsoorttabel1,2,FALSE)</f>
        <v>7.14</v>
      </c>
      <c r="P282" s="95">
        <f>prodnorm58</f>
        <v>0</v>
      </c>
      <c r="Q282" s="92" t="s">
        <v>97</v>
      </c>
      <c r="R282" s="26">
        <f>uurtarief58</f>
        <v>0</v>
      </c>
      <c r="S282" s="94" t="e">
        <f>IF(ISBLANK(P282),0,O282/ROUND(P282,4))</f>
        <v>#DIV/0!</v>
      </c>
      <c r="T282" s="26" t="e">
        <f>ROUND(R282,2)*S282</f>
        <v>#DIV/0!</v>
      </c>
      <c r="U282" s="94" t="e">
        <f>S282*dagenperjaar1</f>
        <v>#DIV/0!</v>
      </c>
      <c r="V282" s="27" t="e">
        <f>U282*ROUND(R282,2)</f>
        <v>#DIV/0!</v>
      </c>
    </row>
    <row r="283" spans="1:22" x14ac:dyDescent="0.4">
      <c r="A283" s="91" t="s">
        <v>291</v>
      </c>
      <c r="B283" s="92" t="s">
        <v>645</v>
      </c>
      <c r="C283" s="92" t="s">
        <v>395</v>
      </c>
      <c r="D283" s="92" t="s">
        <v>738</v>
      </c>
      <c r="E283" s="93" t="s">
        <v>548</v>
      </c>
      <c r="F283" s="92" t="s">
        <v>301</v>
      </c>
      <c r="G283" s="92" t="s">
        <v>263</v>
      </c>
      <c r="H283" s="92" t="s">
        <v>20</v>
      </c>
      <c r="I283" s="92" t="s">
        <v>293</v>
      </c>
      <c r="J283" s="93" t="s">
        <v>264</v>
      </c>
      <c r="K283" s="92" t="s">
        <v>34</v>
      </c>
      <c r="L283" s="92" t="s">
        <v>402</v>
      </c>
      <c r="M283" s="92" t="s">
        <v>549</v>
      </c>
      <c r="N283" s="94">
        <v>0.9</v>
      </c>
      <c r="O283" s="94">
        <f>N283*VLOOKUP(H283,dagsoorttabel1,2,FALSE)</f>
        <v>3.5294117647058825E-3</v>
      </c>
      <c r="P283" s="95">
        <f>prodnorm16</f>
        <v>0</v>
      </c>
      <c r="Q283" s="92" t="s">
        <v>97</v>
      </c>
      <c r="R283" s="26">
        <f>uurtarief16</f>
        <v>0</v>
      </c>
      <c r="S283" s="94" t="e">
        <f>IF(ISBLANK(P283),0,O283/ROUND(P283,4))</f>
        <v>#DIV/0!</v>
      </c>
      <c r="T283" s="26" t="e">
        <f>ROUND(R283,2)*S283</f>
        <v>#DIV/0!</v>
      </c>
      <c r="U283" s="94" t="e">
        <f>S283*dagenperjaar1</f>
        <v>#DIV/0!</v>
      </c>
      <c r="V283" s="27" t="e">
        <f>U283*ROUND(R283,2)</f>
        <v>#DIV/0!</v>
      </c>
    </row>
    <row r="284" spans="1:22" x14ac:dyDescent="0.4">
      <c r="A284" s="91" t="s">
        <v>291</v>
      </c>
      <c r="B284" s="92" t="s">
        <v>645</v>
      </c>
      <c r="C284" s="92" t="s">
        <v>395</v>
      </c>
      <c r="D284" s="92" t="s">
        <v>739</v>
      </c>
      <c r="E284" s="93" t="s">
        <v>740</v>
      </c>
      <c r="F284" s="92" t="s">
        <v>301</v>
      </c>
      <c r="G284" s="92" t="s">
        <v>263</v>
      </c>
      <c r="H284" s="92" t="s">
        <v>20</v>
      </c>
      <c r="I284" s="92" t="s">
        <v>293</v>
      </c>
      <c r="J284" s="93" t="s">
        <v>264</v>
      </c>
      <c r="K284" s="92" t="s">
        <v>34</v>
      </c>
      <c r="L284" s="92" t="s">
        <v>402</v>
      </c>
      <c r="M284" s="92" t="s">
        <v>348</v>
      </c>
      <c r="N284" s="94">
        <v>3.3</v>
      </c>
      <c r="O284" s="94">
        <f>N284*VLOOKUP(H284,dagsoorttabel1,2,FALSE)</f>
        <v>1.2941176470588234E-2</v>
      </c>
      <c r="P284" s="95">
        <f>prodnorm16</f>
        <v>0</v>
      </c>
      <c r="Q284" s="92" t="s">
        <v>97</v>
      </c>
      <c r="R284" s="26">
        <f>uurtarief16</f>
        <v>0</v>
      </c>
      <c r="S284" s="94" t="e">
        <f>IF(ISBLANK(P284),0,O284/ROUND(P284,4))</f>
        <v>#DIV/0!</v>
      </c>
      <c r="T284" s="26" t="e">
        <f>ROUND(R284,2)*S284</f>
        <v>#DIV/0!</v>
      </c>
      <c r="U284" s="94" t="e">
        <f>S284*dagenperjaar1</f>
        <v>#DIV/0!</v>
      </c>
      <c r="V284" s="27" t="e">
        <f>U284*ROUND(R284,2)</f>
        <v>#DIV/0!</v>
      </c>
    </row>
    <row r="285" spans="1:22" x14ac:dyDescent="0.4">
      <c r="A285" s="91" t="s">
        <v>291</v>
      </c>
      <c r="B285" s="92" t="s">
        <v>645</v>
      </c>
      <c r="C285" s="92" t="s">
        <v>395</v>
      </c>
      <c r="D285" s="92" t="s">
        <v>741</v>
      </c>
      <c r="E285" s="93" t="s">
        <v>576</v>
      </c>
      <c r="F285" s="92" t="s">
        <v>301</v>
      </c>
      <c r="G285" s="92" t="s">
        <v>330</v>
      </c>
      <c r="H285" s="92"/>
      <c r="I285" s="92"/>
      <c r="J285" s="92"/>
      <c r="K285" s="92" t="s">
        <v>34</v>
      </c>
      <c r="L285" s="92" t="s">
        <v>402</v>
      </c>
      <c r="M285" s="92" t="s">
        <v>549</v>
      </c>
      <c r="N285" s="94">
        <v>7.5</v>
      </c>
      <c r="O285" s="94"/>
      <c r="P285" s="95"/>
      <c r="Q285" s="92"/>
      <c r="R285" s="26"/>
      <c r="S285" s="94"/>
      <c r="T285" s="26"/>
      <c r="U285" s="96"/>
      <c r="V285" s="27"/>
    </row>
    <row r="286" spans="1:22" x14ac:dyDescent="0.4">
      <c r="A286" s="91" t="s">
        <v>291</v>
      </c>
      <c r="B286" s="92" t="s">
        <v>645</v>
      </c>
      <c r="C286" s="92" t="s">
        <v>395</v>
      </c>
      <c r="D286" s="92" t="s">
        <v>742</v>
      </c>
      <c r="E286" s="93" t="s">
        <v>401</v>
      </c>
      <c r="F286" s="92" t="s">
        <v>341</v>
      </c>
      <c r="G286" s="92" t="s">
        <v>241</v>
      </c>
      <c r="H286" s="92" t="s">
        <v>9</v>
      </c>
      <c r="I286" s="92" t="s">
        <v>293</v>
      </c>
      <c r="J286" s="93" t="s">
        <v>242</v>
      </c>
      <c r="K286" s="92" t="s">
        <v>320</v>
      </c>
      <c r="L286" s="92" t="s">
        <v>402</v>
      </c>
      <c r="M286" s="92" t="s">
        <v>348</v>
      </c>
      <c r="N286" s="94">
        <v>34.01</v>
      </c>
      <c r="O286" s="94">
        <f>N286*VLOOKUP(H286,dagsoorttabel1,2,FALSE)</f>
        <v>34.01</v>
      </c>
      <c r="P286" s="95">
        <f>prodnorm49</f>
        <v>0</v>
      </c>
      <c r="Q286" s="92" t="s">
        <v>97</v>
      </c>
      <c r="R286" s="26">
        <f>uurtarief49</f>
        <v>0</v>
      </c>
      <c r="S286" s="94" t="e">
        <f>IF(ISBLANK(P286),0,O286/ROUND(P286,4))</f>
        <v>#DIV/0!</v>
      </c>
      <c r="T286" s="26" t="e">
        <f>ROUND(R286,2)*S286</f>
        <v>#DIV/0!</v>
      </c>
      <c r="U286" s="94" t="e">
        <f>S286*dagenperjaar1</f>
        <v>#DIV/0!</v>
      </c>
      <c r="V286" s="27" t="e">
        <f>U286*ROUND(R286,2)</f>
        <v>#DIV/0!</v>
      </c>
    </row>
    <row r="287" spans="1:22" x14ac:dyDescent="0.4">
      <c r="A287" s="91" t="s">
        <v>291</v>
      </c>
      <c r="B287" s="92" t="s">
        <v>645</v>
      </c>
      <c r="C287" s="92" t="s">
        <v>395</v>
      </c>
      <c r="D287" s="92" t="s">
        <v>743</v>
      </c>
      <c r="E287" s="93" t="s">
        <v>744</v>
      </c>
      <c r="F287" s="92" t="s">
        <v>341</v>
      </c>
      <c r="G287" s="92" t="s">
        <v>205</v>
      </c>
      <c r="H287" s="92" t="s">
        <v>9</v>
      </c>
      <c r="I287" s="92" t="s">
        <v>293</v>
      </c>
      <c r="J287" s="93" t="s">
        <v>206</v>
      </c>
      <c r="K287" s="92" t="s">
        <v>342</v>
      </c>
      <c r="L287" s="92" t="s">
        <v>402</v>
      </c>
      <c r="M287" s="92" t="s">
        <v>348</v>
      </c>
      <c r="N287" s="94">
        <v>109.9</v>
      </c>
      <c r="O287" s="94">
        <f>N287*VLOOKUP(H287,dagsoorttabel1,2,FALSE)</f>
        <v>109.9</v>
      </c>
      <c r="P287" s="95">
        <f>prodnorm25</f>
        <v>0</v>
      </c>
      <c r="Q287" s="92" t="s">
        <v>97</v>
      </c>
      <c r="R287" s="26">
        <f>uurtarief25</f>
        <v>0</v>
      </c>
      <c r="S287" s="94" t="e">
        <f>IF(ISBLANK(P287),0,O287/ROUND(P287,4))</f>
        <v>#DIV/0!</v>
      </c>
      <c r="T287" s="26" t="e">
        <f>ROUND(R287,2)*S287</f>
        <v>#DIV/0!</v>
      </c>
      <c r="U287" s="94" t="e">
        <f>S287*dagenperjaar1</f>
        <v>#DIV/0!</v>
      </c>
      <c r="V287" s="27" t="e">
        <f>U287*ROUND(R287,2)</f>
        <v>#DIV/0!</v>
      </c>
    </row>
    <row r="288" spans="1:22" x14ac:dyDescent="0.4">
      <c r="A288" s="91" t="s">
        <v>291</v>
      </c>
      <c r="B288" s="92" t="s">
        <v>645</v>
      </c>
      <c r="C288" s="92" t="s">
        <v>395</v>
      </c>
      <c r="D288" s="92" t="s">
        <v>745</v>
      </c>
      <c r="E288" s="93" t="s">
        <v>392</v>
      </c>
      <c r="F288" s="92" t="s">
        <v>341</v>
      </c>
      <c r="G288" s="92" t="s">
        <v>205</v>
      </c>
      <c r="H288" s="92" t="s">
        <v>9</v>
      </c>
      <c r="I288" s="92" t="s">
        <v>293</v>
      </c>
      <c r="J288" s="93" t="s">
        <v>206</v>
      </c>
      <c r="K288" s="92" t="s">
        <v>342</v>
      </c>
      <c r="L288" s="92" t="s">
        <v>402</v>
      </c>
      <c r="M288" s="92" t="s">
        <v>348</v>
      </c>
      <c r="N288" s="94">
        <v>6.8</v>
      </c>
      <c r="O288" s="94">
        <f>N288*VLOOKUP(H288,dagsoorttabel1,2,FALSE)</f>
        <v>6.8</v>
      </c>
      <c r="P288" s="95">
        <f>prodnorm25</f>
        <v>0</v>
      </c>
      <c r="Q288" s="92" t="s">
        <v>97</v>
      </c>
      <c r="R288" s="26">
        <f>uurtarief25</f>
        <v>0</v>
      </c>
      <c r="S288" s="94" t="e">
        <f>IF(ISBLANK(P288),0,O288/ROUND(P288,4))</f>
        <v>#DIV/0!</v>
      </c>
      <c r="T288" s="26" t="e">
        <f>ROUND(R288,2)*S288</f>
        <v>#DIV/0!</v>
      </c>
      <c r="U288" s="94" t="e">
        <f>S288*dagenperjaar1</f>
        <v>#DIV/0!</v>
      </c>
      <c r="V288" s="27" t="e">
        <f>U288*ROUND(R288,2)</f>
        <v>#DIV/0!</v>
      </c>
    </row>
    <row r="289" spans="1:22" x14ac:dyDescent="0.4">
      <c r="A289" s="91" t="s">
        <v>291</v>
      </c>
      <c r="B289" s="92" t="s">
        <v>645</v>
      </c>
      <c r="C289" s="92" t="s">
        <v>395</v>
      </c>
      <c r="D289" s="92" t="s">
        <v>746</v>
      </c>
      <c r="E289" s="93" t="s">
        <v>747</v>
      </c>
      <c r="F289" s="92" t="s">
        <v>341</v>
      </c>
      <c r="G289" s="92" t="s">
        <v>213</v>
      </c>
      <c r="H289" s="92" t="s">
        <v>9</v>
      </c>
      <c r="I289" s="92" t="s">
        <v>293</v>
      </c>
      <c r="J289" s="93" t="s">
        <v>214</v>
      </c>
      <c r="K289" s="92" t="s">
        <v>342</v>
      </c>
      <c r="L289" s="92" t="s">
        <v>402</v>
      </c>
      <c r="M289" s="92" t="s">
        <v>348</v>
      </c>
      <c r="N289" s="94">
        <v>12.5</v>
      </c>
      <c r="O289" s="94">
        <f>N289*VLOOKUP(H289,dagsoorttabel1,2,FALSE)</f>
        <v>12.5</v>
      </c>
      <c r="P289" s="95">
        <f>prodnorm30</f>
        <v>0</v>
      </c>
      <c r="Q289" s="92" t="s">
        <v>97</v>
      </c>
      <c r="R289" s="26">
        <f>uurtarief30</f>
        <v>0</v>
      </c>
      <c r="S289" s="94" t="e">
        <f>IF(ISBLANK(P289),0,O289/ROUND(P289,4))</f>
        <v>#DIV/0!</v>
      </c>
      <c r="T289" s="26" t="e">
        <f>ROUND(R289,2)*S289</f>
        <v>#DIV/0!</v>
      </c>
      <c r="U289" s="94" t="e">
        <f>S289*dagenperjaar1</f>
        <v>#DIV/0!</v>
      </c>
      <c r="V289" s="27" t="e">
        <f>U289*ROUND(R289,2)</f>
        <v>#DIV/0!</v>
      </c>
    </row>
    <row r="290" spans="1:22" x14ac:dyDescent="0.4">
      <c r="A290" s="91" t="s">
        <v>291</v>
      </c>
      <c r="B290" s="92" t="s">
        <v>645</v>
      </c>
      <c r="C290" s="92" t="s">
        <v>395</v>
      </c>
      <c r="D290" s="92" t="s">
        <v>748</v>
      </c>
      <c r="E290" s="93" t="s">
        <v>749</v>
      </c>
      <c r="F290" s="92" t="s">
        <v>425</v>
      </c>
      <c r="G290" s="92" t="s">
        <v>209</v>
      </c>
      <c r="H290" s="92" t="s">
        <v>11</v>
      </c>
      <c r="I290" s="92" t="s">
        <v>293</v>
      </c>
      <c r="J290" s="93" t="s">
        <v>210</v>
      </c>
      <c r="K290" s="92" t="s">
        <v>342</v>
      </c>
      <c r="L290" s="92" t="s">
        <v>402</v>
      </c>
      <c r="M290" s="92" t="s">
        <v>348</v>
      </c>
      <c r="N290" s="94">
        <v>7.7</v>
      </c>
      <c r="O290" s="94">
        <f>N290*VLOOKUP(H290,dagsoorttabel1,2,FALSE)</f>
        <v>4.62</v>
      </c>
      <c r="P290" s="95">
        <f>prodnorm27</f>
        <v>0</v>
      </c>
      <c r="Q290" s="92" t="s">
        <v>97</v>
      </c>
      <c r="R290" s="26">
        <f>uurtarief27</f>
        <v>0</v>
      </c>
      <c r="S290" s="94" t="e">
        <f>IF(ISBLANK(P290),0,O290/ROUND(P290,4))</f>
        <v>#DIV/0!</v>
      </c>
      <c r="T290" s="26" t="e">
        <f>ROUND(R290,2)*S290</f>
        <v>#DIV/0!</v>
      </c>
      <c r="U290" s="94" t="e">
        <f>S290*dagenperjaar1</f>
        <v>#DIV/0!</v>
      </c>
      <c r="V290" s="27" t="e">
        <f>U290*ROUND(R290,2)</f>
        <v>#DIV/0!</v>
      </c>
    </row>
    <row r="291" spans="1:22" x14ac:dyDescent="0.4">
      <c r="A291" s="91" t="s">
        <v>291</v>
      </c>
      <c r="B291" s="92" t="s">
        <v>645</v>
      </c>
      <c r="C291" s="92" t="s">
        <v>395</v>
      </c>
      <c r="D291" s="92" t="s">
        <v>750</v>
      </c>
      <c r="E291" s="93" t="s">
        <v>751</v>
      </c>
      <c r="F291" s="92" t="s">
        <v>341</v>
      </c>
      <c r="G291" s="92" t="s">
        <v>211</v>
      </c>
      <c r="H291" s="92" t="s">
        <v>11</v>
      </c>
      <c r="I291" s="92" t="s">
        <v>293</v>
      </c>
      <c r="J291" s="93" t="s">
        <v>212</v>
      </c>
      <c r="K291" s="92" t="s">
        <v>342</v>
      </c>
      <c r="L291" s="92" t="s">
        <v>402</v>
      </c>
      <c r="M291" s="92" t="s">
        <v>348</v>
      </c>
      <c r="N291" s="94">
        <v>3.2</v>
      </c>
      <c r="O291" s="94">
        <f>N291*VLOOKUP(H291,dagsoorttabel1,2,FALSE)</f>
        <v>1.92</v>
      </c>
      <c r="P291" s="95">
        <f>prodnorm28</f>
        <v>0</v>
      </c>
      <c r="Q291" s="92" t="s">
        <v>97</v>
      </c>
      <c r="R291" s="26">
        <f>uurtarief28</f>
        <v>0</v>
      </c>
      <c r="S291" s="94" t="e">
        <f>IF(ISBLANK(P291),0,O291/ROUND(P291,4))</f>
        <v>#DIV/0!</v>
      </c>
      <c r="T291" s="26" t="e">
        <f>ROUND(R291,2)*S291</f>
        <v>#DIV/0!</v>
      </c>
      <c r="U291" s="94" t="e">
        <f>S291*dagenperjaar1</f>
        <v>#DIV/0!</v>
      </c>
      <c r="V291" s="27" t="e">
        <f>U291*ROUND(R291,2)</f>
        <v>#DIV/0!</v>
      </c>
    </row>
    <row r="292" spans="1:22" x14ac:dyDescent="0.4">
      <c r="A292" s="91" t="s">
        <v>291</v>
      </c>
      <c r="B292" s="92" t="s">
        <v>645</v>
      </c>
      <c r="C292" s="92" t="s">
        <v>395</v>
      </c>
      <c r="D292" s="92" t="s">
        <v>752</v>
      </c>
      <c r="E292" s="93" t="s">
        <v>753</v>
      </c>
      <c r="F292" s="92" t="s">
        <v>341</v>
      </c>
      <c r="G292" s="92" t="s">
        <v>211</v>
      </c>
      <c r="H292" s="92" t="s">
        <v>11</v>
      </c>
      <c r="I292" s="92" t="s">
        <v>293</v>
      </c>
      <c r="J292" s="93" t="s">
        <v>212</v>
      </c>
      <c r="K292" s="92" t="s">
        <v>342</v>
      </c>
      <c r="L292" s="92" t="s">
        <v>402</v>
      </c>
      <c r="M292" s="92" t="s">
        <v>348</v>
      </c>
      <c r="N292" s="94">
        <v>12.5</v>
      </c>
      <c r="O292" s="94">
        <f>N292*VLOOKUP(H292,dagsoorttabel1,2,FALSE)</f>
        <v>7.5</v>
      </c>
      <c r="P292" s="95">
        <f>prodnorm28</f>
        <v>0</v>
      </c>
      <c r="Q292" s="92" t="s">
        <v>97</v>
      </c>
      <c r="R292" s="26">
        <f>uurtarief28</f>
        <v>0</v>
      </c>
      <c r="S292" s="94" t="e">
        <f>IF(ISBLANK(P292),0,O292/ROUND(P292,4))</f>
        <v>#DIV/0!</v>
      </c>
      <c r="T292" s="26" t="e">
        <f>ROUND(R292,2)*S292</f>
        <v>#DIV/0!</v>
      </c>
      <c r="U292" s="94" t="e">
        <f>S292*dagenperjaar1</f>
        <v>#DIV/0!</v>
      </c>
      <c r="V292" s="27" t="e">
        <f>U292*ROUND(R292,2)</f>
        <v>#DIV/0!</v>
      </c>
    </row>
    <row r="293" spans="1:22" x14ac:dyDescent="0.4">
      <c r="A293" s="91" t="s">
        <v>291</v>
      </c>
      <c r="B293" s="92" t="s">
        <v>645</v>
      </c>
      <c r="C293" s="92" t="s">
        <v>395</v>
      </c>
      <c r="D293" s="92" t="s">
        <v>754</v>
      </c>
      <c r="E293" s="93" t="s">
        <v>755</v>
      </c>
      <c r="F293" s="92" t="s">
        <v>341</v>
      </c>
      <c r="G293" s="92" t="s">
        <v>205</v>
      </c>
      <c r="H293" s="92" t="s">
        <v>9</v>
      </c>
      <c r="I293" s="92" t="s">
        <v>293</v>
      </c>
      <c r="J293" s="93" t="s">
        <v>206</v>
      </c>
      <c r="K293" s="92" t="s">
        <v>342</v>
      </c>
      <c r="L293" s="92" t="s">
        <v>402</v>
      </c>
      <c r="M293" s="92" t="s">
        <v>348</v>
      </c>
      <c r="N293" s="94">
        <v>19.600000000000001</v>
      </c>
      <c r="O293" s="94">
        <f>N293*VLOOKUP(H293,dagsoorttabel1,2,FALSE)</f>
        <v>19.600000000000001</v>
      </c>
      <c r="P293" s="95">
        <f>prodnorm25</f>
        <v>0</v>
      </c>
      <c r="Q293" s="92" t="s">
        <v>97</v>
      </c>
      <c r="R293" s="26">
        <f>uurtarief25</f>
        <v>0</v>
      </c>
      <c r="S293" s="94" t="e">
        <f>IF(ISBLANK(P293),0,O293/ROUND(P293,4))</f>
        <v>#DIV/0!</v>
      </c>
      <c r="T293" s="26" t="e">
        <f>ROUND(R293,2)*S293</f>
        <v>#DIV/0!</v>
      </c>
      <c r="U293" s="94" t="e">
        <f>S293*dagenperjaar1</f>
        <v>#DIV/0!</v>
      </c>
      <c r="V293" s="27" t="e">
        <f>U293*ROUND(R293,2)</f>
        <v>#DIV/0!</v>
      </c>
    </row>
    <row r="294" spans="1:22" x14ac:dyDescent="0.4">
      <c r="A294" s="91" t="s">
        <v>291</v>
      </c>
      <c r="B294" s="92" t="s">
        <v>645</v>
      </c>
      <c r="C294" s="92" t="s">
        <v>395</v>
      </c>
      <c r="D294" s="92" t="s">
        <v>756</v>
      </c>
      <c r="E294" s="93" t="s">
        <v>757</v>
      </c>
      <c r="F294" s="92" t="s">
        <v>341</v>
      </c>
      <c r="G294" s="92" t="s">
        <v>205</v>
      </c>
      <c r="H294" s="92" t="s">
        <v>9</v>
      </c>
      <c r="I294" s="92" t="s">
        <v>293</v>
      </c>
      <c r="J294" s="93" t="s">
        <v>206</v>
      </c>
      <c r="K294" s="92" t="s">
        <v>342</v>
      </c>
      <c r="L294" s="92" t="s">
        <v>402</v>
      </c>
      <c r="M294" s="92" t="s">
        <v>348</v>
      </c>
      <c r="N294" s="94">
        <v>63.4</v>
      </c>
      <c r="O294" s="94">
        <f>N294*VLOOKUP(H294,dagsoorttabel1,2,FALSE)</f>
        <v>63.4</v>
      </c>
      <c r="P294" s="95">
        <f>prodnorm25</f>
        <v>0</v>
      </c>
      <c r="Q294" s="92" t="s">
        <v>97</v>
      </c>
      <c r="R294" s="26">
        <f>uurtarief25</f>
        <v>0</v>
      </c>
      <c r="S294" s="94" t="e">
        <f>IF(ISBLANK(P294),0,O294/ROUND(P294,4))</f>
        <v>#DIV/0!</v>
      </c>
      <c r="T294" s="26" t="e">
        <f>ROUND(R294,2)*S294</f>
        <v>#DIV/0!</v>
      </c>
      <c r="U294" s="94" t="e">
        <f>S294*dagenperjaar1</f>
        <v>#DIV/0!</v>
      </c>
      <c r="V294" s="27" t="e">
        <f>U294*ROUND(R294,2)</f>
        <v>#DIV/0!</v>
      </c>
    </row>
    <row r="295" spans="1:22" x14ac:dyDescent="0.4">
      <c r="A295" s="91" t="s">
        <v>291</v>
      </c>
      <c r="B295" s="92" t="s">
        <v>645</v>
      </c>
      <c r="C295" s="92" t="s">
        <v>395</v>
      </c>
      <c r="D295" s="92" t="s">
        <v>758</v>
      </c>
      <c r="E295" s="93" t="s">
        <v>401</v>
      </c>
      <c r="F295" s="92" t="s">
        <v>341</v>
      </c>
      <c r="G295" s="92" t="s">
        <v>257</v>
      </c>
      <c r="H295" s="92" t="s">
        <v>9</v>
      </c>
      <c r="I295" s="92" t="s">
        <v>293</v>
      </c>
      <c r="J295" s="93" t="s">
        <v>258</v>
      </c>
      <c r="K295" s="92" t="s">
        <v>320</v>
      </c>
      <c r="L295" s="92" t="s">
        <v>402</v>
      </c>
      <c r="M295" s="92" t="s">
        <v>348</v>
      </c>
      <c r="N295" s="94">
        <v>1</v>
      </c>
      <c r="O295" s="94">
        <f>N295*VLOOKUP(H295,dagsoorttabel1,2,FALSE)</f>
        <v>1</v>
      </c>
      <c r="P295" s="95">
        <f>prodnorm14</f>
        <v>0</v>
      </c>
      <c r="Q295" s="92" t="s">
        <v>259</v>
      </c>
      <c r="R295" s="26">
        <f>uurtarief14</f>
        <v>0</v>
      </c>
      <c r="S295" s="94">
        <f>O295*ROUND(P295,4)/60</f>
        <v>0</v>
      </c>
      <c r="T295" s="26">
        <f>ROUND(R295,2)*S295</f>
        <v>0</v>
      </c>
      <c r="U295" s="94">
        <f>S295*dagenperjaar1</f>
        <v>0</v>
      </c>
      <c r="V295" s="27">
        <f>U295*ROUND(R295,2)</f>
        <v>0</v>
      </c>
    </row>
    <row r="296" spans="1:22" x14ac:dyDescent="0.4">
      <c r="A296" s="91" t="s">
        <v>291</v>
      </c>
      <c r="B296" s="92" t="s">
        <v>645</v>
      </c>
      <c r="C296" s="92" t="s">
        <v>395</v>
      </c>
      <c r="D296" s="92" t="s">
        <v>758</v>
      </c>
      <c r="E296" s="93" t="s">
        <v>401</v>
      </c>
      <c r="F296" s="92" t="s">
        <v>341</v>
      </c>
      <c r="G296" s="92" t="s">
        <v>241</v>
      </c>
      <c r="H296" s="92" t="s">
        <v>11</v>
      </c>
      <c r="I296" s="92" t="s">
        <v>293</v>
      </c>
      <c r="J296" s="93" t="s">
        <v>242</v>
      </c>
      <c r="K296" s="92" t="s">
        <v>320</v>
      </c>
      <c r="L296" s="92" t="s">
        <v>402</v>
      </c>
      <c r="M296" s="92" t="s">
        <v>348</v>
      </c>
      <c r="N296" s="94">
        <v>51.2</v>
      </c>
      <c r="O296" s="94">
        <f>N296*VLOOKUP(H296,dagsoorttabel1,2,FALSE)</f>
        <v>30.72</v>
      </c>
      <c r="P296" s="95">
        <f>prodnorm48</f>
        <v>0</v>
      </c>
      <c r="Q296" s="92" t="s">
        <v>97</v>
      </c>
      <c r="R296" s="26">
        <f>uurtarief48</f>
        <v>0</v>
      </c>
      <c r="S296" s="94" t="e">
        <f>IF(ISBLANK(P296),0,O296/ROUND(P296,4))</f>
        <v>#DIV/0!</v>
      </c>
      <c r="T296" s="26" t="e">
        <f>ROUND(R296,2)*S296</f>
        <v>#DIV/0!</v>
      </c>
      <c r="U296" s="94" t="e">
        <f>S296*dagenperjaar1</f>
        <v>#DIV/0!</v>
      </c>
      <c r="V296" s="27" t="e">
        <f>U296*ROUND(R296,2)</f>
        <v>#DIV/0!</v>
      </c>
    </row>
    <row r="297" spans="1:22" ht="29.15" x14ac:dyDescent="0.4">
      <c r="A297" s="91" t="s">
        <v>291</v>
      </c>
      <c r="B297" s="92" t="s">
        <v>645</v>
      </c>
      <c r="C297" s="92" t="s">
        <v>395</v>
      </c>
      <c r="D297" s="92" t="s">
        <v>759</v>
      </c>
      <c r="E297" s="93" t="s">
        <v>760</v>
      </c>
      <c r="F297" s="92" t="s">
        <v>761</v>
      </c>
      <c r="G297" s="92" t="s">
        <v>235</v>
      </c>
      <c r="H297" s="92" t="s">
        <v>9</v>
      </c>
      <c r="I297" s="92" t="s">
        <v>293</v>
      </c>
      <c r="J297" s="93" t="s">
        <v>236</v>
      </c>
      <c r="K297" s="92" t="s">
        <v>320</v>
      </c>
      <c r="L297" s="92" t="s">
        <v>402</v>
      </c>
      <c r="M297" s="92" t="s">
        <v>295</v>
      </c>
      <c r="N297" s="94">
        <v>17.55</v>
      </c>
      <c r="O297" s="94">
        <f>N297*VLOOKUP(H297,dagsoorttabel1,2,FALSE)</f>
        <v>17.55</v>
      </c>
      <c r="P297" s="95">
        <f>prodnorm45</f>
        <v>0</v>
      </c>
      <c r="Q297" s="92" t="s">
        <v>97</v>
      </c>
      <c r="R297" s="26">
        <f>uurtarief45</f>
        <v>0</v>
      </c>
      <c r="S297" s="94" t="e">
        <f>IF(ISBLANK(P297),0,O297/ROUND(P297,4))</f>
        <v>#DIV/0!</v>
      </c>
      <c r="T297" s="26" t="e">
        <f>ROUND(R297,2)*S297</f>
        <v>#DIV/0!</v>
      </c>
      <c r="U297" s="94" t="e">
        <f>S297*dagenperjaar1</f>
        <v>#DIV/0!</v>
      </c>
      <c r="V297" s="27" t="e">
        <f>U297*ROUND(R297,2)</f>
        <v>#DIV/0!</v>
      </c>
    </row>
    <row r="298" spans="1:22" x14ac:dyDescent="0.4">
      <c r="A298" s="91" t="s">
        <v>291</v>
      </c>
      <c r="B298" s="92" t="s">
        <v>645</v>
      </c>
      <c r="C298" s="92" t="s">
        <v>395</v>
      </c>
      <c r="D298" s="92" t="s">
        <v>762</v>
      </c>
      <c r="E298" s="93" t="s">
        <v>392</v>
      </c>
      <c r="F298" s="92" t="s">
        <v>341</v>
      </c>
      <c r="G298" s="92" t="s">
        <v>205</v>
      </c>
      <c r="H298" s="92" t="s">
        <v>11</v>
      </c>
      <c r="I298" s="92" t="s">
        <v>293</v>
      </c>
      <c r="J298" s="93" t="s">
        <v>206</v>
      </c>
      <c r="K298" s="92" t="s">
        <v>342</v>
      </c>
      <c r="L298" s="92" t="s">
        <v>402</v>
      </c>
      <c r="M298" s="92" t="s">
        <v>348</v>
      </c>
      <c r="N298" s="94">
        <v>6.8</v>
      </c>
      <c r="O298" s="94">
        <f>N298*VLOOKUP(H298,dagsoorttabel1,2,FALSE)</f>
        <v>4.08</v>
      </c>
      <c r="P298" s="95">
        <f>prodnorm24</f>
        <v>0</v>
      </c>
      <c r="Q298" s="92" t="s">
        <v>97</v>
      </c>
      <c r="R298" s="26">
        <f>uurtarief24</f>
        <v>0</v>
      </c>
      <c r="S298" s="94" t="e">
        <f>IF(ISBLANK(P298),0,O298/ROUND(P298,4))</f>
        <v>#DIV/0!</v>
      </c>
      <c r="T298" s="26" t="e">
        <f>ROUND(R298,2)*S298</f>
        <v>#DIV/0!</v>
      </c>
      <c r="U298" s="94" t="e">
        <f>S298*dagenperjaar1</f>
        <v>#DIV/0!</v>
      </c>
      <c r="V298" s="27" t="e">
        <f>U298*ROUND(R298,2)</f>
        <v>#DIV/0!</v>
      </c>
    </row>
    <row r="299" spans="1:22" x14ac:dyDescent="0.4">
      <c r="A299" s="91" t="s">
        <v>291</v>
      </c>
      <c r="B299" s="92" t="s">
        <v>645</v>
      </c>
      <c r="C299" s="92" t="s">
        <v>395</v>
      </c>
      <c r="D299" s="92" t="s">
        <v>763</v>
      </c>
      <c r="E299" s="93" t="s">
        <v>764</v>
      </c>
      <c r="F299" s="92" t="s">
        <v>341</v>
      </c>
      <c r="G299" s="92" t="s">
        <v>213</v>
      </c>
      <c r="H299" s="92" t="s">
        <v>11</v>
      </c>
      <c r="I299" s="92" t="s">
        <v>293</v>
      </c>
      <c r="J299" s="93" t="s">
        <v>214</v>
      </c>
      <c r="K299" s="92" t="s">
        <v>342</v>
      </c>
      <c r="L299" s="92" t="s">
        <v>402</v>
      </c>
      <c r="M299" s="92" t="s">
        <v>348</v>
      </c>
      <c r="N299" s="94">
        <v>12.5</v>
      </c>
      <c r="O299" s="94">
        <f>N299*VLOOKUP(H299,dagsoorttabel1,2,FALSE)</f>
        <v>7.5</v>
      </c>
      <c r="P299" s="95">
        <f>prodnorm29</f>
        <v>0</v>
      </c>
      <c r="Q299" s="92" t="s">
        <v>97</v>
      </c>
      <c r="R299" s="26">
        <f>uurtarief29</f>
        <v>0</v>
      </c>
      <c r="S299" s="94" t="e">
        <f>IF(ISBLANK(P299),0,O299/ROUND(P299,4))</f>
        <v>#DIV/0!</v>
      </c>
      <c r="T299" s="26" t="e">
        <f>ROUND(R299,2)*S299</f>
        <v>#DIV/0!</v>
      </c>
      <c r="U299" s="94" t="e">
        <f>S299*dagenperjaar1</f>
        <v>#DIV/0!</v>
      </c>
      <c r="V299" s="27" t="e">
        <f>U299*ROUND(R299,2)</f>
        <v>#DIV/0!</v>
      </c>
    </row>
    <row r="300" spans="1:22" x14ac:dyDescent="0.4">
      <c r="A300" s="91" t="s">
        <v>291</v>
      </c>
      <c r="B300" s="92" t="s">
        <v>645</v>
      </c>
      <c r="C300" s="92" t="s">
        <v>395</v>
      </c>
      <c r="D300" s="92" t="s">
        <v>765</v>
      </c>
      <c r="E300" s="93" t="s">
        <v>766</v>
      </c>
      <c r="F300" s="92" t="s">
        <v>341</v>
      </c>
      <c r="G300" s="92" t="s">
        <v>205</v>
      </c>
      <c r="H300" s="92" t="s">
        <v>11</v>
      </c>
      <c r="I300" s="92" t="s">
        <v>293</v>
      </c>
      <c r="J300" s="93" t="s">
        <v>206</v>
      </c>
      <c r="K300" s="92" t="s">
        <v>342</v>
      </c>
      <c r="L300" s="92" t="s">
        <v>402</v>
      </c>
      <c r="M300" s="92" t="s">
        <v>348</v>
      </c>
      <c r="N300" s="94">
        <v>41.7</v>
      </c>
      <c r="O300" s="94">
        <f>N300*VLOOKUP(H300,dagsoorttabel1,2,FALSE)</f>
        <v>25.02</v>
      </c>
      <c r="P300" s="95">
        <f>prodnorm24</f>
        <v>0</v>
      </c>
      <c r="Q300" s="92" t="s">
        <v>97</v>
      </c>
      <c r="R300" s="26">
        <f>uurtarief24</f>
        <v>0</v>
      </c>
      <c r="S300" s="94" t="e">
        <f>IF(ISBLANK(P300),0,O300/ROUND(P300,4))</f>
        <v>#DIV/0!</v>
      </c>
      <c r="T300" s="26" t="e">
        <f>ROUND(R300,2)*S300</f>
        <v>#DIV/0!</v>
      </c>
      <c r="U300" s="94" t="e">
        <f>S300*dagenperjaar1</f>
        <v>#DIV/0!</v>
      </c>
      <c r="V300" s="27" t="e">
        <f>U300*ROUND(R300,2)</f>
        <v>#DIV/0!</v>
      </c>
    </row>
    <row r="301" spans="1:22" x14ac:dyDescent="0.4">
      <c r="A301" s="91" t="s">
        <v>291</v>
      </c>
      <c r="B301" s="92" t="s">
        <v>645</v>
      </c>
      <c r="C301" s="92" t="s">
        <v>395</v>
      </c>
      <c r="D301" s="92" t="s">
        <v>767</v>
      </c>
      <c r="E301" s="93" t="s">
        <v>768</v>
      </c>
      <c r="F301" s="92" t="s">
        <v>341</v>
      </c>
      <c r="G301" s="92" t="s">
        <v>205</v>
      </c>
      <c r="H301" s="92" t="s">
        <v>11</v>
      </c>
      <c r="I301" s="92" t="s">
        <v>293</v>
      </c>
      <c r="J301" s="93" t="s">
        <v>206</v>
      </c>
      <c r="K301" s="92" t="s">
        <v>342</v>
      </c>
      <c r="L301" s="92" t="s">
        <v>402</v>
      </c>
      <c r="M301" s="92" t="s">
        <v>348</v>
      </c>
      <c r="N301" s="94">
        <v>7.1</v>
      </c>
      <c r="O301" s="94">
        <f>N301*VLOOKUP(H301,dagsoorttabel1,2,FALSE)</f>
        <v>4.26</v>
      </c>
      <c r="P301" s="95">
        <f>prodnorm24</f>
        <v>0</v>
      </c>
      <c r="Q301" s="92" t="s">
        <v>97</v>
      </c>
      <c r="R301" s="26">
        <f>uurtarief24</f>
        <v>0</v>
      </c>
      <c r="S301" s="94" t="e">
        <f>IF(ISBLANK(P301),0,O301/ROUND(P301,4))</f>
        <v>#DIV/0!</v>
      </c>
      <c r="T301" s="26" t="e">
        <f>ROUND(R301,2)*S301</f>
        <v>#DIV/0!</v>
      </c>
      <c r="U301" s="94" t="e">
        <f>S301*dagenperjaar1</f>
        <v>#DIV/0!</v>
      </c>
      <c r="V301" s="27" t="e">
        <f>U301*ROUND(R301,2)</f>
        <v>#DIV/0!</v>
      </c>
    </row>
    <row r="302" spans="1:22" x14ac:dyDescent="0.4">
      <c r="A302" s="91" t="s">
        <v>291</v>
      </c>
      <c r="B302" s="92" t="s">
        <v>645</v>
      </c>
      <c r="C302" s="92" t="s">
        <v>395</v>
      </c>
      <c r="D302" s="92" t="s">
        <v>769</v>
      </c>
      <c r="E302" s="93" t="s">
        <v>770</v>
      </c>
      <c r="F302" s="92" t="s">
        <v>341</v>
      </c>
      <c r="G302" s="92" t="s">
        <v>205</v>
      </c>
      <c r="H302" s="92" t="s">
        <v>11</v>
      </c>
      <c r="I302" s="92" t="s">
        <v>293</v>
      </c>
      <c r="J302" s="93" t="s">
        <v>206</v>
      </c>
      <c r="K302" s="92" t="s">
        <v>342</v>
      </c>
      <c r="L302" s="92" t="s">
        <v>402</v>
      </c>
      <c r="M302" s="92" t="s">
        <v>348</v>
      </c>
      <c r="N302" s="94">
        <v>6.2</v>
      </c>
      <c r="O302" s="94">
        <f>N302*VLOOKUP(H302,dagsoorttabel1,2,FALSE)</f>
        <v>3.7199999999999998</v>
      </c>
      <c r="P302" s="95">
        <f>prodnorm24</f>
        <v>0</v>
      </c>
      <c r="Q302" s="92" t="s">
        <v>97</v>
      </c>
      <c r="R302" s="26">
        <f>uurtarief24</f>
        <v>0</v>
      </c>
      <c r="S302" s="94" t="e">
        <f>IF(ISBLANK(P302),0,O302/ROUND(P302,4))</f>
        <v>#DIV/0!</v>
      </c>
      <c r="T302" s="26" t="e">
        <f>ROUND(R302,2)*S302</f>
        <v>#DIV/0!</v>
      </c>
      <c r="U302" s="94" t="e">
        <f>S302*dagenperjaar1</f>
        <v>#DIV/0!</v>
      </c>
      <c r="V302" s="27" t="e">
        <f>U302*ROUND(R302,2)</f>
        <v>#DIV/0!</v>
      </c>
    </row>
    <row r="303" spans="1:22" x14ac:dyDescent="0.4">
      <c r="A303" s="91" t="s">
        <v>291</v>
      </c>
      <c r="B303" s="92" t="s">
        <v>645</v>
      </c>
      <c r="C303" s="92" t="s">
        <v>395</v>
      </c>
      <c r="D303" s="92" t="s">
        <v>771</v>
      </c>
      <c r="E303" s="93" t="s">
        <v>380</v>
      </c>
      <c r="F303" s="92" t="s">
        <v>341</v>
      </c>
      <c r="G303" s="92" t="s">
        <v>205</v>
      </c>
      <c r="H303" s="92" t="s">
        <v>11</v>
      </c>
      <c r="I303" s="92" t="s">
        <v>293</v>
      </c>
      <c r="J303" s="93" t="s">
        <v>206</v>
      </c>
      <c r="K303" s="92" t="s">
        <v>342</v>
      </c>
      <c r="L303" s="92" t="s">
        <v>402</v>
      </c>
      <c r="M303" s="92" t="s">
        <v>348</v>
      </c>
      <c r="N303" s="94">
        <v>6.2</v>
      </c>
      <c r="O303" s="94">
        <f>N303*VLOOKUP(H303,dagsoorttabel1,2,FALSE)</f>
        <v>3.7199999999999998</v>
      </c>
      <c r="P303" s="95">
        <f>prodnorm24</f>
        <v>0</v>
      </c>
      <c r="Q303" s="92" t="s">
        <v>97</v>
      </c>
      <c r="R303" s="26">
        <f>uurtarief24</f>
        <v>0</v>
      </c>
      <c r="S303" s="94" t="e">
        <f>IF(ISBLANK(P303),0,O303/ROUND(P303,4))</f>
        <v>#DIV/0!</v>
      </c>
      <c r="T303" s="26" t="e">
        <f>ROUND(R303,2)*S303</f>
        <v>#DIV/0!</v>
      </c>
      <c r="U303" s="94" t="e">
        <f>S303*dagenperjaar1</f>
        <v>#DIV/0!</v>
      </c>
      <c r="V303" s="27" t="e">
        <f>U303*ROUND(R303,2)</f>
        <v>#DIV/0!</v>
      </c>
    </row>
    <row r="304" spans="1:22" x14ac:dyDescent="0.4">
      <c r="A304" s="91" t="s">
        <v>291</v>
      </c>
      <c r="B304" s="92" t="s">
        <v>645</v>
      </c>
      <c r="C304" s="92" t="s">
        <v>395</v>
      </c>
      <c r="D304" s="92" t="s">
        <v>772</v>
      </c>
      <c r="E304" s="93" t="s">
        <v>766</v>
      </c>
      <c r="F304" s="92" t="s">
        <v>341</v>
      </c>
      <c r="G304" s="92" t="s">
        <v>205</v>
      </c>
      <c r="H304" s="92" t="s">
        <v>11</v>
      </c>
      <c r="I304" s="92" t="s">
        <v>293</v>
      </c>
      <c r="J304" s="93" t="s">
        <v>206</v>
      </c>
      <c r="K304" s="92" t="s">
        <v>342</v>
      </c>
      <c r="L304" s="92" t="s">
        <v>402</v>
      </c>
      <c r="M304" s="92" t="s">
        <v>348</v>
      </c>
      <c r="N304" s="94">
        <v>0</v>
      </c>
      <c r="O304" s="94">
        <f>N304*VLOOKUP(H304,dagsoorttabel1,2,FALSE)</f>
        <v>0</v>
      </c>
      <c r="P304" s="95"/>
      <c r="Q304" s="92" t="s">
        <v>97</v>
      </c>
      <c r="R304" s="26"/>
      <c r="S304" s="94">
        <f>IF(ISBLANK(P304),0,O304/ROUND(P304,4))</f>
        <v>0</v>
      </c>
      <c r="T304" s="26">
        <f>ROUND(R304,2)*S304</f>
        <v>0</v>
      </c>
      <c r="U304" s="94">
        <f>S304*dagenperjaar1</f>
        <v>0</v>
      </c>
      <c r="V304" s="27">
        <f>U304*ROUND(R304,2)</f>
        <v>0</v>
      </c>
    </row>
    <row r="305" spans="1:22" x14ac:dyDescent="0.4">
      <c r="A305" s="91" t="s">
        <v>291</v>
      </c>
      <c r="B305" s="92" t="s">
        <v>645</v>
      </c>
      <c r="C305" s="92" t="s">
        <v>395</v>
      </c>
      <c r="D305" s="92" t="s">
        <v>773</v>
      </c>
      <c r="E305" s="93" t="s">
        <v>764</v>
      </c>
      <c r="F305" s="92" t="s">
        <v>341</v>
      </c>
      <c r="G305" s="92" t="s">
        <v>213</v>
      </c>
      <c r="H305" s="92" t="s">
        <v>11</v>
      </c>
      <c r="I305" s="92" t="s">
        <v>293</v>
      </c>
      <c r="J305" s="93" t="s">
        <v>214</v>
      </c>
      <c r="K305" s="92" t="s">
        <v>342</v>
      </c>
      <c r="L305" s="92" t="s">
        <v>402</v>
      </c>
      <c r="M305" s="92" t="s">
        <v>348</v>
      </c>
      <c r="N305" s="94">
        <v>11.7</v>
      </c>
      <c r="O305" s="94">
        <f>N305*VLOOKUP(H305,dagsoorttabel1,2,FALSE)</f>
        <v>7.02</v>
      </c>
      <c r="P305" s="95">
        <f>prodnorm29</f>
        <v>0</v>
      </c>
      <c r="Q305" s="92" t="s">
        <v>97</v>
      </c>
      <c r="R305" s="26">
        <f>uurtarief29</f>
        <v>0</v>
      </c>
      <c r="S305" s="94" t="e">
        <f>IF(ISBLANK(P305),0,O305/ROUND(P305,4))</f>
        <v>#DIV/0!</v>
      </c>
      <c r="T305" s="26" t="e">
        <f>ROUND(R305,2)*S305</f>
        <v>#DIV/0!</v>
      </c>
      <c r="U305" s="94" t="e">
        <f>S305*dagenperjaar1</f>
        <v>#DIV/0!</v>
      </c>
      <c r="V305" s="27" t="e">
        <f>U305*ROUND(R305,2)</f>
        <v>#DIV/0!</v>
      </c>
    </row>
    <row r="306" spans="1:22" x14ac:dyDescent="0.4">
      <c r="A306" s="91" t="s">
        <v>291</v>
      </c>
      <c r="B306" s="92" t="s">
        <v>645</v>
      </c>
      <c r="C306" s="92" t="s">
        <v>395</v>
      </c>
      <c r="D306" s="92" t="s">
        <v>774</v>
      </c>
      <c r="E306" s="93" t="s">
        <v>764</v>
      </c>
      <c r="F306" s="92" t="s">
        <v>341</v>
      </c>
      <c r="G306" s="92" t="s">
        <v>213</v>
      </c>
      <c r="H306" s="92" t="s">
        <v>11</v>
      </c>
      <c r="I306" s="92" t="s">
        <v>293</v>
      </c>
      <c r="J306" s="93" t="s">
        <v>214</v>
      </c>
      <c r="K306" s="92" t="s">
        <v>342</v>
      </c>
      <c r="L306" s="92" t="s">
        <v>402</v>
      </c>
      <c r="M306" s="92" t="s">
        <v>348</v>
      </c>
      <c r="N306" s="94">
        <v>12</v>
      </c>
      <c r="O306" s="94">
        <f>N306*VLOOKUP(H306,dagsoorttabel1,2,FALSE)</f>
        <v>7.1999999999999993</v>
      </c>
      <c r="P306" s="95">
        <f>prodnorm29</f>
        <v>0</v>
      </c>
      <c r="Q306" s="92" t="s">
        <v>97</v>
      </c>
      <c r="R306" s="26">
        <f>uurtarief29</f>
        <v>0</v>
      </c>
      <c r="S306" s="94" t="e">
        <f>IF(ISBLANK(P306),0,O306/ROUND(P306,4))</f>
        <v>#DIV/0!</v>
      </c>
      <c r="T306" s="26" t="e">
        <f>ROUND(R306,2)*S306</f>
        <v>#DIV/0!</v>
      </c>
      <c r="U306" s="94" t="e">
        <f>S306*dagenperjaar1</f>
        <v>#DIV/0!</v>
      </c>
      <c r="V306" s="27" t="e">
        <f>U306*ROUND(R306,2)</f>
        <v>#DIV/0!</v>
      </c>
    </row>
    <row r="307" spans="1:22" x14ac:dyDescent="0.4">
      <c r="A307" s="91" t="s">
        <v>291</v>
      </c>
      <c r="B307" s="92" t="s">
        <v>645</v>
      </c>
      <c r="C307" s="92" t="s">
        <v>395</v>
      </c>
      <c r="D307" s="92" t="s">
        <v>775</v>
      </c>
      <c r="E307" s="93" t="s">
        <v>776</v>
      </c>
      <c r="F307" s="92" t="s">
        <v>341</v>
      </c>
      <c r="G307" s="92" t="s">
        <v>205</v>
      </c>
      <c r="H307" s="92" t="s">
        <v>11</v>
      </c>
      <c r="I307" s="92" t="s">
        <v>293</v>
      </c>
      <c r="J307" s="93" t="s">
        <v>206</v>
      </c>
      <c r="K307" s="92" t="s">
        <v>342</v>
      </c>
      <c r="L307" s="92" t="s">
        <v>402</v>
      </c>
      <c r="M307" s="92" t="s">
        <v>348</v>
      </c>
      <c r="N307" s="94">
        <v>85.45</v>
      </c>
      <c r="O307" s="94">
        <f>N307*VLOOKUP(H307,dagsoorttabel1,2,FALSE)</f>
        <v>51.27</v>
      </c>
      <c r="P307" s="95">
        <f>prodnorm24</f>
        <v>0</v>
      </c>
      <c r="Q307" s="92" t="s">
        <v>97</v>
      </c>
      <c r="R307" s="26">
        <f>uurtarief24</f>
        <v>0</v>
      </c>
      <c r="S307" s="94" t="e">
        <f>IF(ISBLANK(P307),0,O307/ROUND(P307,4))</f>
        <v>#DIV/0!</v>
      </c>
      <c r="T307" s="26" t="e">
        <f>ROUND(R307,2)*S307</f>
        <v>#DIV/0!</v>
      </c>
      <c r="U307" s="94" t="e">
        <f>S307*dagenperjaar1</f>
        <v>#DIV/0!</v>
      </c>
      <c r="V307" s="27" t="e">
        <f>U307*ROUND(R307,2)</f>
        <v>#DIV/0!</v>
      </c>
    </row>
    <row r="308" spans="1:22" x14ac:dyDescent="0.4">
      <c r="A308" s="91" t="s">
        <v>291</v>
      </c>
      <c r="B308" s="92" t="s">
        <v>645</v>
      </c>
      <c r="C308" s="92" t="s">
        <v>395</v>
      </c>
      <c r="D308" s="92" t="s">
        <v>777</v>
      </c>
      <c r="E308" s="93" t="s">
        <v>591</v>
      </c>
      <c r="F308" s="92" t="s">
        <v>341</v>
      </c>
      <c r="G308" s="92" t="s">
        <v>213</v>
      </c>
      <c r="H308" s="92" t="s">
        <v>11</v>
      </c>
      <c r="I308" s="92" t="s">
        <v>293</v>
      </c>
      <c r="J308" s="93" t="s">
        <v>214</v>
      </c>
      <c r="K308" s="92" t="s">
        <v>342</v>
      </c>
      <c r="L308" s="92" t="s">
        <v>402</v>
      </c>
      <c r="M308" s="92" t="s">
        <v>348</v>
      </c>
      <c r="N308" s="94">
        <v>13.2</v>
      </c>
      <c r="O308" s="94">
        <f>N308*VLOOKUP(H308,dagsoorttabel1,2,FALSE)</f>
        <v>7.919999999999999</v>
      </c>
      <c r="P308" s="95">
        <f>prodnorm29</f>
        <v>0</v>
      </c>
      <c r="Q308" s="92" t="s">
        <v>97</v>
      </c>
      <c r="R308" s="26">
        <f>uurtarief29</f>
        <v>0</v>
      </c>
      <c r="S308" s="94" t="e">
        <f>IF(ISBLANK(P308),0,O308/ROUND(P308,4))</f>
        <v>#DIV/0!</v>
      </c>
      <c r="T308" s="26" t="e">
        <f>ROUND(R308,2)*S308</f>
        <v>#DIV/0!</v>
      </c>
      <c r="U308" s="94" t="e">
        <f>S308*dagenperjaar1</f>
        <v>#DIV/0!</v>
      </c>
      <c r="V308" s="27" t="e">
        <f>U308*ROUND(R308,2)</f>
        <v>#DIV/0!</v>
      </c>
    </row>
    <row r="309" spans="1:22" x14ac:dyDescent="0.4">
      <c r="A309" s="91" t="s">
        <v>291</v>
      </c>
      <c r="B309" s="92" t="s">
        <v>645</v>
      </c>
      <c r="C309" s="92" t="s">
        <v>395</v>
      </c>
      <c r="D309" s="92" t="s">
        <v>778</v>
      </c>
      <c r="E309" s="93" t="s">
        <v>392</v>
      </c>
      <c r="F309" s="92" t="s">
        <v>341</v>
      </c>
      <c r="G309" s="92" t="s">
        <v>205</v>
      </c>
      <c r="H309" s="92" t="s">
        <v>11</v>
      </c>
      <c r="I309" s="92" t="s">
        <v>293</v>
      </c>
      <c r="J309" s="93" t="s">
        <v>206</v>
      </c>
      <c r="K309" s="92" t="s">
        <v>342</v>
      </c>
      <c r="L309" s="92" t="s">
        <v>402</v>
      </c>
      <c r="M309" s="92" t="s">
        <v>348</v>
      </c>
      <c r="N309" s="94">
        <v>6.2</v>
      </c>
      <c r="O309" s="94">
        <f>N309*VLOOKUP(H309,dagsoorttabel1,2,FALSE)</f>
        <v>3.7199999999999998</v>
      </c>
      <c r="P309" s="95">
        <f>prodnorm24</f>
        <v>0</v>
      </c>
      <c r="Q309" s="92" t="s">
        <v>97</v>
      </c>
      <c r="R309" s="26">
        <f>uurtarief24</f>
        <v>0</v>
      </c>
      <c r="S309" s="94" t="e">
        <f>IF(ISBLANK(P309),0,O309/ROUND(P309,4))</f>
        <v>#DIV/0!</v>
      </c>
      <c r="T309" s="26" t="e">
        <f>ROUND(R309,2)*S309</f>
        <v>#DIV/0!</v>
      </c>
      <c r="U309" s="94" t="e">
        <f>S309*dagenperjaar1</f>
        <v>#DIV/0!</v>
      </c>
      <c r="V309" s="27" t="e">
        <f>U309*ROUND(R309,2)</f>
        <v>#DIV/0!</v>
      </c>
    </row>
    <row r="310" spans="1:22" x14ac:dyDescent="0.4">
      <c r="A310" s="91" t="s">
        <v>291</v>
      </c>
      <c r="B310" s="92" t="s">
        <v>645</v>
      </c>
      <c r="C310" s="92" t="s">
        <v>395</v>
      </c>
      <c r="D310" s="92" t="s">
        <v>779</v>
      </c>
      <c r="E310" s="93" t="s">
        <v>576</v>
      </c>
      <c r="F310" s="92" t="s">
        <v>301</v>
      </c>
      <c r="G310" s="92" t="s">
        <v>330</v>
      </c>
      <c r="H310" s="92"/>
      <c r="I310" s="92"/>
      <c r="J310" s="92"/>
      <c r="K310" s="92" t="s">
        <v>34</v>
      </c>
      <c r="L310" s="92" t="s">
        <v>302</v>
      </c>
      <c r="M310" s="92" t="s">
        <v>549</v>
      </c>
      <c r="N310" s="94">
        <v>20.170000000000002</v>
      </c>
      <c r="O310" s="94"/>
      <c r="P310" s="95"/>
      <c r="Q310" s="92"/>
      <c r="R310" s="26"/>
      <c r="S310" s="94"/>
      <c r="T310" s="26"/>
      <c r="U310" s="96"/>
      <c r="V310" s="27"/>
    </row>
    <row r="311" spans="1:22" x14ac:dyDescent="0.4">
      <c r="A311" s="91" t="s">
        <v>291</v>
      </c>
      <c r="B311" s="92" t="s">
        <v>645</v>
      </c>
      <c r="C311" s="92" t="s">
        <v>395</v>
      </c>
      <c r="D311" s="92" t="s">
        <v>780</v>
      </c>
      <c r="E311" s="93" t="s">
        <v>781</v>
      </c>
      <c r="F311" s="92" t="s">
        <v>315</v>
      </c>
      <c r="G311" s="92" t="s">
        <v>231</v>
      </c>
      <c r="H311" s="92" t="s">
        <v>9</v>
      </c>
      <c r="I311" s="92" t="s">
        <v>293</v>
      </c>
      <c r="J311" s="93" t="s">
        <v>232</v>
      </c>
      <c r="K311" s="92" t="s">
        <v>320</v>
      </c>
      <c r="L311" s="92" t="s">
        <v>347</v>
      </c>
      <c r="M311" s="92" t="s">
        <v>295</v>
      </c>
      <c r="N311" s="94">
        <v>22.5</v>
      </c>
      <c r="O311" s="94">
        <f>N311*VLOOKUP(H311,dagsoorttabel1,2,FALSE)</f>
        <v>22.5</v>
      </c>
      <c r="P311" s="95">
        <f>prodnorm42</f>
        <v>0</v>
      </c>
      <c r="Q311" s="92" t="s">
        <v>97</v>
      </c>
      <c r="R311" s="26">
        <f>uurtarief42</f>
        <v>0</v>
      </c>
      <c r="S311" s="94" t="e">
        <f>IF(ISBLANK(P311),0,O311/ROUND(P311,4))</f>
        <v>#DIV/0!</v>
      </c>
      <c r="T311" s="26" t="e">
        <f>ROUND(R311,2)*S311</f>
        <v>#DIV/0!</v>
      </c>
      <c r="U311" s="94" t="e">
        <f>S311*dagenperjaar1</f>
        <v>#DIV/0!</v>
      </c>
      <c r="V311" s="27" t="e">
        <f>U311*ROUND(R311,2)</f>
        <v>#DIV/0!</v>
      </c>
    </row>
    <row r="312" spans="1:22" ht="29.15" x14ac:dyDescent="0.4">
      <c r="A312" s="91" t="s">
        <v>291</v>
      </c>
      <c r="B312" s="92" t="s">
        <v>645</v>
      </c>
      <c r="C312" s="92" t="s">
        <v>395</v>
      </c>
      <c r="D312" s="92" t="s">
        <v>782</v>
      </c>
      <c r="E312" s="93" t="s">
        <v>783</v>
      </c>
      <c r="F312" s="92" t="s">
        <v>341</v>
      </c>
      <c r="G312" s="92" t="s">
        <v>251</v>
      </c>
      <c r="H312" s="92" t="s">
        <v>13</v>
      </c>
      <c r="I312" s="92" t="s">
        <v>293</v>
      </c>
      <c r="J312" s="93" t="s">
        <v>252</v>
      </c>
      <c r="K312" s="92" t="s">
        <v>320</v>
      </c>
      <c r="L312" s="92" t="s">
        <v>302</v>
      </c>
      <c r="M312" s="92" t="s">
        <v>295</v>
      </c>
      <c r="N312" s="94">
        <v>11.7</v>
      </c>
      <c r="O312" s="94">
        <f>N312*VLOOKUP(H312,dagsoorttabel1,2,FALSE)</f>
        <v>2.34</v>
      </c>
      <c r="P312" s="95">
        <f>prodnorm57</f>
        <v>0</v>
      </c>
      <c r="Q312" s="92" t="s">
        <v>97</v>
      </c>
      <c r="R312" s="26">
        <f>uurtarief57</f>
        <v>0</v>
      </c>
      <c r="S312" s="94" t="e">
        <f>IF(ISBLANK(P312),0,O312/ROUND(P312,4))</f>
        <v>#DIV/0!</v>
      </c>
      <c r="T312" s="26" t="e">
        <f>ROUND(R312,2)*S312</f>
        <v>#DIV/0!</v>
      </c>
      <c r="U312" s="94" t="e">
        <f>S312*dagenperjaar1</f>
        <v>#DIV/0!</v>
      </c>
      <c r="V312" s="27" t="e">
        <f>U312*ROUND(R312,2)</f>
        <v>#DIV/0!</v>
      </c>
    </row>
    <row r="313" spans="1:22" x14ac:dyDescent="0.4">
      <c r="A313" s="91" t="s">
        <v>291</v>
      </c>
      <c r="B313" s="92" t="s">
        <v>645</v>
      </c>
      <c r="C313" s="92" t="s">
        <v>426</v>
      </c>
      <c r="D313" s="92" t="s">
        <v>784</v>
      </c>
      <c r="E313" s="93" t="s">
        <v>401</v>
      </c>
      <c r="F313" s="92" t="s">
        <v>341</v>
      </c>
      <c r="G313" s="92" t="s">
        <v>330</v>
      </c>
      <c r="H313" s="92"/>
      <c r="I313" s="92"/>
      <c r="J313" s="92"/>
      <c r="K313" s="92" t="s">
        <v>34</v>
      </c>
      <c r="L313" s="92" t="s">
        <v>451</v>
      </c>
      <c r="M313" s="92" t="s">
        <v>452</v>
      </c>
      <c r="N313" s="94">
        <v>13.6</v>
      </c>
      <c r="O313" s="94"/>
      <c r="P313" s="95"/>
      <c r="Q313" s="92"/>
      <c r="R313" s="26"/>
      <c r="S313" s="94"/>
      <c r="T313" s="26"/>
      <c r="U313" s="96"/>
      <c r="V313" s="27"/>
    </row>
    <row r="314" spans="1:22" x14ac:dyDescent="0.4">
      <c r="A314" s="91" t="s">
        <v>291</v>
      </c>
      <c r="B314" s="92" t="s">
        <v>645</v>
      </c>
      <c r="C314" s="92" t="s">
        <v>426</v>
      </c>
      <c r="D314" s="92" t="s">
        <v>785</v>
      </c>
      <c r="E314" s="93" t="s">
        <v>354</v>
      </c>
      <c r="F314" s="92" t="s">
        <v>341</v>
      </c>
      <c r="G314" s="92" t="s">
        <v>330</v>
      </c>
      <c r="H314" s="92"/>
      <c r="I314" s="92"/>
      <c r="J314" s="92"/>
      <c r="K314" s="92" t="s">
        <v>34</v>
      </c>
      <c r="L314" s="92" t="s">
        <v>451</v>
      </c>
      <c r="M314" s="92" t="s">
        <v>452</v>
      </c>
      <c r="N314" s="94">
        <v>25.3</v>
      </c>
      <c r="O314" s="94"/>
      <c r="P314" s="95"/>
      <c r="Q314" s="92"/>
      <c r="R314" s="26"/>
      <c r="S314" s="94"/>
      <c r="T314" s="26"/>
      <c r="U314" s="96"/>
      <c r="V314" s="27"/>
    </row>
    <row r="315" spans="1:22" x14ac:dyDescent="0.4">
      <c r="A315" s="91" t="s">
        <v>291</v>
      </c>
      <c r="B315" s="92" t="s">
        <v>645</v>
      </c>
      <c r="C315" s="92" t="s">
        <v>426</v>
      </c>
      <c r="D315" s="92" t="s">
        <v>786</v>
      </c>
      <c r="E315" s="93" t="s">
        <v>367</v>
      </c>
      <c r="F315" s="92" t="s">
        <v>341</v>
      </c>
      <c r="G315" s="92" t="s">
        <v>330</v>
      </c>
      <c r="H315" s="92"/>
      <c r="I315" s="92"/>
      <c r="J315" s="92"/>
      <c r="K315" s="92" t="s">
        <v>34</v>
      </c>
      <c r="L315" s="92" t="s">
        <v>451</v>
      </c>
      <c r="M315" s="92" t="s">
        <v>452</v>
      </c>
      <c r="N315" s="94">
        <v>25.1</v>
      </c>
      <c r="O315" s="94"/>
      <c r="P315" s="95"/>
      <c r="Q315" s="92"/>
      <c r="R315" s="26"/>
      <c r="S315" s="94"/>
      <c r="T315" s="26"/>
      <c r="U315" s="96"/>
      <c r="V315" s="27"/>
    </row>
    <row r="316" spans="1:22" x14ac:dyDescent="0.4">
      <c r="A316" s="91" t="s">
        <v>291</v>
      </c>
      <c r="B316" s="92" t="s">
        <v>645</v>
      </c>
      <c r="C316" s="92" t="s">
        <v>426</v>
      </c>
      <c r="D316" s="92" t="s">
        <v>787</v>
      </c>
      <c r="E316" s="93" t="s">
        <v>687</v>
      </c>
      <c r="F316" s="92" t="s">
        <v>341</v>
      </c>
      <c r="G316" s="92" t="s">
        <v>330</v>
      </c>
      <c r="H316" s="92"/>
      <c r="I316" s="92"/>
      <c r="J316" s="92"/>
      <c r="K316" s="92" t="s">
        <v>34</v>
      </c>
      <c r="L316" s="92" t="s">
        <v>451</v>
      </c>
      <c r="M316" s="92" t="s">
        <v>452</v>
      </c>
      <c r="N316" s="94">
        <v>24.4</v>
      </c>
      <c r="O316" s="94"/>
      <c r="P316" s="95"/>
      <c r="Q316" s="92"/>
      <c r="R316" s="26"/>
      <c r="S316" s="94"/>
      <c r="T316" s="26"/>
      <c r="U316" s="96"/>
      <c r="V316" s="27"/>
    </row>
    <row r="317" spans="1:22" x14ac:dyDescent="0.4">
      <c r="A317" s="91" t="s">
        <v>291</v>
      </c>
      <c r="B317" s="92" t="s">
        <v>645</v>
      </c>
      <c r="C317" s="92" t="s">
        <v>426</v>
      </c>
      <c r="D317" s="92" t="s">
        <v>788</v>
      </c>
      <c r="E317" s="93" t="s">
        <v>560</v>
      </c>
      <c r="F317" s="92" t="s">
        <v>425</v>
      </c>
      <c r="G317" s="92" t="s">
        <v>330</v>
      </c>
      <c r="H317" s="92"/>
      <c r="I317" s="92"/>
      <c r="J317" s="92"/>
      <c r="K317" s="92" t="s">
        <v>34</v>
      </c>
      <c r="L317" s="92" t="s">
        <v>448</v>
      </c>
      <c r="M317" s="92" t="s">
        <v>295</v>
      </c>
      <c r="N317" s="94">
        <v>10</v>
      </c>
      <c r="O317" s="94"/>
      <c r="P317" s="95"/>
      <c r="Q317" s="92"/>
      <c r="R317" s="26"/>
      <c r="S317" s="94"/>
      <c r="T317" s="26"/>
      <c r="U317" s="96"/>
      <c r="V317" s="27"/>
    </row>
    <row r="318" spans="1:22" x14ac:dyDescent="0.4">
      <c r="A318" s="91" t="s">
        <v>291</v>
      </c>
      <c r="B318" s="92" t="s">
        <v>645</v>
      </c>
      <c r="C318" s="92" t="s">
        <v>426</v>
      </c>
      <c r="D318" s="92" t="s">
        <v>789</v>
      </c>
      <c r="E318" s="93" t="s">
        <v>548</v>
      </c>
      <c r="F318" s="92" t="s">
        <v>301</v>
      </c>
      <c r="G318" s="92" t="s">
        <v>263</v>
      </c>
      <c r="H318" s="92" t="s">
        <v>20</v>
      </c>
      <c r="I318" s="92" t="s">
        <v>293</v>
      </c>
      <c r="J318" s="93" t="s">
        <v>264</v>
      </c>
      <c r="K318" s="92" t="s">
        <v>34</v>
      </c>
      <c r="L318" s="92" t="s">
        <v>302</v>
      </c>
      <c r="M318" s="92" t="s">
        <v>549</v>
      </c>
      <c r="N318" s="94">
        <v>1.2</v>
      </c>
      <c r="O318" s="94">
        <f>N318*VLOOKUP(H318,dagsoorttabel1,2,FALSE)</f>
        <v>4.7058823529411761E-3</v>
      </c>
      <c r="P318" s="95">
        <f>prodnorm16</f>
        <v>0</v>
      </c>
      <c r="Q318" s="92" t="s">
        <v>97</v>
      </c>
      <c r="R318" s="26">
        <f>uurtarief16</f>
        <v>0</v>
      </c>
      <c r="S318" s="94" t="e">
        <f>IF(ISBLANK(P318),0,O318/ROUND(P318,4))</f>
        <v>#DIV/0!</v>
      </c>
      <c r="T318" s="26" t="e">
        <f>ROUND(R318,2)*S318</f>
        <v>#DIV/0!</v>
      </c>
      <c r="U318" s="94" t="e">
        <f>S318*dagenperjaar1</f>
        <v>#DIV/0!</v>
      </c>
      <c r="V318" s="27" t="e">
        <f>U318*ROUND(R318,2)</f>
        <v>#DIV/0!</v>
      </c>
    </row>
    <row r="319" spans="1:22" x14ac:dyDescent="0.4">
      <c r="A319" s="91" t="s">
        <v>291</v>
      </c>
      <c r="B319" s="92" t="s">
        <v>645</v>
      </c>
      <c r="C319" s="92" t="s">
        <v>426</v>
      </c>
      <c r="D319" s="92" t="s">
        <v>790</v>
      </c>
      <c r="E319" s="93" t="s">
        <v>576</v>
      </c>
      <c r="F319" s="92" t="s">
        <v>301</v>
      </c>
      <c r="G319" s="92" t="s">
        <v>330</v>
      </c>
      <c r="H319" s="92"/>
      <c r="I319" s="92"/>
      <c r="J319" s="92"/>
      <c r="K319" s="92" t="s">
        <v>34</v>
      </c>
      <c r="L319" s="92" t="s">
        <v>302</v>
      </c>
      <c r="M319" s="92" t="s">
        <v>549</v>
      </c>
      <c r="N319" s="94">
        <v>7.3</v>
      </c>
      <c r="O319" s="94"/>
      <c r="P319" s="95"/>
      <c r="Q319" s="92"/>
      <c r="R319" s="26"/>
      <c r="S319" s="94"/>
      <c r="T319" s="26"/>
      <c r="U319" s="96"/>
      <c r="V319" s="27"/>
    </row>
    <row r="320" spans="1:22" x14ac:dyDescent="0.4">
      <c r="A320" s="91" t="s">
        <v>291</v>
      </c>
      <c r="B320" s="92" t="s">
        <v>645</v>
      </c>
      <c r="C320" s="92" t="s">
        <v>426</v>
      </c>
      <c r="D320" s="92" t="s">
        <v>791</v>
      </c>
      <c r="E320" s="93" t="s">
        <v>668</v>
      </c>
      <c r="F320" s="92" t="s">
        <v>341</v>
      </c>
      <c r="G320" s="92" t="s">
        <v>251</v>
      </c>
      <c r="H320" s="92" t="s">
        <v>13</v>
      </c>
      <c r="I320" s="92" t="s">
        <v>293</v>
      </c>
      <c r="J320" s="93" t="s">
        <v>252</v>
      </c>
      <c r="K320" s="92" t="s">
        <v>320</v>
      </c>
      <c r="L320" s="92" t="s">
        <v>302</v>
      </c>
      <c r="M320" s="92" t="s">
        <v>295</v>
      </c>
      <c r="N320" s="94">
        <v>12</v>
      </c>
      <c r="O320" s="94">
        <f>N320*VLOOKUP(H320,dagsoorttabel1,2,FALSE)</f>
        <v>2.4000000000000004</v>
      </c>
      <c r="P320" s="95">
        <f>prodnorm57</f>
        <v>0</v>
      </c>
      <c r="Q320" s="92" t="s">
        <v>97</v>
      </c>
      <c r="R320" s="26">
        <f>uurtarief57</f>
        <v>0</v>
      </c>
      <c r="S320" s="94" t="e">
        <f>IF(ISBLANK(P320),0,O320/ROUND(P320,4))</f>
        <v>#DIV/0!</v>
      </c>
      <c r="T320" s="26" t="e">
        <f>ROUND(R320,2)*S320</f>
        <v>#DIV/0!</v>
      </c>
      <c r="U320" s="94" t="e">
        <f>S320*dagenperjaar1</f>
        <v>#DIV/0!</v>
      </c>
      <c r="V320" s="27" t="e">
        <f>U320*ROUND(R320,2)</f>
        <v>#DIV/0!</v>
      </c>
    </row>
    <row r="321" spans="1:22" x14ac:dyDescent="0.4">
      <c r="A321" s="91" t="s">
        <v>291</v>
      </c>
      <c r="B321" s="92" t="s">
        <v>645</v>
      </c>
      <c r="C321" s="92" t="s">
        <v>426</v>
      </c>
      <c r="D321" s="92" t="s">
        <v>792</v>
      </c>
      <c r="E321" s="93" t="s">
        <v>401</v>
      </c>
      <c r="F321" s="92" t="s">
        <v>341</v>
      </c>
      <c r="G321" s="92" t="s">
        <v>330</v>
      </c>
      <c r="H321" s="92"/>
      <c r="I321" s="92"/>
      <c r="J321" s="92"/>
      <c r="K321" s="92" t="s">
        <v>34</v>
      </c>
      <c r="L321" s="92" t="s">
        <v>451</v>
      </c>
      <c r="M321" s="92" t="s">
        <v>452</v>
      </c>
      <c r="N321" s="94">
        <v>36.9</v>
      </c>
      <c r="O321" s="94"/>
      <c r="P321" s="95"/>
      <c r="Q321" s="92"/>
      <c r="R321" s="26"/>
      <c r="S321" s="94"/>
      <c r="T321" s="26"/>
      <c r="U321" s="96"/>
      <c r="V321" s="27"/>
    </row>
    <row r="322" spans="1:22" x14ac:dyDescent="0.4">
      <c r="A322" s="91" t="s">
        <v>291</v>
      </c>
      <c r="B322" s="92" t="s">
        <v>645</v>
      </c>
      <c r="C322" s="92" t="s">
        <v>426</v>
      </c>
      <c r="D322" s="92" t="s">
        <v>793</v>
      </c>
      <c r="E322" s="93" t="s">
        <v>794</v>
      </c>
      <c r="F322" s="92" t="s">
        <v>341</v>
      </c>
      <c r="G322" s="92" t="s">
        <v>330</v>
      </c>
      <c r="H322" s="92"/>
      <c r="I322" s="92"/>
      <c r="J322" s="92"/>
      <c r="K322" s="92" t="s">
        <v>34</v>
      </c>
      <c r="L322" s="92" t="s">
        <v>451</v>
      </c>
      <c r="M322" s="92" t="s">
        <v>452</v>
      </c>
      <c r="N322" s="94">
        <v>37.299999999999997</v>
      </c>
      <c r="O322" s="94"/>
      <c r="P322" s="95"/>
      <c r="Q322" s="92"/>
      <c r="R322" s="26"/>
      <c r="S322" s="94"/>
      <c r="T322" s="26"/>
      <c r="U322" s="96"/>
      <c r="V322" s="27"/>
    </row>
    <row r="323" spans="1:22" x14ac:dyDescent="0.4">
      <c r="A323" s="91" t="s">
        <v>291</v>
      </c>
      <c r="B323" s="92" t="s">
        <v>645</v>
      </c>
      <c r="C323" s="92" t="s">
        <v>426</v>
      </c>
      <c r="D323" s="92" t="s">
        <v>795</v>
      </c>
      <c r="E323" s="93" t="s">
        <v>435</v>
      </c>
      <c r="F323" s="92" t="s">
        <v>341</v>
      </c>
      <c r="G323" s="92" t="s">
        <v>330</v>
      </c>
      <c r="H323" s="92"/>
      <c r="I323" s="92"/>
      <c r="J323" s="92"/>
      <c r="K323" s="92" t="s">
        <v>34</v>
      </c>
      <c r="L323" s="92" t="s">
        <v>451</v>
      </c>
      <c r="M323" s="92" t="s">
        <v>452</v>
      </c>
      <c r="N323" s="94">
        <v>12.3</v>
      </c>
      <c r="O323" s="94"/>
      <c r="P323" s="95"/>
      <c r="Q323" s="92"/>
      <c r="R323" s="26"/>
      <c r="S323" s="94"/>
      <c r="T323" s="26"/>
      <c r="U323" s="96"/>
      <c r="V323" s="27"/>
    </row>
    <row r="324" spans="1:22" x14ac:dyDescent="0.4">
      <c r="A324" s="91" t="s">
        <v>291</v>
      </c>
      <c r="B324" s="92" t="s">
        <v>645</v>
      </c>
      <c r="C324" s="92" t="s">
        <v>426</v>
      </c>
      <c r="D324" s="92" t="s">
        <v>796</v>
      </c>
      <c r="E324" s="93" t="s">
        <v>435</v>
      </c>
      <c r="F324" s="92" t="s">
        <v>341</v>
      </c>
      <c r="G324" s="92" t="s">
        <v>330</v>
      </c>
      <c r="H324" s="92"/>
      <c r="I324" s="92"/>
      <c r="J324" s="92"/>
      <c r="K324" s="92" t="s">
        <v>34</v>
      </c>
      <c r="L324" s="92" t="s">
        <v>451</v>
      </c>
      <c r="M324" s="92" t="s">
        <v>452</v>
      </c>
      <c r="N324" s="94">
        <v>12.4</v>
      </c>
      <c r="O324" s="94"/>
      <c r="P324" s="95"/>
      <c r="Q324" s="92"/>
      <c r="R324" s="26"/>
      <c r="S324" s="94"/>
      <c r="T324" s="26"/>
      <c r="U324" s="96"/>
      <c r="V324" s="27"/>
    </row>
    <row r="325" spans="1:22" x14ac:dyDescent="0.4">
      <c r="A325" s="91" t="s">
        <v>291</v>
      </c>
      <c r="B325" s="92" t="s">
        <v>645</v>
      </c>
      <c r="C325" s="92" t="s">
        <v>426</v>
      </c>
      <c r="D325" s="92" t="s">
        <v>797</v>
      </c>
      <c r="E325" s="93" t="s">
        <v>794</v>
      </c>
      <c r="F325" s="92" t="s">
        <v>341</v>
      </c>
      <c r="G325" s="92" t="s">
        <v>330</v>
      </c>
      <c r="H325" s="92"/>
      <c r="I325" s="92"/>
      <c r="J325" s="92"/>
      <c r="K325" s="92" t="s">
        <v>34</v>
      </c>
      <c r="L325" s="92" t="s">
        <v>451</v>
      </c>
      <c r="M325" s="92" t="s">
        <v>452</v>
      </c>
      <c r="N325" s="94">
        <v>37.299999999999997</v>
      </c>
      <c r="O325" s="94"/>
      <c r="P325" s="95"/>
      <c r="Q325" s="92"/>
      <c r="R325" s="26"/>
      <c r="S325" s="94"/>
      <c r="T325" s="26"/>
      <c r="U325" s="96"/>
      <c r="V325" s="27"/>
    </row>
    <row r="326" spans="1:22" x14ac:dyDescent="0.4">
      <c r="A326" s="91" t="s">
        <v>291</v>
      </c>
      <c r="B326" s="92" t="s">
        <v>645</v>
      </c>
      <c r="C326" s="92" t="s">
        <v>426</v>
      </c>
      <c r="D326" s="92" t="s">
        <v>798</v>
      </c>
      <c r="E326" s="93" t="s">
        <v>435</v>
      </c>
      <c r="F326" s="92" t="s">
        <v>341</v>
      </c>
      <c r="G326" s="92" t="s">
        <v>330</v>
      </c>
      <c r="H326" s="92"/>
      <c r="I326" s="92"/>
      <c r="J326" s="92"/>
      <c r="K326" s="92" t="s">
        <v>34</v>
      </c>
      <c r="L326" s="92" t="s">
        <v>451</v>
      </c>
      <c r="M326" s="92" t="s">
        <v>452</v>
      </c>
      <c r="N326" s="94">
        <v>18.600000000000001</v>
      </c>
      <c r="O326" s="94"/>
      <c r="P326" s="95"/>
      <c r="Q326" s="92"/>
      <c r="R326" s="26"/>
      <c r="S326" s="94"/>
      <c r="T326" s="26"/>
      <c r="U326" s="96"/>
      <c r="V326" s="27"/>
    </row>
    <row r="327" spans="1:22" x14ac:dyDescent="0.4">
      <c r="A327" s="91" t="s">
        <v>291</v>
      </c>
      <c r="B327" s="92" t="s">
        <v>645</v>
      </c>
      <c r="C327" s="92" t="s">
        <v>426</v>
      </c>
      <c r="D327" s="92" t="s">
        <v>799</v>
      </c>
      <c r="E327" s="93" t="s">
        <v>435</v>
      </c>
      <c r="F327" s="92" t="s">
        <v>341</v>
      </c>
      <c r="G327" s="92" t="s">
        <v>330</v>
      </c>
      <c r="H327" s="92"/>
      <c r="I327" s="92"/>
      <c r="J327" s="92"/>
      <c r="K327" s="92" t="s">
        <v>34</v>
      </c>
      <c r="L327" s="92" t="s">
        <v>451</v>
      </c>
      <c r="M327" s="92" t="s">
        <v>452</v>
      </c>
      <c r="N327" s="94">
        <v>18.3</v>
      </c>
      <c r="O327" s="94"/>
      <c r="P327" s="95"/>
      <c r="Q327" s="92"/>
      <c r="R327" s="26"/>
      <c r="S327" s="94"/>
      <c r="T327" s="26"/>
      <c r="U327" s="96"/>
      <c r="V327" s="27"/>
    </row>
    <row r="328" spans="1:22" x14ac:dyDescent="0.4">
      <c r="A328" s="91" t="s">
        <v>291</v>
      </c>
      <c r="B328" s="92" t="s">
        <v>645</v>
      </c>
      <c r="C328" s="92" t="s">
        <v>426</v>
      </c>
      <c r="D328" s="92" t="s">
        <v>800</v>
      </c>
      <c r="E328" s="93" t="s">
        <v>435</v>
      </c>
      <c r="F328" s="92" t="s">
        <v>341</v>
      </c>
      <c r="G328" s="92" t="s">
        <v>330</v>
      </c>
      <c r="H328" s="92"/>
      <c r="I328" s="92"/>
      <c r="J328" s="92"/>
      <c r="K328" s="92" t="s">
        <v>34</v>
      </c>
      <c r="L328" s="92" t="s">
        <v>451</v>
      </c>
      <c r="M328" s="92" t="s">
        <v>452</v>
      </c>
      <c r="N328" s="94">
        <v>29.3</v>
      </c>
      <c r="O328" s="94"/>
      <c r="P328" s="95"/>
      <c r="Q328" s="92"/>
      <c r="R328" s="26"/>
      <c r="S328" s="94"/>
      <c r="T328" s="26"/>
      <c r="U328" s="96"/>
      <c r="V328" s="27"/>
    </row>
    <row r="329" spans="1:22" x14ac:dyDescent="0.4">
      <c r="A329" s="91" t="s">
        <v>291</v>
      </c>
      <c r="B329" s="92" t="s">
        <v>645</v>
      </c>
      <c r="C329" s="92" t="s">
        <v>426</v>
      </c>
      <c r="D329" s="92" t="s">
        <v>801</v>
      </c>
      <c r="E329" s="93" t="s">
        <v>794</v>
      </c>
      <c r="F329" s="92" t="s">
        <v>341</v>
      </c>
      <c r="G329" s="92" t="s">
        <v>330</v>
      </c>
      <c r="H329" s="92"/>
      <c r="I329" s="92"/>
      <c r="J329" s="92"/>
      <c r="K329" s="92" t="s">
        <v>34</v>
      </c>
      <c r="L329" s="92" t="s">
        <v>451</v>
      </c>
      <c r="M329" s="92" t="s">
        <v>452</v>
      </c>
      <c r="N329" s="94">
        <v>19.059999999999999</v>
      </c>
      <c r="O329" s="94"/>
      <c r="P329" s="95"/>
      <c r="Q329" s="92"/>
      <c r="R329" s="26"/>
      <c r="S329" s="94"/>
      <c r="T329" s="26"/>
      <c r="U329" s="96"/>
      <c r="V329" s="27"/>
    </row>
    <row r="330" spans="1:22" x14ac:dyDescent="0.4">
      <c r="A330" s="91" t="s">
        <v>291</v>
      </c>
      <c r="B330" s="92" t="s">
        <v>645</v>
      </c>
      <c r="C330" s="92" t="s">
        <v>426</v>
      </c>
      <c r="D330" s="92" t="s">
        <v>802</v>
      </c>
      <c r="E330" s="93" t="s">
        <v>435</v>
      </c>
      <c r="F330" s="92" t="s">
        <v>341</v>
      </c>
      <c r="G330" s="92" t="s">
        <v>330</v>
      </c>
      <c r="H330" s="92"/>
      <c r="I330" s="92"/>
      <c r="J330" s="92"/>
      <c r="K330" s="92" t="s">
        <v>34</v>
      </c>
      <c r="L330" s="92" t="s">
        <v>451</v>
      </c>
      <c r="M330" s="92" t="s">
        <v>452</v>
      </c>
      <c r="N330" s="94">
        <v>29.7</v>
      </c>
      <c r="O330" s="94"/>
      <c r="P330" s="95"/>
      <c r="Q330" s="92"/>
      <c r="R330" s="26"/>
      <c r="S330" s="94"/>
      <c r="T330" s="26"/>
      <c r="U330" s="96"/>
      <c r="V330" s="27"/>
    </row>
    <row r="331" spans="1:22" x14ac:dyDescent="0.4">
      <c r="A331" s="91" t="s">
        <v>291</v>
      </c>
      <c r="B331" s="92" t="s">
        <v>645</v>
      </c>
      <c r="C331" s="92" t="s">
        <v>426</v>
      </c>
      <c r="D331" s="92" t="s">
        <v>803</v>
      </c>
      <c r="E331" s="93" t="s">
        <v>794</v>
      </c>
      <c r="F331" s="92" t="s">
        <v>341</v>
      </c>
      <c r="G331" s="92" t="s">
        <v>330</v>
      </c>
      <c r="H331" s="92"/>
      <c r="I331" s="92"/>
      <c r="J331" s="92"/>
      <c r="K331" s="92" t="s">
        <v>34</v>
      </c>
      <c r="L331" s="92" t="s">
        <v>451</v>
      </c>
      <c r="M331" s="92" t="s">
        <v>452</v>
      </c>
      <c r="N331" s="94">
        <v>28.7</v>
      </c>
      <c r="O331" s="94"/>
      <c r="P331" s="95"/>
      <c r="Q331" s="92"/>
      <c r="R331" s="26"/>
      <c r="S331" s="94"/>
      <c r="T331" s="26"/>
      <c r="U331" s="96"/>
      <c r="V331" s="27"/>
    </row>
    <row r="332" spans="1:22" x14ac:dyDescent="0.4">
      <c r="A332" s="91" t="s">
        <v>291</v>
      </c>
      <c r="B332" s="92" t="s">
        <v>645</v>
      </c>
      <c r="C332" s="92" t="s">
        <v>426</v>
      </c>
      <c r="D332" s="92" t="s">
        <v>804</v>
      </c>
      <c r="E332" s="93" t="s">
        <v>401</v>
      </c>
      <c r="F332" s="92" t="s">
        <v>341</v>
      </c>
      <c r="G332" s="92" t="s">
        <v>330</v>
      </c>
      <c r="H332" s="92"/>
      <c r="I332" s="92"/>
      <c r="J332" s="92"/>
      <c r="K332" s="92" t="s">
        <v>34</v>
      </c>
      <c r="L332" s="92" t="s">
        <v>451</v>
      </c>
      <c r="M332" s="92" t="s">
        <v>452</v>
      </c>
      <c r="N332" s="94">
        <v>61.1</v>
      </c>
      <c r="O332" s="94"/>
      <c r="P332" s="95"/>
      <c r="Q332" s="92"/>
      <c r="R332" s="26"/>
      <c r="S332" s="94"/>
      <c r="T332" s="26"/>
      <c r="U332" s="96"/>
      <c r="V332" s="27"/>
    </row>
    <row r="333" spans="1:22" x14ac:dyDescent="0.4">
      <c r="A333" s="91" t="s">
        <v>291</v>
      </c>
      <c r="B333" s="92" t="s">
        <v>645</v>
      </c>
      <c r="C333" s="92" t="s">
        <v>426</v>
      </c>
      <c r="D333" s="92" t="s">
        <v>805</v>
      </c>
      <c r="E333" s="93" t="s">
        <v>435</v>
      </c>
      <c r="F333" s="92" t="s">
        <v>341</v>
      </c>
      <c r="G333" s="92" t="s">
        <v>330</v>
      </c>
      <c r="H333" s="92"/>
      <c r="I333" s="92"/>
      <c r="J333" s="92"/>
      <c r="K333" s="92" t="s">
        <v>34</v>
      </c>
      <c r="L333" s="92" t="s">
        <v>451</v>
      </c>
      <c r="M333" s="92" t="s">
        <v>452</v>
      </c>
      <c r="N333" s="94">
        <v>18.3</v>
      </c>
      <c r="O333" s="94"/>
      <c r="P333" s="95"/>
      <c r="Q333" s="92"/>
      <c r="R333" s="26"/>
      <c r="S333" s="94"/>
      <c r="T333" s="26"/>
      <c r="U333" s="96"/>
      <c r="V333" s="27"/>
    </row>
    <row r="334" spans="1:22" x14ac:dyDescent="0.4">
      <c r="A334" s="91" t="s">
        <v>291</v>
      </c>
      <c r="B334" s="92" t="s">
        <v>645</v>
      </c>
      <c r="C334" s="92" t="s">
        <v>426</v>
      </c>
      <c r="D334" s="92" t="s">
        <v>806</v>
      </c>
      <c r="E334" s="93" t="s">
        <v>435</v>
      </c>
      <c r="F334" s="92" t="s">
        <v>341</v>
      </c>
      <c r="G334" s="92" t="s">
        <v>330</v>
      </c>
      <c r="H334" s="92"/>
      <c r="I334" s="92"/>
      <c r="J334" s="92"/>
      <c r="K334" s="92" t="s">
        <v>34</v>
      </c>
      <c r="L334" s="92" t="s">
        <v>451</v>
      </c>
      <c r="M334" s="92" t="s">
        <v>452</v>
      </c>
      <c r="N334" s="94">
        <v>18.600000000000001</v>
      </c>
      <c r="O334" s="94"/>
      <c r="P334" s="95"/>
      <c r="Q334" s="92"/>
      <c r="R334" s="26"/>
      <c r="S334" s="94"/>
      <c r="T334" s="26"/>
      <c r="U334" s="96"/>
      <c r="V334" s="27"/>
    </row>
    <row r="335" spans="1:22" x14ac:dyDescent="0.4">
      <c r="A335" s="91" t="s">
        <v>291</v>
      </c>
      <c r="B335" s="92" t="s">
        <v>645</v>
      </c>
      <c r="C335" s="92" t="s">
        <v>426</v>
      </c>
      <c r="D335" s="92" t="s">
        <v>807</v>
      </c>
      <c r="E335" s="93" t="s">
        <v>794</v>
      </c>
      <c r="F335" s="92" t="s">
        <v>341</v>
      </c>
      <c r="G335" s="92" t="s">
        <v>330</v>
      </c>
      <c r="H335" s="92"/>
      <c r="I335" s="92"/>
      <c r="J335" s="92"/>
      <c r="K335" s="92" t="s">
        <v>34</v>
      </c>
      <c r="L335" s="92" t="s">
        <v>451</v>
      </c>
      <c r="M335" s="92" t="s">
        <v>452</v>
      </c>
      <c r="N335" s="94">
        <v>37.6</v>
      </c>
      <c r="O335" s="94"/>
      <c r="P335" s="95"/>
      <c r="Q335" s="92"/>
      <c r="R335" s="26"/>
      <c r="S335" s="94"/>
      <c r="T335" s="26"/>
      <c r="U335" s="96"/>
      <c r="V335" s="27"/>
    </row>
    <row r="336" spans="1:22" x14ac:dyDescent="0.4">
      <c r="A336" s="91" t="s">
        <v>291</v>
      </c>
      <c r="B336" s="92" t="s">
        <v>645</v>
      </c>
      <c r="C336" s="92" t="s">
        <v>426</v>
      </c>
      <c r="D336" s="92" t="s">
        <v>808</v>
      </c>
      <c r="E336" s="93" t="s">
        <v>435</v>
      </c>
      <c r="F336" s="92" t="s">
        <v>341</v>
      </c>
      <c r="G336" s="92" t="s">
        <v>330</v>
      </c>
      <c r="H336" s="92"/>
      <c r="I336" s="92"/>
      <c r="J336" s="92"/>
      <c r="K336" s="92" t="s">
        <v>34</v>
      </c>
      <c r="L336" s="92" t="s">
        <v>451</v>
      </c>
      <c r="M336" s="92" t="s">
        <v>452</v>
      </c>
      <c r="N336" s="94">
        <v>18.399999999999999</v>
      </c>
      <c r="O336" s="94"/>
      <c r="P336" s="95"/>
      <c r="Q336" s="92"/>
      <c r="R336" s="26"/>
      <c r="S336" s="94"/>
      <c r="T336" s="26"/>
      <c r="U336" s="96"/>
      <c r="V336" s="27"/>
    </row>
    <row r="337" spans="1:22" x14ac:dyDescent="0.4">
      <c r="A337" s="91" t="s">
        <v>291</v>
      </c>
      <c r="B337" s="92" t="s">
        <v>645</v>
      </c>
      <c r="C337" s="92" t="s">
        <v>426</v>
      </c>
      <c r="D337" s="92" t="s">
        <v>809</v>
      </c>
      <c r="E337" s="93" t="s">
        <v>435</v>
      </c>
      <c r="F337" s="92" t="s">
        <v>341</v>
      </c>
      <c r="G337" s="92" t="s">
        <v>330</v>
      </c>
      <c r="H337" s="92"/>
      <c r="I337" s="92"/>
      <c r="J337" s="92"/>
      <c r="K337" s="92" t="s">
        <v>34</v>
      </c>
      <c r="L337" s="92" t="s">
        <v>451</v>
      </c>
      <c r="M337" s="92" t="s">
        <v>452</v>
      </c>
      <c r="N337" s="94">
        <v>18.899999999999999</v>
      </c>
      <c r="O337" s="94"/>
      <c r="P337" s="95"/>
      <c r="Q337" s="92"/>
      <c r="R337" s="26"/>
      <c r="S337" s="94"/>
      <c r="T337" s="26"/>
      <c r="U337" s="96"/>
      <c r="V337" s="27"/>
    </row>
    <row r="338" spans="1:22" x14ac:dyDescent="0.4">
      <c r="A338" s="91" t="s">
        <v>291</v>
      </c>
      <c r="B338" s="92" t="s">
        <v>645</v>
      </c>
      <c r="C338" s="92" t="s">
        <v>426</v>
      </c>
      <c r="D338" s="92" t="s">
        <v>810</v>
      </c>
      <c r="E338" s="93" t="s">
        <v>794</v>
      </c>
      <c r="F338" s="92" t="s">
        <v>341</v>
      </c>
      <c r="G338" s="92" t="s">
        <v>330</v>
      </c>
      <c r="H338" s="92"/>
      <c r="I338" s="92"/>
      <c r="J338" s="92"/>
      <c r="K338" s="92" t="s">
        <v>34</v>
      </c>
      <c r="L338" s="92" t="s">
        <v>451</v>
      </c>
      <c r="M338" s="92" t="s">
        <v>452</v>
      </c>
      <c r="N338" s="94">
        <v>37.6</v>
      </c>
      <c r="O338" s="94"/>
      <c r="P338" s="95"/>
      <c r="Q338" s="92"/>
      <c r="R338" s="26"/>
      <c r="S338" s="94"/>
      <c r="T338" s="26"/>
      <c r="U338" s="96"/>
      <c r="V338" s="27"/>
    </row>
    <row r="339" spans="1:22" x14ac:dyDescent="0.4">
      <c r="A339" s="91" t="s">
        <v>291</v>
      </c>
      <c r="B339" s="92" t="s">
        <v>645</v>
      </c>
      <c r="C339" s="92" t="s">
        <v>426</v>
      </c>
      <c r="D339" s="92" t="s">
        <v>811</v>
      </c>
      <c r="E339" s="93" t="s">
        <v>435</v>
      </c>
      <c r="F339" s="92" t="s">
        <v>341</v>
      </c>
      <c r="G339" s="92" t="s">
        <v>330</v>
      </c>
      <c r="H339" s="92"/>
      <c r="I339" s="92"/>
      <c r="J339" s="92"/>
      <c r="K339" s="92" t="s">
        <v>34</v>
      </c>
      <c r="L339" s="92" t="s">
        <v>451</v>
      </c>
      <c r="M339" s="92" t="s">
        <v>452</v>
      </c>
      <c r="N339" s="94">
        <v>18.600000000000001</v>
      </c>
      <c r="O339" s="94"/>
      <c r="P339" s="95"/>
      <c r="Q339" s="92"/>
      <c r="R339" s="26"/>
      <c r="S339" s="94"/>
      <c r="T339" s="26"/>
      <c r="U339" s="96"/>
      <c r="V339" s="27"/>
    </row>
    <row r="340" spans="1:22" x14ac:dyDescent="0.4">
      <c r="A340" s="91" t="s">
        <v>291</v>
      </c>
      <c r="B340" s="92" t="s">
        <v>645</v>
      </c>
      <c r="C340" s="92" t="s">
        <v>426</v>
      </c>
      <c r="D340" s="92" t="s">
        <v>812</v>
      </c>
      <c r="E340" s="93" t="s">
        <v>435</v>
      </c>
      <c r="F340" s="92" t="s">
        <v>341</v>
      </c>
      <c r="G340" s="92" t="s">
        <v>330</v>
      </c>
      <c r="H340" s="92"/>
      <c r="I340" s="92"/>
      <c r="J340" s="92"/>
      <c r="K340" s="92" t="s">
        <v>34</v>
      </c>
      <c r="L340" s="92" t="s">
        <v>451</v>
      </c>
      <c r="M340" s="92" t="s">
        <v>452</v>
      </c>
      <c r="N340" s="94">
        <v>18.600000000000001</v>
      </c>
      <c r="O340" s="94"/>
      <c r="P340" s="95"/>
      <c r="Q340" s="92"/>
      <c r="R340" s="26"/>
      <c r="S340" s="94"/>
      <c r="T340" s="26"/>
      <c r="U340" s="96"/>
      <c r="V340" s="27"/>
    </row>
    <row r="341" spans="1:22" ht="29.15" x14ac:dyDescent="0.4">
      <c r="A341" s="91" t="s">
        <v>291</v>
      </c>
      <c r="B341" s="92" t="s">
        <v>645</v>
      </c>
      <c r="C341" s="92" t="s">
        <v>426</v>
      </c>
      <c r="D341" s="92" t="s">
        <v>813</v>
      </c>
      <c r="E341" s="93" t="s">
        <v>814</v>
      </c>
      <c r="F341" s="92" t="s">
        <v>341</v>
      </c>
      <c r="G341" s="92" t="s">
        <v>235</v>
      </c>
      <c r="H341" s="92" t="s">
        <v>9</v>
      </c>
      <c r="I341" s="92" t="s">
        <v>293</v>
      </c>
      <c r="J341" s="93" t="s">
        <v>236</v>
      </c>
      <c r="K341" s="92" t="s">
        <v>320</v>
      </c>
      <c r="L341" s="92" t="s">
        <v>448</v>
      </c>
      <c r="M341" s="92" t="s">
        <v>295</v>
      </c>
      <c r="N341" s="94">
        <v>35</v>
      </c>
      <c r="O341" s="94">
        <f>N341*VLOOKUP(H341,dagsoorttabel1,2,FALSE)</f>
        <v>35</v>
      </c>
      <c r="P341" s="95">
        <f>prodnorm45</f>
        <v>0</v>
      </c>
      <c r="Q341" s="92" t="s">
        <v>97</v>
      </c>
      <c r="R341" s="26">
        <f>uurtarief45</f>
        <v>0</v>
      </c>
      <c r="S341" s="94" t="e">
        <f>IF(ISBLANK(P341),0,O341/ROUND(P341,4))</f>
        <v>#DIV/0!</v>
      </c>
      <c r="T341" s="26" t="e">
        <f>ROUND(R341,2)*S341</f>
        <v>#DIV/0!</v>
      </c>
      <c r="U341" s="94" t="e">
        <f>S341*dagenperjaar1</f>
        <v>#DIV/0!</v>
      </c>
      <c r="V341" s="27" t="e">
        <f>U341*ROUND(R341,2)</f>
        <v>#DIV/0!</v>
      </c>
    </row>
    <row r="342" spans="1:22" x14ac:dyDescent="0.4">
      <c r="A342" s="91" t="s">
        <v>291</v>
      </c>
      <c r="B342" s="92" t="s">
        <v>645</v>
      </c>
      <c r="C342" s="92" t="s">
        <v>426</v>
      </c>
      <c r="D342" s="92" t="s">
        <v>815</v>
      </c>
      <c r="E342" s="93" t="s">
        <v>587</v>
      </c>
      <c r="F342" s="92" t="s">
        <v>471</v>
      </c>
      <c r="G342" s="92" t="s">
        <v>330</v>
      </c>
      <c r="H342" s="92"/>
      <c r="I342" s="92"/>
      <c r="J342" s="92"/>
      <c r="K342" s="92" t="s">
        <v>34</v>
      </c>
      <c r="L342" s="92" t="s">
        <v>451</v>
      </c>
      <c r="M342" s="92" t="s">
        <v>452</v>
      </c>
      <c r="N342" s="94">
        <v>14.2</v>
      </c>
      <c r="O342" s="94"/>
      <c r="P342" s="95"/>
      <c r="Q342" s="92"/>
      <c r="R342" s="26"/>
      <c r="S342" s="94"/>
      <c r="T342" s="26"/>
      <c r="U342" s="96"/>
      <c r="V342" s="27"/>
    </row>
    <row r="343" spans="1:22" x14ac:dyDescent="0.4">
      <c r="A343" s="91" t="s">
        <v>291</v>
      </c>
      <c r="B343" s="92" t="s">
        <v>645</v>
      </c>
      <c r="C343" s="92" t="s">
        <v>426</v>
      </c>
      <c r="D343" s="92" t="s">
        <v>816</v>
      </c>
      <c r="E343" s="93" t="s">
        <v>435</v>
      </c>
      <c r="F343" s="92" t="s">
        <v>341</v>
      </c>
      <c r="G343" s="92" t="s">
        <v>330</v>
      </c>
      <c r="H343" s="92"/>
      <c r="I343" s="92"/>
      <c r="J343" s="92"/>
      <c r="K343" s="92" t="s">
        <v>34</v>
      </c>
      <c r="L343" s="92" t="s">
        <v>451</v>
      </c>
      <c r="M343" s="92" t="s">
        <v>452</v>
      </c>
      <c r="N343" s="94">
        <v>29</v>
      </c>
      <c r="O343" s="94"/>
      <c r="P343" s="95"/>
      <c r="Q343" s="92"/>
      <c r="R343" s="26"/>
      <c r="S343" s="94"/>
      <c r="T343" s="26"/>
      <c r="U343" s="96"/>
      <c r="V343" s="27"/>
    </row>
    <row r="344" spans="1:22" x14ac:dyDescent="0.4">
      <c r="A344" s="91" t="s">
        <v>291</v>
      </c>
      <c r="B344" s="92" t="s">
        <v>645</v>
      </c>
      <c r="C344" s="92" t="s">
        <v>426</v>
      </c>
      <c r="D344" s="92" t="s">
        <v>817</v>
      </c>
      <c r="E344" s="93" t="s">
        <v>794</v>
      </c>
      <c r="F344" s="92" t="s">
        <v>341</v>
      </c>
      <c r="G344" s="92" t="s">
        <v>330</v>
      </c>
      <c r="H344" s="92"/>
      <c r="I344" s="92"/>
      <c r="J344" s="92"/>
      <c r="K344" s="92" t="s">
        <v>34</v>
      </c>
      <c r="L344" s="92" t="s">
        <v>451</v>
      </c>
      <c r="M344" s="92" t="s">
        <v>452</v>
      </c>
      <c r="N344" s="94">
        <v>28.5</v>
      </c>
      <c r="O344" s="94"/>
      <c r="P344" s="95"/>
      <c r="Q344" s="92"/>
      <c r="R344" s="26"/>
      <c r="S344" s="94"/>
      <c r="T344" s="26"/>
      <c r="U344" s="96"/>
      <c r="V344" s="27"/>
    </row>
    <row r="345" spans="1:22" x14ac:dyDescent="0.4">
      <c r="A345" s="91" t="s">
        <v>291</v>
      </c>
      <c r="B345" s="92" t="s">
        <v>645</v>
      </c>
      <c r="C345" s="92" t="s">
        <v>426</v>
      </c>
      <c r="D345" s="92" t="s">
        <v>818</v>
      </c>
      <c r="E345" s="93" t="s">
        <v>435</v>
      </c>
      <c r="F345" s="92" t="s">
        <v>341</v>
      </c>
      <c r="G345" s="92" t="s">
        <v>330</v>
      </c>
      <c r="H345" s="92"/>
      <c r="I345" s="92"/>
      <c r="J345" s="92"/>
      <c r="K345" s="92" t="s">
        <v>34</v>
      </c>
      <c r="L345" s="92" t="s">
        <v>451</v>
      </c>
      <c r="M345" s="92" t="s">
        <v>452</v>
      </c>
      <c r="N345" s="94">
        <v>29.5</v>
      </c>
      <c r="O345" s="94"/>
      <c r="P345" s="95"/>
      <c r="Q345" s="92"/>
      <c r="R345" s="26"/>
      <c r="S345" s="94"/>
      <c r="T345" s="26"/>
      <c r="U345" s="96"/>
      <c r="V345" s="27"/>
    </row>
    <row r="346" spans="1:22" x14ac:dyDescent="0.4">
      <c r="A346" s="91" t="s">
        <v>291</v>
      </c>
      <c r="B346" s="92" t="s">
        <v>645</v>
      </c>
      <c r="C346" s="92" t="s">
        <v>426</v>
      </c>
      <c r="D346" s="92" t="s">
        <v>819</v>
      </c>
      <c r="E346" s="93" t="s">
        <v>576</v>
      </c>
      <c r="F346" s="92" t="s">
        <v>301</v>
      </c>
      <c r="G346" s="92" t="s">
        <v>330</v>
      </c>
      <c r="H346" s="92"/>
      <c r="I346" s="92"/>
      <c r="J346" s="92"/>
      <c r="K346" s="92" t="s">
        <v>34</v>
      </c>
      <c r="L346" s="92" t="s">
        <v>302</v>
      </c>
      <c r="M346" s="92" t="s">
        <v>549</v>
      </c>
      <c r="N346" s="94">
        <v>9.5</v>
      </c>
      <c r="O346" s="94"/>
      <c r="P346" s="95"/>
      <c r="Q346" s="92"/>
      <c r="R346" s="26"/>
      <c r="S346" s="94"/>
      <c r="T346" s="26"/>
      <c r="U346" s="96"/>
      <c r="V346" s="27"/>
    </row>
    <row r="347" spans="1:22" x14ac:dyDescent="0.4">
      <c r="A347" s="91" t="s">
        <v>291</v>
      </c>
      <c r="B347" s="92" t="s">
        <v>645</v>
      </c>
      <c r="C347" s="92" t="s">
        <v>426</v>
      </c>
      <c r="D347" s="92" t="s">
        <v>820</v>
      </c>
      <c r="E347" s="93" t="s">
        <v>821</v>
      </c>
      <c r="F347" s="92" t="s">
        <v>341</v>
      </c>
      <c r="G347" s="92" t="s">
        <v>330</v>
      </c>
      <c r="H347" s="92"/>
      <c r="I347" s="92"/>
      <c r="J347" s="92"/>
      <c r="K347" s="92" t="s">
        <v>34</v>
      </c>
      <c r="L347" s="92" t="s">
        <v>451</v>
      </c>
      <c r="M347" s="92" t="s">
        <v>452</v>
      </c>
      <c r="N347" s="94">
        <v>19.5</v>
      </c>
      <c r="O347" s="94"/>
      <c r="P347" s="95"/>
      <c r="Q347" s="92"/>
      <c r="R347" s="26"/>
      <c r="S347" s="94"/>
      <c r="T347" s="26"/>
      <c r="U347" s="96"/>
      <c r="V347" s="27"/>
    </row>
    <row r="348" spans="1:22" x14ac:dyDescent="0.4">
      <c r="A348" s="91" t="s">
        <v>291</v>
      </c>
      <c r="B348" s="92" t="s">
        <v>645</v>
      </c>
      <c r="C348" s="92" t="s">
        <v>426</v>
      </c>
      <c r="D348" s="92" t="s">
        <v>822</v>
      </c>
      <c r="E348" s="93" t="s">
        <v>823</v>
      </c>
      <c r="F348" s="92" t="s">
        <v>315</v>
      </c>
      <c r="G348" s="92" t="s">
        <v>231</v>
      </c>
      <c r="H348" s="92" t="s">
        <v>9</v>
      </c>
      <c r="I348" s="92" t="s">
        <v>293</v>
      </c>
      <c r="J348" s="93" t="s">
        <v>232</v>
      </c>
      <c r="K348" s="92" t="s">
        <v>320</v>
      </c>
      <c r="L348" s="92" t="s">
        <v>448</v>
      </c>
      <c r="M348" s="92" t="s">
        <v>295</v>
      </c>
      <c r="N348" s="94">
        <v>23</v>
      </c>
      <c r="O348" s="94">
        <f>N348*VLOOKUP(H348,dagsoorttabel1,2,FALSE)</f>
        <v>23</v>
      </c>
      <c r="P348" s="95">
        <f>prodnorm42</f>
        <v>0</v>
      </c>
      <c r="Q348" s="92" t="s">
        <v>97</v>
      </c>
      <c r="R348" s="26">
        <f>uurtarief42</f>
        <v>0</v>
      </c>
      <c r="S348" s="94" t="e">
        <f>IF(ISBLANK(P348),0,O348/ROUND(P348,4))</f>
        <v>#DIV/0!</v>
      </c>
      <c r="T348" s="26" t="e">
        <f>ROUND(R348,2)*S348</f>
        <v>#DIV/0!</v>
      </c>
      <c r="U348" s="94" t="e">
        <f>S348*dagenperjaar1</f>
        <v>#DIV/0!</v>
      </c>
      <c r="V348" s="27" t="e">
        <f>U348*ROUND(R348,2)</f>
        <v>#DIV/0!</v>
      </c>
    </row>
    <row r="349" spans="1:22" x14ac:dyDescent="0.4">
      <c r="A349" s="91" t="s">
        <v>291</v>
      </c>
      <c r="B349" s="92" t="s">
        <v>645</v>
      </c>
      <c r="C349" s="92" t="s">
        <v>426</v>
      </c>
      <c r="D349" s="92" t="s">
        <v>824</v>
      </c>
      <c r="E349" s="93" t="s">
        <v>684</v>
      </c>
      <c r="F349" s="92" t="s">
        <v>341</v>
      </c>
      <c r="G349" s="92" t="s">
        <v>251</v>
      </c>
      <c r="H349" s="92" t="s">
        <v>13</v>
      </c>
      <c r="I349" s="92" t="s">
        <v>293</v>
      </c>
      <c r="J349" s="93" t="s">
        <v>252</v>
      </c>
      <c r="K349" s="92" t="s">
        <v>320</v>
      </c>
      <c r="L349" s="92" t="s">
        <v>302</v>
      </c>
      <c r="M349" s="92" t="s">
        <v>295</v>
      </c>
      <c r="N349" s="94">
        <v>12</v>
      </c>
      <c r="O349" s="94">
        <f>N349*VLOOKUP(H349,dagsoorttabel1,2,FALSE)</f>
        <v>2.4000000000000004</v>
      </c>
      <c r="P349" s="95">
        <f>prodnorm57</f>
        <v>0</v>
      </c>
      <c r="Q349" s="92" t="s">
        <v>97</v>
      </c>
      <c r="R349" s="26">
        <f>uurtarief57</f>
        <v>0</v>
      </c>
      <c r="S349" s="94" t="e">
        <f>IF(ISBLANK(P349),0,O349/ROUND(P349,4))</f>
        <v>#DIV/0!</v>
      </c>
      <c r="T349" s="26" t="e">
        <f>ROUND(R349,2)*S349</f>
        <v>#DIV/0!</v>
      </c>
      <c r="U349" s="94" t="e">
        <f>S349*dagenperjaar1</f>
        <v>#DIV/0!</v>
      </c>
      <c r="V349" s="27" t="e">
        <f>U349*ROUND(R349,2)</f>
        <v>#DIV/0!</v>
      </c>
    </row>
    <row r="350" spans="1:22" x14ac:dyDescent="0.4">
      <c r="A350" s="91" t="s">
        <v>291</v>
      </c>
      <c r="B350" s="92" t="s">
        <v>645</v>
      </c>
      <c r="C350" s="92" t="s">
        <v>426</v>
      </c>
      <c r="D350" s="92" t="s">
        <v>825</v>
      </c>
      <c r="E350" s="93" t="s">
        <v>826</v>
      </c>
      <c r="F350" s="92" t="s">
        <v>341</v>
      </c>
      <c r="G350" s="92" t="s">
        <v>205</v>
      </c>
      <c r="H350" s="92" t="s">
        <v>11</v>
      </c>
      <c r="I350" s="92" t="s">
        <v>293</v>
      </c>
      <c r="J350" s="93" t="s">
        <v>206</v>
      </c>
      <c r="K350" s="92" t="s">
        <v>342</v>
      </c>
      <c r="L350" s="92" t="s">
        <v>432</v>
      </c>
      <c r="M350" s="92" t="s">
        <v>348</v>
      </c>
      <c r="N350" s="94">
        <v>78.8</v>
      </c>
      <c r="O350" s="94">
        <f>N350*VLOOKUP(H350,dagsoorttabel1,2,FALSE)</f>
        <v>47.279999999999994</v>
      </c>
      <c r="P350" s="95">
        <f>prodnorm24</f>
        <v>0</v>
      </c>
      <c r="Q350" s="92" t="s">
        <v>97</v>
      </c>
      <c r="R350" s="26">
        <f>uurtarief24</f>
        <v>0</v>
      </c>
      <c r="S350" s="94" t="e">
        <f>IF(ISBLANK(P350),0,O350/ROUND(P350,4))</f>
        <v>#DIV/0!</v>
      </c>
      <c r="T350" s="26" t="e">
        <f>ROUND(R350,2)*S350</f>
        <v>#DIV/0!</v>
      </c>
      <c r="U350" s="94" t="e">
        <f>S350*dagenperjaar1</f>
        <v>#DIV/0!</v>
      </c>
      <c r="V350" s="27" t="e">
        <f>U350*ROUND(R350,2)</f>
        <v>#DIV/0!</v>
      </c>
    </row>
    <row r="351" spans="1:22" x14ac:dyDescent="0.4">
      <c r="A351" s="91" t="s">
        <v>291</v>
      </c>
      <c r="B351" s="92" t="s">
        <v>645</v>
      </c>
      <c r="C351" s="92" t="s">
        <v>426</v>
      </c>
      <c r="D351" s="92" t="s">
        <v>827</v>
      </c>
      <c r="E351" s="93" t="s">
        <v>392</v>
      </c>
      <c r="F351" s="92" t="s">
        <v>341</v>
      </c>
      <c r="G351" s="92" t="s">
        <v>205</v>
      </c>
      <c r="H351" s="92" t="s">
        <v>11</v>
      </c>
      <c r="I351" s="92" t="s">
        <v>293</v>
      </c>
      <c r="J351" s="93" t="s">
        <v>206</v>
      </c>
      <c r="K351" s="92" t="s">
        <v>342</v>
      </c>
      <c r="L351" s="92" t="s">
        <v>432</v>
      </c>
      <c r="M351" s="92" t="s">
        <v>348</v>
      </c>
      <c r="N351" s="94">
        <v>6</v>
      </c>
      <c r="O351" s="94">
        <f>N351*VLOOKUP(H351,dagsoorttabel1,2,FALSE)</f>
        <v>3.5999999999999996</v>
      </c>
      <c r="P351" s="95">
        <f>prodnorm24</f>
        <v>0</v>
      </c>
      <c r="Q351" s="92" t="s">
        <v>97</v>
      </c>
      <c r="R351" s="26">
        <f>uurtarief24</f>
        <v>0</v>
      </c>
      <c r="S351" s="94" t="e">
        <f>IF(ISBLANK(P351),0,O351/ROUND(P351,4))</f>
        <v>#DIV/0!</v>
      </c>
      <c r="T351" s="26" t="e">
        <f>ROUND(R351,2)*S351</f>
        <v>#DIV/0!</v>
      </c>
      <c r="U351" s="94" t="e">
        <f>S351*dagenperjaar1</f>
        <v>#DIV/0!</v>
      </c>
      <c r="V351" s="27" t="e">
        <f>U351*ROUND(R351,2)</f>
        <v>#DIV/0!</v>
      </c>
    </row>
    <row r="352" spans="1:22" x14ac:dyDescent="0.4">
      <c r="A352" s="91" t="s">
        <v>291</v>
      </c>
      <c r="B352" s="92" t="s">
        <v>645</v>
      </c>
      <c r="C352" s="92" t="s">
        <v>426</v>
      </c>
      <c r="D352" s="92" t="s">
        <v>828</v>
      </c>
      <c r="E352" s="93" t="s">
        <v>392</v>
      </c>
      <c r="F352" s="92" t="s">
        <v>341</v>
      </c>
      <c r="G352" s="92" t="s">
        <v>205</v>
      </c>
      <c r="H352" s="92" t="s">
        <v>11</v>
      </c>
      <c r="I352" s="92" t="s">
        <v>293</v>
      </c>
      <c r="J352" s="93" t="s">
        <v>206</v>
      </c>
      <c r="K352" s="92" t="s">
        <v>342</v>
      </c>
      <c r="L352" s="92" t="s">
        <v>432</v>
      </c>
      <c r="M352" s="92" t="s">
        <v>348</v>
      </c>
      <c r="N352" s="94">
        <v>6</v>
      </c>
      <c r="O352" s="94">
        <f>N352*VLOOKUP(H352,dagsoorttabel1,2,FALSE)</f>
        <v>3.5999999999999996</v>
      </c>
      <c r="P352" s="95">
        <f>prodnorm24</f>
        <v>0</v>
      </c>
      <c r="Q352" s="92" t="s">
        <v>97</v>
      </c>
      <c r="R352" s="26">
        <f>uurtarief24</f>
        <v>0</v>
      </c>
      <c r="S352" s="94" t="e">
        <f>IF(ISBLANK(P352),0,O352/ROUND(P352,4))</f>
        <v>#DIV/0!</v>
      </c>
      <c r="T352" s="26" t="e">
        <f>ROUND(R352,2)*S352</f>
        <v>#DIV/0!</v>
      </c>
      <c r="U352" s="94" t="e">
        <f>S352*dagenperjaar1</f>
        <v>#DIV/0!</v>
      </c>
      <c r="V352" s="27" t="e">
        <f>U352*ROUND(R352,2)</f>
        <v>#DIV/0!</v>
      </c>
    </row>
    <row r="353" spans="1:22" x14ac:dyDescent="0.4">
      <c r="A353" s="91" t="s">
        <v>291</v>
      </c>
      <c r="B353" s="92" t="s">
        <v>645</v>
      </c>
      <c r="C353" s="92" t="s">
        <v>426</v>
      </c>
      <c r="D353" s="92" t="s">
        <v>829</v>
      </c>
      <c r="E353" s="93" t="s">
        <v>591</v>
      </c>
      <c r="F353" s="92" t="s">
        <v>341</v>
      </c>
      <c r="G353" s="92" t="s">
        <v>213</v>
      </c>
      <c r="H353" s="92" t="s">
        <v>11</v>
      </c>
      <c r="I353" s="92" t="s">
        <v>293</v>
      </c>
      <c r="J353" s="93" t="s">
        <v>214</v>
      </c>
      <c r="K353" s="92" t="s">
        <v>342</v>
      </c>
      <c r="L353" s="92" t="s">
        <v>432</v>
      </c>
      <c r="M353" s="92" t="s">
        <v>348</v>
      </c>
      <c r="N353" s="94">
        <v>11.6</v>
      </c>
      <c r="O353" s="94">
        <f>N353*VLOOKUP(H353,dagsoorttabel1,2,FALSE)</f>
        <v>6.96</v>
      </c>
      <c r="P353" s="95">
        <f>prodnorm29</f>
        <v>0</v>
      </c>
      <c r="Q353" s="92" t="s">
        <v>97</v>
      </c>
      <c r="R353" s="26">
        <f>uurtarief29</f>
        <v>0</v>
      </c>
      <c r="S353" s="94" t="e">
        <f>IF(ISBLANK(P353),0,O353/ROUND(P353,4))</f>
        <v>#DIV/0!</v>
      </c>
      <c r="T353" s="26" t="e">
        <f>ROUND(R353,2)*S353</f>
        <v>#DIV/0!</v>
      </c>
      <c r="U353" s="94" t="e">
        <f>S353*dagenperjaar1</f>
        <v>#DIV/0!</v>
      </c>
      <c r="V353" s="27" t="e">
        <f>U353*ROUND(R353,2)</f>
        <v>#DIV/0!</v>
      </c>
    </row>
    <row r="354" spans="1:22" x14ac:dyDescent="0.4">
      <c r="A354" s="91" t="s">
        <v>291</v>
      </c>
      <c r="B354" s="92" t="s">
        <v>645</v>
      </c>
      <c r="C354" s="92" t="s">
        <v>426</v>
      </c>
      <c r="D354" s="92" t="s">
        <v>830</v>
      </c>
      <c r="E354" s="93" t="s">
        <v>392</v>
      </c>
      <c r="F354" s="92" t="s">
        <v>341</v>
      </c>
      <c r="G354" s="92" t="s">
        <v>205</v>
      </c>
      <c r="H354" s="92" t="s">
        <v>11</v>
      </c>
      <c r="I354" s="92" t="s">
        <v>293</v>
      </c>
      <c r="J354" s="93" t="s">
        <v>206</v>
      </c>
      <c r="K354" s="92" t="s">
        <v>342</v>
      </c>
      <c r="L354" s="92" t="s">
        <v>432</v>
      </c>
      <c r="M354" s="92" t="s">
        <v>348</v>
      </c>
      <c r="N354" s="94">
        <v>10</v>
      </c>
      <c r="O354" s="94">
        <f>N354*VLOOKUP(H354,dagsoorttabel1,2,FALSE)</f>
        <v>6</v>
      </c>
      <c r="P354" s="95">
        <f>prodnorm24</f>
        <v>0</v>
      </c>
      <c r="Q354" s="92" t="s">
        <v>97</v>
      </c>
      <c r="R354" s="26">
        <f>uurtarief24</f>
        <v>0</v>
      </c>
      <c r="S354" s="94" t="e">
        <f>IF(ISBLANK(P354),0,O354/ROUND(P354,4))</f>
        <v>#DIV/0!</v>
      </c>
      <c r="T354" s="26" t="e">
        <f>ROUND(R354,2)*S354</f>
        <v>#DIV/0!</v>
      </c>
      <c r="U354" s="94" t="e">
        <f>S354*dagenperjaar1</f>
        <v>#DIV/0!</v>
      </c>
      <c r="V354" s="27" t="e">
        <f>U354*ROUND(R354,2)</f>
        <v>#DIV/0!</v>
      </c>
    </row>
    <row r="355" spans="1:22" x14ac:dyDescent="0.4">
      <c r="A355" s="91" t="s">
        <v>291</v>
      </c>
      <c r="B355" s="92" t="s">
        <v>645</v>
      </c>
      <c r="C355" s="92" t="s">
        <v>463</v>
      </c>
      <c r="D355" s="92" t="s">
        <v>831</v>
      </c>
      <c r="E355" s="93" t="s">
        <v>401</v>
      </c>
      <c r="F355" s="92" t="s">
        <v>341</v>
      </c>
      <c r="G355" s="92" t="s">
        <v>241</v>
      </c>
      <c r="H355" s="92" t="s">
        <v>11</v>
      </c>
      <c r="I355" s="92" t="s">
        <v>293</v>
      </c>
      <c r="J355" s="93" t="s">
        <v>242</v>
      </c>
      <c r="K355" s="92" t="s">
        <v>320</v>
      </c>
      <c r="L355" s="92" t="s">
        <v>491</v>
      </c>
      <c r="M355" s="92" t="s">
        <v>348</v>
      </c>
      <c r="N355" s="94">
        <v>44.5</v>
      </c>
      <c r="O355" s="94">
        <f>N355*VLOOKUP(H355,dagsoorttabel1,2,FALSE)</f>
        <v>26.7</v>
      </c>
      <c r="P355" s="95">
        <f>prodnorm48</f>
        <v>0</v>
      </c>
      <c r="Q355" s="92" t="s">
        <v>97</v>
      </c>
      <c r="R355" s="26">
        <f>uurtarief48</f>
        <v>0</v>
      </c>
      <c r="S355" s="94" t="e">
        <f>IF(ISBLANK(P355),0,O355/ROUND(P355,4))</f>
        <v>#DIV/0!</v>
      </c>
      <c r="T355" s="26" t="e">
        <f>ROUND(R355,2)*S355</f>
        <v>#DIV/0!</v>
      </c>
      <c r="U355" s="94" t="e">
        <f>S355*dagenperjaar1</f>
        <v>#DIV/0!</v>
      </c>
      <c r="V355" s="27" t="e">
        <f>U355*ROUND(R355,2)</f>
        <v>#DIV/0!</v>
      </c>
    </row>
    <row r="356" spans="1:22" x14ac:dyDescent="0.4">
      <c r="A356" s="91" t="s">
        <v>291</v>
      </c>
      <c r="B356" s="92" t="s">
        <v>645</v>
      </c>
      <c r="C356" s="92" t="s">
        <v>463</v>
      </c>
      <c r="D356" s="92" t="s">
        <v>832</v>
      </c>
      <c r="E356" s="93" t="s">
        <v>833</v>
      </c>
      <c r="F356" s="92" t="s">
        <v>341</v>
      </c>
      <c r="G356" s="92" t="s">
        <v>205</v>
      </c>
      <c r="H356" s="92" t="s">
        <v>11</v>
      </c>
      <c r="I356" s="92" t="s">
        <v>293</v>
      </c>
      <c r="J356" s="93" t="s">
        <v>206</v>
      </c>
      <c r="K356" s="92" t="s">
        <v>342</v>
      </c>
      <c r="L356" s="92" t="s">
        <v>347</v>
      </c>
      <c r="M356" s="92" t="s">
        <v>348</v>
      </c>
      <c r="N356" s="94">
        <v>14</v>
      </c>
      <c r="O356" s="94">
        <f>N356*VLOOKUP(H356,dagsoorttabel1,2,FALSE)</f>
        <v>8.4</v>
      </c>
      <c r="P356" s="95">
        <f>prodnorm24</f>
        <v>0</v>
      </c>
      <c r="Q356" s="92" t="s">
        <v>97</v>
      </c>
      <c r="R356" s="26">
        <f>uurtarief24</f>
        <v>0</v>
      </c>
      <c r="S356" s="94" t="e">
        <f>IF(ISBLANK(P356),0,O356/ROUND(P356,4))</f>
        <v>#DIV/0!</v>
      </c>
      <c r="T356" s="26" t="e">
        <f>ROUND(R356,2)*S356</f>
        <v>#DIV/0!</v>
      </c>
      <c r="U356" s="94" t="e">
        <f>S356*dagenperjaar1</f>
        <v>#DIV/0!</v>
      </c>
      <c r="V356" s="27" t="e">
        <f>U356*ROUND(R356,2)</f>
        <v>#DIV/0!</v>
      </c>
    </row>
    <row r="357" spans="1:22" x14ac:dyDescent="0.4">
      <c r="A357" s="91" t="s">
        <v>291</v>
      </c>
      <c r="B357" s="92" t="s">
        <v>645</v>
      </c>
      <c r="C357" s="92" t="s">
        <v>463</v>
      </c>
      <c r="D357" s="92" t="s">
        <v>834</v>
      </c>
      <c r="E357" s="93" t="s">
        <v>495</v>
      </c>
      <c r="F357" s="92" t="s">
        <v>341</v>
      </c>
      <c r="G357" s="92" t="s">
        <v>213</v>
      </c>
      <c r="H357" s="92" t="s">
        <v>11</v>
      </c>
      <c r="I357" s="92" t="s">
        <v>293</v>
      </c>
      <c r="J357" s="93" t="s">
        <v>214</v>
      </c>
      <c r="K357" s="92" t="s">
        <v>342</v>
      </c>
      <c r="L357" s="92" t="s">
        <v>491</v>
      </c>
      <c r="M357" s="92" t="s">
        <v>348</v>
      </c>
      <c r="N357" s="94">
        <v>19</v>
      </c>
      <c r="O357" s="94">
        <f>N357*VLOOKUP(H357,dagsoorttabel1,2,FALSE)</f>
        <v>11.4</v>
      </c>
      <c r="P357" s="95">
        <f>prodnorm29</f>
        <v>0</v>
      </c>
      <c r="Q357" s="92" t="s">
        <v>97</v>
      </c>
      <c r="R357" s="26">
        <f>uurtarief29</f>
        <v>0</v>
      </c>
      <c r="S357" s="94" t="e">
        <f>IF(ISBLANK(P357),0,O357/ROUND(P357,4))</f>
        <v>#DIV/0!</v>
      </c>
      <c r="T357" s="26" t="e">
        <f>ROUND(R357,2)*S357</f>
        <v>#DIV/0!</v>
      </c>
      <c r="U357" s="94" t="e">
        <f>S357*dagenperjaar1</f>
        <v>#DIV/0!</v>
      </c>
      <c r="V357" s="27" t="e">
        <f>U357*ROUND(R357,2)</f>
        <v>#DIV/0!</v>
      </c>
    </row>
    <row r="358" spans="1:22" x14ac:dyDescent="0.4">
      <c r="A358" s="91" t="s">
        <v>291</v>
      </c>
      <c r="B358" s="92" t="s">
        <v>645</v>
      </c>
      <c r="C358" s="92" t="s">
        <v>463</v>
      </c>
      <c r="D358" s="92" t="s">
        <v>835</v>
      </c>
      <c r="E358" s="93" t="s">
        <v>548</v>
      </c>
      <c r="F358" s="92" t="s">
        <v>301</v>
      </c>
      <c r="G358" s="92" t="s">
        <v>263</v>
      </c>
      <c r="H358" s="92" t="s">
        <v>20</v>
      </c>
      <c r="I358" s="92" t="s">
        <v>293</v>
      </c>
      <c r="J358" s="93" t="s">
        <v>264</v>
      </c>
      <c r="K358" s="92" t="s">
        <v>34</v>
      </c>
      <c r="L358" s="92" t="s">
        <v>302</v>
      </c>
      <c r="M358" s="92" t="s">
        <v>549</v>
      </c>
      <c r="N358" s="94">
        <v>1.1000000000000001</v>
      </c>
      <c r="O358" s="94">
        <f>N358*VLOOKUP(H358,dagsoorttabel1,2,FALSE)</f>
        <v>4.3137254901960791E-3</v>
      </c>
      <c r="P358" s="95">
        <f>prodnorm16</f>
        <v>0</v>
      </c>
      <c r="Q358" s="92" t="s">
        <v>97</v>
      </c>
      <c r="R358" s="26">
        <f>uurtarief16</f>
        <v>0</v>
      </c>
      <c r="S358" s="94" t="e">
        <f>IF(ISBLANK(P358),0,O358/ROUND(P358,4))</f>
        <v>#DIV/0!</v>
      </c>
      <c r="T358" s="26" t="e">
        <f>ROUND(R358,2)*S358</f>
        <v>#DIV/0!</v>
      </c>
      <c r="U358" s="94" t="e">
        <f>S358*dagenperjaar1</f>
        <v>#DIV/0!</v>
      </c>
      <c r="V358" s="27" t="e">
        <f>U358*ROUND(R358,2)</f>
        <v>#DIV/0!</v>
      </c>
    </row>
    <row r="359" spans="1:22" x14ac:dyDescent="0.4">
      <c r="A359" s="91" t="s">
        <v>291</v>
      </c>
      <c r="B359" s="92" t="s">
        <v>645</v>
      </c>
      <c r="C359" s="92" t="s">
        <v>463</v>
      </c>
      <c r="D359" s="92" t="s">
        <v>836</v>
      </c>
      <c r="E359" s="93" t="s">
        <v>837</v>
      </c>
      <c r="F359" s="92" t="s">
        <v>341</v>
      </c>
      <c r="G359" s="92" t="s">
        <v>233</v>
      </c>
      <c r="H359" s="92" t="s">
        <v>11</v>
      </c>
      <c r="I359" s="92" t="s">
        <v>293</v>
      </c>
      <c r="J359" s="93" t="s">
        <v>234</v>
      </c>
      <c r="K359" s="92" t="s">
        <v>320</v>
      </c>
      <c r="L359" s="92" t="s">
        <v>302</v>
      </c>
      <c r="M359" s="92" t="s">
        <v>348</v>
      </c>
      <c r="N359" s="94">
        <v>3.29</v>
      </c>
      <c r="O359" s="94">
        <f>N359*VLOOKUP(H359,dagsoorttabel1,2,FALSE)</f>
        <v>1.974</v>
      </c>
      <c r="P359" s="95">
        <f>prodnorm43</f>
        <v>0</v>
      </c>
      <c r="Q359" s="92" t="s">
        <v>97</v>
      </c>
      <c r="R359" s="26">
        <f>uurtarief43</f>
        <v>0</v>
      </c>
      <c r="S359" s="94" t="e">
        <f>IF(ISBLANK(P359),0,O359/ROUND(P359,4))</f>
        <v>#DIV/0!</v>
      </c>
      <c r="T359" s="26" t="e">
        <f>ROUND(R359,2)*S359</f>
        <v>#DIV/0!</v>
      </c>
      <c r="U359" s="94" t="e">
        <f>S359*dagenperjaar1</f>
        <v>#DIV/0!</v>
      </c>
      <c r="V359" s="27" t="e">
        <f>U359*ROUND(R359,2)</f>
        <v>#DIV/0!</v>
      </c>
    </row>
    <row r="360" spans="1:22" x14ac:dyDescent="0.4">
      <c r="A360" s="91" t="s">
        <v>291</v>
      </c>
      <c r="B360" s="92" t="s">
        <v>645</v>
      </c>
      <c r="C360" s="92" t="s">
        <v>463</v>
      </c>
      <c r="D360" s="92" t="s">
        <v>838</v>
      </c>
      <c r="E360" s="93" t="s">
        <v>576</v>
      </c>
      <c r="F360" s="92" t="s">
        <v>301</v>
      </c>
      <c r="G360" s="92" t="s">
        <v>330</v>
      </c>
      <c r="H360" s="92"/>
      <c r="I360" s="92"/>
      <c r="J360" s="92"/>
      <c r="K360" s="92" t="s">
        <v>34</v>
      </c>
      <c r="L360" s="92" t="s">
        <v>302</v>
      </c>
      <c r="M360" s="92" t="s">
        <v>549</v>
      </c>
      <c r="N360" s="94">
        <v>7.5</v>
      </c>
      <c r="O360" s="94"/>
      <c r="P360" s="95"/>
      <c r="Q360" s="92"/>
      <c r="R360" s="26"/>
      <c r="S360" s="94"/>
      <c r="T360" s="26"/>
      <c r="U360" s="96"/>
      <c r="V360" s="27"/>
    </row>
    <row r="361" spans="1:22" x14ac:dyDescent="0.4">
      <c r="A361" s="91" t="s">
        <v>291</v>
      </c>
      <c r="B361" s="92" t="s">
        <v>645</v>
      </c>
      <c r="C361" s="92" t="s">
        <v>463</v>
      </c>
      <c r="D361" s="92" t="s">
        <v>839</v>
      </c>
      <c r="E361" s="93" t="s">
        <v>668</v>
      </c>
      <c r="F361" s="92" t="s">
        <v>341</v>
      </c>
      <c r="G361" s="92" t="s">
        <v>251</v>
      </c>
      <c r="H361" s="92" t="s">
        <v>13</v>
      </c>
      <c r="I361" s="92" t="s">
        <v>293</v>
      </c>
      <c r="J361" s="93" t="s">
        <v>252</v>
      </c>
      <c r="K361" s="92" t="s">
        <v>320</v>
      </c>
      <c r="L361" s="92" t="s">
        <v>302</v>
      </c>
      <c r="M361" s="92" t="s">
        <v>295</v>
      </c>
      <c r="N361" s="94">
        <v>10</v>
      </c>
      <c r="O361" s="94">
        <f>N361*VLOOKUP(H361,dagsoorttabel1,2,FALSE)</f>
        <v>2</v>
      </c>
      <c r="P361" s="95">
        <f>prodnorm57</f>
        <v>0</v>
      </c>
      <c r="Q361" s="92" t="s">
        <v>97</v>
      </c>
      <c r="R361" s="26">
        <f>uurtarief57</f>
        <v>0</v>
      </c>
      <c r="S361" s="94" t="e">
        <f>IF(ISBLANK(P361),0,O361/ROUND(P361,4))</f>
        <v>#DIV/0!</v>
      </c>
      <c r="T361" s="26" t="e">
        <f>ROUND(R361,2)*S361</f>
        <v>#DIV/0!</v>
      </c>
      <c r="U361" s="94" t="e">
        <f>S361*dagenperjaar1</f>
        <v>#DIV/0!</v>
      </c>
      <c r="V361" s="27" t="e">
        <f>U361*ROUND(R361,2)</f>
        <v>#DIV/0!</v>
      </c>
    </row>
    <row r="362" spans="1:22" x14ac:dyDescent="0.4">
      <c r="A362" s="91" t="s">
        <v>291</v>
      </c>
      <c r="B362" s="92" t="s">
        <v>645</v>
      </c>
      <c r="C362" s="92" t="s">
        <v>463</v>
      </c>
      <c r="D362" s="92" t="s">
        <v>840</v>
      </c>
      <c r="E362" s="93" t="s">
        <v>401</v>
      </c>
      <c r="F362" s="92" t="s">
        <v>341</v>
      </c>
      <c r="G362" s="92" t="s">
        <v>241</v>
      </c>
      <c r="H362" s="92" t="s">
        <v>11</v>
      </c>
      <c r="I362" s="92" t="s">
        <v>293</v>
      </c>
      <c r="J362" s="93" t="s">
        <v>242</v>
      </c>
      <c r="K362" s="92" t="s">
        <v>320</v>
      </c>
      <c r="L362" s="92" t="s">
        <v>841</v>
      </c>
      <c r="M362" s="92" t="s">
        <v>348</v>
      </c>
      <c r="N362" s="94">
        <v>38.5</v>
      </c>
      <c r="O362" s="94">
        <f>N362*VLOOKUP(H362,dagsoorttabel1,2,FALSE)</f>
        <v>23.099999999999998</v>
      </c>
      <c r="P362" s="95">
        <f>prodnorm48</f>
        <v>0</v>
      </c>
      <c r="Q362" s="92" t="s">
        <v>97</v>
      </c>
      <c r="R362" s="26">
        <f>uurtarief48</f>
        <v>0</v>
      </c>
      <c r="S362" s="94" t="e">
        <f>IF(ISBLANK(P362),0,O362/ROUND(P362,4))</f>
        <v>#DIV/0!</v>
      </c>
      <c r="T362" s="26" t="e">
        <f>ROUND(R362,2)*S362</f>
        <v>#DIV/0!</v>
      </c>
      <c r="U362" s="94" t="e">
        <f>S362*dagenperjaar1</f>
        <v>#DIV/0!</v>
      </c>
      <c r="V362" s="27" t="e">
        <f>U362*ROUND(R362,2)</f>
        <v>#DIV/0!</v>
      </c>
    </row>
    <row r="363" spans="1:22" x14ac:dyDescent="0.4">
      <c r="A363" s="91" t="s">
        <v>291</v>
      </c>
      <c r="B363" s="92" t="s">
        <v>645</v>
      </c>
      <c r="C363" s="92" t="s">
        <v>463</v>
      </c>
      <c r="D363" s="92" t="s">
        <v>842</v>
      </c>
      <c r="E363" s="93" t="s">
        <v>843</v>
      </c>
      <c r="F363" s="92" t="s">
        <v>429</v>
      </c>
      <c r="G363" s="92" t="s">
        <v>330</v>
      </c>
      <c r="H363" s="92"/>
      <c r="I363" s="92"/>
      <c r="J363" s="92"/>
      <c r="K363" s="92" t="s">
        <v>34</v>
      </c>
      <c r="L363" s="92" t="s">
        <v>302</v>
      </c>
      <c r="M363" s="92" t="s">
        <v>295</v>
      </c>
      <c r="N363" s="94">
        <v>67</v>
      </c>
      <c r="O363" s="94"/>
      <c r="P363" s="95"/>
      <c r="Q363" s="92"/>
      <c r="R363" s="26"/>
      <c r="S363" s="94"/>
      <c r="T363" s="26"/>
      <c r="U363" s="96"/>
      <c r="V363" s="27"/>
    </row>
    <row r="364" spans="1:22" x14ac:dyDescent="0.4">
      <c r="A364" s="91" t="s">
        <v>291</v>
      </c>
      <c r="B364" s="92" t="s">
        <v>645</v>
      </c>
      <c r="C364" s="92" t="s">
        <v>463</v>
      </c>
      <c r="D364" s="92" t="s">
        <v>844</v>
      </c>
      <c r="E364" s="93" t="s">
        <v>845</v>
      </c>
      <c r="F364" s="92" t="s">
        <v>429</v>
      </c>
      <c r="G364" s="92" t="s">
        <v>330</v>
      </c>
      <c r="H364" s="92"/>
      <c r="I364" s="92"/>
      <c r="J364" s="92"/>
      <c r="K364" s="92" t="s">
        <v>34</v>
      </c>
      <c r="L364" s="92" t="s">
        <v>308</v>
      </c>
      <c r="M364" s="92" t="s">
        <v>348</v>
      </c>
      <c r="N364" s="94">
        <v>89.2</v>
      </c>
      <c r="O364" s="94"/>
      <c r="P364" s="95"/>
      <c r="Q364" s="92"/>
      <c r="R364" s="26"/>
      <c r="S364" s="94"/>
      <c r="T364" s="26"/>
      <c r="U364" s="96"/>
      <c r="V364" s="27"/>
    </row>
    <row r="365" spans="1:22" x14ac:dyDescent="0.4">
      <c r="A365" s="91" t="s">
        <v>291</v>
      </c>
      <c r="B365" s="92" t="s">
        <v>645</v>
      </c>
      <c r="C365" s="92" t="s">
        <v>463</v>
      </c>
      <c r="D365" s="92" t="s">
        <v>846</v>
      </c>
      <c r="E365" s="93" t="s">
        <v>847</v>
      </c>
      <c r="F365" s="92" t="s">
        <v>341</v>
      </c>
      <c r="G365" s="92" t="s">
        <v>205</v>
      </c>
      <c r="H365" s="92" t="s">
        <v>11</v>
      </c>
      <c r="I365" s="92" t="s">
        <v>293</v>
      </c>
      <c r="J365" s="93" t="s">
        <v>206</v>
      </c>
      <c r="K365" s="92" t="s">
        <v>342</v>
      </c>
      <c r="L365" s="92" t="s">
        <v>841</v>
      </c>
      <c r="M365" s="92" t="s">
        <v>348</v>
      </c>
      <c r="N365" s="94">
        <v>7.2</v>
      </c>
      <c r="O365" s="94">
        <f>N365*VLOOKUP(H365,dagsoorttabel1,2,FALSE)</f>
        <v>4.32</v>
      </c>
      <c r="P365" s="95">
        <f>prodnorm24</f>
        <v>0</v>
      </c>
      <c r="Q365" s="92" t="s">
        <v>97</v>
      </c>
      <c r="R365" s="26">
        <f>uurtarief24</f>
        <v>0</v>
      </c>
      <c r="S365" s="94" t="e">
        <f>IF(ISBLANK(P365),0,O365/ROUND(P365,4))</f>
        <v>#DIV/0!</v>
      </c>
      <c r="T365" s="26" t="e">
        <f>ROUND(R365,2)*S365</f>
        <v>#DIV/0!</v>
      </c>
      <c r="U365" s="94" t="e">
        <f>S365*dagenperjaar1</f>
        <v>#DIV/0!</v>
      </c>
      <c r="V365" s="27" t="e">
        <f>U365*ROUND(R365,2)</f>
        <v>#DIV/0!</v>
      </c>
    </row>
    <row r="366" spans="1:22" x14ac:dyDescent="0.4">
      <c r="A366" s="91" t="s">
        <v>291</v>
      </c>
      <c r="B366" s="92" t="s">
        <v>645</v>
      </c>
      <c r="C366" s="92" t="s">
        <v>463</v>
      </c>
      <c r="D366" s="92" t="s">
        <v>848</v>
      </c>
      <c r="E366" s="93" t="s">
        <v>849</v>
      </c>
      <c r="F366" s="92" t="s">
        <v>341</v>
      </c>
      <c r="G366" s="92" t="s">
        <v>205</v>
      </c>
      <c r="H366" s="92" t="s">
        <v>11</v>
      </c>
      <c r="I366" s="92" t="s">
        <v>293</v>
      </c>
      <c r="J366" s="93" t="s">
        <v>206</v>
      </c>
      <c r="K366" s="92" t="s">
        <v>342</v>
      </c>
      <c r="L366" s="92" t="s">
        <v>841</v>
      </c>
      <c r="M366" s="92" t="s">
        <v>348</v>
      </c>
      <c r="N366" s="94">
        <v>7.2</v>
      </c>
      <c r="O366" s="94">
        <f>N366*VLOOKUP(H366,dagsoorttabel1,2,FALSE)</f>
        <v>4.32</v>
      </c>
      <c r="P366" s="95">
        <f>prodnorm24</f>
        <v>0</v>
      </c>
      <c r="Q366" s="92" t="s">
        <v>97</v>
      </c>
      <c r="R366" s="26">
        <f>uurtarief24</f>
        <v>0</v>
      </c>
      <c r="S366" s="94" t="e">
        <f>IF(ISBLANK(P366),0,O366/ROUND(P366,4))</f>
        <v>#DIV/0!</v>
      </c>
      <c r="T366" s="26" t="e">
        <f>ROUND(R366,2)*S366</f>
        <v>#DIV/0!</v>
      </c>
      <c r="U366" s="94" t="e">
        <f>S366*dagenperjaar1</f>
        <v>#DIV/0!</v>
      </c>
      <c r="V366" s="27" t="e">
        <f>U366*ROUND(R366,2)</f>
        <v>#DIV/0!</v>
      </c>
    </row>
    <row r="367" spans="1:22" x14ac:dyDescent="0.4">
      <c r="A367" s="91" t="s">
        <v>291</v>
      </c>
      <c r="B367" s="92" t="s">
        <v>645</v>
      </c>
      <c r="C367" s="92" t="s">
        <v>463</v>
      </c>
      <c r="D367" s="92" t="s">
        <v>850</v>
      </c>
      <c r="E367" s="93" t="s">
        <v>401</v>
      </c>
      <c r="F367" s="92" t="s">
        <v>341</v>
      </c>
      <c r="G367" s="92" t="s">
        <v>257</v>
      </c>
      <c r="H367" s="92" t="s">
        <v>9</v>
      </c>
      <c r="I367" s="92" t="s">
        <v>293</v>
      </c>
      <c r="J367" s="93" t="s">
        <v>258</v>
      </c>
      <c r="K367" s="92" t="s">
        <v>320</v>
      </c>
      <c r="L367" s="92" t="s">
        <v>841</v>
      </c>
      <c r="M367" s="92" t="s">
        <v>348</v>
      </c>
      <c r="N367" s="94">
        <v>1</v>
      </c>
      <c r="O367" s="94">
        <f>N367*VLOOKUP(H367,dagsoorttabel1,2,FALSE)</f>
        <v>1</v>
      </c>
      <c r="P367" s="95">
        <f>prodnorm14</f>
        <v>0</v>
      </c>
      <c r="Q367" s="92" t="s">
        <v>259</v>
      </c>
      <c r="R367" s="26">
        <f>uurtarief14</f>
        <v>0</v>
      </c>
      <c r="S367" s="94">
        <f>O367*ROUND(P367,4)/60</f>
        <v>0</v>
      </c>
      <c r="T367" s="26">
        <f>ROUND(R367,2)*S367</f>
        <v>0</v>
      </c>
      <c r="U367" s="94">
        <f>S367*dagenperjaar1</f>
        <v>0</v>
      </c>
      <c r="V367" s="27">
        <f>U367*ROUND(R367,2)</f>
        <v>0</v>
      </c>
    </row>
    <row r="368" spans="1:22" x14ac:dyDescent="0.4">
      <c r="A368" s="91" t="s">
        <v>291</v>
      </c>
      <c r="B368" s="92" t="s">
        <v>645</v>
      </c>
      <c r="C368" s="92" t="s">
        <v>463</v>
      </c>
      <c r="D368" s="92" t="s">
        <v>850</v>
      </c>
      <c r="E368" s="93" t="s">
        <v>401</v>
      </c>
      <c r="F368" s="92" t="s">
        <v>341</v>
      </c>
      <c r="G368" s="92" t="s">
        <v>241</v>
      </c>
      <c r="H368" s="92" t="s">
        <v>11</v>
      </c>
      <c r="I368" s="92" t="s">
        <v>293</v>
      </c>
      <c r="J368" s="93" t="s">
        <v>242</v>
      </c>
      <c r="K368" s="92" t="s">
        <v>320</v>
      </c>
      <c r="L368" s="92" t="s">
        <v>841</v>
      </c>
      <c r="M368" s="92" t="s">
        <v>348</v>
      </c>
      <c r="N368" s="94">
        <v>52.760000000000005</v>
      </c>
      <c r="O368" s="94">
        <f>N368*VLOOKUP(H368,dagsoorttabel1,2,FALSE)</f>
        <v>31.656000000000002</v>
      </c>
      <c r="P368" s="95">
        <f>prodnorm48</f>
        <v>0</v>
      </c>
      <c r="Q368" s="92" t="s">
        <v>97</v>
      </c>
      <c r="R368" s="26">
        <f>uurtarief48</f>
        <v>0</v>
      </c>
      <c r="S368" s="94" t="e">
        <f>IF(ISBLANK(P368),0,O368/ROUND(P368,4))</f>
        <v>#DIV/0!</v>
      </c>
      <c r="T368" s="26" t="e">
        <f>ROUND(R368,2)*S368</f>
        <v>#DIV/0!</v>
      </c>
      <c r="U368" s="94" t="e">
        <f>S368*dagenperjaar1</f>
        <v>#DIV/0!</v>
      </c>
      <c r="V368" s="27" t="e">
        <f>U368*ROUND(R368,2)</f>
        <v>#DIV/0!</v>
      </c>
    </row>
    <row r="369" spans="1:22" x14ac:dyDescent="0.4">
      <c r="A369" s="91" t="s">
        <v>291</v>
      </c>
      <c r="B369" s="92" t="s">
        <v>645</v>
      </c>
      <c r="C369" s="92" t="s">
        <v>463</v>
      </c>
      <c r="D369" s="92" t="s">
        <v>851</v>
      </c>
      <c r="E369" s="93" t="s">
        <v>435</v>
      </c>
      <c r="F369" s="92" t="s">
        <v>341</v>
      </c>
      <c r="G369" s="92" t="s">
        <v>205</v>
      </c>
      <c r="H369" s="92" t="s">
        <v>11</v>
      </c>
      <c r="I369" s="92" t="s">
        <v>293</v>
      </c>
      <c r="J369" s="93" t="s">
        <v>206</v>
      </c>
      <c r="K369" s="92" t="s">
        <v>342</v>
      </c>
      <c r="L369" s="92" t="s">
        <v>841</v>
      </c>
      <c r="M369" s="92" t="s">
        <v>348</v>
      </c>
      <c r="N369" s="94">
        <v>94.85</v>
      </c>
      <c r="O369" s="94">
        <f>N369*VLOOKUP(H369,dagsoorttabel1,2,FALSE)</f>
        <v>56.91</v>
      </c>
      <c r="P369" s="95">
        <f>prodnorm24</f>
        <v>0</v>
      </c>
      <c r="Q369" s="92" t="s">
        <v>97</v>
      </c>
      <c r="R369" s="26">
        <f>uurtarief24</f>
        <v>0</v>
      </c>
      <c r="S369" s="94" t="e">
        <f>IF(ISBLANK(P369),0,O369/ROUND(P369,4))</f>
        <v>#DIV/0!</v>
      </c>
      <c r="T369" s="26" t="e">
        <f>ROUND(R369,2)*S369</f>
        <v>#DIV/0!</v>
      </c>
      <c r="U369" s="94" t="e">
        <f>S369*dagenperjaar1</f>
        <v>#DIV/0!</v>
      </c>
      <c r="V369" s="27" t="e">
        <f>U369*ROUND(R369,2)</f>
        <v>#DIV/0!</v>
      </c>
    </row>
    <row r="370" spans="1:22" ht="29.15" x14ac:dyDescent="0.4">
      <c r="A370" s="91" t="s">
        <v>291</v>
      </c>
      <c r="B370" s="92" t="s">
        <v>645</v>
      </c>
      <c r="C370" s="92" t="s">
        <v>463</v>
      </c>
      <c r="D370" s="92" t="s">
        <v>852</v>
      </c>
      <c r="E370" s="93" t="s">
        <v>853</v>
      </c>
      <c r="F370" s="92" t="s">
        <v>761</v>
      </c>
      <c r="G370" s="92" t="s">
        <v>235</v>
      </c>
      <c r="H370" s="92" t="s">
        <v>9</v>
      </c>
      <c r="I370" s="92" t="s">
        <v>293</v>
      </c>
      <c r="J370" s="93" t="s">
        <v>236</v>
      </c>
      <c r="K370" s="92" t="s">
        <v>320</v>
      </c>
      <c r="L370" s="92" t="s">
        <v>484</v>
      </c>
      <c r="M370" s="92" t="s">
        <v>295</v>
      </c>
      <c r="N370" s="94">
        <v>35</v>
      </c>
      <c r="O370" s="94">
        <f>N370*VLOOKUP(H370,dagsoorttabel1,2,FALSE)</f>
        <v>35</v>
      </c>
      <c r="P370" s="95">
        <f>prodnorm45</f>
        <v>0</v>
      </c>
      <c r="Q370" s="92" t="s">
        <v>97</v>
      </c>
      <c r="R370" s="26">
        <f>uurtarief45</f>
        <v>0</v>
      </c>
      <c r="S370" s="94" t="e">
        <f>IF(ISBLANK(P370),0,O370/ROUND(P370,4))</f>
        <v>#DIV/0!</v>
      </c>
      <c r="T370" s="26" t="e">
        <f>ROUND(R370,2)*S370</f>
        <v>#DIV/0!</v>
      </c>
      <c r="U370" s="94" t="e">
        <f>S370*dagenperjaar1</f>
        <v>#DIV/0!</v>
      </c>
      <c r="V370" s="27" t="e">
        <f>U370*ROUND(R370,2)</f>
        <v>#DIV/0!</v>
      </c>
    </row>
    <row r="371" spans="1:22" x14ac:dyDescent="0.4">
      <c r="A371" s="91" t="s">
        <v>291</v>
      </c>
      <c r="B371" s="92" t="s">
        <v>645</v>
      </c>
      <c r="C371" s="92" t="s">
        <v>463</v>
      </c>
      <c r="D371" s="92" t="s">
        <v>854</v>
      </c>
      <c r="E371" s="93" t="s">
        <v>435</v>
      </c>
      <c r="F371" s="92" t="s">
        <v>341</v>
      </c>
      <c r="G371" s="92" t="s">
        <v>205</v>
      </c>
      <c r="H371" s="92" t="s">
        <v>11</v>
      </c>
      <c r="I371" s="92" t="s">
        <v>293</v>
      </c>
      <c r="J371" s="93" t="s">
        <v>206</v>
      </c>
      <c r="K371" s="92" t="s">
        <v>342</v>
      </c>
      <c r="L371" s="92" t="s">
        <v>841</v>
      </c>
      <c r="M371" s="92" t="s">
        <v>348</v>
      </c>
      <c r="N371" s="94">
        <v>94.9</v>
      </c>
      <c r="O371" s="94">
        <f>N371*VLOOKUP(H371,dagsoorttabel1,2,FALSE)</f>
        <v>56.940000000000005</v>
      </c>
      <c r="P371" s="95">
        <f>prodnorm24</f>
        <v>0</v>
      </c>
      <c r="Q371" s="92" t="s">
        <v>97</v>
      </c>
      <c r="R371" s="26">
        <f>uurtarief24</f>
        <v>0</v>
      </c>
      <c r="S371" s="94" t="e">
        <f>IF(ISBLANK(P371),0,O371/ROUND(P371,4))</f>
        <v>#DIV/0!</v>
      </c>
      <c r="T371" s="26" t="e">
        <f>ROUND(R371,2)*S371</f>
        <v>#DIV/0!</v>
      </c>
      <c r="U371" s="94" t="e">
        <f>S371*dagenperjaar1</f>
        <v>#DIV/0!</v>
      </c>
      <c r="V371" s="27" t="e">
        <f>U371*ROUND(R371,2)</f>
        <v>#DIV/0!</v>
      </c>
    </row>
    <row r="372" spans="1:22" x14ac:dyDescent="0.4">
      <c r="A372" s="91" t="s">
        <v>291</v>
      </c>
      <c r="B372" s="92" t="s">
        <v>645</v>
      </c>
      <c r="C372" s="92" t="s">
        <v>463</v>
      </c>
      <c r="D372" s="92" t="s">
        <v>855</v>
      </c>
      <c r="E372" s="93" t="s">
        <v>392</v>
      </c>
      <c r="F372" s="92" t="s">
        <v>341</v>
      </c>
      <c r="G372" s="92" t="s">
        <v>205</v>
      </c>
      <c r="H372" s="92" t="s">
        <v>11</v>
      </c>
      <c r="I372" s="92" t="s">
        <v>293</v>
      </c>
      <c r="J372" s="93" t="s">
        <v>206</v>
      </c>
      <c r="K372" s="92" t="s">
        <v>342</v>
      </c>
      <c r="L372" s="92" t="s">
        <v>841</v>
      </c>
      <c r="M372" s="92" t="s">
        <v>348</v>
      </c>
      <c r="N372" s="94">
        <v>4.5</v>
      </c>
      <c r="O372" s="94">
        <f>N372*VLOOKUP(H372,dagsoorttabel1,2,FALSE)</f>
        <v>2.6999999999999997</v>
      </c>
      <c r="P372" s="95">
        <f>prodnorm24</f>
        <v>0</v>
      </c>
      <c r="Q372" s="92" t="s">
        <v>97</v>
      </c>
      <c r="R372" s="26">
        <f>uurtarief24</f>
        <v>0</v>
      </c>
      <c r="S372" s="94" t="e">
        <f>IF(ISBLANK(P372),0,O372/ROUND(P372,4))</f>
        <v>#DIV/0!</v>
      </c>
      <c r="T372" s="26" t="e">
        <f>ROUND(R372,2)*S372</f>
        <v>#DIV/0!</v>
      </c>
      <c r="U372" s="94" t="e">
        <f>S372*dagenperjaar1</f>
        <v>#DIV/0!</v>
      </c>
      <c r="V372" s="27" t="e">
        <f>U372*ROUND(R372,2)</f>
        <v>#DIV/0!</v>
      </c>
    </row>
    <row r="373" spans="1:22" x14ac:dyDescent="0.4">
      <c r="A373" s="91" t="s">
        <v>291</v>
      </c>
      <c r="B373" s="92" t="s">
        <v>645</v>
      </c>
      <c r="C373" s="92" t="s">
        <v>463</v>
      </c>
      <c r="D373" s="92" t="s">
        <v>856</v>
      </c>
      <c r="E373" s="93" t="s">
        <v>495</v>
      </c>
      <c r="F373" s="92" t="s">
        <v>341</v>
      </c>
      <c r="G373" s="92" t="s">
        <v>213</v>
      </c>
      <c r="H373" s="92" t="s">
        <v>11</v>
      </c>
      <c r="I373" s="92" t="s">
        <v>293</v>
      </c>
      <c r="J373" s="93" t="s">
        <v>214</v>
      </c>
      <c r="K373" s="92" t="s">
        <v>342</v>
      </c>
      <c r="L373" s="92" t="s">
        <v>841</v>
      </c>
      <c r="M373" s="92" t="s">
        <v>348</v>
      </c>
      <c r="N373" s="94">
        <v>12</v>
      </c>
      <c r="O373" s="94">
        <f>N373*VLOOKUP(H373,dagsoorttabel1,2,FALSE)</f>
        <v>7.1999999999999993</v>
      </c>
      <c r="P373" s="95">
        <f>prodnorm29</f>
        <v>0</v>
      </c>
      <c r="Q373" s="92" t="s">
        <v>97</v>
      </c>
      <c r="R373" s="26">
        <f>uurtarief29</f>
        <v>0</v>
      </c>
      <c r="S373" s="94" t="e">
        <f>IF(ISBLANK(P373),0,O373/ROUND(P373,4))</f>
        <v>#DIV/0!</v>
      </c>
      <c r="T373" s="26" t="e">
        <f>ROUND(R373,2)*S373</f>
        <v>#DIV/0!</v>
      </c>
      <c r="U373" s="94" t="e">
        <f>S373*dagenperjaar1</f>
        <v>#DIV/0!</v>
      </c>
      <c r="V373" s="27" t="e">
        <f>U373*ROUND(R373,2)</f>
        <v>#DIV/0!</v>
      </c>
    </row>
    <row r="374" spans="1:22" x14ac:dyDescent="0.4">
      <c r="A374" s="91" t="s">
        <v>291</v>
      </c>
      <c r="B374" s="92" t="s">
        <v>645</v>
      </c>
      <c r="C374" s="92" t="s">
        <v>463</v>
      </c>
      <c r="D374" s="92" t="s">
        <v>857</v>
      </c>
      <c r="E374" s="93" t="s">
        <v>858</v>
      </c>
      <c r="F374" s="92" t="s">
        <v>341</v>
      </c>
      <c r="G374" s="92" t="s">
        <v>205</v>
      </c>
      <c r="H374" s="92" t="s">
        <v>11</v>
      </c>
      <c r="I374" s="92" t="s">
        <v>293</v>
      </c>
      <c r="J374" s="93" t="s">
        <v>206</v>
      </c>
      <c r="K374" s="92" t="s">
        <v>342</v>
      </c>
      <c r="L374" s="92" t="s">
        <v>841</v>
      </c>
      <c r="M374" s="92" t="s">
        <v>348</v>
      </c>
      <c r="N374" s="94">
        <v>6</v>
      </c>
      <c r="O374" s="94">
        <f>N374*VLOOKUP(H374,dagsoorttabel1,2,FALSE)</f>
        <v>3.5999999999999996</v>
      </c>
      <c r="P374" s="95">
        <f>prodnorm24</f>
        <v>0</v>
      </c>
      <c r="Q374" s="92" t="s">
        <v>97</v>
      </c>
      <c r="R374" s="26">
        <f>uurtarief24</f>
        <v>0</v>
      </c>
      <c r="S374" s="94" t="e">
        <f>IF(ISBLANK(P374),0,O374/ROUND(P374,4))</f>
        <v>#DIV/0!</v>
      </c>
      <c r="T374" s="26" t="e">
        <f>ROUND(R374,2)*S374</f>
        <v>#DIV/0!</v>
      </c>
      <c r="U374" s="94" t="e">
        <f>S374*dagenperjaar1</f>
        <v>#DIV/0!</v>
      </c>
      <c r="V374" s="27" t="e">
        <f>U374*ROUND(R374,2)</f>
        <v>#DIV/0!</v>
      </c>
    </row>
    <row r="375" spans="1:22" x14ac:dyDescent="0.4">
      <c r="A375" s="91" t="s">
        <v>291</v>
      </c>
      <c r="B375" s="92" t="s">
        <v>645</v>
      </c>
      <c r="C375" s="92" t="s">
        <v>463</v>
      </c>
      <c r="D375" s="92" t="s">
        <v>859</v>
      </c>
      <c r="E375" s="93" t="s">
        <v>380</v>
      </c>
      <c r="F375" s="92" t="s">
        <v>341</v>
      </c>
      <c r="G375" s="92" t="s">
        <v>205</v>
      </c>
      <c r="H375" s="92" t="s">
        <v>11</v>
      </c>
      <c r="I375" s="92" t="s">
        <v>293</v>
      </c>
      <c r="J375" s="93" t="s">
        <v>206</v>
      </c>
      <c r="K375" s="92" t="s">
        <v>342</v>
      </c>
      <c r="L375" s="92" t="s">
        <v>841</v>
      </c>
      <c r="M375" s="92" t="s">
        <v>348</v>
      </c>
      <c r="N375" s="94">
        <v>6</v>
      </c>
      <c r="O375" s="94">
        <f>N375*VLOOKUP(H375,dagsoorttabel1,2,FALSE)</f>
        <v>3.5999999999999996</v>
      </c>
      <c r="P375" s="95">
        <f>prodnorm24</f>
        <v>0</v>
      </c>
      <c r="Q375" s="92" t="s">
        <v>97</v>
      </c>
      <c r="R375" s="26">
        <f>uurtarief24</f>
        <v>0</v>
      </c>
      <c r="S375" s="94" t="e">
        <f>IF(ISBLANK(P375),0,O375/ROUND(P375,4))</f>
        <v>#DIV/0!</v>
      </c>
      <c r="T375" s="26" t="e">
        <f>ROUND(R375,2)*S375</f>
        <v>#DIV/0!</v>
      </c>
      <c r="U375" s="94" t="e">
        <f>S375*dagenperjaar1</f>
        <v>#DIV/0!</v>
      </c>
      <c r="V375" s="27" t="e">
        <f>U375*ROUND(R375,2)</f>
        <v>#DIV/0!</v>
      </c>
    </row>
    <row r="376" spans="1:22" x14ac:dyDescent="0.4">
      <c r="A376" s="91" t="s">
        <v>291</v>
      </c>
      <c r="B376" s="92" t="s">
        <v>645</v>
      </c>
      <c r="C376" s="92" t="s">
        <v>463</v>
      </c>
      <c r="D376" s="92" t="s">
        <v>860</v>
      </c>
      <c r="E376" s="93" t="s">
        <v>435</v>
      </c>
      <c r="F376" s="92" t="s">
        <v>341</v>
      </c>
      <c r="G376" s="92" t="s">
        <v>205</v>
      </c>
      <c r="H376" s="92" t="s">
        <v>11</v>
      </c>
      <c r="I376" s="92" t="s">
        <v>293</v>
      </c>
      <c r="J376" s="93" t="s">
        <v>206</v>
      </c>
      <c r="K376" s="92" t="s">
        <v>342</v>
      </c>
      <c r="L376" s="92" t="s">
        <v>841</v>
      </c>
      <c r="M376" s="92" t="s">
        <v>348</v>
      </c>
      <c r="N376" s="94">
        <v>94.9</v>
      </c>
      <c r="O376" s="94">
        <f>N376*VLOOKUP(H376,dagsoorttabel1,2,FALSE)</f>
        <v>56.940000000000005</v>
      </c>
      <c r="P376" s="95">
        <f>prodnorm24</f>
        <v>0</v>
      </c>
      <c r="Q376" s="92" t="s">
        <v>97</v>
      </c>
      <c r="R376" s="26">
        <f>uurtarief24</f>
        <v>0</v>
      </c>
      <c r="S376" s="94" t="e">
        <f>IF(ISBLANK(P376),0,O376/ROUND(P376,4))</f>
        <v>#DIV/0!</v>
      </c>
      <c r="T376" s="26" t="e">
        <f>ROUND(R376,2)*S376</f>
        <v>#DIV/0!</v>
      </c>
      <c r="U376" s="94" t="e">
        <f>S376*dagenperjaar1</f>
        <v>#DIV/0!</v>
      </c>
      <c r="V376" s="27" t="e">
        <f>U376*ROUND(R376,2)</f>
        <v>#DIV/0!</v>
      </c>
    </row>
    <row r="377" spans="1:22" ht="29.15" x14ac:dyDescent="0.4">
      <c r="A377" s="91" t="s">
        <v>291</v>
      </c>
      <c r="B377" s="92" t="s">
        <v>645</v>
      </c>
      <c r="C377" s="92" t="s">
        <v>463</v>
      </c>
      <c r="D377" s="92" t="s">
        <v>861</v>
      </c>
      <c r="E377" s="93" t="s">
        <v>862</v>
      </c>
      <c r="F377" s="92" t="s">
        <v>341</v>
      </c>
      <c r="G377" s="92" t="s">
        <v>213</v>
      </c>
      <c r="H377" s="92" t="s">
        <v>11</v>
      </c>
      <c r="I377" s="92" t="s">
        <v>293</v>
      </c>
      <c r="J377" s="93" t="s">
        <v>214</v>
      </c>
      <c r="K377" s="92" t="s">
        <v>342</v>
      </c>
      <c r="L377" s="92" t="s">
        <v>841</v>
      </c>
      <c r="M377" s="92" t="s">
        <v>348</v>
      </c>
      <c r="N377" s="94">
        <v>13</v>
      </c>
      <c r="O377" s="94">
        <f>N377*VLOOKUP(H377,dagsoorttabel1,2,FALSE)</f>
        <v>7.8</v>
      </c>
      <c r="P377" s="95">
        <f>prodnorm29</f>
        <v>0</v>
      </c>
      <c r="Q377" s="92" t="s">
        <v>97</v>
      </c>
      <c r="R377" s="26">
        <f>uurtarief29</f>
        <v>0</v>
      </c>
      <c r="S377" s="94" t="e">
        <f>IF(ISBLANK(P377),0,O377/ROUND(P377,4))</f>
        <v>#DIV/0!</v>
      </c>
      <c r="T377" s="26" t="e">
        <f>ROUND(R377,2)*S377</f>
        <v>#DIV/0!</v>
      </c>
      <c r="U377" s="94" t="e">
        <f>S377*dagenperjaar1</f>
        <v>#DIV/0!</v>
      </c>
      <c r="V377" s="27" t="e">
        <f>U377*ROUND(R377,2)</f>
        <v>#DIV/0!</v>
      </c>
    </row>
    <row r="378" spans="1:22" x14ac:dyDescent="0.4">
      <c r="A378" s="91" t="s">
        <v>291</v>
      </c>
      <c r="B378" s="92" t="s">
        <v>645</v>
      </c>
      <c r="C378" s="92" t="s">
        <v>463</v>
      </c>
      <c r="D378" s="92" t="s">
        <v>863</v>
      </c>
      <c r="E378" s="93" t="s">
        <v>392</v>
      </c>
      <c r="F378" s="92" t="s">
        <v>341</v>
      </c>
      <c r="G378" s="92" t="s">
        <v>205</v>
      </c>
      <c r="H378" s="92" t="s">
        <v>11</v>
      </c>
      <c r="I378" s="92" t="s">
        <v>293</v>
      </c>
      <c r="J378" s="93" t="s">
        <v>206</v>
      </c>
      <c r="K378" s="92" t="s">
        <v>342</v>
      </c>
      <c r="L378" s="92" t="s">
        <v>841</v>
      </c>
      <c r="M378" s="92" t="s">
        <v>348</v>
      </c>
      <c r="N378" s="94">
        <v>6</v>
      </c>
      <c r="O378" s="94">
        <f>N378*VLOOKUP(H378,dagsoorttabel1,2,FALSE)</f>
        <v>3.5999999999999996</v>
      </c>
      <c r="P378" s="95">
        <f>prodnorm24</f>
        <v>0</v>
      </c>
      <c r="Q378" s="92" t="s">
        <v>97</v>
      </c>
      <c r="R378" s="26">
        <f>uurtarief24</f>
        <v>0</v>
      </c>
      <c r="S378" s="94" t="e">
        <f>IF(ISBLANK(P378),0,O378/ROUND(P378,4))</f>
        <v>#DIV/0!</v>
      </c>
      <c r="T378" s="26" t="e">
        <f>ROUND(R378,2)*S378</f>
        <v>#DIV/0!</v>
      </c>
      <c r="U378" s="94" t="e">
        <f>S378*dagenperjaar1</f>
        <v>#DIV/0!</v>
      </c>
      <c r="V378" s="27" t="e">
        <f>U378*ROUND(R378,2)</f>
        <v>#DIV/0!</v>
      </c>
    </row>
    <row r="379" spans="1:22" x14ac:dyDescent="0.4">
      <c r="A379" s="91" t="s">
        <v>291</v>
      </c>
      <c r="B379" s="92" t="s">
        <v>645</v>
      </c>
      <c r="C379" s="92" t="s">
        <v>463</v>
      </c>
      <c r="D379" s="92" t="s">
        <v>864</v>
      </c>
      <c r="E379" s="93" t="s">
        <v>576</v>
      </c>
      <c r="F379" s="92" t="s">
        <v>301</v>
      </c>
      <c r="G379" s="92" t="s">
        <v>330</v>
      </c>
      <c r="H379" s="92"/>
      <c r="I379" s="92"/>
      <c r="J379" s="92"/>
      <c r="K379" s="92" t="s">
        <v>34</v>
      </c>
      <c r="L379" s="92" t="s">
        <v>302</v>
      </c>
      <c r="M379" s="92" t="s">
        <v>549</v>
      </c>
      <c r="N379" s="94">
        <v>20.100000000000001</v>
      </c>
      <c r="O379" s="94"/>
      <c r="P379" s="95"/>
      <c r="Q379" s="92"/>
      <c r="R379" s="26"/>
      <c r="S379" s="94"/>
      <c r="T379" s="26"/>
      <c r="U379" s="96"/>
      <c r="V379" s="27"/>
    </row>
    <row r="380" spans="1:22" x14ac:dyDescent="0.4">
      <c r="A380" s="91" t="s">
        <v>291</v>
      </c>
      <c r="B380" s="92" t="s">
        <v>645</v>
      </c>
      <c r="C380" s="92" t="s">
        <v>463</v>
      </c>
      <c r="D380" s="92" t="s">
        <v>865</v>
      </c>
      <c r="E380" s="93" t="s">
        <v>615</v>
      </c>
      <c r="F380" s="92" t="s">
        <v>341</v>
      </c>
      <c r="G380" s="92" t="s">
        <v>205</v>
      </c>
      <c r="H380" s="92" t="s">
        <v>11</v>
      </c>
      <c r="I380" s="92" t="s">
        <v>293</v>
      </c>
      <c r="J380" s="93" t="s">
        <v>206</v>
      </c>
      <c r="K380" s="92" t="s">
        <v>342</v>
      </c>
      <c r="L380" s="92" t="s">
        <v>841</v>
      </c>
      <c r="M380" s="92" t="s">
        <v>348</v>
      </c>
      <c r="N380" s="94">
        <v>18.899999999999999</v>
      </c>
      <c r="O380" s="94">
        <f>N380*VLOOKUP(H380,dagsoorttabel1,2,FALSE)</f>
        <v>11.339999999999998</v>
      </c>
      <c r="P380" s="95">
        <f>prodnorm24</f>
        <v>0</v>
      </c>
      <c r="Q380" s="92" t="s">
        <v>97</v>
      </c>
      <c r="R380" s="26">
        <f>uurtarief24</f>
        <v>0</v>
      </c>
      <c r="S380" s="94" t="e">
        <f>IF(ISBLANK(P380),0,O380/ROUND(P380,4))</f>
        <v>#DIV/0!</v>
      </c>
      <c r="T380" s="26" t="e">
        <f>ROUND(R380,2)*S380</f>
        <v>#DIV/0!</v>
      </c>
      <c r="U380" s="94" t="e">
        <f>S380*dagenperjaar1</f>
        <v>#DIV/0!</v>
      </c>
      <c r="V380" s="27" t="e">
        <f>U380*ROUND(R380,2)</f>
        <v>#DIV/0!</v>
      </c>
    </row>
    <row r="381" spans="1:22" x14ac:dyDescent="0.4">
      <c r="A381" s="91" t="s">
        <v>291</v>
      </c>
      <c r="B381" s="92" t="s">
        <v>645</v>
      </c>
      <c r="C381" s="92" t="s">
        <v>463</v>
      </c>
      <c r="D381" s="92" t="s">
        <v>866</v>
      </c>
      <c r="E381" s="93" t="s">
        <v>867</v>
      </c>
      <c r="F381" s="92" t="s">
        <v>315</v>
      </c>
      <c r="G381" s="92" t="s">
        <v>231</v>
      </c>
      <c r="H381" s="92" t="s">
        <v>11</v>
      </c>
      <c r="I381" s="92" t="s">
        <v>293</v>
      </c>
      <c r="J381" s="93" t="s">
        <v>232</v>
      </c>
      <c r="K381" s="92" t="s">
        <v>320</v>
      </c>
      <c r="L381" s="92" t="s">
        <v>484</v>
      </c>
      <c r="M381" s="92" t="s">
        <v>295</v>
      </c>
      <c r="N381" s="94">
        <v>24</v>
      </c>
      <c r="O381" s="94">
        <f>N381*VLOOKUP(H381,dagsoorttabel1,2,FALSE)</f>
        <v>14.399999999999999</v>
      </c>
      <c r="P381" s="95">
        <f>prodnorm41</f>
        <v>0</v>
      </c>
      <c r="Q381" s="92" t="s">
        <v>97</v>
      </c>
      <c r="R381" s="26">
        <f>uurtarief41</f>
        <v>0</v>
      </c>
      <c r="S381" s="94" t="e">
        <f>IF(ISBLANK(P381),0,O381/ROUND(P381,4))</f>
        <v>#DIV/0!</v>
      </c>
      <c r="T381" s="26" t="e">
        <f>ROUND(R381,2)*S381</f>
        <v>#DIV/0!</v>
      </c>
      <c r="U381" s="94" t="e">
        <f>S381*dagenperjaar1</f>
        <v>#DIV/0!</v>
      </c>
      <c r="V381" s="27" t="e">
        <f>U381*ROUND(R381,2)</f>
        <v>#DIV/0!</v>
      </c>
    </row>
    <row r="382" spans="1:22" x14ac:dyDescent="0.4">
      <c r="A382" s="91" t="s">
        <v>291</v>
      </c>
      <c r="B382" s="92" t="s">
        <v>645</v>
      </c>
      <c r="C382" s="92" t="s">
        <v>463</v>
      </c>
      <c r="D382" s="92" t="s">
        <v>868</v>
      </c>
      <c r="E382" s="93" t="s">
        <v>684</v>
      </c>
      <c r="F382" s="92" t="s">
        <v>341</v>
      </c>
      <c r="G382" s="92" t="s">
        <v>251</v>
      </c>
      <c r="H382" s="92" t="s">
        <v>13</v>
      </c>
      <c r="I382" s="92" t="s">
        <v>293</v>
      </c>
      <c r="J382" s="93" t="s">
        <v>252</v>
      </c>
      <c r="K382" s="92" t="s">
        <v>320</v>
      </c>
      <c r="L382" s="92" t="s">
        <v>302</v>
      </c>
      <c r="M382" s="92" t="s">
        <v>295</v>
      </c>
      <c r="N382" s="94">
        <v>12</v>
      </c>
      <c r="O382" s="94">
        <f>N382*VLOOKUP(H382,dagsoorttabel1,2,FALSE)</f>
        <v>2.4000000000000004</v>
      </c>
      <c r="P382" s="95">
        <f>prodnorm57</f>
        <v>0</v>
      </c>
      <c r="Q382" s="92" t="s">
        <v>97</v>
      </c>
      <c r="R382" s="26">
        <f>uurtarief57</f>
        <v>0</v>
      </c>
      <c r="S382" s="94" t="e">
        <f>IF(ISBLANK(P382),0,O382/ROUND(P382,4))</f>
        <v>#DIV/0!</v>
      </c>
      <c r="T382" s="26" t="e">
        <f>ROUND(R382,2)*S382</f>
        <v>#DIV/0!</v>
      </c>
      <c r="U382" s="94" t="e">
        <f>S382*dagenperjaar1</f>
        <v>#DIV/0!</v>
      </c>
      <c r="V382" s="27" t="e">
        <f>U382*ROUND(R382,2)</f>
        <v>#DIV/0!</v>
      </c>
    </row>
    <row r="383" spans="1:22" x14ac:dyDescent="0.4">
      <c r="A383" s="97" t="s">
        <v>291</v>
      </c>
      <c r="B383" s="98" t="s">
        <v>645</v>
      </c>
      <c r="C383" s="98" t="s">
        <v>463</v>
      </c>
      <c r="D383" s="98" t="s">
        <v>869</v>
      </c>
      <c r="E383" s="99" t="s">
        <v>435</v>
      </c>
      <c r="F383" s="98" t="s">
        <v>341</v>
      </c>
      <c r="G383" s="98" t="s">
        <v>330</v>
      </c>
      <c r="H383" s="98"/>
      <c r="I383" s="98"/>
      <c r="J383" s="98"/>
      <c r="K383" s="98" t="s">
        <v>34</v>
      </c>
      <c r="L383" s="98" t="s">
        <v>466</v>
      </c>
      <c r="M383" s="98" t="s">
        <v>467</v>
      </c>
      <c r="N383" s="100">
        <v>116.61999999999999</v>
      </c>
      <c r="O383" s="100"/>
      <c r="P383" s="101"/>
      <c r="Q383" s="98"/>
      <c r="R383" s="36"/>
      <c r="S383" s="100"/>
      <c r="T383" s="36"/>
      <c r="U383" s="102"/>
      <c r="V383" s="37"/>
    </row>
    <row r="384" spans="1:22" x14ac:dyDescent="0.4">
      <c r="A384" s="74" t="s">
        <v>870</v>
      </c>
      <c r="B384" s="75"/>
      <c r="C384" s="75"/>
      <c r="D384" s="75"/>
      <c r="E384" s="75"/>
      <c r="F384" s="75"/>
      <c r="G384" s="75"/>
      <c r="H384" s="75"/>
      <c r="I384" s="75"/>
      <c r="J384" s="75"/>
      <c r="K384" s="75"/>
      <c r="L384" s="75"/>
      <c r="M384" s="75"/>
      <c r="N384" s="75"/>
      <c r="O384" s="75"/>
      <c r="P384" s="75"/>
      <c r="Q384" s="75"/>
      <c r="R384" s="77">
        <f>IF(_xlfn.SINGLE(object1_urenjaar1)&gt;0,_xlfn.SINGLE(object1_prijsjaar1)/_xlfn.SINGLE(object1_urenjaar1),0)</f>
        <v>0</v>
      </c>
      <c r="S384" s="76" t="e">
        <f>SUM(S5:S383)</f>
        <v>#DIV/0!</v>
      </c>
      <c r="T384" s="77" t="e">
        <f>SUM(T5:T383)</f>
        <v>#DIV/0!</v>
      </c>
      <c r="U384" s="76" t="e">
        <f>SUM(U5:U383)</f>
        <v>#DIV/0!</v>
      </c>
      <c r="V384" s="77" t="e">
        <f>SUM(V5:V383)</f>
        <v>#DIV/0!</v>
      </c>
    </row>
  </sheetData>
  <sheetProtection algorithmName="SHA-512" hashValue="/2YEglmh2J65DOLKzi9V0UzSdADGCPk3LYh7x+LCmTgNdb4kzDu0SBpgWWWhbEn6CFXZaBqWzuoC96meBoGSbQ==" saltValue="RCBweBy0wIrhzl3eK4/YVQ==" spinCount="100000" sheet="1" objects="1" scenarios="1" autoFilter="0"/>
  <autoFilter ref="A3:V384" xr:uid="{59EC14F8-A2B9-4B95-95BB-FF2F0D8FDBFC}"/>
  <pageMargins left="0.7" right="0.7" top="0.75" bottom="0.75" header="0.3" footer="0.3"/>
  <pageSetup paperSize="9" scale="61" orientation="landscape" r:id="rId1"/>
  <headerFooter>
    <oddFooter>&amp;LCito                                                        &amp;ROpmaakdatum: 12-02-2025
Intexso - Plantageweg 23E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86969-DBD7-465D-B82E-0B252EC07FD3}">
  <dimension ref="A1:I47"/>
  <sheetViews>
    <sheetView workbookViewId="0"/>
  </sheetViews>
  <sheetFormatPr defaultRowHeight="14.6" x14ac:dyDescent="0.4"/>
  <cols>
    <col min="1" max="1" width="5.69140625" customWidth="1"/>
    <col min="2" max="2" width="6.23046875" customWidth="1"/>
    <col min="3" max="3" width="11.69140625" customWidth="1"/>
    <col min="4" max="9" width="12.69140625" customWidth="1"/>
  </cols>
  <sheetData>
    <row r="1" spans="1:9" x14ac:dyDescent="0.4">
      <c r="A1" s="1" t="s">
        <v>871</v>
      </c>
    </row>
    <row r="3" spans="1:9" ht="29.15" x14ac:dyDescent="0.4">
      <c r="A3" s="103" t="s">
        <v>194</v>
      </c>
      <c r="B3" s="103" t="s">
        <v>7</v>
      </c>
      <c r="C3" s="104" t="s">
        <v>872</v>
      </c>
      <c r="D3" s="104" t="s">
        <v>873</v>
      </c>
      <c r="E3" s="104" t="s">
        <v>874</v>
      </c>
      <c r="F3" s="104" t="s">
        <v>875</v>
      </c>
      <c r="G3" s="104" t="s">
        <v>876</v>
      </c>
      <c r="H3" s="103" t="s">
        <v>877</v>
      </c>
      <c r="I3" s="103" t="s">
        <v>878</v>
      </c>
    </row>
    <row r="4" spans="1:9" x14ac:dyDescent="0.4">
      <c r="A4" s="105"/>
      <c r="B4" s="105"/>
      <c r="C4" s="105"/>
      <c r="D4" s="105"/>
      <c r="E4" s="105"/>
      <c r="F4" s="105"/>
      <c r="G4" s="105"/>
      <c r="H4" s="105"/>
      <c r="I4" s="106" t="s">
        <v>196</v>
      </c>
    </row>
    <row r="5" spans="1:9" x14ac:dyDescent="0.4">
      <c r="A5" s="51" t="s">
        <v>202</v>
      </c>
      <c r="B5" s="51" t="s">
        <v>11</v>
      </c>
      <c r="C5" s="51" t="s">
        <v>879</v>
      </c>
      <c r="D5" s="51" t="s">
        <v>203</v>
      </c>
      <c r="E5" s="66">
        <f>IF(B5="","",VLOOKUP(B5,dagsoorttabel1,2,FALSE))</f>
        <v>0.6</v>
      </c>
      <c r="F5" s="66">
        <v>1</v>
      </c>
      <c r="G5" s="66">
        <f>IF(prodnorm22&gt;0,1/ROUND(prodnorm22,4),0)</f>
        <v>0</v>
      </c>
      <c r="H5" s="55">
        <f>ROUND(uurtarief22,2)</f>
        <v>0</v>
      </c>
      <c r="I5" s="66">
        <v>94</v>
      </c>
    </row>
    <row r="6" spans="1:9" x14ac:dyDescent="0.4">
      <c r="A6" s="56" t="s">
        <v>202</v>
      </c>
      <c r="B6" s="56" t="s">
        <v>9</v>
      </c>
      <c r="C6" s="56" t="s">
        <v>879</v>
      </c>
      <c r="D6" s="56" t="s">
        <v>203</v>
      </c>
      <c r="E6" s="68">
        <f>IF(B6="","",VLOOKUP(B6,dagsoorttabel1,2,FALSE))</f>
        <v>1</v>
      </c>
      <c r="F6" s="68">
        <v>1</v>
      </c>
      <c r="G6" s="68">
        <f>IF(prodnorm23&gt;0,1/ROUND(prodnorm23,4),0)</f>
        <v>0</v>
      </c>
      <c r="H6" s="60">
        <f>ROUND(uurtarief23,2)</f>
        <v>0</v>
      </c>
      <c r="I6" s="68">
        <v>45.5</v>
      </c>
    </row>
    <row r="7" spans="1:9" x14ac:dyDescent="0.4">
      <c r="A7" s="56" t="s">
        <v>205</v>
      </c>
      <c r="B7" s="56" t="s">
        <v>11</v>
      </c>
      <c r="C7" s="56" t="s">
        <v>879</v>
      </c>
      <c r="D7" s="56" t="s">
        <v>203</v>
      </c>
      <c r="E7" s="68">
        <f>IF(B7="","",VLOOKUP(B7,dagsoorttabel1,2,FALSE))</f>
        <v>0.6</v>
      </c>
      <c r="F7" s="68">
        <v>1</v>
      </c>
      <c r="G7" s="68">
        <f>IF(prodnorm24&gt;0,1/ROUND(prodnorm24,4),0)</f>
        <v>0</v>
      </c>
      <c r="H7" s="60">
        <f>ROUND(uurtarief24,2)</f>
        <v>0</v>
      </c>
      <c r="I7" s="68">
        <v>2038.5499999999997</v>
      </c>
    </row>
    <row r="8" spans="1:9" x14ac:dyDescent="0.4">
      <c r="A8" s="56" t="s">
        <v>205</v>
      </c>
      <c r="B8" s="56" t="s">
        <v>9</v>
      </c>
      <c r="C8" s="56" t="s">
        <v>879</v>
      </c>
      <c r="D8" s="56" t="s">
        <v>203</v>
      </c>
      <c r="E8" s="68">
        <f>IF(B8="","",VLOOKUP(B8,dagsoorttabel1,2,FALSE))</f>
        <v>1</v>
      </c>
      <c r="F8" s="68">
        <v>1</v>
      </c>
      <c r="G8" s="68">
        <f>IF(prodnorm25&gt;0,1/ROUND(prodnorm25,4),0)</f>
        <v>0</v>
      </c>
      <c r="H8" s="60">
        <f>ROUND(uurtarief25,2)</f>
        <v>0</v>
      </c>
      <c r="I8" s="68">
        <v>216.4</v>
      </c>
    </row>
    <row r="9" spans="1:9" x14ac:dyDescent="0.4">
      <c r="A9" s="56" t="s">
        <v>207</v>
      </c>
      <c r="B9" s="56" t="s">
        <v>9</v>
      </c>
      <c r="C9" s="56" t="s">
        <v>879</v>
      </c>
      <c r="D9" s="56" t="s">
        <v>203</v>
      </c>
      <c r="E9" s="68">
        <f>IF(B9="","",VLOOKUP(B9,dagsoorttabel1,2,FALSE))</f>
        <v>1</v>
      </c>
      <c r="F9" s="68">
        <v>1</v>
      </c>
      <c r="G9" s="68">
        <f>IF(prodnorm26&gt;0,1/ROUND(prodnorm26,4),0)</f>
        <v>0</v>
      </c>
      <c r="H9" s="60">
        <f>ROUND(uurtarief26,2)</f>
        <v>0</v>
      </c>
      <c r="I9" s="68">
        <v>128</v>
      </c>
    </row>
    <row r="10" spans="1:9" x14ac:dyDescent="0.4">
      <c r="A10" s="56" t="s">
        <v>209</v>
      </c>
      <c r="B10" s="56" t="s">
        <v>11</v>
      </c>
      <c r="C10" s="56" t="s">
        <v>879</v>
      </c>
      <c r="D10" s="56" t="s">
        <v>203</v>
      </c>
      <c r="E10" s="68">
        <f>IF(B10="","",VLOOKUP(B10,dagsoorttabel1,2,FALSE))</f>
        <v>0.6</v>
      </c>
      <c r="F10" s="68">
        <v>1</v>
      </c>
      <c r="G10" s="68">
        <f>IF(prodnorm27&gt;0,1/ROUND(prodnorm27,4),0)</f>
        <v>0</v>
      </c>
      <c r="H10" s="60">
        <f>ROUND(uurtarief27,2)</f>
        <v>0</v>
      </c>
      <c r="I10" s="68">
        <v>50.210000000000008</v>
      </c>
    </row>
    <row r="11" spans="1:9" x14ac:dyDescent="0.4">
      <c r="A11" s="56" t="s">
        <v>211</v>
      </c>
      <c r="B11" s="56" t="s">
        <v>11</v>
      </c>
      <c r="C11" s="56" t="s">
        <v>879</v>
      </c>
      <c r="D11" s="56" t="s">
        <v>203</v>
      </c>
      <c r="E11" s="68">
        <f>IF(B11="","",VLOOKUP(B11,dagsoorttabel1,2,FALSE))</f>
        <v>0.6</v>
      </c>
      <c r="F11" s="68">
        <v>1</v>
      </c>
      <c r="G11" s="68">
        <f>IF(prodnorm28&gt;0,1/ROUND(prodnorm28,4),0)</f>
        <v>0</v>
      </c>
      <c r="H11" s="60">
        <f>ROUND(uurtarief28,2)</f>
        <v>0</v>
      </c>
      <c r="I11" s="68">
        <v>15.7</v>
      </c>
    </row>
    <row r="12" spans="1:9" x14ac:dyDescent="0.4">
      <c r="A12" s="56" t="s">
        <v>213</v>
      </c>
      <c r="B12" s="56" t="s">
        <v>11</v>
      </c>
      <c r="C12" s="56" t="s">
        <v>879</v>
      </c>
      <c r="D12" s="56" t="s">
        <v>203</v>
      </c>
      <c r="E12" s="68">
        <f>IF(B12="","",VLOOKUP(B12,dagsoorttabel1,2,FALSE))</f>
        <v>0.6</v>
      </c>
      <c r="F12" s="68">
        <v>1</v>
      </c>
      <c r="G12" s="68">
        <f>IF(prodnorm29&gt;0,1/ROUND(prodnorm29,4),0)</f>
        <v>0</v>
      </c>
      <c r="H12" s="60">
        <f>ROUND(uurtarief29,2)</f>
        <v>0</v>
      </c>
      <c r="I12" s="68">
        <v>361.8</v>
      </c>
    </row>
    <row r="13" spans="1:9" x14ac:dyDescent="0.4">
      <c r="A13" s="56" t="s">
        <v>213</v>
      </c>
      <c r="B13" s="56" t="s">
        <v>9</v>
      </c>
      <c r="C13" s="56" t="s">
        <v>879</v>
      </c>
      <c r="D13" s="56" t="s">
        <v>203</v>
      </c>
      <c r="E13" s="68">
        <f>IF(B13="","",VLOOKUP(B13,dagsoorttabel1,2,FALSE))</f>
        <v>1</v>
      </c>
      <c r="F13" s="68">
        <v>1</v>
      </c>
      <c r="G13" s="68">
        <f>IF(prodnorm30&gt;0,1/ROUND(prodnorm30,4),0)</f>
        <v>0</v>
      </c>
      <c r="H13" s="60">
        <f>ROUND(uurtarief30,2)</f>
        <v>0</v>
      </c>
      <c r="I13" s="68">
        <v>400.52</v>
      </c>
    </row>
    <row r="14" spans="1:9" x14ac:dyDescent="0.4">
      <c r="A14" s="56" t="s">
        <v>215</v>
      </c>
      <c r="B14" s="56" t="s">
        <v>9</v>
      </c>
      <c r="C14" s="56" t="s">
        <v>879</v>
      </c>
      <c r="D14" s="56" t="s">
        <v>203</v>
      </c>
      <c r="E14" s="68">
        <f>IF(B14="","",VLOOKUP(B14,dagsoorttabel1,2,FALSE))</f>
        <v>1</v>
      </c>
      <c r="F14" s="68">
        <v>1</v>
      </c>
      <c r="G14" s="68">
        <f>IF(prodnorm31&gt;0,1/ROUND(prodnorm31,4),0)</f>
        <v>0</v>
      </c>
      <c r="H14" s="60">
        <f>ROUND(uurtarief31,2)</f>
        <v>0</v>
      </c>
      <c r="I14" s="68">
        <v>67.2</v>
      </c>
    </row>
    <row r="15" spans="1:9" x14ac:dyDescent="0.4">
      <c r="A15" s="56" t="s">
        <v>217</v>
      </c>
      <c r="B15" s="56" t="s">
        <v>9</v>
      </c>
      <c r="C15" s="56" t="s">
        <v>879</v>
      </c>
      <c r="D15" s="56" t="s">
        <v>203</v>
      </c>
      <c r="E15" s="68">
        <f>IF(B15="","",VLOOKUP(B15,dagsoorttabel1,2,FALSE))</f>
        <v>1</v>
      </c>
      <c r="F15" s="68">
        <v>1</v>
      </c>
      <c r="G15" s="68">
        <f>IF(prodnorm32&gt;0,1/ROUND(prodnorm32,4),0)</f>
        <v>0</v>
      </c>
      <c r="H15" s="60">
        <f>ROUND(uurtarief32,2)</f>
        <v>0</v>
      </c>
      <c r="I15" s="68">
        <v>906.0100000000001</v>
      </c>
    </row>
    <row r="16" spans="1:9" x14ac:dyDescent="0.4">
      <c r="A16" s="56" t="s">
        <v>219</v>
      </c>
      <c r="B16" s="56" t="s">
        <v>15</v>
      </c>
      <c r="C16" s="56" t="s">
        <v>879</v>
      </c>
      <c r="D16" s="56" t="s">
        <v>203</v>
      </c>
      <c r="E16" s="68">
        <f>IF(B16="","",VLOOKUP(B16,dagsoorttabel1,2,FALSE))</f>
        <v>4.7058823529411764E-2</v>
      </c>
      <c r="F16" s="68">
        <v>1</v>
      </c>
      <c r="G16" s="68">
        <f>IF(prodnorm33&gt;0,1/ROUND(prodnorm33,4),0)</f>
        <v>0</v>
      </c>
      <c r="H16" s="60">
        <f>ROUND(uurtarief33,2)</f>
        <v>0</v>
      </c>
      <c r="I16" s="68">
        <v>282.05</v>
      </c>
    </row>
    <row r="17" spans="1:9" x14ac:dyDescent="0.4">
      <c r="A17" s="56" t="s">
        <v>221</v>
      </c>
      <c r="B17" s="56" t="s">
        <v>15</v>
      </c>
      <c r="C17" s="56" t="s">
        <v>879</v>
      </c>
      <c r="D17" s="56" t="s">
        <v>203</v>
      </c>
      <c r="E17" s="68">
        <f>IF(B17="","",VLOOKUP(B17,dagsoorttabel1,2,FALSE))</f>
        <v>4.7058823529411764E-2</v>
      </c>
      <c r="F17" s="68">
        <v>1</v>
      </c>
      <c r="G17" s="68">
        <f>IF(prodnorm35&gt;0,1/ROUND(prodnorm35,4),0)</f>
        <v>0</v>
      </c>
      <c r="H17" s="60">
        <f>ROUND(uurtarief35,2)</f>
        <v>0</v>
      </c>
      <c r="I17" s="68">
        <v>21</v>
      </c>
    </row>
    <row r="18" spans="1:9" x14ac:dyDescent="0.4">
      <c r="A18" s="56" t="s">
        <v>223</v>
      </c>
      <c r="B18" s="56" t="s">
        <v>9</v>
      </c>
      <c r="C18" s="56" t="s">
        <v>879</v>
      </c>
      <c r="D18" s="56" t="s">
        <v>203</v>
      </c>
      <c r="E18" s="68">
        <f>IF(B18="","",VLOOKUP(B18,dagsoorttabel1,2,FALSE))</f>
        <v>1</v>
      </c>
      <c r="F18" s="68">
        <v>1</v>
      </c>
      <c r="G18" s="68">
        <f>IF(prodnorm37&gt;0,1/ROUND(prodnorm37,4),0)</f>
        <v>0</v>
      </c>
      <c r="H18" s="60">
        <f>ROUND(uurtarief37,2)</f>
        <v>0</v>
      </c>
      <c r="I18" s="68">
        <v>27.68</v>
      </c>
    </row>
    <row r="19" spans="1:9" x14ac:dyDescent="0.4">
      <c r="A19" s="56" t="s">
        <v>225</v>
      </c>
      <c r="B19" s="56" t="s">
        <v>9</v>
      </c>
      <c r="C19" s="56" t="s">
        <v>879</v>
      </c>
      <c r="D19" s="56" t="s">
        <v>203</v>
      </c>
      <c r="E19" s="68">
        <f>IF(B19="","",VLOOKUP(B19,dagsoorttabel1,2,FALSE))</f>
        <v>1</v>
      </c>
      <c r="F19" s="68">
        <v>1</v>
      </c>
      <c r="G19" s="68">
        <f>IF(prodnorm38&gt;0,1/ROUND(prodnorm38,4),0)</f>
        <v>0</v>
      </c>
      <c r="H19" s="60">
        <f>ROUND(uurtarief38,2)</f>
        <v>0</v>
      </c>
      <c r="I19" s="68">
        <v>22.77</v>
      </c>
    </row>
    <row r="20" spans="1:9" x14ac:dyDescent="0.4">
      <c r="A20" s="56" t="s">
        <v>227</v>
      </c>
      <c r="B20" s="56" t="s">
        <v>9</v>
      </c>
      <c r="C20" s="56" t="s">
        <v>879</v>
      </c>
      <c r="D20" s="56" t="s">
        <v>203</v>
      </c>
      <c r="E20" s="68">
        <f>IF(B20="","",VLOOKUP(B20,dagsoorttabel1,2,FALSE))</f>
        <v>1</v>
      </c>
      <c r="F20" s="68">
        <v>1</v>
      </c>
      <c r="G20" s="68">
        <f>IF(prodnorm39&gt;0,1/ROUND(prodnorm39,4),0)</f>
        <v>0</v>
      </c>
      <c r="H20" s="60">
        <f>ROUND(uurtarief39,2)</f>
        <v>0</v>
      </c>
      <c r="I20" s="68">
        <v>129.84</v>
      </c>
    </row>
    <row r="21" spans="1:9" x14ac:dyDescent="0.4">
      <c r="A21" s="56" t="s">
        <v>229</v>
      </c>
      <c r="B21" s="56" t="s">
        <v>11</v>
      </c>
      <c r="C21" s="56" t="s">
        <v>879</v>
      </c>
      <c r="D21" s="56" t="s">
        <v>203</v>
      </c>
      <c r="E21" s="68">
        <f>IF(B21="","",VLOOKUP(B21,dagsoorttabel1,2,FALSE))</f>
        <v>0.6</v>
      </c>
      <c r="F21" s="68">
        <v>1</v>
      </c>
      <c r="G21" s="68">
        <f>IF(prodnorm40&gt;0,1/ROUND(prodnorm40,4),0)</f>
        <v>0</v>
      </c>
      <c r="H21" s="60">
        <f>ROUND(uurtarief40,2)</f>
        <v>0</v>
      </c>
      <c r="I21" s="68">
        <v>129.84</v>
      </c>
    </row>
    <row r="22" spans="1:9" x14ac:dyDescent="0.4">
      <c r="A22" s="56" t="s">
        <v>231</v>
      </c>
      <c r="B22" s="56" t="s">
        <v>11</v>
      </c>
      <c r="C22" s="56" t="s">
        <v>879</v>
      </c>
      <c r="D22" s="56" t="s">
        <v>203</v>
      </c>
      <c r="E22" s="68">
        <f>IF(B22="","",VLOOKUP(B22,dagsoorttabel1,2,FALSE))</f>
        <v>0.6</v>
      </c>
      <c r="F22" s="68">
        <v>1</v>
      </c>
      <c r="G22" s="68">
        <f>IF(prodnorm41&gt;0,1/ROUND(prodnorm41,4),0)</f>
        <v>0</v>
      </c>
      <c r="H22" s="60">
        <f>ROUND(uurtarief41,2)</f>
        <v>0</v>
      </c>
      <c r="I22" s="68">
        <v>106.13</v>
      </c>
    </row>
    <row r="23" spans="1:9" x14ac:dyDescent="0.4">
      <c r="A23" s="56" t="s">
        <v>231</v>
      </c>
      <c r="B23" s="56" t="s">
        <v>9</v>
      </c>
      <c r="C23" s="56" t="s">
        <v>879</v>
      </c>
      <c r="D23" s="56" t="s">
        <v>203</v>
      </c>
      <c r="E23" s="68">
        <f>IF(B23="","",VLOOKUP(B23,dagsoorttabel1,2,FALSE))</f>
        <v>1</v>
      </c>
      <c r="F23" s="68">
        <v>1</v>
      </c>
      <c r="G23" s="68">
        <f>IF(prodnorm42&gt;0,1/ROUND(prodnorm42,4),0)</f>
        <v>0</v>
      </c>
      <c r="H23" s="60">
        <f>ROUND(uurtarief42,2)</f>
        <v>0</v>
      </c>
      <c r="I23" s="68">
        <v>271.73</v>
      </c>
    </row>
    <row r="24" spans="1:9" x14ac:dyDescent="0.4">
      <c r="A24" s="56" t="s">
        <v>233</v>
      </c>
      <c r="B24" s="56" t="s">
        <v>11</v>
      </c>
      <c r="C24" s="56" t="s">
        <v>879</v>
      </c>
      <c r="D24" s="56" t="s">
        <v>203</v>
      </c>
      <c r="E24" s="68">
        <f>IF(B24="","",VLOOKUP(B24,dagsoorttabel1,2,FALSE))</f>
        <v>0.6</v>
      </c>
      <c r="F24" s="68">
        <v>1</v>
      </c>
      <c r="G24" s="68">
        <f>IF(prodnorm43&gt;0,1/ROUND(prodnorm43,4),0)</f>
        <v>0</v>
      </c>
      <c r="H24" s="60">
        <f>ROUND(uurtarief43,2)</f>
        <v>0</v>
      </c>
      <c r="I24" s="68">
        <v>88.300000000000011</v>
      </c>
    </row>
    <row r="25" spans="1:9" x14ac:dyDescent="0.4">
      <c r="A25" s="56" t="s">
        <v>233</v>
      </c>
      <c r="B25" s="56" t="s">
        <v>9</v>
      </c>
      <c r="C25" s="56" t="s">
        <v>879</v>
      </c>
      <c r="D25" s="56" t="s">
        <v>203</v>
      </c>
      <c r="E25" s="68">
        <f>IF(B25="","",VLOOKUP(B25,dagsoorttabel1,2,FALSE))</f>
        <v>1</v>
      </c>
      <c r="F25" s="68">
        <v>1</v>
      </c>
      <c r="G25" s="68">
        <f>IF(prodnorm44&gt;0,1/ROUND(prodnorm44,4),0)</f>
        <v>0</v>
      </c>
      <c r="H25" s="60">
        <f>ROUND(uurtarief44,2)</f>
        <v>0</v>
      </c>
      <c r="I25" s="68">
        <v>61.75</v>
      </c>
    </row>
    <row r="26" spans="1:9" x14ac:dyDescent="0.4">
      <c r="A26" s="56" t="s">
        <v>235</v>
      </c>
      <c r="B26" s="56" t="s">
        <v>9</v>
      </c>
      <c r="C26" s="56" t="s">
        <v>879</v>
      </c>
      <c r="D26" s="56" t="s">
        <v>203</v>
      </c>
      <c r="E26" s="68">
        <f>IF(B26="","",VLOOKUP(B26,dagsoorttabel1,2,FALSE))</f>
        <v>1</v>
      </c>
      <c r="F26" s="68">
        <v>1</v>
      </c>
      <c r="G26" s="68">
        <f>IF(prodnorm45&gt;0,1/ROUND(prodnorm45,4),0)</f>
        <v>0</v>
      </c>
      <c r="H26" s="60">
        <f>ROUND(uurtarief45,2)</f>
        <v>0</v>
      </c>
      <c r="I26" s="68">
        <v>87.55</v>
      </c>
    </row>
    <row r="27" spans="1:9" x14ac:dyDescent="0.4">
      <c r="A27" s="56" t="s">
        <v>237</v>
      </c>
      <c r="B27" s="56" t="s">
        <v>9</v>
      </c>
      <c r="C27" s="56" t="s">
        <v>879</v>
      </c>
      <c r="D27" s="56" t="s">
        <v>203</v>
      </c>
      <c r="E27" s="68">
        <f>IF(B27="","",VLOOKUP(B27,dagsoorttabel1,2,FALSE))</f>
        <v>1</v>
      </c>
      <c r="F27" s="68">
        <v>1</v>
      </c>
      <c r="G27" s="68">
        <f>IF(prodnorm46&gt;0,1/ROUND(prodnorm46,4),0)</f>
        <v>0</v>
      </c>
      <c r="H27" s="60">
        <f>ROUND(uurtarief46,2)</f>
        <v>0</v>
      </c>
      <c r="I27" s="68">
        <v>68.3</v>
      </c>
    </row>
    <row r="28" spans="1:9" x14ac:dyDescent="0.4">
      <c r="A28" s="56" t="s">
        <v>239</v>
      </c>
      <c r="B28" s="56" t="s">
        <v>11</v>
      </c>
      <c r="C28" s="56" t="s">
        <v>879</v>
      </c>
      <c r="D28" s="56" t="s">
        <v>203</v>
      </c>
      <c r="E28" s="68">
        <f>IF(B28="","",VLOOKUP(B28,dagsoorttabel1,2,FALSE))</f>
        <v>0.6</v>
      </c>
      <c r="F28" s="68">
        <v>1</v>
      </c>
      <c r="G28" s="68">
        <f>IF(prodnorm47&gt;0,1/ROUND(prodnorm47,4),0)</f>
        <v>0</v>
      </c>
      <c r="H28" s="60">
        <f>ROUND(uurtarief47,2)</f>
        <v>0</v>
      </c>
      <c r="I28" s="68">
        <v>7.7</v>
      </c>
    </row>
    <row r="29" spans="1:9" x14ac:dyDescent="0.4">
      <c r="A29" s="56" t="s">
        <v>241</v>
      </c>
      <c r="B29" s="56" t="s">
        <v>11</v>
      </c>
      <c r="C29" s="56" t="s">
        <v>879</v>
      </c>
      <c r="D29" s="56" t="s">
        <v>203</v>
      </c>
      <c r="E29" s="68">
        <f>IF(B29="","",VLOOKUP(B29,dagsoorttabel1,2,FALSE))</f>
        <v>0.6</v>
      </c>
      <c r="F29" s="68">
        <v>1</v>
      </c>
      <c r="G29" s="68">
        <f>IF(prodnorm48&gt;0,1/ROUND(prodnorm48,4),0)</f>
        <v>0</v>
      </c>
      <c r="H29" s="60">
        <f>ROUND(uurtarief48,2)</f>
        <v>0</v>
      </c>
      <c r="I29" s="68">
        <v>586.42000000000007</v>
      </c>
    </row>
    <row r="30" spans="1:9" x14ac:dyDescent="0.4">
      <c r="A30" s="56" t="s">
        <v>241</v>
      </c>
      <c r="B30" s="56" t="s">
        <v>9</v>
      </c>
      <c r="C30" s="56" t="s">
        <v>879</v>
      </c>
      <c r="D30" s="56" t="s">
        <v>203</v>
      </c>
      <c r="E30" s="68">
        <f>IF(B30="","",VLOOKUP(B30,dagsoorttabel1,2,FALSE))</f>
        <v>1</v>
      </c>
      <c r="F30" s="68">
        <v>1</v>
      </c>
      <c r="G30" s="68">
        <f>IF(prodnorm49&gt;0,1/ROUND(prodnorm49,4),0)</f>
        <v>0</v>
      </c>
      <c r="H30" s="60">
        <f>ROUND(uurtarief49,2)</f>
        <v>0</v>
      </c>
      <c r="I30" s="68">
        <v>99.509999999999991</v>
      </c>
    </row>
    <row r="31" spans="1:9" x14ac:dyDescent="0.4">
      <c r="A31" s="56" t="s">
        <v>243</v>
      </c>
      <c r="B31" s="56" t="s">
        <v>9</v>
      </c>
      <c r="C31" s="56" t="s">
        <v>879</v>
      </c>
      <c r="D31" s="56" t="s">
        <v>203</v>
      </c>
      <c r="E31" s="68">
        <f>IF(B31="","",VLOOKUP(B31,dagsoorttabel1,2,FALSE))</f>
        <v>1</v>
      </c>
      <c r="F31" s="68">
        <v>1</v>
      </c>
      <c r="G31" s="68">
        <f>IF(prodnorm50&gt;0,1/ROUND(prodnorm50,4),0)</f>
        <v>0</v>
      </c>
      <c r="H31" s="60">
        <f>ROUND(uurtarief50,2)</f>
        <v>0</v>
      </c>
      <c r="I31" s="68">
        <v>16.490000000000002</v>
      </c>
    </row>
    <row r="32" spans="1:9" x14ac:dyDescent="0.4">
      <c r="A32" s="56" t="s">
        <v>245</v>
      </c>
      <c r="B32" s="56" t="s">
        <v>17</v>
      </c>
      <c r="C32" s="56" t="s">
        <v>879</v>
      </c>
      <c r="D32" s="56" t="s">
        <v>203</v>
      </c>
      <c r="E32" s="68">
        <f>IF(B32="","",VLOOKUP(B32,dagsoorttabel1,2,FALSE))</f>
        <v>1.5686274509803921E-2</v>
      </c>
      <c r="F32" s="68">
        <v>1</v>
      </c>
      <c r="G32" s="68">
        <f>IF(prodnorm51&gt;0,1/ROUND(prodnorm51,4),0)</f>
        <v>0</v>
      </c>
      <c r="H32" s="60">
        <f>ROUND(uurtarief51,2)</f>
        <v>0</v>
      </c>
      <c r="I32" s="68">
        <v>1349.3600000000001</v>
      </c>
    </row>
    <row r="33" spans="1:9" x14ac:dyDescent="0.4">
      <c r="A33" s="56" t="s">
        <v>247</v>
      </c>
      <c r="B33" s="56" t="s">
        <v>17</v>
      </c>
      <c r="C33" s="56" t="s">
        <v>879</v>
      </c>
      <c r="D33" s="56" t="s">
        <v>203</v>
      </c>
      <c r="E33" s="68">
        <f>IF(B33="","",VLOOKUP(B33,dagsoorttabel1,2,FALSE))</f>
        <v>1.5686274509803921E-2</v>
      </c>
      <c r="F33" s="68">
        <v>1</v>
      </c>
      <c r="G33" s="68">
        <f>IF(prodnorm52&gt;0,1/ROUND(prodnorm52,4),0)</f>
        <v>0</v>
      </c>
      <c r="H33" s="60">
        <f>ROUND(uurtarief52,2)</f>
        <v>0</v>
      </c>
      <c r="I33" s="68">
        <v>32.700000000000003</v>
      </c>
    </row>
    <row r="34" spans="1:9" x14ac:dyDescent="0.4">
      <c r="A34" s="56" t="s">
        <v>249</v>
      </c>
      <c r="B34" s="56" t="s">
        <v>13</v>
      </c>
      <c r="C34" s="56" t="s">
        <v>879</v>
      </c>
      <c r="D34" s="56" t="s">
        <v>203</v>
      </c>
      <c r="E34" s="68">
        <f>IF(B34="","",VLOOKUP(B34,dagsoorttabel1,2,FALSE))</f>
        <v>0.2</v>
      </c>
      <c r="F34" s="68">
        <v>1</v>
      </c>
      <c r="G34" s="68">
        <f>IF(prodnorm54&gt;0,1/ROUND(prodnorm54,4),0)</f>
        <v>0</v>
      </c>
      <c r="H34" s="60">
        <f>ROUND(uurtarief54,2)</f>
        <v>0</v>
      </c>
      <c r="I34" s="68">
        <v>8.92</v>
      </c>
    </row>
    <row r="35" spans="1:9" x14ac:dyDescent="0.4">
      <c r="A35" s="56" t="s">
        <v>249</v>
      </c>
      <c r="B35" s="56" t="s">
        <v>9</v>
      </c>
      <c r="C35" s="56" t="s">
        <v>879</v>
      </c>
      <c r="D35" s="56" t="s">
        <v>203</v>
      </c>
      <c r="E35" s="68">
        <f>IF(B35="","",VLOOKUP(B35,dagsoorttabel1,2,FALSE))</f>
        <v>1</v>
      </c>
      <c r="F35" s="68">
        <v>1</v>
      </c>
      <c r="G35" s="68">
        <f>IF(prodnorm55&gt;0,1/ROUND(prodnorm55,4),0)</f>
        <v>0</v>
      </c>
      <c r="H35" s="60">
        <f>ROUND(uurtarief55,2)</f>
        <v>0</v>
      </c>
      <c r="I35" s="68">
        <v>6.9700000000000006</v>
      </c>
    </row>
    <row r="36" spans="1:9" x14ac:dyDescent="0.4">
      <c r="A36" s="56" t="s">
        <v>251</v>
      </c>
      <c r="B36" s="56" t="s">
        <v>13</v>
      </c>
      <c r="C36" s="56" t="s">
        <v>879</v>
      </c>
      <c r="D36" s="56" t="s">
        <v>203</v>
      </c>
      <c r="E36" s="68">
        <f>IF(B36="","",VLOOKUP(B36,dagsoorttabel1,2,FALSE))</f>
        <v>0.2</v>
      </c>
      <c r="F36" s="68">
        <v>1</v>
      </c>
      <c r="G36" s="68">
        <f>IF(prodnorm57&gt;0,1/ROUND(prodnorm57,4),0)</f>
        <v>0</v>
      </c>
      <c r="H36" s="60">
        <f>ROUND(uurtarief57,2)</f>
        <v>0</v>
      </c>
      <c r="I36" s="68">
        <v>141.37</v>
      </c>
    </row>
    <row r="37" spans="1:9" x14ac:dyDescent="0.4">
      <c r="A37" s="56" t="s">
        <v>251</v>
      </c>
      <c r="B37" s="56" t="s">
        <v>11</v>
      </c>
      <c r="C37" s="56" t="s">
        <v>879</v>
      </c>
      <c r="D37" s="56" t="s">
        <v>203</v>
      </c>
      <c r="E37" s="68">
        <f>IF(B37="","",VLOOKUP(B37,dagsoorttabel1,2,FALSE))</f>
        <v>0.6</v>
      </c>
      <c r="F37" s="68">
        <v>1</v>
      </c>
      <c r="G37" s="68">
        <f>IF(prodnorm58&gt;0,1/ROUND(prodnorm58,4),0)</f>
        <v>0</v>
      </c>
      <c r="H37" s="60">
        <f>ROUND(uurtarief58,2)</f>
        <v>0</v>
      </c>
      <c r="I37" s="68">
        <v>11.9</v>
      </c>
    </row>
    <row r="38" spans="1:9" x14ac:dyDescent="0.4">
      <c r="A38" s="56" t="s">
        <v>253</v>
      </c>
      <c r="B38" s="56" t="s">
        <v>19</v>
      </c>
      <c r="C38" s="56" t="s">
        <v>879</v>
      </c>
      <c r="D38" s="56" t="s">
        <v>254</v>
      </c>
      <c r="E38" s="68">
        <f>IF(B38="","",VLOOKUP(B38,dagsoorttabel1,2,FALSE))</f>
        <v>7.8431372549019607E-3</v>
      </c>
      <c r="F38" s="68">
        <v>1</v>
      </c>
      <c r="G38" s="68">
        <v>1</v>
      </c>
      <c r="H38" s="60">
        <f>ROUND(uurtarief13,2)</f>
        <v>0</v>
      </c>
      <c r="I38" s="68">
        <v>3.5</v>
      </c>
    </row>
    <row r="39" spans="1:9" x14ac:dyDescent="0.4">
      <c r="A39" s="56" t="s">
        <v>257</v>
      </c>
      <c r="B39" s="56" t="s">
        <v>9</v>
      </c>
      <c r="C39" s="56" t="s">
        <v>879</v>
      </c>
      <c r="D39" s="56" t="s">
        <v>254</v>
      </c>
      <c r="E39" s="68">
        <f>IF(B39="","",VLOOKUP(B39,dagsoorttabel1,2,FALSE))</f>
        <v>1</v>
      </c>
      <c r="F39" s="68">
        <v>1</v>
      </c>
      <c r="G39" s="68">
        <f>ROUND(prodnorm14,4)/60</f>
        <v>0</v>
      </c>
      <c r="H39" s="60">
        <f>ROUND(uurtarief14,2)</f>
        <v>0</v>
      </c>
      <c r="I39" s="68">
        <v>15</v>
      </c>
    </row>
    <row r="40" spans="1:9" x14ac:dyDescent="0.4">
      <c r="A40" s="56" t="s">
        <v>260</v>
      </c>
      <c r="B40" s="56" t="s">
        <v>9</v>
      </c>
      <c r="C40" s="56" t="s">
        <v>879</v>
      </c>
      <c r="D40" s="56" t="s">
        <v>254</v>
      </c>
      <c r="E40" s="68">
        <f>IF(B40="","",VLOOKUP(B40,dagsoorttabel1,2,FALSE))</f>
        <v>1</v>
      </c>
      <c r="F40" s="68">
        <v>1</v>
      </c>
      <c r="G40" s="68">
        <f>ROUND(prodnorm15,4)/60</f>
        <v>0</v>
      </c>
      <c r="H40" s="60">
        <f>ROUND(uurtarief15,2)</f>
        <v>0</v>
      </c>
      <c r="I40" s="68">
        <v>1</v>
      </c>
    </row>
    <row r="41" spans="1:9" x14ac:dyDescent="0.4">
      <c r="A41" s="56" t="s">
        <v>263</v>
      </c>
      <c r="B41" s="56" t="s">
        <v>20</v>
      </c>
      <c r="C41" s="56" t="s">
        <v>879</v>
      </c>
      <c r="D41" s="56" t="s">
        <v>254</v>
      </c>
      <c r="E41" s="68">
        <f>IF(B41="","",VLOOKUP(B41,dagsoorttabel1,2,FALSE))</f>
        <v>3.9215686274509803E-3</v>
      </c>
      <c r="F41" s="68">
        <v>1</v>
      </c>
      <c r="G41" s="68">
        <f>IF(prodnorm16&gt;0,1/ROUND(prodnorm16,4),0)</f>
        <v>0</v>
      </c>
      <c r="H41" s="60">
        <f>ROUND(uurtarief16,2)</f>
        <v>0</v>
      </c>
      <c r="I41" s="68">
        <v>385.21</v>
      </c>
    </row>
    <row r="42" spans="1:9" x14ac:dyDescent="0.4">
      <c r="A42" s="56" t="s">
        <v>265</v>
      </c>
      <c r="B42" s="56" t="s">
        <v>20</v>
      </c>
      <c r="C42" s="56" t="s">
        <v>879</v>
      </c>
      <c r="D42" s="56" t="s">
        <v>254</v>
      </c>
      <c r="E42" s="68">
        <f>IF(B42="","",VLOOKUP(B42,dagsoorttabel1,2,FALSE))</f>
        <v>3.9215686274509803E-3</v>
      </c>
      <c r="F42" s="68">
        <v>1</v>
      </c>
      <c r="G42" s="68">
        <f>ROUND(prodnorm17,4)/60</f>
        <v>0</v>
      </c>
      <c r="H42" s="60">
        <f>ROUND(uurtarief17,2)</f>
        <v>0</v>
      </c>
      <c r="I42" s="68">
        <v>1</v>
      </c>
    </row>
    <row r="43" spans="1:9" x14ac:dyDescent="0.4">
      <c r="A43" s="56" t="s">
        <v>267</v>
      </c>
      <c r="B43" s="56" t="s">
        <v>17</v>
      </c>
      <c r="C43" s="56" t="s">
        <v>879</v>
      </c>
      <c r="D43" s="56" t="s">
        <v>254</v>
      </c>
      <c r="E43" s="68">
        <f>IF(B43="","",VLOOKUP(B43,dagsoorttabel1,2,FALSE))</f>
        <v>1.5686274509803921E-2</v>
      </c>
      <c r="F43" s="68">
        <v>1</v>
      </c>
      <c r="G43" s="68">
        <f>ROUND(prodnorm18,4)/60</f>
        <v>0</v>
      </c>
      <c r="H43" s="60">
        <f>ROUND(uurtarief18,2)</f>
        <v>0</v>
      </c>
      <c r="I43" s="68">
        <v>3</v>
      </c>
    </row>
    <row r="44" spans="1:9" x14ac:dyDescent="0.4">
      <c r="A44" s="56" t="s">
        <v>269</v>
      </c>
      <c r="B44" s="56" t="s">
        <v>17</v>
      </c>
      <c r="C44" s="56" t="s">
        <v>879</v>
      </c>
      <c r="D44" s="56" t="s">
        <v>254</v>
      </c>
      <c r="E44" s="68">
        <f>IF(B44="","",VLOOKUP(B44,dagsoorttabel1,2,FALSE))</f>
        <v>1.5686274509803921E-2</v>
      </c>
      <c r="F44" s="68">
        <v>1</v>
      </c>
      <c r="G44" s="68">
        <f>ROUND(prodnorm19,4)/60</f>
        <v>0</v>
      </c>
      <c r="H44" s="60">
        <f>ROUND(uurtarief19,2)</f>
        <v>0</v>
      </c>
      <c r="I44" s="68">
        <v>4</v>
      </c>
    </row>
    <row r="45" spans="1:9" x14ac:dyDescent="0.4">
      <c r="A45" s="56" t="s">
        <v>271</v>
      </c>
      <c r="B45" s="56" t="s">
        <v>20</v>
      </c>
      <c r="C45" s="56" t="s">
        <v>879</v>
      </c>
      <c r="D45" s="56" t="s">
        <v>254</v>
      </c>
      <c r="E45" s="68">
        <f>IF(B45="","",VLOOKUP(B45,dagsoorttabel1,2,FALSE))</f>
        <v>3.9215686274509803E-3</v>
      </c>
      <c r="F45" s="68">
        <v>1</v>
      </c>
      <c r="G45" s="68">
        <f>IF(prodnorm20&gt;0,1/ROUND(prodnorm20,4),0)</f>
        <v>0</v>
      </c>
      <c r="H45" s="60">
        <f>ROUND(uurtarief20,2)</f>
        <v>0</v>
      </c>
      <c r="I45" s="68">
        <v>939.1400000000001</v>
      </c>
    </row>
    <row r="46" spans="1:9" x14ac:dyDescent="0.4">
      <c r="A46" s="61" t="s">
        <v>273</v>
      </c>
      <c r="B46" s="61" t="s">
        <v>15</v>
      </c>
      <c r="C46" s="61" t="s">
        <v>879</v>
      </c>
      <c r="D46" s="61" t="s">
        <v>254</v>
      </c>
      <c r="E46" s="71">
        <f>IF(B46="","",VLOOKUP(B46,dagsoorttabel1,2,FALSE))</f>
        <v>4.7058823529411764E-2</v>
      </c>
      <c r="F46" s="71">
        <v>1</v>
      </c>
      <c r="G46" s="71">
        <f>ROUND(prodnorm21,4)/60</f>
        <v>0</v>
      </c>
      <c r="H46" s="65">
        <f>ROUND(uurtarief21,2)</f>
        <v>0</v>
      </c>
      <c r="I46" s="71">
        <v>60</v>
      </c>
    </row>
    <row r="47" spans="1:9" x14ac:dyDescent="0.4">
      <c r="A47" s="74" t="s">
        <v>276</v>
      </c>
      <c r="B47" s="75"/>
      <c r="C47" s="75"/>
      <c r="D47" s="75"/>
      <c r="E47" s="75"/>
      <c r="F47" s="75"/>
      <c r="G47" s="75"/>
      <c r="H47" s="75"/>
      <c r="I47" s="107"/>
    </row>
  </sheetData>
  <sheetProtection algorithmName="SHA-512" hashValue="yVwZafV0aPq0/MmCeUcH/K2GxMpMs7XpcyHOUeTtWZpRDyMO99antvW8oRYu9mlJ2OCEzphG/lQer7SfpUjqMA==" saltValue="dBtXGYlyobksWNE+w0JkKw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&amp;LCito                                                        &amp;ROpmaakdatum: 12-02-2025
Intexso - Plantageweg 23E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CA070-C3D1-4862-8B7C-3BFF07459C15}">
  <dimension ref="A1:K10"/>
  <sheetViews>
    <sheetView workbookViewId="0"/>
  </sheetViews>
  <sheetFormatPr defaultRowHeight="14.6" x14ac:dyDescent="0.4"/>
  <cols>
    <col min="1" max="1" width="8.69140625" customWidth="1"/>
    <col min="2" max="2" width="28.69140625" customWidth="1"/>
    <col min="3" max="4" width="15.69140625" customWidth="1"/>
    <col min="5" max="5" width="6.23046875" customWidth="1"/>
    <col min="6" max="6" width="10.69140625" customWidth="1"/>
    <col min="7" max="8" width="12.23046875" customWidth="1"/>
    <col min="9" max="9" width="12.69140625" customWidth="1"/>
    <col min="10" max="10" width="14.69140625" customWidth="1"/>
    <col min="11" max="11" width="13.69140625" customWidth="1"/>
  </cols>
  <sheetData>
    <row r="1" spans="1:11" x14ac:dyDescent="0.4">
      <c r="A1" s="1" t="str">
        <f>CONCATENATE("Bijlage F.4: ",tabeltype," objecten")</f>
        <v>Bijlage F.4: Invultabel objecten</v>
      </c>
    </row>
    <row r="3" spans="1:11" ht="43.75" x14ac:dyDescent="0.4">
      <c r="A3" s="44" t="s">
        <v>279</v>
      </c>
      <c r="B3" s="44" t="s">
        <v>880</v>
      </c>
      <c r="C3" s="44" t="s">
        <v>881</v>
      </c>
      <c r="D3" s="44" t="s">
        <v>882</v>
      </c>
      <c r="E3" s="44" t="s">
        <v>7</v>
      </c>
      <c r="F3" s="44" t="s">
        <v>883</v>
      </c>
      <c r="G3" s="44" t="s">
        <v>884</v>
      </c>
      <c r="H3" s="44" t="s">
        <v>885</v>
      </c>
      <c r="I3" s="44" t="s">
        <v>200</v>
      </c>
      <c r="J3" s="44" t="s">
        <v>201</v>
      </c>
      <c r="K3" s="44" t="s">
        <v>886</v>
      </c>
    </row>
    <row r="4" spans="1:11" x14ac:dyDescent="0.4">
      <c r="A4" s="45"/>
      <c r="B4" s="46"/>
      <c r="C4" s="46"/>
      <c r="D4" s="46"/>
      <c r="E4" s="46"/>
      <c r="F4" s="46"/>
      <c r="G4" s="46"/>
      <c r="H4" s="46"/>
      <c r="I4" s="46"/>
      <c r="J4" s="46"/>
      <c r="K4" s="47"/>
    </row>
    <row r="5" spans="1:11" x14ac:dyDescent="0.4">
      <c r="A5" s="48" t="s">
        <v>93</v>
      </c>
      <c r="B5" s="49"/>
      <c r="C5" s="49"/>
      <c r="D5" s="49"/>
      <c r="E5" s="49"/>
      <c r="F5" s="49"/>
      <c r="G5" s="49"/>
      <c r="H5" s="49"/>
      <c r="I5" s="49"/>
      <c r="J5" s="49"/>
      <c r="K5" s="50"/>
    </row>
    <row r="6" spans="1:11" x14ac:dyDescent="0.4">
      <c r="A6" s="108" t="s">
        <v>291</v>
      </c>
      <c r="B6" s="108" t="s">
        <v>887</v>
      </c>
      <c r="C6" s="108" t="s">
        <v>888</v>
      </c>
      <c r="D6" s="108" t="s">
        <v>889</v>
      </c>
      <c r="E6" s="109" t="s">
        <v>9</v>
      </c>
      <c r="F6" s="110">
        <f>gemuurtarief1</f>
        <v>0</v>
      </c>
      <c r="G6" s="111">
        <f>SUMPRODUCT(taakfreqtabel1,uurfactortabel1,kengetaltabel1,object1_opptabel1)*(1/VLOOKUP(E6,dagsoorttabel1,2,FALSE))</f>
        <v>2.7450980392156862E-2</v>
      </c>
      <c r="H6" s="112">
        <f>SUMPRODUCT(taakfreqtabel1,kengetaltabel1,tarieftabel1,object1_opptabel1)*(1/VLOOKUP(E6,dagsoorttabel1,2,FALSE))</f>
        <v>0</v>
      </c>
      <c r="I6" s="111">
        <f>G6*dagenperjaar1*VLOOKUP(E6,dagsoorttabel1,2,FALSE)</f>
        <v>7</v>
      </c>
      <c r="J6" s="112">
        <f>H6*dagenperjaar1*VLOOKUP(E6,dagsoorttabel1,2,FALSE)</f>
        <v>0</v>
      </c>
      <c r="K6" s="112">
        <f>J6/12</f>
        <v>0</v>
      </c>
    </row>
    <row r="7" spans="1:11" x14ac:dyDescent="0.4">
      <c r="A7" s="74" t="s">
        <v>276</v>
      </c>
      <c r="B7" s="75"/>
      <c r="C7" s="75"/>
      <c r="D7" s="75"/>
      <c r="E7" s="75"/>
      <c r="F7" s="75"/>
      <c r="G7" s="75"/>
      <c r="H7" s="75"/>
      <c r="I7" s="76">
        <f>SUM(I6:I6)</f>
        <v>7</v>
      </c>
      <c r="J7" s="77">
        <f>SUM(J6:J6)</f>
        <v>0</v>
      </c>
      <c r="K7" s="78">
        <f>SUM(K6:K6)</f>
        <v>0</v>
      </c>
    </row>
    <row r="8" spans="1:11" x14ac:dyDescent="0.4">
      <c r="A8" s="79"/>
      <c r="B8" s="75"/>
      <c r="C8" s="75"/>
      <c r="D8" s="75"/>
      <c r="E8" s="75"/>
      <c r="F8" s="75"/>
      <c r="G8" s="75"/>
      <c r="H8" s="75"/>
      <c r="I8" s="75"/>
      <c r="J8" s="75"/>
      <c r="K8" s="80"/>
    </row>
    <row r="10" spans="1:11" x14ac:dyDescent="0.4">
      <c r="A10" s="74" t="s">
        <v>890</v>
      </c>
      <c r="B10" s="75"/>
      <c r="C10" s="75"/>
      <c r="D10" s="75"/>
      <c r="E10" s="75"/>
      <c r="F10" s="75"/>
      <c r="G10" s="75"/>
      <c r="H10" s="75"/>
      <c r="I10" s="76">
        <f>urenjaartotaal1</f>
        <v>7</v>
      </c>
      <c r="J10" s="77">
        <f>prijsjaartotaal1</f>
        <v>0</v>
      </c>
      <c r="K10" s="77">
        <f>prijsmaandtotaal1</f>
        <v>0</v>
      </c>
    </row>
  </sheetData>
  <sheetProtection algorithmName="SHA-512" hashValue="qd/6z0jnGmgKSOkgGI2oY2GjeE1p6660vjGjkoK39xTyPCxxElvO2bdBSPp//Odu2bg5UHW2WsO8goPD5yksXw==" saltValue="FtX8uoVohRBNdWb1h9FIpQ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&amp;LCito                                                        &amp;ROpmaakdatum: 12-02-2025
Intexso - Plantageweg 23E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EC39A-9138-4413-83DD-C948C8EFCFD0}">
  <dimension ref="A1:C15"/>
  <sheetViews>
    <sheetView workbookViewId="0"/>
  </sheetViews>
  <sheetFormatPr defaultRowHeight="14.6" x14ac:dyDescent="0.4"/>
  <cols>
    <col min="1" max="1" width="25.69140625" customWidth="1"/>
    <col min="2" max="3" width="20.69140625" customWidth="1"/>
  </cols>
  <sheetData>
    <row r="1" spans="1:3" x14ac:dyDescent="0.4">
      <c r="A1" s="1" t="str">
        <f>CONCATENATE("Bijlage F.5: ",tabeltype," totaalblad objecten")</f>
        <v>Bijlage F.5: Invultabel totaalblad objecten</v>
      </c>
    </row>
    <row r="3" spans="1:3" x14ac:dyDescent="0.4">
      <c r="A3" s="113" t="s">
        <v>891</v>
      </c>
      <c r="B3" s="117" t="s">
        <v>901</v>
      </c>
      <c r="C3" s="117" t="s">
        <v>291</v>
      </c>
    </row>
    <row r="4" spans="1:3" x14ac:dyDescent="0.4">
      <c r="A4" s="114" t="s">
        <v>892</v>
      </c>
      <c r="B4" s="120"/>
      <c r="C4" s="114" t="s">
        <v>887</v>
      </c>
    </row>
    <row r="5" spans="1:3" x14ac:dyDescent="0.4">
      <c r="A5" s="114" t="s">
        <v>893</v>
      </c>
      <c r="B5" s="120"/>
      <c r="C5" s="118" t="s">
        <v>888</v>
      </c>
    </row>
    <row r="6" spans="1:3" x14ac:dyDescent="0.4">
      <c r="A6" s="114" t="s">
        <v>894</v>
      </c>
      <c r="B6" s="120"/>
      <c r="C6" s="118" t="s">
        <v>889</v>
      </c>
    </row>
    <row r="7" spans="1:3" x14ac:dyDescent="0.4">
      <c r="A7" s="114" t="s">
        <v>895</v>
      </c>
      <c r="B7" s="119">
        <f>SUM(C7:C7)</f>
        <v>8159.86</v>
      </c>
      <c r="C7" s="119">
        <v>8159.86</v>
      </c>
    </row>
    <row r="8" spans="1:3" x14ac:dyDescent="0.4">
      <c r="A8" s="114" t="s">
        <v>34</v>
      </c>
      <c r="B8" s="120"/>
      <c r="C8" s="120"/>
    </row>
    <row r="9" spans="1:3" x14ac:dyDescent="0.4">
      <c r="A9" s="114" t="s">
        <v>896</v>
      </c>
      <c r="B9" s="68">
        <f>SUM(C9:C9)</f>
        <v>7</v>
      </c>
      <c r="C9" s="68">
        <f>objecturen1_1</f>
        <v>7</v>
      </c>
    </row>
    <row r="10" spans="1:3" ht="29.15" x14ac:dyDescent="0.4">
      <c r="A10" s="114" t="s">
        <v>897</v>
      </c>
      <c r="B10" s="68">
        <f>IF(AND(urenjaartotaal1&gt;0,dagenperjaar1&gt;0),B7/(urenjaartotaal1/dagenperjaar1),0)</f>
        <v>297252.04285714286</v>
      </c>
      <c r="C10" s="68">
        <f>IF(AND(objecturen1_1&gt;0,dagenperjaar1&gt;0),C7/(objecturen1_1/dagenperjaar1),0)</f>
        <v>297252.04285714286</v>
      </c>
    </row>
    <row r="11" spans="1:3" x14ac:dyDescent="0.4">
      <c r="A11" s="114" t="s">
        <v>898</v>
      </c>
      <c r="B11" s="60">
        <f>SUM(C11:C11)</f>
        <v>0</v>
      </c>
      <c r="C11" s="60">
        <f>objectprijs1_1</f>
        <v>0</v>
      </c>
    </row>
    <row r="12" spans="1:3" x14ac:dyDescent="0.4">
      <c r="A12" s="114" t="s">
        <v>899</v>
      </c>
      <c r="B12" s="60">
        <f>SUM(C12:C12)</f>
        <v>0</v>
      </c>
      <c r="C12" s="60">
        <f>C11/12</f>
        <v>0</v>
      </c>
    </row>
    <row r="13" spans="1:3" x14ac:dyDescent="0.4">
      <c r="A13" s="114" t="s">
        <v>34</v>
      </c>
      <c r="B13" s="120"/>
      <c r="C13" s="120"/>
    </row>
    <row r="14" spans="1:3" x14ac:dyDescent="0.4">
      <c r="A14" s="114" t="s">
        <v>34</v>
      </c>
      <c r="B14" s="120"/>
      <c r="C14" s="120"/>
    </row>
    <row r="15" spans="1:3" x14ac:dyDescent="0.4">
      <c r="A15" s="115" t="s">
        <v>900</v>
      </c>
      <c r="B15" s="65">
        <f>IF(B7&gt;0,B11/B7,0)</f>
        <v>0</v>
      </c>
      <c r="C15" s="65">
        <f>IF(C7&gt;0,C11/C7,0)</f>
        <v>0</v>
      </c>
    </row>
  </sheetData>
  <sheetProtection algorithmName="SHA-512" hashValue="v38ZfnybI10gkbzjLbNPGje3G4q0OzvihPfgiO1oKgbC4mS/CgoBxOAWHBNHFZnXCuLqjpGOedd5/yGPmdbMRQ==" saltValue="FxoZ6+9jU+01htHntwoqFQ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&amp;LCito                                                        &amp;ROpmaakdatum: 12-02-2025
Intexso - Plantageweg 23E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C0080-83DF-42AE-AAD0-E1F8FDC5D0C5}">
  <dimension ref="A1:L10"/>
  <sheetViews>
    <sheetView workbookViewId="0"/>
  </sheetViews>
  <sheetFormatPr defaultRowHeight="14.6" x14ac:dyDescent="0.4"/>
  <cols>
    <col min="1" max="1" width="7.69140625" customWidth="1"/>
    <col min="2" max="2" width="6.69140625" customWidth="1"/>
    <col min="3" max="3" width="7.69140625" customWidth="1"/>
    <col min="4" max="4" width="50.69140625" customWidth="1"/>
    <col min="5" max="6" width="14.69140625" customWidth="1"/>
    <col min="7" max="9" width="11.69140625" customWidth="1"/>
    <col min="10" max="10" width="12.69140625" customWidth="1"/>
    <col min="11" max="11" width="14.69140625" customWidth="1"/>
    <col min="12" max="12" width="13.69140625" customWidth="1"/>
  </cols>
  <sheetData>
    <row r="1" spans="1:12" x14ac:dyDescent="0.4">
      <c r="A1" s="1" t="str">
        <f>CONCATENATE("Bijlage F.6: ",tabeltype," additioneel werk")</f>
        <v>Bijlage F.6: Invultabel additioneel werk</v>
      </c>
    </row>
    <row r="3" spans="1:12" ht="43.75" x14ac:dyDescent="0.4">
      <c r="A3" s="44" t="s">
        <v>902</v>
      </c>
      <c r="B3" s="44" t="s">
        <v>7</v>
      </c>
      <c r="C3" s="44" t="s">
        <v>903</v>
      </c>
      <c r="D3" s="44" t="s">
        <v>88</v>
      </c>
      <c r="E3" s="44" t="s">
        <v>91</v>
      </c>
      <c r="F3" s="44" t="s">
        <v>904</v>
      </c>
      <c r="G3" s="44" t="s">
        <v>905</v>
      </c>
      <c r="H3" s="44" t="s">
        <v>906</v>
      </c>
      <c r="I3" s="44" t="s">
        <v>907</v>
      </c>
      <c r="J3" s="44" t="s">
        <v>908</v>
      </c>
      <c r="K3" s="44" t="s">
        <v>201</v>
      </c>
      <c r="L3" s="44" t="s">
        <v>886</v>
      </c>
    </row>
    <row r="4" spans="1:12" x14ac:dyDescent="0.4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x14ac:dyDescent="0.4">
      <c r="A5" s="48" t="s">
        <v>93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2" x14ac:dyDescent="0.4">
      <c r="A6" s="51" t="s">
        <v>909</v>
      </c>
      <c r="B6" s="51" t="s">
        <v>20</v>
      </c>
      <c r="C6" s="52">
        <f>IF(ISBLANK(B6),0,IF(ISERROR(VALUE(B6)),VLOOKUP(B6,dagsoorttabel1,2,FALSE)*dagenperjaar1,VALUE(B6)))</f>
        <v>1</v>
      </c>
      <c r="D6" s="51" t="s">
        <v>910</v>
      </c>
      <c r="E6" s="51" t="s">
        <v>911</v>
      </c>
      <c r="F6" s="121">
        <v>272.5</v>
      </c>
      <c r="G6" s="122">
        <f>Tariefopbouw2</f>
        <v>0</v>
      </c>
      <c r="H6" s="123"/>
      <c r="I6" s="122">
        <f>G6</f>
        <v>0</v>
      </c>
      <c r="J6" s="55">
        <f>IF(ISBLANK(F6),0,F6)*ROUND(I6,2)</f>
        <v>0</v>
      </c>
      <c r="K6" s="55">
        <f>C6*J6</f>
        <v>0</v>
      </c>
      <c r="L6" s="55">
        <f>K6/12</f>
        <v>0</v>
      </c>
    </row>
    <row r="7" spans="1:12" x14ac:dyDescent="0.4">
      <c r="A7" s="61" t="s">
        <v>912</v>
      </c>
      <c r="B7" s="61" t="s">
        <v>9</v>
      </c>
      <c r="C7" s="62">
        <f>IF(ISBLANK(B7),0,IF(ISERROR(VALUE(B7)),VLOOKUP(B7,dagsoorttabel1,2,FALSE)*dagenperjaar1,VALUE(B7)))</f>
        <v>255</v>
      </c>
      <c r="D7" s="61" t="s">
        <v>913</v>
      </c>
      <c r="E7" s="61" t="s">
        <v>911</v>
      </c>
      <c r="F7" s="124">
        <v>0.5</v>
      </c>
      <c r="G7" s="125">
        <f>Tariefopbouw2</f>
        <v>0</v>
      </c>
      <c r="H7" s="126"/>
      <c r="I7" s="125">
        <f>G7</f>
        <v>0</v>
      </c>
      <c r="J7" s="65">
        <f>IF(ISBLANK(F7),0,F7)*ROUND(I7,2)</f>
        <v>0</v>
      </c>
      <c r="K7" s="65">
        <f>C7*J7</f>
        <v>0</v>
      </c>
      <c r="L7" s="65">
        <f>K7/12</f>
        <v>0</v>
      </c>
    </row>
    <row r="8" spans="1:12" x14ac:dyDescent="0.4">
      <c r="A8" s="74" t="s">
        <v>276</v>
      </c>
      <c r="B8" s="75"/>
      <c r="C8" s="75"/>
      <c r="D8" s="75"/>
      <c r="E8" s="75"/>
      <c r="F8" s="75"/>
      <c r="G8" s="75"/>
      <c r="H8" s="75"/>
      <c r="I8" s="75"/>
      <c r="J8" s="75"/>
      <c r="K8" s="77">
        <f>SUM(K6:K7)</f>
        <v>0</v>
      </c>
      <c r="L8" s="127">
        <f>K8/12</f>
        <v>0</v>
      </c>
    </row>
    <row r="10" spans="1:12" x14ac:dyDescent="0.4">
      <c r="A10" s="74" t="s">
        <v>914</v>
      </c>
      <c r="B10" s="75"/>
      <c r="C10" s="75"/>
      <c r="D10" s="75"/>
      <c r="E10" s="75"/>
      <c r="F10" s="75"/>
      <c r="G10" s="75"/>
      <c r="H10" s="75"/>
      <c r="I10" s="75"/>
      <c r="J10" s="75"/>
      <c r="K10" s="77">
        <f>prijsjaaradditioneel1</f>
        <v>0</v>
      </c>
      <c r="L10" s="127">
        <f>K10/12</f>
        <v>0</v>
      </c>
    </row>
  </sheetData>
  <sheetProtection algorithmName="SHA-512" hashValue="KFWS3Xd88fWaGyM3GwertrVLhsvW1lCxYFOS5wpYtum8L3cUbzgVpBwwlGuAY6Ku7kv7Xcn/bEkN94yp9WowUg==" saltValue="wlrvoFcFF3IlPtmNATeByw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&amp;LCito                                                        &amp;ROpmaakdatum: 12-02-2025
Intexso - Plantageweg 23E - Leusden
+31 (33) 2778485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63cf1f74a8cc13cdce9bbb040967063a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c42fe82b038c767e0181000fdfdb332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CC76FC4-1FAF-4A3E-8957-58645D0B12EB}"/>
</file>

<file path=customXml/itemProps2.xml><?xml version="1.0" encoding="utf-8"?>
<ds:datastoreItem xmlns:ds="http://schemas.openxmlformats.org/officeDocument/2006/customXml" ds:itemID="{E8D5C5D0-6715-445D-80A9-E247330D165D}"/>
</file>

<file path=customXml/itemProps3.xml><?xml version="1.0" encoding="utf-8"?>
<ds:datastoreItem xmlns:ds="http://schemas.openxmlformats.org/officeDocument/2006/customXml" ds:itemID="{39722FCB-23A6-4054-BA9A-E6F389D688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14</vt:i4>
      </vt:variant>
      <vt:variant>
        <vt:lpstr>Benoemde bereiken</vt:lpstr>
      </vt:variant>
      <vt:variant>
        <vt:i4>501</vt:i4>
      </vt:variant>
    </vt:vector>
  </HeadingPairs>
  <TitlesOfParts>
    <vt:vector size="515" baseType="lpstr">
      <vt:lpstr>Omreken</vt:lpstr>
      <vt:lpstr>Tariefopbouw</vt:lpstr>
      <vt:lpstr>Categorienormen</vt:lpstr>
      <vt:lpstr>Regulier werk</vt:lpstr>
      <vt:lpstr>Ruimten werkdag</vt:lpstr>
      <vt:lpstr>Objectinformatie</vt:lpstr>
      <vt:lpstr>Objecten</vt:lpstr>
      <vt:lpstr>Totaalblad Objecten</vt:lpstr>
      <vt:lpstr>Additioneel werk</vt:lpstr>
      <vt:lpstr>Afroep incidenteel</vt:lpstr>
      <vt:lpstr>Regiewerk</vt:lpstr>
      <vt:lpstr>Glas</vt:lpstr>
      <vt:lpstr>Glas werkdag</vt:lpstr>
      <vt:lpstr>Totaal</vt:lpstr>
      <vt:lpstr>'Additioneel werk'!Afdruktitels</vt:lpstr>
      <vt:lpstr>'Afroep incidenteel'!Afdruktitels</vt:lpstr>
      <vt:lpstr>Categorienormen!Afdruktitels</vt:lpstr>
      <vt:lpstr>Glas!Afdruktitels</vt:lpstr>
      <vt:lpstr>'Glas werkdag'!Afdruktitels</vt:lpstr>
      <vt:lpstr>Objecten!Afdruktitels</vt:lpstr>
      <vt:lpstr>Objectinformatie!Afdruktitels</vt:lpstr>
      <vt:lpstr>Regiewerk!Afdruktitels</vt:lpstr>
      <vt:lpstr>'Regulier werk'!Afdruktitels</vt:lpstr>
      <vt:lpstr>'Ruimten werkdag'!Afdruktitels</vt:lpstr>
      <vt:lpstr>Tariefopbouw!Afdruktitels</vt:lpstr>
      <vt:lpstr>Totaal!Afdruktitels</vt:lpstr>
      <vt:lpstr>'Totaalblad Objecten'!Afdruktitels</vt:lpstr>
      <vt:lpstr>catdw_1_BKHB_1</vt:lpstr>
      <vt:lpstr>catdw_1_BKHV_51</vt:lpstr>
      <vt:lpstr>catdw_1_BKZB_1</vt:lpstr>
      <vt:lpstr>catdw_1_BKZV_51</vt:lpstr>
      <vt:lpstr>catdw_1_BRHB_1</vt:lpstr>
      <vt:lpstr>catdw_1_BRHV_51</vt:lpstr>
      <vt:lpstr>catdw_1_BSHB_1</vt:lpstr>
      <vt:lpstr>catdw_1_BSHV_51</vt:lpstr>
      <vt:lpstr>catdw_1_BSZB_1</vt:lpstr>
      <vt:lpstr>catdw_1_BSZV_51</vt:lpstr>
      <vt:lpstr>catdw_1_BVZB_1</vt:lpstr>
      <vt:lpstr>catdw_1_BVZV_51</vt:lpstr>
      <vt:lpstr>catdw_1_KPHB_1</vt:lpstr>
      <vt:lpstr>catdw_1_KPHV_51</vt:lpstr>
      <vt:lpstr>catdw_1_KRHB_1</vt:lpstr>
      <vt:lpstr>catdw_1_KRHV_51</vt:lpstr>
      <vt:lpstr>catdw_1_OAHB_1</vt:lpstr>
      <vt:lpstr>catdw_1_OAHV_12</vt:lpstr>
      <vt:lpstr>catdw_1_OAHV_51</vt:lpstr>
      <vt:lpstr>catdw_1_OAZV_1</vt:lpstr>
      <vt:lpstr>catdw_1_OAZV_12</vt:lpstr>
      <vt:lpstr>catdw_1_OAZV_51</vt:lpstr>
      <vt:lpstr>catdw_1_SDHB_1</vt:lpstr>
      <vt:lpstr>catdw_1_SDHV_51</vt:lpstr>
      <vt:lpstr>catdw_1_SKHB_1</vt:lpstr>
      <vt:lpstr>catdw_1_SKHV_51</vt:lpstr>
      <vt:lpstr>catdw_1_STHB_1</vt:lpstr>
      <vt:lpstr>catdw_1_STHV_51</vt:lpstr>
      <vt:lpstr>catdw_1_VAHB_1</vt:lpstr>
      <vt:lpstr>catdw_1_VAHV_51</vt:lpstr>
      <vt:lpstr>catdw_1_VAZB_1</vt:lpstr>
      <vt:lpstr>catdw_1_VAZV_51</vt:lpstr>
      <vt:lpstr>catdw_1_VBZB_1</vt:lpstr>
      <vt:lpstr>catdw_1_VBZV_51</vt:lpstr>
      <vt:lpstr>catdw_1_VEHB_1</vt:lpstr>
      <vt:lpstr>catdw_1_VEHV_51</vt:lpstr>
      <vt:lpstr>catdw_1_VKHB_1</vt:lpstr>
      <vt:lpstr>catdw_1_VKHV_51</vt:lpstr>
      <vt:lpstr>catdw_1_VKZB_1</vt:lpstr>
      <vt:lpstr>catdw_1_VKZV_51</vt:lpstr>
      <vt:lpstr>catdw_1_VLHB_1</vt:lpstr>
      <vt:lpstr>catdw_1_VLHV_51</vt:lpstr>
      <vt:lpstr>catdw_1_VPHB_1</vt:lpstr>
      <vt:lpstr>catdw_1_VPHV_1</vt:lpstr>
      <vt:lpstr>catdw_1_VPZB_1</vt:lpstr>
      <vt:lpstr>catdw_1_VPZV_1</vt:lpstr>
      <vt:lpstr>catdw_1_VTHB_1</vt:lpstr>
      <vt:lpstr>catdw_1_VTHV_12</vt:lpstr>
      <vt:lpstr>catdw_1_VTHV_51</vt:lpstr>
      <vt:lpstr>catdw_1_VTZB_1</vt:lpstr>
      <vt:lpstr>catdw_1_VTZV_12</vt:lpstr>
      <vt:lpstr>catdw_1_VTZV_51</vt:lpstr>
      <vt:lpstr>catfd_1_BKHB_1</vt:lpstr>
      <vt:lpstr>catfd_1_BKHV_51</vt:lpstr>
      <vt:lpstr>catfd_1_BKZB_1</vt:lpstr>
      <vt:lpstr>catfd_1_BKZV_51</vt:lpstr>
      <vt:lpstr>catfd_1_BRHB_1</vt:lpstr>
      <vt:lpstr>catfd_1_BRHV_51</vt:lpstr>
      <vt:lpstr>catfd_1_BSHB_1</vt:lpstr>
      <vt:lpstr>catfd_1_BSHV_51</vt:lpstr>
      <vt:lpstr>catfd_1_BSZB_1</vt:lpstr>
      <vt:lpstr>catfd_1_BSZV_51</vt:lpstr>
      <vt:lpstr>catfd_1_BVZB_1</vt:lpstr>
      <vt:lpstr>catfd_1_BVZV_51</vt:lpstr>
      <vt:lpstr>catfd_1_KPHB_1</vt:lpstr>
      <vt:lpstr>catfd_1_KPHV_51</vt:lpstr>
      <vt:lpstr>catfd_1_KRHB_1</vt:lpstr>
      <vt:lpstr>catfd_1_KRHV_51</vt:lpstr>
      <vt:lpstr>catfd_1_OAHB_1</vt:lpstr>
      <vt:lpstr>catfd_1_OAHV_12</vt:lpstr>
      <vt:lpstr>catfd_1_OAHV_51</vt:lpstr>
      <vt:lpstr>catfd_1_OAZV_1</vt:lpstr>
      <vt:lpstr>catfd_1_OAZV_12</vt:lpstr>
      <vt:lpstr>catfd_1_OAZV_51</vt:lpstr>
      <vt:lpstr>catfd_1_SDHB_1</vt:lpstr>
      <vt:lpstr>catfd_1_SDHV_51</vt:lpstr>
      <vt:lpstr>catfd_1_SKHB_1</vt:lpstr>
      <vt:lpstr>catfd_1_SKHV_51</vt:lpstr>
      <vt:lpstr>catfd_1_STHB_1</vt:lpstr>
      <vt:lpstr>catfd_1_STHV_51</vt:lpstr>
      <vt:lpstr>catfd_1_VAHB_1</vt:lpstr>
      <vt:lpstr>catfd_1_VAHV_51</vt:lpstr>
      <vt:lpstr>catfd_1_VAZB_1</vt:lpstr>
      <vt:lpstr>catfd_1_VAZV_51</vt:lpstr>
      <vt:lpstr>catfd_1_VBZB_1</vt:lpstr>
      <vt:lpstr>catfd_1_VBZV_51</vt:lpstr>
      <vt:lpstr>catfd_1_VEHB_1</vt:lpstr>
      <vt:lpstr>catfd_1_VEHV_51</vt:lpstr>
      <vt:lpstr>catfd_1_VKHB_1</vt:lpstr>
      <vt:lpstr>catfd_1_VKHV_51</vt:lpstr>
      <vt:lpstr>catfd_1_VKZB_1</vt:lpstr>
      <vt:lpstr>catfd_1_VKZV_51</vt:lpstr>
      <vt:lpstr>catfd_1_VLHB_1</vt:lpstr>
      <vt:lpstr>catfd_1_VLHV_51</vt:lpstr>
      <vt:lpstr>catfd_1_VPHB_1</vt:lpstr>
      <vt:lpstr>catfd_1_VPHV_1</vt:lpstr>
      <vt:lpstr>catfd_1_VPZB_1</vt:lpstr>
      <vt:lpstr>catfd_1_VPZV_1</vt:lpstr>
      <vt:lpstr>catfd_1_VTHB_1</vt:lpstr>
      <vt:lpstr>catfd_1_VTHV_12</vt:lpstr>
      <vt:lpstr>catfd_1_VTHV_51</vt:lpstr>
      <vt:lpstr>catfd_1_VTZB_1</vt:lpstr>
      <vt:lpstr>catfd_1_VTZV_12</vt:lpstr>
      <vt:lpstr>catfd_1_VTZV_51</vt:lpstr>
      <vt:lpstr>catpn_1_BKHB_1</vt:lpstr>
      <vt:lpstr>catpn_1_BKHV_51</vt:lpstr>
      <vt:lpstr>catpn_1_BKZB_1</vt:lpstr>
      <vt:lpstr>catpn_1_BKZV_51</vt:lpstr>
      <vt:lpstr>catpn_1_BRHB_1</vt:lpstr>
      <vt:lpstr>catpn_1_BRHV_51</vt:lpstr>
      <vt:lpstr>catpn_1_BSHB_1</vt:lpstr>
      <vt:lpstr>catpn_1_BSHV_51</vt:lpstr>
      <vt:lpstr>catpn_1_BSZB_1</vt:lpstr>
      <vt:lpstr>catpn_1_BSZV_51</vt:lpstr>
      <vt:lpstr>catpn_1_BVZB_1</vt:lpstr>
      <vt:lpstr>catpn_1_BVZV_51</vt:lpstr>
      <vt:lpstr>catpn_1_KPHB_1</vt:lpstr>
      <vt:lpstr>catpn_1_KPHV_51</vt:lpstr>
      <vt:lpstr>catpn_1_KRHB_1</vt:lpstr>
      <vt:lpstr>catpn_1_KRHV_51</vt:lpstr>
      <vt:lpstr>catpn_1_OAHB_1</vt:lpstr>
      <vt:lpstr>catpn_1_OAHV_12</vt:lpstr>
      <vt:lpstr>catpn_1_OAHV_51</vt:lpstr>
      <vt:lpstr>catpn_1_OAZV_1</vt:lpstr>
      <vt:lpstr>catpn_1_OAZV_12</vt:lpstr>
      <vt:lpstr>catpn_1_OAZV_51</vt:lpstr>
      <vt:lpstr>catpn_1_SDHB_1</vt:lpstr>
      <vt:lpstr>catpn_1_SDHV_51</vt:lpstr>
      <vt:lpstr>catpn_1_SKHB_1</vt:lpstr>
      <vt:lpstr>catpn_1_SKHV_51</vt:lpstr>
      <vt:lpstr>catpn_1_STHB_1</vt:lpstr>
      <vt:lpstr>catpn_1_STHV_51</vt:lpstr>
      <vt:lpstr>catpn_1_VAHB_1</vt:lpstr>
      <vt:lpstr>catpn_1_VAHV_51</vt:lpstr>
      <vt:lpstr>catpn_1_VAZB_1</vt:lpstr>
      <vt:lpstr>catpn_1_VAZV_51</vt:lpstr>
      <vt:lpstr>catpn_1_VBZB_1</vt:lpstr>
      <vt:lpstr>catpn_1_VBZV_51</vt:lpstr>
      <vt:lpstr>catpn_1_VEHB_1</vt:lpstr>
      <vt:lpstr>catpn_1_VEHV_51</vt:lpstr>
      <vt:lpstr>catpn_1_VKHB_1</vt:lpstr>
      <vt:lpstr>catpn_1_VKHV_51</vt:lpstr>
      <vt:lpstr>catpn_1_VKZB_1</vt:lpstr>
      <vt:lpstr>catpn_1_VKZV_51</vt:lpstr>
      <vt:lpstr>catpn_1_VLHB_1</vt:lpstr>
      <vt:lpstr>catpn_1_VLHV_51</vt:lpstr>
      <vt:lpstr>catpn_1_VPHB_1</vt:lpstr>
      <vt:lpstr>catpn_1_VPHV_1</vt:lpstr>
      <vt:lpstr>catpn_1_VPZB_1</vt:lpstr>
      <vt:lpstr>catpn_1_VPZV_1</vt:lpstr>
      <vt:lpstr>catpn_1_VTHB_1</vt:lpstr>
      <vt:lpstr>catpn_1_VTHV_12</vt:lpstr>
      <vt:lpstr>catpn_1_VTHV_51</vt:lpstr>
      <vt:lpstr>catpn_1_VTZB_1</vt:lpstr>
      <vt:lpstr>catpn_1_VTZV_12</vt:lpstr>
      <vt:lpstr>catpn_1_VTZV_51</vt:lpstr>
      <vt:lpstr>cattf_1_BKHB_1</vt:lpstr>
      <vt:lpstr>cattf_1_BKHV_51</vt:lpstr>
      <vt:lpstr>cattf_1_BKZB_1</vt:lpstr>
      <vt:lpstr>cattf_1_BKZV_51</vt:lpstr>
      <vt:lpstr>cattf_1_BRHB_1</vt:lpstr>
      <vt:lpstr>cattf_1_BRHV_51</vt:lpstr>
      <vt:lpstr>cattf_1_BSHB_1</vt:lpstr>
      <vt:lpstr>cattf_1_BSHV_51</vt:lpstr>
      <vt:lpstr>cattf_1_BSZB_1</vt:lpstr>
      <vt:lpstr>cattf_1_BSZV_51</vt:lpstr>
      <vt:lpstr>cattf_1_BVZB_1</vt:lpstr>
      <vt:lpstr>cattf_1_BVZV_51</vt:lpstr>
      <vt:lpstr>cattf_1_KPHB_1</vt:lpstr>
      <vt:lpstr>cattf_1_KPHV_51</vt:lpstr>
      <vt:lpstr>cattf_1_KRHB_1</vt:lpstr>
      <vt:lpstr>cattf_1_KRHV_51</vt:lpstr>
      <vt:lpstr>cattf_1_OAHB_1</vt:lpstr>
      <vt:lpstr>cattf_1_OAHV_12</vt:lpstr>
      <vt:lpstr>cattf_1_OAHV_51</vt:lpstr>
      <vt:lpstr>cattf_1_OAZV_1</vt:lpstr>
      <vt:lpstr>cattf_1_OAZV_12</vt:lpstr>
      <vt:lpstr>cattf_1_OAZV_51</vt:lpstr>
      <vt:lpstr>cattf_1_SDHB_1</vt:lpstr>
      <vt:lpstr>cattf_1_SDHV_51</vt:lpstr>
      <vt:lpstr>cattf_1_SKHB_1</vt:lpstr>
      <vt:lpstr>cattf_1_SKHV_51</vt:lpstr>
      <vt:lpstr>cattf_1_STHB_1</vt:lpstr>
      <vt:lpstr>cattf_1_STHV_51</vt:lpstr>
      <vt:lpstr>cattf_1_VAHB_1</vt:lpstr>
      <vt:lpstr>cattf_1_VAHV_51</vt:lpstr>
      <vt:lpstr>cattf_1_VAZB_1</vt:lpstr>
      <vt:lpstr>cattf_1_VAZV_51</vt:lpstr>
      <vt:lpstr>cattf_1_VBZB_1</vt:lpstr>
      <vt:lpstr>cattf_1_VBZV_51</vt:lpstr>
      <vt:lpstr>cattf_1_VEHB_1</vt:lpstr>
      <vt:lpstr>cattf_1_VEHV_51</vt:lpstr>
      <vt:lpstr>cattf_1_VKHB_1</vt:lpstr>
      <vt:lpstr>cattf_1_VKHV_51</vt:lpstr>
      <vt:lpstr>cattf_1_VKZB_1</vt:lpstr>
      <vt:lpstr>cattf_1_VKZV_51</vt:lpstr>
      <vt:lpstr>cattf_1_VLHB_1</vt:lpstr>
      <vt:lpstr>cattf_1_VLHV_51</vt:lpstr>
      <vt:lpstr>cattf_1_VPHB_1</vt:lpstr>
      <vt:lpstr>cattf_1_VPHV_1</vt:lpstr>
      <vt:lpstr>cattf_1_VPZB_1</vt:lpstr>
      <vt:lpstr>cattf_1_VPZV_1</vt:lpstr>
      <vt:lpstr>cattf_1_VTHB_1</vt:lpstr>
      <vt:lpstr>cattf_1_VTHV_12</vt:lpstr>
      <vt:lpstr>cattf_1_VTHV_51</vt:lpstr>
      <vt:lpstr>cattf_1_VTZB_1</vt:lpstr>
      <vt:lpstr>cattf_1_VTZV_12</vt:lpstr>
      <vt:lpstr>cattf_1_VTZV_51</vt:lpstr>
      <vt:lpstr>dagenperjaar1</vt:lpstr>
      <vt:lpstr>dagenperweek1</vt:lpstr>
      <vt:lpstr>dagsoorttabel1</vt:lpstr>
      <vt:lpstr>gemuurtarief1</vt:lpstr>
      <vt:lpstr>kengetaltabel1</vt:lpstr>
      <vt:lpstr>object1_gemuurtarief1</vt:lpstr>
      <vt:lpstr>object1_opptabel1</vt:lpstr>
      <vt:lpstr>object1_prijsdag1</vt:lpstr>
      <vt:lpstr>object1_prijsjaar1</vt:lpstr>
      <vt:lpstr>object1_urendag1</vt:lpstr>
      <vt:lpstr>object1_urenjaar1</vt:lpstr>
      <vt:lpstr>objectprijs1_1</vt:lpstr>
      <vt:lpstr>objecturen1_1</vt:lpstr>
      <vt:lpstr>prijsdag1</vt:lpstr>
      <vt:lpstr>prijsjaar</vt:lpstr>
      <vt:lpstr>prijsjaar1</vt:lpstr>
      <vt:lpstr>prijsjaaradditioneel</vt:lpstr>
      <vt:lpstr>prijsjaaradditioneel1</vt:lpstr>
      <vt:lpstr>prijsjaarglas</vt:lpstr>
      <vt:lpstr>prijsjaarglas1</vt:lpstr>
      <vt:lpstr>prijsjaarregie</vt:lpstr>
      <vt:lpstr>prijsjaarregie1</vt:lpstr>
      <vt:lpstr>prijsjaartotaal</vt:lpstr>
      <vt:lpstr>prijsjaartotaal1</vt:lpstr>
      <vt:lpstr>prijsjaartotaaloverzicht</vt:lpstr>
      <vt:lpstr>prijsmaandtotaal1</vt:lpstr>
      <vt:lpstr>prodnorm0</vt:lpstr>
      <vt:lpstr>prodnorm1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</vt:lpstr>
      <vt:lpstr>prodnorm30</vt:lpstr>
      <vt:lpstr>prodnorm31</vt:lpstr>
      <vt:lpstr>prodnorm32</vt:lpstr>
      <vt:lpstr>prodnorm33</vt:lpstr>
      <vt:lpstr>prodnorm34</vt:lpstr>
      <vt:lpstr>prodnorm35</vt:lpstr>
      <vt:lpstr>prodnorm36</vt:lpstr>
      <vt:lpstr>prodnorm37</vt:lpstr>
      <vt:lpstr>prodnorm38</vt:lpstr>
      <vt:lpstr>prodnorm39</vt:lpstr>
      <vt:lpstr>prodnorm4</vt:lpstr>
      <vt:lpstr>prodnorm40</vt:lpstr>
      <vt:lpstr>prodnorm41</vt:lpstr>
      <vt:lpstr>prodnorm42</vt:lpstr>
      <vt:lpstr>prodnorm43</vt:lpstr>
      <vt:lpstr>prodnorm44</vt:lpstr>
      <vt:lpstr>prodnorm45</vt:lpstr>
      <vt:lpstr>prodnorm46</vt:lpstr>
      <vt:lpstr>prodnorm47</vt:lpstr>
      <vt:lpstr>prodnorm48</vt:lpstr>
      <vt:lpstr>prodnorm49</vt:lpstr>
      <vt:lpstr>prodnorm5</vt:lpstr>
      <vt:lpstr>prodnorm50</vt:lpstr>
      <vt:lpstr>prodnorm51</vt:lpstr>
      <vt:lpstr>prodnorm52</vt:lpstr>
      <vt:lpstr>prodnorm53</vt:lpstr>
      <vt:lpstr>prodnorm54</vt:lpstr>
      <vt:lpstr>prodnorm55</vt:lpstr>
      <vt:lpstr>prodnorm56</vt:lpstr>
      <vt:lpstr>prodnorm57</vt:lpstr>
      <vt:lpstr>prodnorm58</vt:lpstr>
      <vt:lpstr>prodnorm6</vt:lpstr>
      <vt:lpstr>prodnorm7</vt:lpstr>
      <vt:lpstr>prodnorm8</vt:lpstr>
      <vt:lpstr>prodnorm9</vt:lpstr>
      <vt:lpstr>taakfreqtabel1</vt:lpstr>
      <vt:lpstr>tabeltype</vt:lpstr>
      <vt:lpstr>Tariefopbouw1</vt:lpstr>
      <vt:lpstr>Tariefopbouw2</vt:lpstr>
      <vt:lpstr>Tariefopbouw3</vt:lpstr>
      <vt:lpstr>Tariefopbouw4</vt:lpstr>
      <vt:lpstr>TariefOpbouwBasisloon1</vt:lpstr>
      <vt:lpstr>TariefOpbouwBasisloon2</vt:lpstr>
      <vt:lpstr>TariefOpbouwBasisloon3</vt:lpstr>
      <vt:lpstr>TariefOpbouwBasisloon4</vt:lpstr>
      <vt:lpstr>TariefOpbouwBasisloon5</vt:lpstr>
      <vt:lpstr>TariefOpbouwBasisloon6</vt:lpstr>
      <vt:lpstr>TariefOpbouwBasisloon7</vt:lpstr>
      <vt:lpstr>TariefOpbouwBasisloon8</vt:lpstr>
      <vt:lpstr>TariefOpbouwDirecteKosten1</vt:lpstr>
      <vt:lpstr>TariefOpbouwDirecteKosten2</vt:lpstr>
      <vt:lpstr>TariefOpbouwDirecteKosten3</vt:lpstr>
      <vt:lpstr>TariefOpbouwDirecteKosten4</vt:lpstr>
      <vt:lpstr>TariefOpbouwDirecteKosten5</vt:lpstr>
      <vt:lpstr>TariefOpbouwDirecteKosten6</vt:lpstr>
      <vt:lpstr>TariefOpbouwDirecteKosten7</vt:lpstr>
      <vt:lpstr>TariefOpbouwDirecteKosten8</vt:lpstr>
      <vt:lpstr>TariefOpbouwErvaring1</vt:lpstr>
      <vt:lpstr>TariefOpbouwErvaring2</vt:lpstr>
      <vt:lpstr>TariefOpbouwErvaring3</vt:lpstr>
      <vt:lpstr>TariefOpbouwErvaring4</vt:lpstr>
      <vt:lpstr>TariefOpbouwErvaring5</vt:lpstr>
      <vt:lpstr>TariefOpbouwErvaring6</vt:lpstr>
      <vt:lpstr>TariefOpbouwErvaring7</vt:lpstr>
      <vt:lpstr>TariefOpbouwErvaring8</vt:lpstr>
      <vt:lpstr>TariefOpbouwIndirecteKosten1</vt:lpstr>
      <vt:lpstr>TariefOpbouwIndirecteKosten2</vt:lpstr>
      <vt:lpstr>TariefOpbouwIndirecteKosten3</vt:lpstr>
      <vt:lpstr>TariefOpbouwIndirecteKosten4</vt:lpstr>
      <vt:lpstr>TariefOpbouwIndirecteKosten5</vt:lpstr>
      <vt:lpstr>TariefOpbouwIndirecteKosten6</vt:lpstr>
      <vt:lpstr>TariefOpbouwIndirecteKosten7</vt:lpstr>
      <vt:lpstr>TariefOpbouwIndirecteKosten8</vt:lpstr>
      <vt:lpstr>TariefOpbouwNaam1</vt:lpstr>
      <vt:lpstr>TariefOpbouwNaam2</vt:lpstr>
      <vt:lpstr>TariefOpbouwNaam3</vt:lpstr>
      <vt:lpstr>TariefOpbouwNaam4</vt:lpstr>
      <vt:lpstr>TariefOpbouwNaam5</vt:lpstr>
      <vt:lpstr>TariefOpbouwNaam6</vt:lpstr>
      <vt:lpstr>TariefOpbouwNaam7</vt:lpstr>
      <vt:lpstr>TariefOpbouwNaam8</vt:lpstr>
      <vt:lpstr>TariefOpbouwRisicoWinst1</vt:lpstr>
      <vt:lpstr>TariefOpbouwRisicoWinst2</vt:lpstr>
      <vt:lpstr>TariefOpbouwRisicoWinst3</vt:lpstr>
      <vt:lpstr>TariefOpbouwRisicoWinst4</vt:lpstr>
      <vt:lpstr>TariefOpbouwRisicoWinst5</vt:lpstr>
      <vt:lpstr>TariefOpbouwRisicoWinst6</vt:lpstr>
      <vt:lpstr>TariefOpbouwRisicoWinst7</vt:lpstr>
      <vt:lpstr>TariefOpbouwRisicoWinst8</vt:lpstr>
      <vt:lpstr>TariefOpbouwRisicoWinstPercentage1</vt:lpstr>
      <vt:lpstr>TariefOpbouwRisicoWinstPercentage2</vt:lpstr>
      <vt:lpstr>TariefOpbouwRisicoWinstPercentage3</vt:lpstr>
      <vt:lpstr>TariefOpbouwRisicoWinstPercentage4</vt:lpstr>
      <vt:lpstr>TariefOpbouwRisicoWinstPercentage5</vt:lpstr>
      <vt:lpstr>TariefOpbouwRisicoWinstPercentage6</vt:lpstr>
      <vt:lpstr>TariefOpbouwRisicoWinstPercentage7</vt:lpstr>
      <vt:lpstr>TariefOpbouwRisicoWinstPercentage8</vt:lpstr>
      <vt:lpstr>TariefOpbouwTarief1</vt:lpstr>
      <vt:lpstr>TariefOpbouwTarief1DN</vt:lpstr>
      <vt:lpstr>TariefOpbouwTarief1W</vt:lpstr>
      <vt:lpstr>TariefOpbouwTarief1X</vt:lpstr>
      <vt:lpstr>TariefOpbouwTarief2</vt:lpstr>
      <vt:lpstr>TariefOpbouwTarief2DN</vt:lpstr>
      <vt:lpstr>TariefOpbouwTarief2W</vt:lpstr>
      <vt:lpstr>TariefOpbouwTarief2X</vt:lpstr>
      <vt:lpstr>TariefOpbouwTarief3</vt:lpstr>
      <vt:lpstr>TariefOpbouwTarief3DN</vt:lpstr>
      <vt:lpstr>TariefOpbouwTarief3W</vt:lpstr>
      <vt:lpstr>TariefOpbouwTarief3X</vt:lpstr>
      <vt:lpstr>TariefOpbouwTarief4</vt:lpstr>
      <vt:lpstr>TariefOpbouwTarief4DN</vt:lpstr>
      <vt:lpstr>TariefOpbouwTarief4W</vt:lpstr>
      <vt:lpstr>TariefOpbouwTarief4X</vt:lpstr>
      <vt:lpstr>TariefOpbouwTarief5</vt:lpstr>
      <vt:lpstr>TariefOpbouwTarief5DN</vt:lpstr>
      <vt:lpstr>TariefOpbouwTarief5W</vt:lpstr>
      <vt:lpstr>TariefOpbouwTarief5X</vt:lpstr>
      <vt:lpstr>TariefOpbouwTarief6</vt:lpstr>
      <vt:lpstr>TariefOpbouwTarief6DN</vt:lpstr>
      <vt:lpstr>TariefOpbouwTarief6W</vt:lpstr>
      <vt:lpstr>TariefOpbouwTarief6X</vt:lpstr>
      <vt:lpstr>TariefOpbouwTarief7</vt:lpstr>
      <vt:lpstr>TariefOpbouwTarief7DN</vt:lpstr>
      <vt:lpstr>TariefOpbouwTarief7W</vt:lpstr>
      <vt:lpstr>TariefOpbouwTarief7X</vt:lpstr>
      <vt:lpstr>TariefOpbouwTarief8</vt:lpstr>
      <vt:lpstr>TariefOpbouwTarief8DN</vt:lpstr>
      <vt:lpstr>TariefOpbouwTarief8W</vt:lpstr>
      <vt:lpstr>TariefOpbouwTarief8X</vt:lpstr>
      <vt:lpstr>TariefOpbouwTotaalLoonkosten1</vt:lpstr>
      <vt:lpstr>TariefOpbouwTotaalLoonkosten2</vt:lpstr>
      <vt:lpstr>TariefOpbouwTotaalLoonkosten3</vt:lpstr>
      <vt:lpstr>TariefOpbouwTotaalLoonkosten4</vt:lpstr>
      <vt:lpstr>TariefOpbouwTotaalLoonkosten5</vt:lpstr>
      <vt:lpstr>TariefOpbouwTotaalLoonkosten6</vt:lpstr>
      <vt:lpstr>TariefOpbouwTotaalLoonkosten7</vt:lpstr>
      <vt:lpstr>TariefOpbouwTotaalLoonkosten8</vt:lpstr>
      <vt:lpstr>TariefOpbouwUurloon1</vt:lpstr>
      <vt:lpstr>TariefOpbouwUurloon2</vt:lpstr>
      <vt:lpstr>TariefOpbouwUurloon3</vt:lpstr>
      <vt:lpstr>TariefOpbouwUurloon4</vt:lpstr>
      <vt:lpstr>TariefOpbouwUurloon5</vt:lpstr>
      <vt:lpstr>TariefOpbouwUurloon6</vt:lpstr>
      <vt:lpstr>TariefOpbouwUurloon7</vt:lpstr>
      <vt:lpstr>TariefOpbouwUurloon8</vt:lpstr>
      <vt:lpstr>TariefOpbouwUurloonkosten1</vt:lpstr>
      <vt:lpstr>TariefOpbouwUurloonkosten2</vt:lpstr>
      <vt:lpstr>TariefOpbouwUurloonkosten3</vt:lpstr>
      <vt:lpstr>TariefOpbouwUurloonkosten4</vt:lpstr>
      <vt:lpstr>TariefOpbouwUurloonkosten5</vt:lpstr>
      <vt:lpstr>TariefOpbouwUurloonkosten6</vt:lpstr>
      <vt:lpstr>TariefOpbouwUurloonkosten7</vt:lpstr>
      <vt:lpstr>TariefOpbouwUurloonkosten8</vt:lpstr>
      <vt:lpstr>tarieftabel1</vt:lpstr>
      <vt:lpstr>TariefUitvoering1</vt:lpstr>
      <vt:lpstr>TariefUitvoering2</vt:lpstr>
      <vt:lpstr>TariefUitvoering3</vt:lpstr>
      <vt:lpstr>TariefUitvoering4</vt:lpstr>
      <vt:lpstr>urendag1</vt:lpstr>
      <vt:lpstr>urenjaar</vt:lpstr>
      <vt:lpstr>urenjaar1</vt:lpstr>
      <vt:lpstr>urenjaartotaal</vt:lpstr>
      <vt:lpstr>urenjaartotaal1</vt:lpstr>
      <vt:lpstr>urenjaartotaaloverzicht</vt:lpstr>
      <vt:lpstr>uurfactortabel1</vt:lpstr>
      <vt:lpstr>uurtarief0</vt:lpstr>
      <vt:lpstr>uurtarief1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</vt:lpstr>
      <vt:lpstr>uurtarief30</vt:lpstr>
      <vt:lpstr>uurtarief31</vt:lpstr>
      <vt:lpstr>uurtarief32</vt:lpstr>
      <vt:lpstr>uurtarief33</vt:lpstr>
      <vt:lpstr>uurtarief34</vt:lpstr>
      <vt:lpstr>uurtarief35</vt:lpstr>
      <vt:lpstr>uurtarief36</vt:lpstr>
      <vt:lpstr>uurtarief37</vt:lpstr>
      <vt:lpstr>uurtarief38</vt:lpstr>
      <vt:lpstr>uurtarief39</vt:lpstr>
      <vt:lpstr>uurtarief4</vt:lpstr>
      <vt:lpstr>uurtarief40</vt:lpstr>
      <vt:lpstr>uurtarief41</vt:lpstr>
      <vt:lpstr>uurtarief42</vt:lpstr>
      <vt:lpstr>uurtarief43</vt:lpstr>
      <vt:lpstr>uurtarief44</vt:lpstr>
      <vt:lpstr>uurtarief45</vt:lpstr>
      <vt:lpstr>uurtarief46</vt:lpstr>
      <vt:lpstr>uurtarief47</vt:lpstr>
      <vt:lpstr>uurtarief48</vt:lpstr>
      <vt:lpstr>uurtarief49</vt:lpstr>
      <vt:lpstr>uurtarief5</vt:lpstr>
      <vt:lpstr>uurtarief50</vt:lpstr>
      <vt:lpstr>uurtarief51</vt:lpstr>
      <vt:lpstr>uurtarief52</vt:lpstr>
      <vt:lpstr>uurtarief53</vt:lpstr>
      <vt:lpstr>uurtarief54</vt:lpstr>
      <vt:lpstr>uurtarief55</vt:lpstr>
      <vt:lpstr>uurtarief56</vt:lpstr>
      <vt:lpstr>uurtarief57</vt:lpstr>
      <vt:lpstr>uurtarief58</vt:lpstr>
      <vt:lpstr>uurtarief6</vt:lpstr>
      <vt:lpstr>uurtarief7</vt:lpstr>
      <vt:lpstr>uurtarief8</vt:lpstr>
      <vt:lpstr>uurtarief9</vt:lpstr>
      <vt:lpstr>vp_additioneel</vt:lpstr>
      <vt:lpstr>vp_regie</vt:lpstr>
      <vt:lpstr>vp_regulier</vt:lpstr>
      <vt:lpstr>vp_variant</vt:lpstr>
      <vt:lpstr>vu_regulier</vt:lpstr>
      <vt:lpstr>vu_variant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Boomsma</dc:creator>
  <cp:lastModifiedBy>Eric Boomsma</cp:lastModifiedBy>
  <dcterms:created xsi:type="dcterms:W3CDTF">2025-02-12T19:05:09Z</dcterms:created>
  <dcterms:modified xsi:type="dcterms:W3CDTF">2025-02-12T19:09:37Z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