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en\Aanbestedingen 2025\Scholen Nijmegen\Definitieve stukken\"/>
    </mc:Choice>
  </mc:AlternateContent>
  <bookViews>
    <workbookView xWindow="0" yWindow="0" windowWidth="28800" windowHeight="12300"/>
  </bookViews>
  <sheets>
    <sheet name="Overzicht Schade" sheetId="2" r:id="rId1"/>
    <sheet name="1 VoCampus" sheetId="1" r:id="rId2"/>
    <sheet name="2. St. PRN Pro College " sheetId="3" r:id="rId3"/>
    <sheet name="3. St. Montessori Onderwijs" sheetId="4" r:id="rId4"/>
    <sheet name="4. St. SGVVS" sheetId="6" r:id="rId5"/>
    <sheet name="5. Stichting Conexus" sheetId="7" r:id="rId6"/>
    <sheet name="6. St. Sint Josephscholen" sheetId="8" r:id="rId7"/>
    <sheet name="7. St. De Geldershof" sheetId="5" r:id="rId8"/>
    <sheet name="8, St. Pallas Meander" sheetId="9" r:id="rId9"/>
    <sheet name="9, St. De Klokkenberg" sheetId="10" r:id="rId10"/>
    <sheet name="10. Gemeente Nijmegen" sheetId="11" r:id="rId11"/>
    <sheet name="11, VVE Rentmeesterlaan" sheetId="12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1" l="1"/>
  <c r="F13" i="11"/>
  <c r="E13" i="11"/>
  <c r="D13" i="11"/>
  <c r="G12" i="11"/>
  <c r="G13" i="11" s="1"/>
  <c r="F12" i="11"/>
  <c r="H8" i="11"/>
  <c r="E8" i="11"/>
  <c r="D8" i="11"/>
  <c r="F7" i="11"/>
  <c r="G7" i="11" s="1"/>
  <c r="I7" i="11" s="1"/>
  <c r="F6" i="11"/>
  <c r="G6" i="11" s="1"/>
  <c r="I6" i="11" s="1"/>
  <c r="F5" i="11"/>
  <c r="F8" i="11" s="1"/>
  <c r="H6" i="10"/>
  <c r="F6" i="10"/>
  <c r="E6" i="10"/>
  <c r="D6" i="10"/>
  <c r="G5" i="10"/>
  <c r="I5" i="10" s="1"/>
  <c r="I6" i="10" s="1"/>
  <c r="F5" i="10"/>
  <c r="D5" i="10"/>
  <c r="H6" i="8"/>
  <c r="F6" i="8"/>
  <c r="E6" i="8"/>
  <c r="D6" i="8"/>
  <c r="G5" i="8"/>
  <c r="G6" i="8" s="1"/>
  <c r="F5" i="8"/>
  <c r="H17" i="7"/>
  <c r="F17" i="7"/>
  <c r="E17" i="7"/>
  <c r="D17" i="7"/>
  <c r="G16" i="7"/>
  <c r="I16" i="7" s="1"/>
  <c r="I17" i="7" s="1"/>
  <c r="F16" i="7"/>
  <c r="H12" i="7"/>
  <c r="F12" i="7"/>
  <c r="E12" i="7"/>
  <c r="D12" i="7"/>
  <c r="F11" i="7"/>
  <c r="G11" i="7" s="1"/>
  <c r="H7" i="7"/>
  <c r="F7" i="7"/>
  <c r="E7" i="7"/>
  <c r="D7" i="7"/>
  <c r="F5" i="7"/>
  <c r="G5" i="7" s="1"/>
  <c r="F11" i="1"/>
  <c r="G11" i="1" s="1"/>
  <c r="F17" i="1"/>
  <c r="G17" i="1" s="1"/>
  <c r="D18" i="1"/>
  <c r="E18" i="1"/>
  <c r="I18" i="1"/>
  <c r="F22" i="1"/>
  <c r="G22" i="1" s="1"/>
  <c r="D23" i="1"/>
  <c r="E23" i="1"/>
  <c r="I23" i="1"/>
  <c r="D29" i="1"/>
  <c r="E29" i="1"/>
  <c r="F29" i="1"/>
  <c r="G29" i="1"/>
  <c r="I29" i="1"/>
  <c r="J29" i="1"/>
  <c r="G5" i="11" l="1"/>
  <c r="I12" i="11"/>
  <c r="I13" i="11" s="1"/>
  <c r="G6" i="10"/>
  <c r="I5" i="8"/>
  <c r="I6" i="8" s="1"/>
  <c r="I5" i="7"/>
  <c r="I7" i="7" s="1"/>
  <c r="G7" i="7"/>
  <c r="G12" i="7"/>
  <c r="I11" i="7"/>
  <c r="I12" i="7" s="1"/>
  <c r="G17" i="7"/>
  <c r="J17" i="1"/>
  <c r="J18" i="1" s="1"/>
  <c r="G18" i="1"/>
  <c r="G23" i="1"/>
  <c r="J22" i="1"/>
  <c r="J23" i="1" s="1"/>
  <c r="F18" i="1"/>
  <c r="F23" i="1"/>
  <c r="G8" i="11" l="1"/>
  <c r="I5" i="11"/>
  <c r="I8" i="11" s="1"/>
  <c r="H13" i="1" l="1"/>
  <c r="F13" i="1"/>
  <c r="E13" i="1"/>
  <c r="D13" i="1"/>
  <c r="F12" i="1"/>
  <c r="G12" i="1" s="1"/>
  <c r="G13" i="1" s="1"/>
  <c r="H7" i="1"/>
  <c r="E7" i="1"/>
  <c r="D7" i="1"/>
  <c r="F6" i="1"/>
  <c r="G6" i="1" s="1"/>
  <c r="I6" i="1" s="1"/>
  <c r="F5" i="1"/>
  <c r="G5" i="1" s="1"/>
  <c r="I5" i="1" l="1"/>
  <c r="I7" i="1" s="1"/>
  <c r="G7" i="1"/>
  <c r="I12" i="1"/>
  <c r="I13" i="1" s="1"/>
  <c r="F7" i="1"/>
  <c r="W1" i="1" l="1"/>
  <c r="U1" i="1"/>
</calcChain>
</file>

<file path=xl/sharedStrings.xml><?xml version="1.0" encoding="utf-8"?>
<sst xmlns="http://schemas.openxmlformats.org/spreadsheetml/2006/main" count="187" uniqueCount="65">
  <si>
    <t>Stichting voCampus</t>
  </si>
  <si>
    <t>index 113,9</t>
  </si>
  <si>
    <t>index 109,2</t>
  </si>
  <si>
    <t>Totaal</t>
  </si>
  <si>
    <t xml:space="preserve"> </t>
  </si>
  <si>
    <t>Tab 1</t>
  </si>
  <si>
    <t>VoCampus</t>
  </si>
  <si>
    <t>Stichting Praktijkonderwijs Regio Nijmegen</t>
  </si>
  <si>
    <t>Pro College</t>
  </si>
  <si>
    <t>Omschrijving</t>
  </si>
  <si>
    <t>Tab 2</t>
  </si>
  <si>
    <t>Stichting Praktijkonderwijs Regio Nijmegen/Pro college</t>
  </si>
  <si>
    <t>Tab 3</t>
  </si>
  <si>
    <t>Stichting Voortgezet Montessori Onderwijs</t>
  </si>
  <si>
    <t>Tab 4</t>
  </si>
  <si>
    <t>Stichting De Geldershof</t>
  </si>
  <si>
    <t>Stichting Scholengemeenschap voor Voortgezet Vrijeschoolonderwijs</t>
  </si>
  <si>
    <t>Tab 5</t>
  </si>
  <si>
    <t>Stichting Conexus</t>
  </si>
  <si>
    <t>Tab 6</t>
  </si>
  <si>
    <t>St. Sint Josephscholen</t>
  </si>
  <si>
    <t>Tab 7</t>
  </si>
  <si>
    <t>St. de Geldershof</t>
  </si>
  <si>
    <t>Tab 8</t>
  </si>
  <si>
    <t>St. Pallas Meander</t>
  </si>
  <si>
    <t xml:space="preserve">Totaal </t>
  </si>
  <si>
    <t>Tab 9</t>
  </si>
  <si>
    <t>St. De Klokkenberg</t>
  </si>
  <si>
    <t>Stichting De Klokkenberg</t>
  </si>
  <si>
    <t>Gemeentebestuur van  Nijmegen Diverse Stichtingen</t>
  </si>
  <si>
    <t>Tab 10</t>
  </si>
  <si>
    <t xml:space="preserve">VVE Rentmeesterlaan/Tapirstraat 2 </t>
  </si>
  <si>
    <t xml:space="preserve">Stichting Conexus/ Stichting Entrea) </t>
  </si>
  <si>
    <t>Tab 11</t>
  </si>
  <si>
    <t>VVE Rentmeesterlaan</t>
  </si>
  <si>
    <t>Stichting Josephscholen</t>
  </si>
  <si>
    <t>Bijlage C.3 Schadeoverzichten Diverse Scholen in de Gemeente Nijmegen</t>
  </si>
  <si>
    <t>Het betreft de periode 31-12-2020 t/m 23-9-2025</t>
  </si>
  <si>
    <t>Datum</t>
  </si>
  <si>
    <t>Nummer</t>
  </si>
  <si>
    <t>Schade</t>
  </si>
  <si>
    <t>Eigen risico</t>
  </si>
  <si>
    <t>Kosten</t>
  </si>
  <si>
    <t>Betaald</t>
  </si>
  <si>
    <t>Reserve</t>
  </si>
  <si>
    <t>Stormschade Ijsbeerstraat 12</t>
  </si>
  <si>
    <t>Stormschade Energieweg 83</t>
  </si>
  <si>
    <t>Alliantie en Rijk van Nijmegen is per 01-01-2022 Stichting @voCampus</t>
  </si>
  <si>
    <t>Stormschade SSGN, Canisiuscollege, Kandinsky College en Mondial College</t>
  </si>
  <si>
    <t>Verhaald</t>
  </si>
  <si>
    <t>Stormschade Jorismavo, Ploegstraat 16, Nijmegen</t>
  </si>
  <si>
    <t>Bliksemschade Dominicus College</t>
  </si>
  <si>
    <t>Brandschade SSgN Ijsbeerstraat</t>
  </si>
  <si>
    <t>Inbraakschade Maldenburchstraat 11</t>
  </si>
  <si>
    <t>Aanrijdingsschade Leuvensbriek 30-01</t>
  </si>
  <si>
    <t>Geen schades</t>
  </si>
  <si>
    <t>Waterschade Dick Brunastraat 1</t>
  </si>
  <si>
    <t>Vandalisme Henry Dunantstraat 8</t>
  </si>
  <si>
    <t>Diefstal zink Dr Kuyperstraat 2</t>
  </si>
  <si>
    <t>Vandalismeschade Aquamarijn</t>
  </si>
  <si>
    <t>Waterschade Klein Heyendaal</t>
  </si>
  <si>
    <t>Stormschade aan installatie</t>
  </si>
  <si>
    <t>Vandalismeschade Gildenkamp 60-16</t>
  </si>
  <si>
    <t>Inbraak en brandstichting Heiweg 99</t>
  </si>
  <si>
    <t>Indien tablad leeg is, zijn er geen geclaimde schades.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</si>
</sst>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2" xfId="0" applyBorder="1"/>
    <xf numFmtId="44" fontId="0" fillId="0" borderId="0" xfId="0" applyNumberFormat="1"/>
    <xf numFmtId="0" fontId="3" fillId="0" borderId="0" xfId="0" applyFont="1"/>
    <xf numFmtId="0" fontId="7" fillId="0" borderId="2" xfId="0" applyFont="1" applyBorder="1"/>
    <xf numFmtId="44" fontId="0" fillId="0" borderId="2" xfId="0" applyNumberFormat="1" applyBorder="1"/>
    <xf numFmtId="0" fontId="4" fillId="0" borderId="2" xfId="5" applyFont="1" applyBorder="1"/>
    <xf numFmtId="0" fontId="5" fillId="0" borderId="2" xfId="5" applyFont="1" applyBorder="1"/>
    <xf numFmtId="0" fontId="1" fillId="0" borderId="2" xfId="0" applyFont="1" applyBorder="1"/>
    <xf numFmtId="0" fontId="1" fillId="0" borderId="0" xfId="0" applyFont="1"/>
    <xf numFmtId="42" fontId="0" fillId="0" borderId="0" xfId="3" applyNumberFormat="1" applyFont="1" applyFill="1"/>
    <xf numFmtId="42" fontId="0" fillId="0" borderId="0" xfId="0" applyNumberFormat="1"/>
    <xf numFmtId="0" fontId="0" fillId="0" borderId="0" xfId="0" applyBorder="1"/>
    <xf numFmtId="0" fontId="0" fillId="0" borderId="0" xfId="0" applyFill="1"/>
    <xf numFmtId="0" fontId="8" fillId="0" borderId="0" xfId="5" applyFont="1"/>
    <xf numFmtId="44" fontId="0" fillId="0" borderId="2" xfId="6" applyFont="1" applyBorder="1"/>
    <xf numFmtId="44" fontId="5" fillId="0" borderId="2" xfId="6" applyFont="1" applyBorder="1"/>
    <xf numFmtId="0" fontId="10" fillId="0" borderId="4" xfId="0" applyFont="1" applyBorder="1"/>
    <xf numFmtId="0" fontId="11" fillId="0" borderId="4" xfId="0" applyFont="1" applyBorder="1"/>
    <xf numFmtId="0" fontId="11" fillId="0" borderId="0" xfId="0" applyFont="1"/>
    <xf numFmtId="0" fontId="0" fillId="0" borderId="0" xfId="0" applyFont="1" applyAlignment="1"/>
    <xf numFmtId="0" fontId="3" fillId="0" borderId="0" xfId="0" applyFont="1" applyAlignment="1">
      <alignment horizontal="center"/>
    </xf>
    <xf numFmtId="42" fontId="3" fillId="0" borderId="2" xfId="0" applyNumberFormat="1" applyFont="1" applyBorder="1"/>
    <xf numFmtId="0" fontId="3" fillId="0" borderId="0" xfId="0" applyFont="1" applyAlignment="1">
      <alignment wrapText="1"/>
    </xf>
    <xf numFmtId="42" fontId="3" fillId="0" borderId="0" xfId="0" applyNumberFormat="1" applyFont="1"/>
    <xf numFmtId="0" fontId="3" fillId="0" borderId="2" xfId="0" applyFont="1" applyBorder="1"/>
    <xf numFmtId="14" fontId="0" fillId="0" borderId="2" xfId="0" applyNumberFormat="1" applyBorder="1"/>
    <xf numFmtId="0" fontId="12" fillId="0" borderId="2" xfId="0" applyFont="1" applyFill="1" applyBorder="1" applyAlignment="1">
      <alignment vertical="center"/>
    </xf>
    <xf numFmtId="0" fontId="3" fillId="0" borderId="2" xfId="0" applyFont="1" applyFill="1" applyBorder="1"/>
    <xf numFmtId="0" fontId="3" fillId="0" borderId="0" xfId="0" applyFont="1" applyFill="1"/>
    <xf numFmtId="0" fontId="7" fillId="0" borderId="0" xfId="5" applyFont="1"/>
    <xf numFmtId="0" fontId="9" fillId="0" borderId="0" xfId="5"/>
    <xf numFmtId="0" fontId="8" fillId="3" borderId="0" xfId="5" applyFont="1" applyFill="1"/>
    <xf numFmtId="0" fontId="8" fillId="0" borderId="0" xfId="5" applyFont="1" applyAlignment="1">
      <alignment horizontal="center"/>
    </xf>
    <xf numFmtId="0" fontId="6" fillId="0" borderId="0" xfId="0" applyFont="1"/>
    <xf numFmtId="0" fontId="0" fillId="0" borderId="0" xfId="0" applyFont="1"/>
    <xf numFmtId="42" fontId="0" fillId="0" borderId="0" xfId="0" applyNumberFormat="1" applyFont="1"/>
    <xf numFmtId="0" fontId="4" fillId="0" borderId="2" xfId="0" applyFont="1" applyBorder="1"/>
    <xf numFmtId="42" fontId="4" fillId="0" borderId="2" xfId="0" applyNumberFormat="1" applyFont="1" applyBorder="1"/>
    <xf numFmtId="14" fontId="5" fillId="0" borderId="2" xfId="0" applyNumberFormat="1" applyFont="1" applyBorder="1"/>
    <xf numFmtId="0" fontId="5" fillId="0" borderId="2" xfId="0" applyFont="1" applyBorder="1"/>
    <xf numFmtId="44" fontId="5" fillId="0" borderId="2" xfId="0" applyNumberFormat="1" applyFont="1" applyBorder="1"/>
    <xf numFmtId="0" fontId="5" fillId="0" borderId="3" xfId="0" applyFont="1" applyBorder="1"/>
    <xf numFmtId="0" fontId="3" fillId="0" borderId="3" xfId="0" applyFont="1" applyFill="1" applyBorder="1"/>
    <xf numFmtId="44" fontId="3" fillId="0" borderId="2" xfId="0" applyNumberFormat="1" applyFont="1" applyBorder="1"/>
    <xf numFmtId="0" fontId="4" fillId="0" borderId="0" xfId="0" applyFont="1" applyFill="1"/>
    <xf numFmtId="0" fontId="5" fillId="0" borderId="0" xfId="0" applyFont="1" applyFill="1"/>
    <xf numFmtId="0" fontId="3" fillId="0" borderId="0" xfId="2" applyFont="1" applyFill="1" applyBorder="1" applyAlignment="1">
      <alignment horizontal="center"/>
    </xf>
    <xf numFmtId="10" fontId="0" fillId="0" borderId="0" xfId="1" applyNumberFormat="1" applyFont="1" applyFill="1" applyBorder="1"/>
    <xf numFmtId="14" fontId="0" fillId="0" borderId="2" xfId="0" applyNumberFormat="1" applyFont="1" applyBorder="1"/>
    <xf numFmtId="0" fontId="0" fillId="0" borderId="2" xfId="0" applyFont="1" applyBorder="1"/>
    <xf numFmtId="14" fontId="0" fillId="0" borderId="0" xfId="0" applyNumberFormat="1" applyFont="1" applyBorder="1"/>
    <xf numFmtId="0" fontId="0" fillId="0" borderId="0" xfId="0" applyFont="1" applyBorder="1"/>
    <xf numFmtId="44" fontId="0" fillId="0" borderId="0" xfId="0" applyNumberFormat="1" applyFont="1"/>
    <xf numFmtId="44" fontId="4" fillId="0" borderId="2" xfId="0" applyNumberFormat="1" applyFont="1" applyBorder="1"/>
    <xf numFmtId="0" fontId="3" fillId="0" borderId="0" xfId="0" applyFont="1" applyFill="1" applyBorder="1"/>
    <xf numFmtId="44" fontId="3" fillId="0" borderId="0" xfId="0" applyNumberFormat="1" applyFont="1" applyBorder="1"/>
    <xf numFmtId="0" fontId="6" fillId="0" borderId="0" xfId="0" applyFont="1" applyBorder="1"/>
    <xf numFmtId="0" fontId="13" fillId="0" borderId="0" xfId="0" applyFont="1"/>
    <xf numFmtId="44" fontId="13" fillId="0" borderId="0" xfId="6" applyFont="1"/>
    <xf numFmtId="44" fontId="3" fillId="0" borderId="2" xfId="6" applyFont="1" applyBorder="1"/>
    <xf numFmtId="3" fontId="0" fillId="0" borderId="0" xfId="0" applyNumberFormat="1"/>
    <xf numFmtId="3" fontId="4" fillId="0" borderId="2" xfId="0" applyNumberFormat="1" applyFont="1" applyBorder="1"/>
    <xf numFmtId="44" fontId="4" fillId="0" borderId="2" xfId="6" applyFont="1" applyBorder="1"/>
    <xf numFmtId="44" fontId="0" fillId="0" borderId="0" xfId="6" applyFont="1"/>
    <xf numFmtId="0" fontId="0" fillId="0" borderId="3" xfId="0" applyFont="1" applyBorder="1"/>
    <xf numFmtId="44" fontId="0" fillId="0" borderId="3" xfId="6" applyFont="1" applyBorder="1"/>
    <xf numFmtId="0" fontId="3" fillId="0" borderId="3" xfId="0" applyFont="1" applyBorder="1"/>
    <xf numFmtId="44" fontId="3" fillId="0" borderId="3" xfId="6" applyFont="1" applyBorder="1"/>
  </cellXfs>
  <cellStyles count="7">
    <cellStyle name="Berekening" xfId="2" builtinId="22"/>
    <cellStyle name="Euro" xfId="4"/>
    <cellStyle name="Komma" xfId="3" builtinId="3"/>
    <cellStyle name="Procent" xfId="1" builtinId="5"/>
    <cellStyle name="Standaard" xfId="0" builtinId="0"/>
    <cellStyle name="Standaard 2" xfId="5"/>
    <cellStyle name="Valuta" xfId="6" builtinId="4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A4" sqref="A4"/>
    </sheetView>
  </sheetViews>
  <sheetFormatPr defaultRowHeight="15" x14ac:dyDescent="0.25"/>
  <cols>
    <col min="2" max="2" width="34.5703125" bestFit="1" customWidth="1"/>
    <col min="4" max="4" width="16.140625" bestFit="1" customWidth="1"/>
  </cols>
  <sheetData>
    <row r="1" spans="1:4" x14ac:dyDescent="0.25">
      <c r="A1" s="3" t="s">
        <v>36</v>
      </c>
    </row>
    <row r="2" spans="1:4" x14ac:dyDescent="0.25">
      <c r="A2" s="3" t="s">
        <v>37</v>
      </c>
    </row>
    <row r="3" spans="1:4" x14ac:dyDescent="0.25">
      <c r="A3" s="3" t="s">
        <v>64</v>
      </c>
    </row>
    <row r="5" spans="1:4" x14ac:dyDescent="0.25">
      <c r="A5" s="3" t="s">
        <v>5</v>
      </c>
      <c r="B5" s="3" t="s">
        <v>6</v>
      </c>
    </row>
    <row r="7" spans="1:4" x14ac:dyDescent="0.25">
      <c r="A7" s="3" t="s">
        <v>10</v>
      </c>
      <c r="B7" s="3" t="s">
        <v>11</v>
      </c>
    </row>
    <row r="9" spans="1:4" x14ac:dyDescent="0.25">
      <c r="A9" s="3" t="s">
        <v>12</v>
      </c>
      <c r="B9" s="3" t="s">
        <v>13</v>
      </c>
    </row>
    <row r="11" spans="1:4" x14ac:dyDescent="0.25">
      <c r="A11" s="3" t="s">
        <v>14</v>
      </c>
      <c r="B11" s="3" t="s">
        <v>16</v>
      </c>
    </row>
    <row r="13" spans="1:4" x14ac:dyDescent="0.25">
      <c r="A13" s="3" t="s">
        <v>17</v>
      </c>
      <c r="B13" s="3" t="s">
        <v>18</v>
      </c>
    </row>
    <row r="14" spans="1:4" x14ac:dyDescent="0.25">
      <c r="D14" s="2"/>
    </row>
    <row r="15" spans="1:4" x14ac:dyDescent="0.25">
      <c r="A15" s="3" t="s">
        <v>19</v>
      </c>
      <c r="B15" s="3" t="s">
        <v>20</v>
      </c>
    </row>
    <row r="17" spans="1:2" x14ac:dyDescent="0.25">
      <c r="A17" s="3" t="s">
        <v>21</v>
      </c>
      <c r="B17" s="3" t="s">
        <v>22</v>
      </c>
    </row>
    <row r="19" spans="1:2" x14ac:dyDescent="0.25">
      <c r="A19" s="3" t="s">
        <v>23</v>
      </c>
      <c r="B19" s="3" t="s">
        <v>24</v>
      </c>
    </row>
    <row r="21" spans="1:2" x14ac:dyDescent="0.25">
      <c r="A21" s="3" t="s">
        <v>26</v>
      </c>
      <c r="B21" s="3" t="s">
        <v>27</v>
      </c>
    </row>
    <row r="23" spans="1:2" x14ac:dyDescent="0.25">
      <c r="A23" s="3" t="s">
        <v>30</v>
      </c>
      <c r="B23" s="3" t="s">
        <v>29</v>
      </c>
    </row>
    <row r="25" spans="1:2" x14ac:dyDescent="0.25">
      <c r="A25" s="3" t="s">
        <v>33</v>
      </c>
      <c r="B25" s="3" t="s">
        <v>34</v>
      </c>
    </row>
  </sheetData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workbookViewId="0">
      <selection activeCell="M14" sqref="M14"/>
    </sheetView>
  </sheetViews>
  <sheetFormatPr defaultRowHeight="15" x14ac:dyDescent="0.25"/>
  <cols>
    <col min="1" max="1" width="51.85546875" bestFit="1" customWidth="1"/>
    <col min="2" max="2" width="11.5703125" bestFit="1" customWidth="1"/>
    <col min="3" max="3" width="25.85546875" bestFit="1" customWidth="1"/>
    <col min="4" max="4" width="17.85546875" customWidth="1"/>
    <col min="5" max="5" width="20" customWidth="1"/>
    <col min="6" max="6" width="14.140625" customWidth="1"/>
    <col min="7" max="7" width="16.7109375" customWidth="1"/>
    <col min="8" max="8" width="20" customWidth="1"/>
    <col min="9" max="9" width="16.7109375" customWidth="1"/>
    <col min="10" max="10" width="20" customWidth="1"/>
    <col min="11" max="11" width="16.7109375" customWidth="1"/>
    <col min="12" max="12" width="20" customWidth="1"/>
    <col min="13" max="13" width="16.7109375" customWidth="1"/>
    <col min="14" max="14" width="20" customWidth="1"/>
    <col min="15" max="15" width="16.7109375" bestFit="1" customWidth="1"/>
    <col min="16" max="16" width="20" bestFit="1" customWidth="1"/>
    <col min="17" max="17" width="24.5703125" bestFit="1" customWidth="1"/>
    <col min="18" max="18" width="26.85546875" bestFit="1" customWidth="1"/>
    <col min="19" max="19" width="17.42578125" bestFit="1" customWidth="1"/>
    <col min="20" max="20" width="20.42578125" bestFit="1" customWidth="1"/>
    <col min="21" max="21" width="16.42578125" bestFit="1" customWidth="1"/>
    <col min="22" max="22" width="13.42578125" bestFit="1" customWidth="1"/>
  </cols>
  <sheetData>
    <row r="1" spans="1:17" s="20" customFormat="1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</row>
    <row r="3" spans="1:17" ht="15.75" x14ac:dyDescent="0.25">
      <c r="A3" s="34">
        <v>2022</v>
      </c>
      <c r="D3" s="61"/>
      <c r="E3" s="61"/>
      <c r="F3" s="61"/>
      <c r="G3" s="61"/>
      <c r="H3" s="61"/>
      <c r="I3" s="61"/>
    </row>
    <row r="4" spans="1:17" s="35" customFormat="1" x14ac:dyDescent="0.25">
      <c r="A4" s="37" t="s">
        <v>38</v>
      </c>
      <c r="B4" s="37" t="s">
        <v>39</v>
      </c>
      <c r="C4" s="37" t="s">
        <v>9</v>
      </c>
      <c r="D4" s="62" t="s">
        <v>40</v>
      </c>
      <c r="E4" s="62" t="s">
        <v>41</v>
      </c>
      <c r="F4" s="62" t="s">
        <v>42</v>
      </c>
      <c r="G4" s="62" t="s">
        <v>43</v>
      </c>
      <c r="H4" s="62" t="s">
        <v>44</v>
      </c>
      <c r="I4" s="62" t="s">
        <v>3</v>
      </c>
    </row>
    <row r="5" spans="1:17" s="35" customFormat="1" x14ac:dyDescent="0.25">
      <c r="A5" s="39">
        <v>44610</v>
      </c>
      <c r="B5" s="40">
        <v>2200555</v>
      </c>
      <c r="C5" s="40" t="s">
        <v>61</v>
      </c>
      <c r="D5" s="16">
        <f>13745.6+1520.86</f>
        <v>15266.460000000001</v>
      </c>
      <c r="E5" s="16">
        <v>842.81</v>
      </c>
      <c r="F5" s="16">
        <f>797.01+129.03+1.17+2066.75+151.03+15.21+1.9</f>
        <v>3162.1000000000004</v>
      </c>
      <c r="G5" s="16">
        <f>+D5-E5+F5</f>
        <v>17585.75</v>
      </c>
      <c r="H5" s="16">
        <v>0</v>
      </c>
      <c r="I5" s="16">
        <f>+G5+H5</f>
        <v>17585.75</v>
      </c>
    </row>
    <row r="6" spans="1:17" s="35" customFormat="1" x14ac:dyDescent="0.25">
      <c r="A6" s="51"/>
      <c r="B6" s="52"/>
      <c r="C6" s="37" t="s">
        <v>3</v>
      </c>
      <c r="D6" s="63">
        <f>SUM(D5)</f>
        <v>15266.460000000001</v>
      </c>
      <c r="E6" s="63">
        <f t="shared" ref="E6:I6" si="0">SUM(E5)</f>
        <v>842.81</v>
      </c>
      <c r="F6" s="63">
        <f t="shared" si="0"/>
        <v>3162.1000000000004</v>
      </c>
      <c r="G6" s="63">
        <f t="shared" si="0"/>
        <v>17585.75</v>
      </c>
      <c r="H6" s="63">
        <f t="shared" si="0"/>
        <v>0</v>
      </c>
      <c r="I6" s="63">
        <f t="shared" si="0"/>
        <v>17585.75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I20" sqref="I20"/>
    </sheetView>
  </sheetViews>
  <sheetFormatPr defaultRowHeight="15" x14ac:dyDescent="0.25"/>
  <cols>
    <col min="1" max="1" width="49.42578125" bestFit="1" customWidth="1"/>
    <col min="2" max="2" width="8.85546875" bestFit="1" customWidth="1"/>
    <col min="3" max="3" width="34.7109375" bestFit="1" customWidth="1"/>
    <col min="4" max="4" width="11.42578125" bestFit="1" customWidth="1"/>
    <col min="5" max="5" width="11.85546875" bestFit="1" customWidth="1"/>
    <col min="6" max="6" width="10.42578125" bestFit="1" customWidth="1"/>
    <col min="7" max="7" width="11.42578125" bestFit="1" customWidth="1"/>
    <col min="8" max="8" width="9" bestFit="1" customWidth="1"/>
    <col min="9" max="9" width="11.42578125" bestFit="1" customWidth="1"/>
    <col min="10" max="10" width="19.140625" bestFit="1" customWidth="1"/>
    <col min="11" max="11" width="9.28515625" bestFit="1" customWidth="1"/>
    <col min="12" max="13" width="15.140625" bestFit="1" customWidth="1"/>
    <col min="14" max="14" width="8.85546875" bestFit="1" customWidth="1"/>
    <col min="15" max="15" width="9" bestFit="1" customWidth="1"/>
    <col min="16" max="16" width="6.85546875" bestFit="1" customWidth="1"/>
    <col min="17" max="17" width="7" bestFit="1" customWidth="1"/>
    <col min="18" max="18" width="10.42578125" bestFit="1" customWidth="1"/>
  </cols>
  <sheetData>
    <row r="1" spans="1:13" s="3" customFormat="1" x14ac:dyDescent="0.25">
      <c r="A1" s="3" t="s">
        <v>29</v>
      </c>
      <c r="E1" s="22"/>
      <c r="F1" s="22"/>
      <c r="G1" s="21"/>
      <c r="M1" s="23"/>
    </row>
    <row r="2" spans="1:13" s="3" customFormat="1" x14ac:dyDescent="0.25">
      <c r="A2" s="21"/>
      <c r="E2" s="24"/>
      <c r="F2" s="24"/>
      <c r="G2" s="21"/>
      <c r="M2" s="23"/>
    </row>
    <row r="3" spans="1:13" s="35" customFormat="1" ht="15.75" x14ac:dyDescent="0.25">
      <c r="A3" s="34">
        <v>2023</v>
      </c>
      <c r="D3" s="64"/>
      <c r="E3" s="64"/>
      <c r="F3" s="64"/>
      <c r="G3" s="64"/>
      <c r="H3" s="64"/>
      <c r="I3" s="64"/>
    </row>
    <row r="4" spans="1:13" s="35" customFormat="1" x14ac:dyDescent="0.25">
      <c r="A4" s="37" t="s">
        <v>38</v>
      </c>
      <c r="B4" s="37" t="s">
        <v>39</v>
      </c>
      <c r="C4" s="37" t="s">
        <v>9</v>
      </c>
      <c r="D4" s="63" t="s">
        <v>40</v>
      </c>
      <c r="E4" s="63" t="s">
        <v>41</v>
      </c>
      <c r="F4" s="63" t="s">
        <v>42</v>
      </c>
      <c r="G4" s="63" t="s">
        <v>43</v>
      </c>
      <c r="H4" s="63" t="s">
        <v>44</v>
      </c>
      <c r="I4" s="63" t="s">
        <v>3</v>
      </c>
    </row>
    <row r="5" spans="1:13" s="35" customFormat="1" x14ac:dyDescent="0.25">
      <c r="A5" s="49">
        <v>45172</v>
      </c>
      <c r="B5" s="50">
        <v>2303665</v>
      </c>
      <c r="C5" s="50" t="s">
        <v>62</v>
      </c>
      <c r="D5" s="15">
        <v>4113.8900000000003</v>
      </c>
      <c r="E5" s="15">
        <v>2500</v>
      </c>
      <c r="F5" s="15">
        <f>16.14+1.97</f>
        <v>18.11</v>
      </c>
      <c r="G5" s="15">
        <f>D5-E5+F5</f>
        <v>1632.0000000000002</v>
      </c>
      <c r="H5" s="15">
        <v>0</v>
      </c>
      <c r="I5" s="15">
        <f>G5-H5</f>
        <v>1632.0000000000002</v>
      </c>
    </row>
    <row r="6" spans="1:13" s="35" customFormat="1" x14ac:dyDescent="0.25">
      <c r="A6" s="49">
        <v>45185</v>
      </c>
      <c r="B6" s="50">
        <v>2303953</v>
      </c>
      <c r="C6" s="50" t="s">
        <v>63</v>
      </c>
      <c r="D6" s="15">
        <v>24953.8</v>
      </c>
      <c r="E6" s="15">
        <v>2500</v>
      </c>
      <c r="F6" s="15">
        <f>1660.83+224.54+1.83</f>
        <v>1887.1999999999998</v>
      </c>
      <c r="G6" s="15">
        <f>D6-E6+F6</f>
        <v>24341</v>
      </c>
      <c r="H6" s="15">
        <v>0</v>
      </c>
      <c r="I6" s="15">
        <f>G6-H6</f>
        <v>24341</v>
      </c>
    </row>
    <row r="7" spans="1:13" s="35" customFormat="1" x14ac:dyDescent="0.25">
      <c r="A7" s="49">
        <v>45291</v>
      </c>
      <c r="B7" s="50">
        <v>2306311</v>
      </c>
      <c r="C7" s="65" t="s">
        <v>62</v>
      </c>
      <c r="D7" s="66">
        <v>3743.63</v>
      </c>
      <c r="E7" s="66">
        <v>2500</v>
      </c>
      <c r="F7" s="66">
        <f>12.44+1.93</f>
        <v>14.37</v>
      </c>
      <c r="G7" s="15">
        <f>D7-E7+F7</f>
        <v>1258</v>
      </c>
      <c r="H7" s="15">
        <v>0</v>
      </c>
      <c r="I7" s="15">
        <f>G7-H7</f>
        <v>1258</v>
      </c>
    </row>
    <row r="8" spans="1:13" s="35" customFormat="1" x14ac:dyDescent="0.25">
      <c r="C8" s="67" t="s">
        <v>3</v>
      </c>
      <c r="D8" s="68">
        <f>SUM(D5:D7)</f>
        <v>32811.32</v>
      </c>
      <c r="E8" s="68">
        <f t="shared" ref="E8:I8" si="0">SUM(E5:E7)</f>
        <v>7500</v>
      </c>
      <c r="F8" s="68">
        <f t="shared" si="0"/>
        <v>1919.6799999999996</v>
      </c>
      <c r="G8" s="68">
        <f t="shared" si="0"/>
        <v>27231</v>
      </c>
      <c r="H8" s="68">
        <f t="shared" si="0"/>
        <v>0</v>
      </c>
      <c r="I8" s="68">
        <f t="shared" si="0"/>
        <v>27231</v>
      </c>
    </row>
    <row r="9" spans="1:13" s="35" customFormat="1" x14ac:dyDescent="0.25">
      <c r="D9" s="64"/>
      <c r="E9" s="64"/>
      <c r="F9" s="64"/>
      <c r="G9" s="64"/>
      <c r="H9" s="64"/>
      <c r="I9" s="64"/>
    </row>
    <row r="10" spans="1:13" s="35" customFormat="1" ht="15.75" x14ac:dyDescent="0.25">
      <c r="A10" s="34">
        <v>2024</v>
      </c>
      <c r="D10" s="64"/>
      <c r="E10" s="64"/>
      <c r="F10" s="64"/>
      <c r="G10" s="64"/>
      <c r="H10" s="64"/>
      <c r="I10" s="64"/>
    </row>
    <row r="11" spans="1:13" s="35" customFormat="1" x14ac:dyDescent="0.25">
      <c r="A11" s="37" t="s">
        <v>38</v>
      </c>
      <c r="B11" s="37" t="s">
        <v>39</v>
      </c>
      <c r="C11" s="37" t="s">
        <v>9</v>
      </c>
      <c r="D11" s="63" t="s">
        <v>40</v>
      </c>
      <c r="E11" s="63" t="s">
        <v>41</v>
      </c>
      <c r="F11" s="63" t="s">
        <v>42</v>
      </c>
      <c r="G11" s="63" t="s">
        <v>43</v>
      </c>
      <c r="H11" s="63" t="s">
        <v>44</v>
      </c>
      <c r="I11" s="63" t="s">
        <v>3</v>
      </c>
    </row>
    <row r="12" spans="1:13" s="35" customFormat="1" x14ac:dyDescent="0.25">
      <c r="A12" s="49">
        <v>45469</v>
      </c>
      <c r="B12" s="50">
        <v>2404693</v>
      </c>
      <c r="C12" s="50" t="s">
        <v>62</v>
      </c>
      <c r="D12" s="15">
        <v>15560.53</v>
      </c>
      <c r="E12" s="15">
        <v>2500</v>
      </c>
      <c r="F12" s="15">
        <f>1191.73+320.89+130.61+1.97</f>
        <v>1645.2</v>
      </c>
      <c r="G12" s="15">
        <f>D12-E12+F12</f>
        <v>14705.730000000001</v>
      </c>
      <c r="H12" s="15">
        <v>0</v>
      </c>
      <c r="I12" s="15">
        <f>G12-H12</f>
        <v>14705.730000000001</v>
      </c>
    </row>
    <row r="13" spans="1:13" s="35" customFormat="1" x14ac:dyDescent="0.25">
      <c r="C13" s="67" t="s">
        <v>3</v>
      </c>
      <c r="D13" s="68">
        <f t="shared" ref="D13:I13" si="1">SUM(D11:D12)</f>
        <v>15560.53</v>
      </c>
      <c r="E13" s="68">
        <f t="shared" si="1"/>
        <v>2500</v>
      </c>
      <c r="F13" s="68">
        <f t="shared" si="1"/>
        <v>1645.2</v>
      </c>
      <c r="G13" s="68">
        <f t="shared" si="1"/>
        <v>14705.730000000001</v>
      </c>
      <c r="H13" s="68">
        <f t="shared" si="1"/>
        <v>0</v>
      </c>
      <c r="I13" s="68">
        <f t="shared" si="1"/>
        <v>14705.730000000001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A12" sqref="A12"/>
    </sheetView>
  </sheetViews>
  <sheetFormatPr defaultRowHeight="15" x14ac:dyDescent="0.25"/>
  <cols>
    <col min="1" max="1" width="33.85546875" style="13" bestFit="1" customWidth="1"/>
    <col min="2" max="2" width="9.7109375" style="13" bestFit="1" customWidth="1"/>
    <col min="3" max="3" width="58.42578125" style="13" bestFit="1" customWidth="1"/>
    <col min="4" max="4" width="20.42578125" style="13" bestFit="1" customWidth="1"/>
    <col min="5" max="5" width="15.140625" style="13" customWidth="1"/>
    <col min="6" max="6" width="14.140625" style="13" customWidth="1"/>
    <col min="7" max="8" width="15.140625" style="13" customWidth="1"/>
    <col min="9" max="9" width="14.140625" style="13" customWidth="1"/>
    <col min="10" max="15" width="15.140625" style="13" customWidth="1"/>
    <col min="16" max="17" width="15.140625" style="13" bestFit="1" customWidth="1"/>
    <col min="18" max="16384" width="9.140625" style="13"/>
  </cols>
  <sheetData>
    <row r="1" spans="1:4" x14ac:dyDescent="0.25">
      <c r="A1" s="27" t="s">
        <v>31</v>
      </c>
      <c r="B1" s="28"/>
      <c r="C1" s="29"/>
      <c r="D1" s="29"/>
    </row>
    <row r="2" spans="1:4" x14ac:dyDescent="0.25">
      <c r="A2" s="27" t="s">
        <v>32</v>
      </c>
      <c r="B2" s="28"/>
      <c r="C2" s="29"/>
      <c r="D2" s="29"/>
    </row>
    <row r="4" spans="1:4" x14ac:dyDescent="0.25">
      <c r="A4" s="13" t="s">
        <v>55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zoomScale="90" zoomScaleNormal="90" workbookViewId="0">
      <selection activeCell="C37" sqref="C37"/>
    </sheetView>
  </sheetViews>
  <sheetFormatPr defaultColWidth="9.28515625" defaultRowHeight="15" x14ac:dyDescent="0.25"/>
  <cols>
    <col min="1" max="1" width="18.5703125" bestFit="1" customWidth="1"/>
    <col min="2" max="2" width="9" bestFit="1" customWidth="1"/>
    <col min="3" max="3" width="69" bestFit="1" customWidth="1"/>
    <col min="4" max="4" width="12.42578125" bestFit="1" customWidth="1"/>
    <col min="5" max="5" width="11.85546875" bestFit="1" customWidth="1"/>
    <col min="6" max="6" width="11.28515625" bestFit="1" customWidth="1"/>
    <col min="7" max="7" width="12.42578125" bestFit="1" customWidth="1"/>
    <col min="8" max="8" width="9" bestFit="1" customWidth="1"/>
    <col min="9" max="9" width="12.42578125" bestFit="1" customWidth="1"/>
    <col min="10" max="10" width="23.140625" customWidth="1"/>
    <col min="11" max="11" width="16.42578125" customWidth="1"/>
    <col min="12" max="12" width="20.85546875" customWidth="1"/>
    <col min="13" max="14" width="16.42578125" customWidth="1"/>
    <col min="15" max="15" width="20.42578125" customWidth="1"/>
    <col min="16" max="16" width="14.140625" customWidth="1"/>
    <col min="17" max="17" width="53.28515625" customWidth="1"/>
    <col min="18" max="18" width="19.5703125" customWidth="1"/>
    <col min="19" max="19" width="23.140625" customWidth="1"/>
    <col min="20" max="20" width="11.28515625" bestFit="1" customWidth="1"/>
    <col min="21" max="21" width="8.5703125" bestFit="1" customWidth="1"/>
    <col min="22" max="22" width="11.28515625" bestFit="1" customWidth="1"/>
    <col min="23" max="23" width="8.5703125" bestFit="1" customWidth="1"/>
    <col min="24" max="25" width="16.42578125" customWidth="1"/>
    <col min="26" max="26" width="19.5703125" customWidth="1"/>
    <col min="27" max="27" width="23.140625" customWidth="1"/>
    <col min="28" max="28" width="16.7109375" customWidth="1"/>
    <col min="29" max="30" width="20" customWidth="1"/>
    <col min="31" max="31" width="16.42578125" customWidth="1"/>
    <col min="32" max="32" width="19.5703125" customWidth="1"/>
    <col min="33" max="33" width="23.140625" customWidth="1"/>
    <col min="34" max="34" width="16.7109375" customWidth="1"/>
    <col min="35" max="35" width="20" customWidth="1"/>
    <col min="36" max="36" width="16.42578125" customWidth="1"/>
    <col min="37" max="37" width="16.7109375" bestFit="1" customWidth="1"/>
    <col min="38" max="38" width="20" bestFit="1" customWidth="1"/>
    <col min="39" max="39" width="16.42578125" bestFit="1" customWidth="1"/>
    <col min="40" max="40" width="15.85546875" customWidth="1"/>
    <col min="41" max="41" width="17.28515625" bestFit="1" customWidth="1"/>
    <col min="42" max="42" width="13.140625" customWidth="1"/>
    <col min="43" max="43" width="15.42578125" customWidth="1"/>
    <col min="44" max="44" width="12.85546875" customWidth="1"/>
  </cols>
  <sheetData>
    <row r="1" spans="1:38" s="13" customFormat="1" x14ac:dyDescent="0.25">
      <c r="A1" s="45" t="s">
        <v>0</v>
      </c>
      <c r="B1" s="46"/>
      <c r="C1" s="46"/>
      <c r="T1" s="47" t="s">
        <v>1</v>
      </c>
      <c r="U1" s="48">
        <f>130/113.9</f>
        <v>1.1413520632133449</v>
      </c>
      <c r="V1" s="47" t="s">
        <v>2</v>
      </c>
      <c r="W1" s="48">
        <f>126.4/109.2</f>
        <v>1.1575091575091576</v>
      </c>
      <c r="AH1" s="47"/>
      <c r="AI1" s="47"/>
      <c r="AK1" s="47"/>
      <c r="AL1" s="47"/>
    </row>
    <row r="2" spans="1:38" s="13" customFormat="1" x14ac:dyDescent="0.25">
      <c r="D2" s="47"/>
      <c r="E2" s="47"/>
      <c r="AH2" s="47"/>
      <c r="AI2" s="47"/>
      <c r="AK2" s="47"/>
      <c r="AL2" s="47"/>
    </row>
    <row r="3" spans="1:38" ht="15.75" x14ac:dyDescent="0.25">
      <c r="A3" s="34">
        <v>2021</v>
      </c>
      <c r="B3" s="35"/>
      <c r="C3" s="35"/>
      <c r="D3" s="36"/>
      <c r="E3" s="36"/>
      <c r="F3" s="36"/>
      <c r="G3" s="36"/>
      <c r="H3" s="36"/>
      <c r="I3" s="36"/>
    </row>
    <row r="4" spans="1:38" x14ac:dyDescent="0.25">
      <c r="A4" s="37" t="s">
        <v>38</v>
      </c>
      <c r="B4" s="37" t="s">
        <v>39</v>
      </c>
      <c r="C4" s="37" t="s">
        <v>9</v>
      </c>
      <c r="D4" s="38" t="s">
        <v>40</v>
      </c>
      <c r="E4" s="38" t="s">
        <v>41</v>
      </c>
      <c r="F4" s="38" t="s">
        <v>42</v>
      </c>
      <c r="G4" s="38" t="s">
        <v>43</v>
      </c>
      <c r="H4" s="38" t="s">
        <v>44</v>
      </c>
      <c r="I4" s="38" t="s">
        <v>3</v>
      </c>
    </row>
    <row r="5" spans="1:38" x14ac:dyDescent="0.25">
      <c r="A5" s="39">
        <v>44266</v>
      </c>
      <c r="B5" s="40">
        <v>2100712</v>
      </c>
      <c r="C5" s="40" t="s">
        <v>45</v>
      </c>
      <c r="D5" s="41">
        <v>7058.43</v>
      </c>
      <c r="E5" s="41">
        <v>2500</v>
      </c>
      <c r="F5" s="41">
        <f>45.58+1.47+135.52</f>
        <v>182.57</v>
      </c>
      <c r="G5" s="41">
        <f>D5-E5+F5</f>
        <v>4741</v>
      </c>
      <c r="H5" s="41">
        <v>0</v>
      </c>
      <c r="I5" s="41">
        <f>G5</f>
        <v>4741</v>
      </c>
    </row>
    <row r="6" spans="1:38" x14ac:dyDescent="0.25">
      <c r="A6" s="39">
        <v>44270</v>
      </c>
      <c r="B6" s="40">
        <v>2101444</v>
      </c>
      <c r="C6" s="42" t="s">
        <v>46</v>
      </c>
      <c r="D6" s="41">
        <v>6507.99</v>
      </c>
      <c r="E6" s="41">
        <v>2500</v>
      </c>
      <c r="F6" s="41">
        <f>40.08+988.16</f>
        <v>1028.24</v>
      </c>
      <c r="G6" s="41">
        <f>D6-E6+F6</f>
        <v>5036.2299999999996</v>
      </c>
      <c r="H6" s="41">
        <v>0</v>
      </c>
      <c r="I6" s="41">
        <f>G6</f>
        <v>5036.2299999999996</v>
      </c>
    </row>
    <row r="7" spans="1:38" x14ac:dyDescent="0.25">
      <c r="C7" s="43" t="s">
        <v>3</v>
      </c>
      <c r="D7" s="44">
        <f t="shared" ref="D7:I7" si="0">SUM(D5:D6)</f>
        <v>13566.42</v>
      </c>
      <c r="E7" s="44">
        <f t="shared" si="0"/>
        <v>5000</v>
      </c>
      <c r="F7" s="44">
        <f t="shared" si="0"/>
        <v>1210.81</v>
      </c>
      <c r="G7" s="44">
        <f t="shared" si="0"/>
        <v>9777.23</v>
      </c>
      <c r="H7" s="44">
        <f t="shared" si="0"/>
        <v>0</v>
      </c>
      <c r="I7" s="44">
        <f t="shared" si="0"/>
        <v>9777.23</v>
      </c>
    </row>
    <row r="8" spans="1:38" x14ac:dyDescent="0.25">
      <c r="D8" s="11"/>
      <c r="E8" s="11"/>
      <c r="F8" s="11"/>
      <c r="G8" s="11"/>
      <c r="H8" s="11"/>
      <c r="I8" s="11"/>
    </row>
    <row r="9" spans="1:38" ht="15.75" x14ac:dyDescent="0.25">
      <c r="A9" s="34">
        <v>2022</v>
      </c>
      <c r="B9" s="35"/>
      <c r="C9" s="35" t="s">
        <v>47</v>
      </c>
      <c r="D9" s="36"/>
      <c r="E9" s="36"/>
      <c r="F9" s="36"/>
      <c r="G9" s="36"/>
      <c r="H9" s="36"/>
      <c r="I9" s="36"/>
    </row>
    <row r="10" spans="1:38" x14ac:dyDescent="0.25">
      <c r="A10" s="37" t="s">
        <v>38</v>
      </c>
      <c r="B10" s="37" t="s">
        <v>39</v>
      </c>
      <c r="C10" s="37" t="s">
        <v>9</v>
      </c>
      <c r="D10" s="38" t="s">
        <v>40</v>
      </c>
      <c r="E10" s="38" t="s">
        <v>41</v>
      </c>
      <c r="F10" s="38" t="s">
        <v>42</v>
      </c>
      <c r="G10" s="38" t="s">
        <v>43</v>
      </c>
      <c r="H10" s="38" t="s">
        <v>44</v>
      </c>
      <c r="I10" s="38" t="s">
        <v>3</v>
      </c>
    </row>
    <row r="11" spans="1:38" s="35" customFormat="1" x14ac:dyDescent="0.25">
      <c r="A11" s="39">
        <v>44608</v>
      </c>
      <c r="B11" s="40">
        <v>2200525</v>
      </c>
      <c r="C11" s="40" t="s">
        <v>50</v>
      </c>
      <c r="D11" s="41">
        <v>4598</v>
      </c>
      <c r="E11" s="41">
        <v>2500</v>
      </c>
      <c r="F11" s="41">
        <f>440.55+20.98+1.02</f>
        <v>462.55</v>
      </c>
      <c r="G11" s="41">
        <f>D11-E11+F11</f>
        <v>2560.5500000000002</v>
      </c>
      <c r="H11" s="41">
        <v>0</v>
      </c>
      <c r="I11" s="41">
        <v>2560.5500000000002</v>
      </c>
      <c r="J11" s="41"/>
    </row>
    <row r="12" spans="1:38" x14ac:dyDescent="0.25">
      <c r="A12" s="39">
        <v>44610</v>
      </c>
      <c r="B12" s="40">
        <v>2200552</v>
      </c>
      <c r="C12" s="40" t="s">
        <v>48</v>
      </c>
      <c r="D12" s="41">
        <v>27027.54</v>
      </c>
      <c r="E12" s="41">
        <v>1657.19</v>
      </c>
      <c r="F12" s="41">
        <f>253.7+0.95</f>
        <v>254.64999999999998</v>
      </c>
      <c r="G12" s="41">
        <f>D12-E12+F12</f>
        <v>25625.000000000004</v>
      </c>
      <c r="H12" s="41">
        <v>0</v>
      </c>
      <c r="I12" s="41">
        <f>G12</f>
        <v>25625.000000000004</v>
      </c>
    </row>
    <row r="13" spans="1:38" x14ac:dyDescent="0.25">
      <c r="C13" s="43" t="s">
        <v>3</v>
      </c>
      <c r="D13" s="44">
        <f t="shared" ref="D13:I13" si="1">SUM(D10:D12)</f>
        <v>31625.54</v>
      </c>
      <c r="E13" s="44">
        <f t="shared" si="1"/>
        <v>4157.1900000000005</v>
      </c>
      <c r="F13" s="44">
        <f t="shared" si="1"/>
        <v>717.2</v>
      </c>
      <c r="G13" s="44">
        <f t="shared" si="1"/>
        <v>28185.550000000003</v>
      </c>
      <c r="H13" s="44">
        <f t="shared" si="1"/>
        <v>0</v>
      </c>
      <c r="I13" s="44">
        <f t="shared" si="1"/>
        <v>28185.550000000003</v>
      </c>
    </row>
    <row r="15" spans="1:38" ht="15.75" x14ac:dyDescent="0.25">
      <c r="A15" s="34">
        <v>2023</v>
      </c>
      <c r="B15" s="35"/>
      <c r="C15" s="35"/>
      <c r="D15" s="53"/>
      <c r="E15" s="53"/>
      <c r="F15" s="53"/>
      <c r="G15" s="53"/>
      <c r="H15" s="53"/>
      <c r="I15" s="53"/>
      <c r="J15" s="53"/>
    </row>
    <row r="16" spans="1:38" x14ac:dyDescent="0.25">
      <c r="A16" s="37" t="s">
        <v>38</v>
      </c>
      <c r="B16" s="37" t="s">
        <v>39</v>
      </c>
      <c r="C16" s="37" t="s">
        <v>9</v>
      </c>
      <c r="D16" s="54" t="s">
        <v>40</v>
      </c>
      <c r="E16" s="54" t="s">
        <v>41</v>
      </c>
      <c r="F16" s="54" t="s">
        <v>42</v>
      </c>
      <c r="G16" s="54" t="s">
        <v>43</v>
      </c>
      <c r="H16" s="54" t="s">
        <v>49</v>
      </c>
      <c r="I16" s="54" t="s">
        <v>44</v>
      </c>
      <c r="J16" s="54" t="s">
        <v>3</v>
      </c>
    </row>
    <row r="17" spans="1:10" x14ac:dyDescent="0.25">
      <c r="A17" s="39">
        <v>45187</v>
      </c>
      <c r="B17" s="40">
        <v>2303941</v>
      </c>
      <c r="C17" s="40" t="s">
        <v>51</v>
      </c>
      <c r="D17" s="41">
        <v>8209.42</v>
      </c>
      <c r="E17" s="41">
        <v>2500</v>
      </c>
      <c r="F17" s="41">
        <f>57.09+881.28</f>
        <v>938.37</v>
      </c>
      <c r="G17" s="41">
        <f>D17-E17+F17</f>
        <v>6647.79</v>
      </c>
      <c r="H17" s="41">
        <v>0</v>
      </c>
      <c r="I17" s="41">
        <v>0</v>
      </c>
      <c r="J17" s="41">
        <f>G17-H17+I17</f>
        <v>6647.79</v>
      </c>
    </row>
    <row r="18" spans="1:10" x14ac:dyDescent="0.25">
      <c r="C18" s="28" t="s">
        <v>3</v>
      </c>
      <c r="D18" s="44">
        <f t="shared" ref="D18:J18" si="2">SUM(D15:D17)</f>
        <v>8209.42</v>
      </c>
      <c r="E18" s="44">
        <f t="shared" si="2"/>
        <v>2500</v>
      </c>
      <c r="F18" s="44">
        <f t="shared" si="2"/>
        <v>938.37</v>
      </c>
      <c r="G18" s="44">
        <f t="shared" si="2"/>
        <v>6647.79</v>
      </c>
      <c r="H18" s="44">
        <v>0</v>
      </c>
      <c r="I18" s="44">
        <f t="shared" si="2"/>
        <v>0</v>
      </c>
      <c r="J18" s="44">
        <f t="shared" si="2"/>
        <v>6647.79</v>
      </c>
    </row>
    <row r="19" spans="1:10" x14ac:dyDescent="0.25">
      <c r="D19" s="2"/>
      <c r="E19" s="2"/>
      <c r="F19" s="2"/>
      <c r="G19" s="2"/>
      <c r="H19" s="2"/>
      <c r="I19" s="2"/>
      <c r="J19" s="2"/>
    </row>
    <row r="20" spans="1:10" ht="15.75" x14ac:dyDescent="0.25">
      <c r="A20" s="34">
        <v>2024</v>
      </c>
      <c r="B20" s="35"/>
      <c r="C20" s="35"/>
      <c r="D20" s="53"/>
      <c r="E20" s="53"/>
      <c r="F20" s="53"/>
      <c r="G20" s="53"/>
      <c r="H20" s="53"/>
      <c r="I20" s="53"/>
      <c r="J20" s="53"/>
    </row>
    <row r="21" spans="1:10" x14ac:dyDescent="0.25">
      <c r="A21" s="37" t="s">
        <v>38</v>
      </c>
      <c r="B21" s="37" t="s">
        <v>39</v>
      </c>
      <c r="C21" s="37" t="s">
        <v>9</v>
      </c>
      <c r="D21" s="54" t="s">
        <v>40</v>
      </c>
      <c r="E21" s="54" t="s">
        <v>41</v>
      </c>
      <c r="F21" s="54" t="s">
        <v>42</v>
      </c>
      <c r="G21" s="54" t="s">
        <v>43</v>
      </c>
      <c r="H21" s="54" t="s">
        <v>49</v>
      </c>
      <c r="I21" s="54" t="s">
        <v>44</v>
      </c>
      <c r="J21" s="54" t="s">
        <v>3</v>
      </c>
    </row>
    <row r="22" spans="1:10" x14ac:dyDescent="0.25">
      <c r="A22" s="26">
        <v>45324</v>
      </c>
      <c r="B22" s="1">
        <v>2400367</v>
      </c>
      <c r="C22" s="1" t="s">
        <v>52</v>
      </c>
      <c r="D22" s="5">
        <v>6287.92</v>
      </c>
      <c r="E22" s="5">
        <v>2500</v>
      </c>
      <c r="F22" s="5">
        <f>37.88+1803.08</f>
        <v>1840.96</v>
      </c>
      <c r="G22" s="5">
        <f>D22-E22+F22</f>
        <v>5628.88</v>
      </c>
      <c r="H22" s="5">
        <v>0</v>
      </c>
      <c r="I22" s="5">
        <v>0</v>
      </c>
      <c r="J22" s="5">
        <f>G22-H22+I22</f>
        <v>5628.88</v>
      </c>
    </row>
    <row r="23" spans="1:10" x14ac:dyDescent="0.25">
      <c r="C23" s="28" t="s">
        <v>3</v>
      </c>
      <c r="D23" s="44">
        <f t="shared" ref="D23:J23" si="3">SUM(D20:D22)</f>
        <v>6287.92</v>
      </c>
      <c r="E23" s="44">
        <f t="shared" si="3"/>
        <v>2500</v>
      </c>
      <c r="F23" s="44">
        <f t="shared" si="3"/>
        <v>1840.96</v>
      </c>
      <c r="G23" s="44">
        <f t="shared" si="3"/>
        <v>5628.88</v>
      </c>
      <c r="H23" s="44">
        <v>0</v>
      </c>
      <c r="I23" s="44">
        <f t="shared" si="3"/>
        <v>0</v>
      </c>
      <c r="J23" s="44">
        <f t="shared" si="3"/>
        <v>5628.88</v>
      </c>
    </row>
    <row r="24" spans="1:10" x14ac:dyDescent="0.25">
      <c r="D24" s="2"/>
      <c r="E24" s="2"/>
      <c r="F24" s="2"/>
      <c r="G24" s="2"/>
      <c r="H24" s="2"/>
      <c r="I24" s="2"/>
      <c r="J24" s="2"/>
    </row>
    <row r="25" spans="1:10" ht="15.75" x14ac:dyDescent="0.25">
      <c r="A25" s="34">
        <v>2025</v>
      </c>
      <c r="B25" s="35"/>
      <c r="C25" s="35"/>
      <c r="D25" s="53"/>
      <c r="E25" s="53"/>
      <c r="F25" s="53"/>
      <c r="G25" s="53"/>
      <c r="H25" s="53"/>
      <c r="I25" s="53"/>
      <c r="J25" s="53"/>
    </row>
    <row r="26" spans="1:10" x14ac:dyDescent="0.25">
      <c r="A26" s="37" t="s">
        <v>38</v>
      </c>
      <c r="B26" s="37" t="s">
        <v>39</v>
      </c>
      <c r="C26" s="37" t="s">
        <v>9</v>
      </c>
      <c r="D26" s="54" t="s">
        <v>40</v>
      </c>
      <c r="E26" s="54" t="s">
        <v>41</v>
      </c>
      <c r="F26" s="54" t="s">
        <v>42</v>
      </c>
      <c r="G26" s="54" t="s">
        <v>43</v>
      </c>
      <c r="H26" s="54" t="s">
        <v>49</v>
      </c>
      <c r="I26" s="54" t="s">
        <v>44</v>
      </c>
      <c r="J26" s="54" t="s">
        <v>3</v>
      </c>
    </row>
    <row r="27" spans="1:10" x14ac:dyDescent="0.25">
      <c r="A27" s="39">
        <v>45665</v>
      </c>
      <c r="B27" s="40">
        <v>2500130</v>
      </c>
      <c r="C27" s="40" t="s">
        <v>53</v>
      </c>
      <c r="D27" s="41">
        <v>3000</v>
      </c>
      <c r="E27" s="41">
        <v>2500</v>
      </c>
      <c r="F27" s="41">
        <v>0</v>
      </c>
      <c r="G27" s="41">
        <v>0</v>
      </c>
      <c r="H27" s="41">
        <v>0</v>
      </c>
      <c r="I27" s="41">
        <v>500</v>
      </c>
      <c r="J27" s="41">
        <v>500</v>
      </c>
    </row>
    <row r="28" spans="1:10" x14ac:dyDescent="0.25">
      <c r="A28" s="26">
        <v>45733</v>
      </c>
      <c r="B28" s="1">
        <v>2501327</v>
      </c>
      <c r="C28" s="1" t="s">
        <v>54</v>
      </c>
      <c r="D28" s="5">
        <v>2200</v>
      </c>
      <c r="E28" s="5">
        <v>2500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</row>
    <row r="29" spans="1:10" x14ac:dyDescent="0.25">
      <c r="C29" s="28" t="s">
        <v>3</v>
      </c>
      <c r="D29" s="44">
        <f t="shared" ref="D29:G29" si="4">SUM(D25:D28)</f>
        <v>5200</v>
      </c>
      <c r="E29" s="44">
        <f t="shared" si="4"/>
        <v>5000</v>
      </c>
      <c r="F29" s="44">
        <f t="shared" si="4"/>
        <v>0</v>
      </c>
      <c r="G29" s="44">
        <f t="shared" si="4"/>
        <v>0</v>
      </c>
      <c r="H29" s="44"/>
      <c r="I29" s="44">
        <f t="shared" ref="I29:J29" si="5">SUM(I25:I28)</f>
        <v>500</v>
      </c>
      <c r="J29" s="44">
        <f t="shared" si="5"/>
        <v>500</v>
      </c>
    </row>
  </sheetData>
  <pageMargins left="0.7" right="0.7" top="0.75" bottom="0.75" header="0.3" footer="0.3"/>
  <pageSetup paperSize="9" orientation="portrait" horizont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S1" workbookViewId="0">
      <selection activeCell="S1" sqref="S1"/>
    </sheetView>
  </sheetViews>
  <sheetFormatPr defaultRowHeight="15" x14ac:dyDescent="0.25"/>
  <cols>
    <col min="1" max="1" width="41.42578125" bestFit="1" customWidth="1"/>
    <col min="2" max="2" width="12.42578125" bestFit="1" customWidth="1"/>
    <col min="3" max="3" width="20.140625" bestFit="1" customWidth="1"/>
    <col min="4" max="4" width="14.42578125" hidden="1" customWidth="1"/>
    <col min="5" max="5" width="17.5703125" hidden="1" customWidth="1"/>
    <col min="6" max="6" width="16.42578125" hidden="1" customWidth="1"/>
    <col min="7" max="7" width="20" hidden="1" customWidth="1"/>
    <col min="8" max="8" width="19.42578125" hidden="1" customWidth="1"/>
    <col min="9" max="9" width="23" hidden="1" customWidth="1"/>
    <col min="10" max="10" width="16.42578125" hidden="1" customWidth="1"/>
    <col min="11" max="11" width="20" hidden="1" customWidth="1"/>
    <col min="12" max="12" width="16.42578125" hidden="1" customWidth="1"/>
    <col min="13" max="13" width="20" hidden="1" customWidth="1"/>
    <col min="14" max="14" width="19.42578125" hidden="1" customWidth="1"/>
    <col min="15" max="15" width="23" hidden="1" customWidth="1"/>
    <col min="16" max="16" width="16.42578125" hidden="1" customWidth="1"/>
    <col min="17" max="17" width="20" hidden="1" customWidth="1"/>
    <col min="18" max="18" width="16.42578125" bestFit="1" customWidth="1"/>
    <col min="19" max="19" width="20" bestFit="1" customWidth="1"/>
    <col min="20" max="20" width="24.5703125" bestFit="1" customWidth="1"/>
    <col min="21" max="21" width="26.85546875" bestFit="1" customWidth="1"/>
    <col min="22" max="22" width="17.42578125" bestFit="1" customWidth="1"/>
    <col min="23" max="23" width="20.42578125" bestFit="1" customWidth="1"/>
    <col min="24" max="24" width="16.42578125" bestFit="1" customWidth="1"/>
    <col min="25" max="25" width="13.42578125" bestFit="1" customWidth="1"/>
  </cols>
  <sheetData>
    <row r="1" spans="1:19" x14ac:dyDescent="0.25">
      <c r="A1" s="4" t="s">
        <v>7</v>
      </c>
      <c r="S1" s="3" t="s">
        <v>11</v>
      </c>
    </row>
    <row r="2" spans="1:19" x14ac:dyDescent="0.25">
      <c r="A2" s="4" t="s">
        <v>8</v>
      </c>
    </row>
    <row r="3" spans="1:19" x14ac:dyDescent="0.25">
      <c r="S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/>
  </sheetViews>
  <sheetFormatPr defaultRowHeight="15" x14ac:dyDescent="0.25"/>
  <cols>
    <col min="1" max="1" width="40.140625" bestFit="1" customWidth="1"/>
    <col min="2" max="2" width="31.85546875" bestFit="1" customWidth="1"/>
    <col min="3" max="3" width="26" bestFit="1" customWidth="1"/>
    <col min="4" max="4" width="16.42578125" hidden="1" customWidth="1"/>
    <col min="5" max="5" width="20" hidden="1" customWidth="1"/>
    <col min="6" max="6" width="16.140625" hidden="1" customWidth="1"/>
    <col min="7" max="7" width="16.42578125" hidden="1" customWidth="1"/>
    <col min="8" max="8" width="20" hidden="1" customWidth="1"/>
    <col min="9" max="9" width="16.42578125" hidden="1" customWidth="1"/>
    <col min="10" max="10" width="20" hidden="1" customWidth="1"/>
    <col min="11" max="11" width="16.42578125" hidden="1" customWidth="1"/>
    <col min="12" max="12" width="20" hidden="1" customWidth="1"/>
    <col min="13" max="13" width="16.42578125" hidden="1" customWidth="1"/>
    <col min="14" max="14" width="20" hidden="1" customWidth="1"/>
    <col min="15" max="15" width="16.42578125" bestFit="1" customWidth="1"/>
    <col min="16" max="16" width="20" bestFit="1" customWidth="1"/>
    <col min="17" max="17" width="24.5703125" bestFit="1" customWidth="1"/>
    <col min="18" max="18" width="26.85546875" bestFit="1" customWidth="1"/>
    <col min="19" max="19" width="17.42578125" bestFit="1" customWidth="1"/>
    <col min="20" max="20" width="20.42578125" bestFit="1" customWidth="1"/>
    <col min="21" max="21" width="16.42578125" bestFit="1" customWidth="1"/>
    <col min="22" max="22" width="13.42578125" bestFit="1" customWidth="1"/>
  </cols>
  <sheetData>
    <row r="1" spans="1:16" x14ac:dyDescent="0.25">
      <c r="A1" s="3" t="s">
        <v>13</v>
      </c>
    </row>
    <row r="3" spans="1:16" x14ac:dyDescent="0.25">
      <c r="A3" t="s">
        <v>55</v>
      </c>
    </row>
    <row r="8" spans="1:16" x14ac:dyDescent="0.25">
      <c r="P8" t="s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/>
  </sheetViews>
  <sheetFormatPr defaultRowHeight="15" x14ac:dyDescent="0.25"/>
  <cols>
    <col min="1" max="1" width="64.28515625" bestFit="1" customWidth="1"/>
    <col min="2" max="2" width="21" bestFit="1" customWidth="1"/>
    <col min="3" max="3" width="24.140625" bestFit="1" customWidth="1"/>
    <col min="4" max="4" width="11.140625" hidden="1" customWidth="1"/>
    <col min="5" max="5" width="10.28515625" hidden="1" customWidth="1"/>
    <col min="6" max="6" width="13.140625" hidden="1" customWidth="1"/>
    <col min="7" max="7" width="12.140625" hidden="1" customWidth="1"/>
    <col min="8" max="8" width="13.140625" hidden="1" customWidth="1"/>
    <col min="9" max="9" width="12.140625" hidden="1" customWidth="1"/>
    <col min="10" max="10" width="13.140625" hidden="1" customWidth="1"/>
    <col min="11" max="11" width="12.140625" hidden="1" customWidth="1"/>
    <col min="12" max="12" width="15.5703125" hidden="1" customWidth="1"/>
    <col min="13" max="13" width="14.5703125" hidden="1" customWidth="1"/>
    <col min="14" max="14" width="12.85546875" bestFit="1" customWidth="1"/>
    <col min="15" max="15" width="13.140625" bestFit="1" customWidth="1"/>
    <col min="16" max="16" width="24.5703125" bestFit="1" customWidth="1"/>
    <col min="17" max="17" width="26.85546875" bestFit="1" customWidth="1"/>
    <col min="18" max="18" width="17.42578125" bestFit="1" customWidth="1"/>
    <col min="19" max="19" width="20.42578125" bestFit="1" customWidth="1"/>
    <col min="20" max="20" width="16.42578125" bestFit="1" customWidth="1"/>
    <col min="21" max="21" width="13.42578125" bestFit="1" customWidth="1"/>
  </cols>
  <sheetData>
    <row r="1" spans="1:1" x14ac:dyDescent="0.25">
      <c r="A1" s="3" t="s">
        <v>16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98" zoomScaleNormal="98" workbookViewId="0">
      <selection activeCell="E21" sqref="E21"/>
    </sheetView>
  </sheetViews>
  <sheetFormatPr defaultRowHeight="15" x14ac:dyDescent="0.25"/>
  <cols>
    <col min="1" max="1" width="16.85546875" bestFit="1" customWidth="1"/>
    <col min="2" max="2" width="8.85546875" bestFit="1" customWidth="1"/>
    <col min="3" max="3" width="31.140625" bestFit="1" customWidth="1"/>
    <col min="4" max="4" width="11.7109375" bestFit="1" customWidth="1"/>
    <col min="5" max="5" width="11.85546875" bestFit="1" customWidth="1"/>
    <col min="6" max="6" width="8" bestFit="1" customWidth="1"/>
    <col min="7" max="7" width="10.5703125" bestFit="1" customWidth="1"/>
    <col min="8" max="8" width="9" bestFit="1" customWidth="1"/>
    <col min="9" max="9" width="10.5703125" bestFit="1" customWidth="1"/>
    <col min="10" max="10" width="20" customWidth="1"/>
    <col min="11" max="11" width="16.42578125" customWidth="1"/>
    <col min="12" max="12" width="20" customWidth="1"/>
    <col min="13" max="13" width="16.42578125" customWidth="1"/>
    <col min="14" max="14" width="20" customWidth="1"/>
    <col min="15" max="15" width="16.42578125" bestFit="1" customWidth="1"/>
    <col min="16" max="16" width="20" bestFit="1" customWidth="1"/>
    <col min="17" max="17" width="24.5703125" bestFit="1" customWidth="1"/>
    <col min="18" max="18" width="26.85546875" bestFit="1" customWidth="1"/>
    <col min="19" max="19" width="17.42578125" bestFit="1" customWidth="1"/>
    <col min="20" max="20" width="20.42578125" bestFit="1" customWidth="1"/>
    <col min="21" max="21" width="16.42578125" bestFit="1" customWidth="1"/>
    <col min="22" max="22" width="13.42578125" bestFit="1" customWidth="1"/>
  </cols>
  <sheetData>
    <row r="1" spans="1:10" x14ac:dyDescent="0.25">
      <c r="A1" s="3" t="s">
        <v>18</v>
      </c>
    </row>
    <row r="3" spans="1:10" ht="15.75" x14ac:dyDescent="0.25">
      <c r="A3" s="34">
        <v>2021</v>
      </c>
      <c r="D3" s="11"/>
      <c r="E3" s="11"/>
      <c r="F3" s="11"/>
      <c r="G3" s="11"/>
      <c r="H3" s="11"/>
      <c r="I3" s="11"/>
    </row>
    <row r="4" spans="1:10" x14ac:dyDescent="0.25">
      <c r="A4" s="37" t="s">
        <v>38</v>
      </c>
      <c r="B4" s="37" t="s">
        <v>39</v>
      </c>
      <c r="C4" s="37" t="s">
        <v>9</v>
      </c>
      <c r="D4" s="38" t="s">
        <v>40</v>
      </c>
      <c r="E4" s="38" t="s">
        <v>41</v>
      </c>
      <c r="F4" s="38" t="s">
        <v>42</v>
      </c>
      <c r="G4" s="38" t="s">
        <v>43</v>
      </c>
      <c r="H4" s="38" t="s">
        <v>44</v>
      </c>
      <c r="I4" s="38" t="s">
        <v>3</v>
      </c>
    </row>
    <row r="5" spans="1:10" x14ac:dyDescent="0.25">
      <c r="A5" s="26">
        <v>44508</v>
      </c>
      <c r="B5" s="1">
        <v>2104977</v>
      </c>
      <c r="C5" s="1" t="s">
        <v>56</v>
      </c>
      <c r="D5" s="5">
        <v>4720.05</v>
      </c>
      <c r="E5" s="5">
        <v>2500</v>
      </c>
      <c r="F5" s="5">
        <f>22.2+1.58</f>
        <v>23.78</v>
      </c>
      <c r="G5" s="5">
        <f>D5-E5+F5</f>
        <v>2243.8300000000004</v>
      </c>
      <c r="H5" s="5">
        <v>0</v>
      </c>
      <c r="I5" s="5">
        <f>G5</f>
        <v>2243.8300000000004</v>
      </c>
    </row>
    <row r="6" spans="1:10" x14ac:dyDescent="0.25">
      <c r="A6" s="26">
        <v>44448</v>
      </c>
      <c r="B6" s="1">
        <v>2103319</v>
      </c>
      <c r="C6" s="1" t="s">
        <v>57</v>
      </c>
      <c r="D6" s="5">
        <v>5517.6</v>
      </c>
      <c r="E6" s="5">
        <v>2500</v>
      </c>
      <c r="F6" s="5"/>
      <c r="G6" s="5"/>
      <c r="H6" s="5"/>
      <c r="I6" s="5"/>
    </row>
    <row r="7" spans="1:10" x14ac:dyDescent="0.25">
      <c r="C7" s="28"/>
      <c r="D7" s="44">
        <f>SUM(D5:D6)</f>
        <v>10237.650000000001</v>
      </c>
      <c r="E7" s="44">
        <f t="shared" ref="E7:I7" si="0">SUM(E5:E6)</f>
        <v>5000</v>
      </c>
      <c r="F7" s="44">
        <f t="shared" si="0"/>
        <v>23.78</v>
      </c>
      <c r="G7" s="44">
        <f t="shared" si="0"/>
        <v>2243.8300000000004</v>
      </c>
      <c r="H7" s="44">
        <f t="shared" si="0"/>
        <v>0</v>
      </c>
      <c r="I7" s="44">
        <f t="shared" si="0"/>
        <v>2243.8300000000004</v>
      </c>
    </row>
    <row r="8" spans="1:10" x14ac:dyDescent="0.25">
      <c r="C8" s="55"/>
      <c r="D8" s="56"/>
      <c r="E8" s="56"/>
      <c r="F8" s="56"/>
      <c r="G8" s="56"/>
      <c r="H8" s="56"/>
      <c r="I8" s="56"/>
    </row>
    <row r="9" spans="1:10" ht="15.75" x14ac:dyDescent="0.25">
      <c r="A9" s="34">
        <v>2023</v>
      </c>
      <c r="D9" s="11"/>
      <c r="E9" s="11"/>
      <c r="F9" s="11"/>
      <c r="G9" s="11"/>
      <c r="H9" s="11"/>
      <c r="I9" s="11"/>
    </row>
    <row r="10" spans="1:10" x14ac:dyDescent="0.25">
      <c r="A10" s="37" t="s">
        <v>38</v>
      </c>
      <c r="B10" s="37" t="s">
        <v>39</v>
      </c>
      <c r="C10" s="37" t="s">
        <v>9</v>
      </c>
      <c r="D10" s="38" t="s">
        <v>40</v>
      </c>
      <c r="E10" s="38" t="s">
        <v>41</v>
      </c>
      <c r="F10" s="38" t="s">
        <v>42</v>
      </c>
      <c r="G10" s="38" t="s">
        <v>43</v>
      </c>
      <c r="H10" s="38" t="s">
        <v>44</v>
      </c>
      <c r="I10" s="38" t="s">
        <v>3</v>
      </c>
    </row>
    <row r="11" spans="1:10" x14ac:dyDescent="0.25">
      <c r="A11" s="26">
        <v>44998</v>
      </c>
      <c r="B11" s="1">
        <v>2300897</v>
      </c>
      <c r="C11" s="1" t="s">
        <v>58</v>
      </c>
      <c r="D11" s="5">
        <v>4088.59</v>
      </c>
      <c r="E11" s="5">
        <v>2500</v>
      </c>
      <c r="F11" s="5">
        <f>15.89+0.52</f>
        <v>16.41</v>
      </c>
      <c r="G11" s="5">
        <f>D11-E11+F11</f>
        <v>1605.0000000000002</v>
      </c>
      <c r="H11" s="5">
        <v>0</v>
      </c>
      <c r="I11" s="5">
        <f>G11</f>
        <v>1605.0000000000002</v>
      </c>
    </row>
    <row r="12" spans="1:10" x14ac:dyDescent="0.25">
      <c r="A12" s="12"/>
      <c r="B12" s="12"/>
      <c r="C12" s="28"/>
      <c r="D12" s="44">
        <f t="shared" ref="D12:I12" si="1">SUM(D11:D11)</f>
        <v>4088.59</v>
      </c>
      <c r="E12" s="44">
        <f t="shared" si="1"/>
        <v>2500</v>
      </c>
      <c r="F12" s="44">
        <f t="shared" si="1"/>
        <v>16.41</v>
      </c>
      <c r="G12" s="44">
        <f t="shared" si="1"/>
        <v>1605.0000000000002</v>
      </c>
      <c r="H12" s="44">
        <f t="shared" si="1"/>
        <v>0</v>
      </c>
      <c r="I12" s="44">
        <f t="shared" si="1"/>
        <v>1605.0000000000002</v>
      </c>
    </row>
    <row r="13" spans="1:10" x14ac:dyDescent="0.25">
      <c r="A13" s="12"/>
      <c r="B13" s="12"/>
      <c r="C13" s="55"/>
      <c r="D13" s="56"/>
      <c r="E13" s="56"/>
      <c r="F13" s="56"/>
      <c r="G13" s="56"/>
      <c r="H13" s="56"/>
      <c r="I13" s="56"/>
    </row>
    <row r="14" spans="1:10" ht="15.75" x14ac:dyDescent="0.25">
      <c r="A14" s="57">
        <v>2024</v>
      </c>
      <c r="B14" s="12"/>
      <c r="C14" s="55"/>
      <c r="D14" s="56"/>
      <c r="E14" s="56"/>
      <c r="F14" s="56"/>
      <c r="G14" s="56"/>
      <c r="H14" s="56"/>
      <c r="I14" s="56"/>
      <c r="J14" s="12"/>
    </row>
    <row r="15" spans="1:10" x14ac:dyDescent="0.25">
      <c r="A15" s="37" t="s">
        <v>38</v>
      </c>
      <c r="B15" s="37" t="s">
        <v>39</v>
      </c>
      <c r="C15" s="37" t="s">
        <v>9</v>
      </c>
      <c r="D15" s="38" t="s">
        <v>40</v>
      </c>
      <c r="E15" s="38" t="s">
        <v>41</v>
      </c>
      <c r="F15" s="38" t="s">
        <v>42</v>
      </c>
      <c r="G15" s="38" t="s">
        <v>43</v>
      </c>
      <c r="H15" s="38" t="s">
        <v>44</v>
      </c>
      <c r="I15" s="38" t="s">
        <v>3</v>
      </c>
    </row>
    <row r="16" spans="1:10" x14ac:dyDescent="0.25">
      <c r="A16" s="26">
        <v>45371</v>
      </c>
      <c r="B16" s="1">
        <v>2401078</v>
      </c>
      <c r="C16" s="1" t="s">
        <v>59</v>
      </c>
      <c r="D16" s="5">
        <v>4439.7</v>
      </c>
      <c r="E16" s="5">
        <v>2500</v>
      </c>
      <c r="F16" s="5">
        <f>19.4+0.9</f>
        <v>20.299999999999997</v>
      </c>
      <c r="G16" s="5">
        <f>D16-E16+F16</f>
        <v>1959.9999999999998</v>
      </c>
      <c r="H16" s="5">
        <v>0</v>
      </c>
      <c r="I16" s="5">
        <f>G16</f>
        <v>1959.9999999999998</v>
      </c>
    </row>
    <row r="17" spans="3:9" x14ac:dyDescent="0.25">
      <c r="C17" s="28"/>
      <c r="D17" s="44">
        <f>SUM(D16)</f>
        <v>4439.7</v>
      </c>
      <c r="E17" s="44">
        <f t="shared" ref="E17:I17" si="2">SUM(E16)</f>
        <v>2500</v>
      </c>
      <c r="F17" s="44">
        <f t="shared" si="2"/>
        <v>20.299999999999997</v>
      </c>
      <c r="G17" s="44">
        <f t="shared" si="2"/>
        <v>1959.9999999999998</v>
      </c>
      <c r="H17" s="44">
        <f t="shared" si="2"/>
        <v>0</v>
      </c>
      <c r="I17" s="44">
        <f t="shared" si="2"/>
        <v>1959.9999999999998</v>
      </c>
    </row>
  </sheetData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selection activeCell="B19" sqref="B19"/>
    </sheetView>
  </sheetViews>
  <sheetFormatPr defaultRowHeight="15" x14ac:dyDescent="0.25"/>
  <cols>
    <col min="1" max="1" width="61.140625" customWidth="1"/>
    <col min="2" max="2" width="25.7109375" bestFit="1" customWidth="1"/>
    <col min="3" max="3" width="19.5703125" bestFit="1" customWidth="1"/>
    <col min="4" max="4" width="14.42578125" customWidth="1"/>
    <col min="5" max="5" width="20" customWidth="1"/>
    <col min="6" max="6" width="16.7109375" customWidth="1"/>
    <col min="7" max="7" width="20" customWidth="1"/>
    <col min="8" max="8" width="11.5703125" customWidth="1"/>
    <col min="9" max="9" width="13.7109375" customWidth="1"/>
    <col min="10" max="10" width="16.28515625" customWidth="1"/>
    <col min="11" max="11" width="13.7109375" customWidth="1"/>
    <col min="12" max="12" width="16.28515625" customWidth="1"/>
    <col min="13" max="13" width="13.7109375" customWidth="1"/>
    <col min="14" max="14" width="16.28515625" customWidth="1"/>
    <col min="15" max="15" width="13.7109375" bestFit="1" customWidth="1"/>
    <col min="16" max="16" width="16.28515625" bestFit="1" customWidth="1"/>
    <col min="17" max="17" width="33.28515625" bestFit="1" customWidth="1"/>
    <col min="18" max="18" width="26.85546875" bestFit="1" customWidth="1"/>
    <col min="19" max="19" width="17.42578125" bestFit="1" customWidth="1"/>
    <col min="20" max="20" width="20.42578125" bestFit="1" customWidth="1"/>
    <col min="21" max="21" width="16.42578125" bestFit="1" customWidth="1"/>
    <col min="22" max="22" width="13.42578125" bestFit="1" customWidth="1"/>
  </cols>
  <sheetData>
    <row r="1" spans="1:16" x14ac:dyDescent="0.25">
      <c r="A1" s="30" t="s">
        <v>35</v>
      </c>
      <c r="B1" s="31"/>
      <c r="C1" s="14"/>
      <c r="D1" s="32"/>
      <c r="H1" s="33"/>
      <c r="I1" s="33"/>
      <c r="J1" s="33"/>
      <c r="K1" s="33"/>
      <c r="L1" s="33"/>
      <c r="M1" s="33"/>
      <c r="N1" s="33"/>
      <c r="O1" s="33"/>
      <c r="P1" s="33"/>
    </row>
    <row r="3" spans="1:16" s="58" customFormat="1" ht="15.75" x14ac:dyDescent="0.25">
      <c r="A3" s="34">
        <v>2021</v>
      </c>
      <c r="D3" s="59"/>
      <c r="E3" s="59"/>
      <c r="F3" s="59"/>
      <c r="G3" s="59"/>
      <c r="H3" s="59"/>
      <c r="I3" s="59"/>
    </row>
    <row r="4" spans="1:16" s="58" customFormat="1" x14ac:dyDescent="0.25">
      <c r="A4" s="25" t="s">
        <v>38</v>
      </c>
      <c r="B4" s="25" t="s">
        <v>39</v>
      </c>
      <c r="C4" s="25" t="s">
        <v>9</v>
      </c>
      <c r="D4" s="60" t="s">
        <v>40</v>
      </c>
      <c r="E4" s="60" t="s">
        <v>41</v>
      </c>
      <c r="F4" s="60" t="s">
        <v>42</v>
      </c>
      <c r="G4" s="60" t="s">
        <v>43</v>
      </c>
      <c r="H4" s="60" t="s">
        <v>44</v>
      </c>
      <c r="I4" s="60" t="s">
        <v>3</v>
      </c>
    </row>
    <row r="5" spans="1:16" s="58" customFormat="1" x14ac:dyDescent="0.25">
      <c r="A5" s="49">
        <v>44449</v>
      </c>
      <c r="B5" s="50">
        <v>2103510</v>
      </c>
      <c r="C5" s="50" t="s">
        <v>60</v>
      </c>
      <c r="D5" s="15">
        <v>6477.95</v>
      </c>
      <c r="E5" s="15">
        <v>2500</v>
      </c>
      <c r="F5" s="15">
        <f>39.78+1.27</f>
        <v>41.050000000000004</v>
      </c>
      <c r="G5" s="15">
        <f>D5-E5+F5</f>
        <v>4019</v>
      </c>
      <c r="H5" s="15">
        <v>0</v>
      </c>
      <c r="I5" s="15">
        <f>G5+H5</f>
        <v>4019</v>
      </c>
    </row>
    <row r="6" spans="1:16" s="58" customFormat="1" x14ac:dyDescent="0.25">
      <c r="C6" s="25" t="s">
        <v>25</v>
      </c>
      <c r="D6" s="60">
        <f t="shared" ref="D6:I6" si="0">SUM(D5)</f>
        <v>6477.95</v>
      </c>
      <c r="E6" s="60">
        <f t="shared" si="0"/>
        <v>2500</v>
      </c>
      <c r="F6" s="60">
        <f t="shared" si="0"/>
        <v>41.050000000000004</v>
      </c>
      <c r="G6" s="60">
        <f t="shared" si="0"/>
        <v>4019</v>
      </c>
      <c r="H6" s="60">
        <f t="shared" si="0"/>
        <v>0</v>
      </c>
      <c r="I6" s="60">
        <f t="shared" si="0"/>
        <v>4019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A17" sqref="A17"/>
    </sheetView>
  </sheetViews>
  <sheetFormatPr defaultColWidth="9" defaultRowHeight="15" x14ac:dyDescent="0.25"/>
  <cols>
    <col min="1" max="1" width="50.7109375" bestFit="1" customWidth="1"/>
    <col min="2" max="2" width="15.7109375" bestFit="1" customWidth="1"/>
    <col min="3" max="3" width="25.5703125" bestFit="1" customWidth="1"/>
    <col min="4" max="4" width="16.7109375" customWidth="1"/>
    <col min="5" max="5" width="20" customWidth="1"/>
    <col min="6" max="6" width="12" customWidth="1"/>
    <col min="7" max="7" width="16.7109375" customWidth="1"/>
    <col min="8" max="8" width="20" customWidth="1"/>
    <col min="9" max="9" width="16.42578125" customWidth="1"/>
    <col min="10" max="10" width="20" customWidth="1"/>
    <col min="11" max="11" width="16.42578125" customWidth="1"/>
    <col min="12" max="12" width="20" customWidth="1"/>
    <col min="13" max="13" width="17.42578125" customWidth="1"/>
    <col min="14" max="14" width="20.85546875" customWidth="1"/>
    <col min="15" max="15" width="17.42578125" bestFit="1" customWidth="1"/>
    <col min="16" max="16" width="20.85546875" bestFit="1" customWidth="1"/>
    <col min="17" max="17" width="24.5703125" bestFit="1" customWidth="1"/>
    <col min="18" max="18" width="26.85546875" bestFit="1" customWidth="1"/>
    <col min="19" max="19" width="17.42578125" bestFit="1" customWidth="1"/>
    <col min="20" max="20" width="20.42578125" bestFit="1" customWidth="1"/>
    <col min="21" max="21" width="16.42578125" bestFit="1" customWidth="1"/>
    <col min="22" max="22" width="13.42578125" bestFit="1" customWidth="1"/>
  </cols>
  <sheetData>
    <row r="1" spans="1:14" x14ac:dyDescent="0.25">
      <c r="A1" s="6" t="s">
        <v>15</v>
      </c>
      <c r="B1" s="7"/>
      <c r="C1" s="7"/>
      <c r="D1" s="8"/>
      <c r="E1" s="8"/>
      <c r="F1" s="8"/>
      <c r="G1" s="9"/>
      <c r="M1" s="10"/>
      <c r="N1" s="11"/>
    </row>
    <row r="3" spans="1:14" x14ac:dyDescent="0.25">
      <c r="A3" t="s">
        <v>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/>
  </sheetViews>
  <sheetFormatPr defaultRowHeight="15" x14ac:dyDescent="0.25"/>
  <cols>
    <col min="1" max="1" width="15.7109375" bestFit="1" customWidth="1"/>
    <col min="2" max="2" width="25.85546875" bestFit="1" customWidth="1"/>
    <col min="3" max="3" width="12" hidden="1" customWidth="1"/>
    <col min="4" max="4" width="26.7109375" hidden="1" customWidth="1"/>
    <col min="5" max="5" width="12" hidden="1" customWidth="1"/>
    <col min="6" max="8" width="14.140625" hidden="1" customWidth="1"/>
    <col min="9" max="13" width="15.140625" hidden="1" customWidth="1"/>
    <col min="14" max="15" width="15.140625" bestFit="1" customWidth="1"/>
    <col min="16" max="16" width="24.5703125" bestFit="1" customWidth="1"/>
    <col min="17" max="17" width="26.85546875" bestFit="1" customWidth="1"/>
    <col min="18" max="18" width="17.42578125" bestFit="1" customWidth="1"/>
    <col min="19" max="19" width="20.42578125" bestFit="1" customWidth="1"/>
    <col min="20" max="20" width="16.42578125" bestFit="1" customWidth="1"/>
    <col min="21" max="21" width="13.42578125" bestFit="1" customWidth="1"/>
  </cols>
  <sheetData>
    <row r="1" spans="1:1" x14ac:dyDescent="0.25">
      <c r="A1" s="3" t="s">
        <v>24</v>
      </c>
    </row>
    <row r="3" spans="1:1" x14ac:dyDescent="0.25">
      <c r="A3" t="s">
        <v>55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Overzicht Schade</vt:lpstr>
      <vt:lpstr>1 VoCampus</vt:lpstr>
      <vt:lpstr>2. St. PRN Pro College </vt:lpstr>
      <vt:lpstr>3. St. Montessori Onderwijs</vt:lpstr>
      <vt:lpstr>4. St. SGVVS</vt:lpstr>
      <vt:lpstr>5. Stichting Conexus</vt:lpstr>
      <vt:lpstr>6. St. Sint Josephscholen</vt:lpstr>
      <vt:lpstr>7. St. De Geldershof</vt:lpstr>
      <vt:lpstr>8, St. Pallas Meander</vt:lpstr>
      <vt:lpstr>9, St. De Klokkenberg</vt:lpstr>
      <vt:lpstr>10. Gemeente Nijmegen</vt:lpstr>
      <vt:lpstr>11, VVE Rentmeesterlaan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Menno Rozema</dc:creator>
  <cp:lastModifiedBy>Menno Rozema</cp:lastModifiedBy>
  <dcterms:created xsi:type="dcterms:W3CDTF">2025-05-08T12:04:33Z</dcterms:created>
  <dcterms:modified xsi:type="dcterms:W3CDTF">2025-10-23T10:08:24Z</dcterms:modified>
</cp:coreProperties>
</file>