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Gennep\Brand\03) Concept aanbestedingsstukken\"/>
    </mc:Choice>
  </mc:AlternateContent>
  <bookViews>
    <workbookView xWindow="-120" yWindow="-120" windowWidth="51840" windowHeight="21120"/>
  </bookViews>
  <sheets>
    <sheet name="specificatie" sheetId="1" r:id="rId1"/>
  </sheets>
  <definedNames>
    <definedName name="_xlnm._FilterDatabase" localSheetId="0" hidden="1">specificatie!$A$1:$A$103</definedName>
    <definedName name="_xlnm.Print_Area" localSheetId="0">specificatie!$A$7:$AO$90</definedName>
    <definedName name="_xlnm.Print_Titles" localSheetId="0">specificatie!$7:$9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7" i="1" l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N60" i="1"/>
  <c r="AN59" i="1"/>
  <c r="AO59" i="1" s="1"/>
  <c r="AM60" i="1"/>
  <c r="AM59" i="1"/>
  <c r="AM58" i="1"/>
  <c r="AM57" i="1"/>
  <c r="AM56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3" i="1"/>
  <c r="AM12" i="1"/>
  <c r="AM11" i="1"/>
  <c r="AM14" i="1" l="1"/>
  <c r="AM79" i="1"/>
  <c r="AO60" i="1"/>
  <c r="AM62" i="1"/>
  <c r="AM82" i="1" s="1"/>
  <c r="AL60" i="1"/>
  <c r="AL59" i="1"/>
  <c r="AJ62" i="1"/>
  <c r="AK12" i="1"/>
  <c r="AJ79" i="1"/>
  <c r="AJ14" i="1"/>
  <c r="AL12" i="1" l="1"/>
  <c r="AN12" i="1"/>
  <c r="AO12" i="1" s="1"/>
  <c r="AJ82" i="1"/>
  <c r="AG69" i="1"/>
  <c r="AH31" i="1"/>
  <c r="AK31" i="1" s="1"/>
  <c r="AL31" i="1" l="1"/>
  <c r="AN31" i="1"/>
  <c r="AO31" i="1" s="1"/>
  <c r="AI78" i="1"/>
  <c r="AI61" i="1"/>
  <c r="AI12" i="1"/>
  <c r="AH77" i="1"/>
  <c r="AK77" i="1" s="1"/>
  <c r="AH76" i="1"/>
  <c r="AK76" i="1" s="1"/>
  <c r="AH75" i="1"/>
  <c r="AK75" i="1" s="1"/>
  <c r="AH74" i="1"/>
  <c r="AK74" i="1" s="1"/>
  <c r="AH73" i="1"/>
  <c r="AK73" i="1" s="1"/>
  <c r="AH72" i="1"/>
  <c r="AK72" i="1" s="1"/>
  <c r="AH71" i="1"/>
  <c r="AK71" i="1" s="1"/>
  <c r="AH70" i="1"/>
  <c r="AK70" i="1" s="1"/>
  <c r="AH69" i="1"/>
  <c r="AH68" i="1"/>
  <c r="AK68" i="1" s="1"/>
  <c r="AH67" i="1"/>
  <c r="AH66" i="1"/>
  <c r="AK66" i="1" s="1"/>
  <c r="AH65" i="1"/>
  <c r="AK65" i="1" s="1"/>
  <c r="AH55" i="1"/>
  <c r="AK55" i="1" s="1"/>
  <c r="AH54" i="1"/>
  <c r="AK54" i="1" s="1"/>
  <c r="AH53" i="1"/>
  <c r="AK53" i="1" s="1"/>
  <c r="AH52" i="1"/>
  <c r="AK52" i="1" s="1"/>
  <c r="AH51" i="1"/>
  <c r="AK51" i="1" s="1"/>
  <c r="AH50" i="1"/>
  <c r="AK50" i="1" s="1"/>
  <c r="AH49" i="1"/>
  <c r="AK49" i="1" s="1"/>
  <c r="AH48" i="1"/>
  <c r="AK48" i="1" s="1"/>
  <c r="AH47" i="1"/>
  <c r="AK47" i="1" s="1"/>
  <c r="AH46" i="1"/>
  <c r="AK46" i="1" s="1"/>
  <c r="AH45" i="1"/>
  <c r="AK45" i="1" s="1"/>
  <c r="AH44" i="1"/>
  <c r="AK44" i="1" s="1"/>
  <c r="AH43" i="1"/>
  <c r="AK43" i="1" s="1"/>
  <c r="AH42" i="1"/>
  <c r="AK42" i="1" s="1"/>
  <c r="AH41" i="1"/>
  <c r="AK41" i="1" s="1"/>
  <c r="AH40" i="1"/>
  <c r="AK40" i="1" s="1"/>
  <c r="AH39" i="1"/>
  <c r="AK39" i="1" s="1"/>
  <c r="AH38" i="1"/>
  <c r="AK38" i="1" s="1"/>
  <c r="AH37" i="1"/>
  <c r="AK37" i="1" s="1"/>
  <c r="AH36" i="1"/>
  <c r="AK36" i="1" s="1"/>
  <c r="AH35" i="1"/>
  <c r="AK35" i="1" s="1"/>
  <c r="AH34" i="1"/>
  <c r="AK34" i="1" s="1"/>
  <c r="AH33" i="1"/>
  <c r="AK33" i="1" s="1"/>
  <c r="AH30" i="1"/>
  <c r="AK30" i="1" s="1"/>
  <c r="AH29" i="1"/>
  <c r="AK29" i="1" s="1"/>
  <c r="AH28" i="1"/>
  <c r="AK28" i="1" s="1"/>
  <c r="AH24" i="1"/>
  <c r="AK24" i="1" s="1"/>
  <c r="AH23" i="1"/>
  <c r="AK23" i="1" s="1"/>
  <c r="AH22" i="1"/>
  <c r="AK22" i="1" s="1"/>
  <c r="AH21" i="1"/>
  <c r="AK21" i="1" s="1"/>
  <c r="AH20" i="1"/>
  <c r="AK20" i="1" s="1"/>
  <c r="AH19" i="1"/>
  <c r="AK19" i="1" s="1"/>
  <c r="AH18" i="1"/>
  <c r="AK18" i="1" s="1"/>
  <c r="AH17" i="1"/>
  <c r="AK17" i="1" s="1"/>
  <c r="AN17" i="1" s="1"/>
  <c r="AO17" i="1" s="1"/>
  <c r="AH13" i="1"/>
  <c r="AK13" i="1" s="1"/>
  <c r="AH11" i="1"/>
  <c r="AK11" i="1" s="1"/>
  <c r="AN11" i="1" s="1"/>
  <c r="AG77" i="1"/>
  <c r="AG76" i="1"/>
  <c r="AG75" i="1"/>
  <c r="AG74" i="1"/>
  <c r="AG73" i="1"/>
  <c r="AG72" i="1"/>
  <c r="AG71" i="1"/>
  <c r="AG70" i="1"/>
  <c r="AG68" i="1"/>
  <c r="AG66" i="1"/>
  <c r="AG65" i="1"/>
  <c r="AG57" i="1"/>
  <c r="AG56" i="1"/>
  <c r="AG55" i="1"/>
  <c r="AI55" i="1" s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I39" i="1" s="1"/>
  <c r="AG38" i="1"/>
  <c r="AG37" i="1"/>
  <c r="AG36" i="1"/>
  <c r="AG35" i="1"/>
  <c r="AG34" i="1"/>
  <c r="AG33" i="1"/>
  <c r="AG31" i="1"/>
  <c r="AI31" i="1" s="1"/>
  <c r="AG30" i="1"/>
  <c r="AI30" i="1" s="1"/>
  <c r="AG29" i="1"/>
  <c r="AI29" i="1" s="1"/>
  <c r="AG28" i="1"/>
  <c r="AG24" i="1"/>
  <c r="AG23" i="1"/>
  <c r="AG22" i="1"/>
  <c r="AG21" i="1"/>
  <c r="AG20" i="1"/>
  <c r="AG19" i="1"/>
  <c r="AG18" i="1"/>
  <c r="AI18" i="1" s="1"/>
  <c r="AG17" i="1"/>
  <c r="AG13" i="1"/>
  <c r="AG11" i="1"/>
  <c r="AI54" i="1" l="1"/>
  <c r="AL42" i="1"/>
  <c r="AN42" i="1"/>
  <c r="AO42" i="1" s="1"/>
  <c r="AL35" i="1"/>
  <c r="AN35" i="1"/>
  <c r="AO35" i="1" s="1"/>
  <c r="AO11" i="1"/>
  <c r="AL23" i="1"/>
  <c r="AN23" i="1"/>
  <c r="AO23" i="1" s="1"/>
  <c r="AL36" i="1"/>
  <c r="AN36" i="1"/>
  <c r="AO36" i="1" s="1"/>
  <c r="AL44" i="1"/>
  <c r="AN44" i="1"/>
  <c r="AO44" i="1" s="1"/>
  <c r="AL52" i="1"/>
  <c r="AN52" i="1"/>
  <c r="AO52" i="1" s="1"/>
  <c r="AL77" i="1"/>
  <c r="AN77" i="1"/>
  <c r="AO77" i="1" s="1"/>
  <c r="AL21" i="1"/>
  <c r="AN21" i="1"/>
  <c r="AO21" i="1" s="1"/>
  <c r="AL68" i="1"/>
  <c r="AN68" i="1"/>
  <c r="AO68" i="1" s="1"/>
  <c r="AL24" i="1"/>
  <c r="AN24" i="1"/>
  <c r="AO24" i="1" s="1"/>
  <c r="AL75" i="1"/>
  <c r="AN75" i="1"/>
  <c r="AO75" i="1" s="1"/>
  <c r="AL76" i="1"/>
  <c r="AN76" i="1"/>
  <c r="AO76" i="1" s="1"/>
  <c r="AL45" i="1"/>
  <c r="AN45" i="1"/>
  <c r="AO45" i="1" s="1"/>
  <c r="AL46" i="1"/>
  <c r="AN46" i="1"/>
  <c r="AO46" i="1" s="1"/>
  <c r="AL47" i="1"/>
  <c r="AN47" i="1"/>
  <c r="AO47" i="1" s="1"/>
  <c r="AL50" i="1"/>
  <c r="AN50" i="1"/>
  <c r="AO50" i="1" s="1"/>
  <c r="AL43" i="1"/>
  <c r="AN43" i="1"/>
  <c r="AO43" i="1" s="1"/>
  <c r="AL13" i="1"/>
  <c r="AN13" i="1"/>
  <c r="AO13" i="1" s="1"/>
  <c r="AL70" i="1"/>
  <c r="AN70" i="1"/>
  <c r="AO70" i="1" s="1"/>
  <c r="AL28" i="1"/>
  <c r="AN28" i="1"/>
  <c r="AO28" i="1" s="1"/>
  <c r="AL54" i="1"/>
  <c r="AN54" i="1"/>
  <c r="AO54" i="1" s="1"/>
  <c r="AL18" i="1"/>
  <c r="AN18" i="1"/>
  <c r="AO18" i="1" s="1"/>
  <c r="AL55" i="1"/>
  <c r="AN55" i="1"/>
  <c r="AO55" i="1" s="1"/>
  <c r="AL19" i="1"/>
  <c r="AN19" i="1"/>
  <c r="AO19" i="1" s="1"/>
  <c r="AL48" i="1"/>
  <c r="AN48" i="1"/>
  <c r="AO48" i="1" s="1"/>
  <c r="AL65" i="1"/>
  <c r="AN65" i="1"/>
  <c r="AL73" i="1"/>
  <c r="AN73" i="1"/>
  <c r="AO73" i="1" s="1"/>
  <c r="AL34" i="1"/>
  <c r="AN34" i="1"/>
  <c r="AO34" i="1" s="1"/>
  <c r="AL22" i="1"/>
  <c r="AN22" i="1"/>
  <c r="AO22" i="1" s="1"/>
  <c r="AL51" i="1"/>
  <c r="AN51" i="1"/>
  <c r="AO51" i="1" s="1"/>
  <c r="AL37" i="1"/>
  <c r="AN37" i="1"/>
  <c r="AO37" i="1" s="1"/>
  <c r="AL53" i="1"/>
  <c r="AN53" i="1"/>
  <c r="AO53" i="1" s="1"/>
  <c r="AL38" i="1"/>
  <c r="AN38" i="1"/>
  <c r="AO38" i="1" s="1"/>
  <c r="AL71" i="1"/>
  <c r="AN71" i="1"/>
  <c r="AO71" i="1" s="1"/>
  <c r="AL29" i="1"/>
  <c r="AN29" i="1"/>
  <c r="AO29" i="1" s="1"/>
  <c r="AL39" i="1"/>
  <c r="AN39" i="1"/>
  <c r="AO39" i="1" s="1"/>
  <c r="AL72" i="1"/>
  <c r="AN72" i="1"/>
  <c r="AO72" i="1" s="1"/>
  <c r="AL30" i="1"/>
  <c r="AN30" i="1"/>
  <c r="AO30" i="1" s="1"/>
  <c r="AL40" i="1"/>
  <c r="AN40" i="1"/>
  <c r="AO40" i="1" s="1"/>
  <c r="AI65" i="1"/>
  <c r="AL20" i="1"/>
  <c r="AN20" i="1"/>
  <c r="AO20" i="1" s="1"/>
  <c r="AL33" i="1"/>
  <c r="AN33" i="1"/>
  <c r="AO33" i="1" s="1"/>
  <c r="AL41" i="1"/>
  <c r="AN41" i="1"/>
  <c r="AO41" i="1" s="1"/>
  <c r="AL49" i="1"/>
  <c r="AN49" i="1"/>
  <c r="AO49" i="1" s="1"/>
  <c r="AL66" i="1"/>
  <c r="AN66" i="1"/>
  <c r="AO66" i="1" s="1"/>
  <c r="AL74" i="1"/>
  <c r="AN74" i="1"/>
  <c r="AO74" i="1" s="1"/>
  <c r="AI19" i="1"/>
  <c r="AI48" i="1"/>
  <c r="AL17" i="1"/>
  <c r="AI66" i="1"/>
  <c r="AK14" i="1"/>
  <c r="AL11" i="1"/>
  <c r="AI67" i="1"/>
  <c r="AK67" i="1"/>
  <c r="AI69" i="1"/>
  <c r="AK69" i="1"/>
  <c r="AI40" i="1"/>
  <c r="AI71" i="1"/>
  <c r="AI72" i="1"/>
  <c r="AI37" i="1"/>
  <c r="AI45" i="1"/>
  <c r="AI22" i="1"/>
  <c r="AI75" i="1"/>
  <c r="AI53" i="1"/>
  <c r="AI70" i="1"/>
  <c r="AI38" i="1"/>
  <c r="AI46" i="1"/>
  <c r="AI73" i="1"/>
  <c r="AI20" i="1"/>
  <c r="AI33" i="1"/>
  <c r="AI41" i="1"/>
  <c r="AI49" i="1"/>
  <c r="AG14" i="1"/>
  <c r="AI35" i="1"/>
  <c r="AI43" i="1"/>
  <c r="AI51" i="1"/>
  <c r="AI21" i="1"/>
  <c r="AI74" i="1"/>
  <c r="AI34" i="1"/>
  <c r="AI42" i="1"/>
  <c r="AI50" i="1"/>
  <c r="AI47" i="1"/>
  <c r="AI28" i="1"/>
  <c r="AI23" i="1"/>
  <c r="AI76" i="1"/>
  <c r="AI13" i="1"/>
  <c r="AI24" i="1"/>
  <c r="AI36" i="1"/>
  <c r="AI44" i="1"/>
  <c r="AI52" i="1"/>
  <c r="AI68" i="1"/>
  <c r="AI77" i="1"/>
  <c r="AG62" i="1"/>
  <c r="AH14" i="1"/>
  <c r="AI11" i="1"/>
  <c r="AH79" i="1"/>
  <c r="AI17" i="1"/>
  <c r="AG79" i="1"/>
  <c r="AE79" i="1"/>
  <c r="AD79" i="1"/>
  <c r="AE14" i="1"/>
  <c r="AD14" i="1"/>
  <c r="AF78" i="1"/>
  <c r="AF77" i="1"/>
  <c r="AF76" i="1"/>
  <c r="AF75" i="1"/>
  <c r="AF74" i="1"/>
  <c r="AF73" i="1"/>
  <c r="AF72" i="1"/>
  <c r="AF71" i="1"/>
  <c r="AF70" i="1"/>
  <c r="AF69" i="1"/>
  <c r="AF68" i="1"/>
  <c r="AF66" i="1"/>
  <c r="AF65" i="1"/>
  <c r="AF61" i="1"/>
  <c r="AE58" i="1"/>
  <c r="AE57" i="1"/>
  <c r="AE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1" i="1"/>
  <c r="AF30" i="1"/>
  <c r="AF29" i="1"/>
  <c r="AF28" i="1"/>
  <c r="AF24" i="1"/>
  <c r="AF23" i="1"/>
  <c r="AF22" i="1"/>
  <c r="AF21" i="1"/>
  <c r="AF20" i="1"/>
  <c r="AF19" i="1"/>
  <c r="AF18" i="1"/>
  <c r="AF17" i="1"/>
  <c r="AF13" i="1"/>
  <c r="AF11" i="1"/>
  <c r="AC61" i="1"/>
  <c r="AC78" i="1"/>
  <c r="AB56" i="1"/>
  <c r="AC56" i="1" s="1"/>
  <c r="AB57" i="1"/>
  <c r="AC57" i="1" s="1"/>
  <c r="AB58" i="1"/>
  <c r="AC58" i="1" s="1"/>
  <c r="T12" i="1"/>
  <c r="AA12" i="1" s="1"/>
  <c r="AN14" i="1" l="1"/>
  <c r="AL69" i="1"/>
  <c r="AN69" i="1"/>
  <c r="AO69" i="1" s="1"/>
  <c r="AO65" i="1"/>
  <c r="AO14" i="1"/>
  <c r="AL67" i="1"/>
  <c r="AN67" i="1"/>
  <c r="AO67" i="1" s="1"/>
  <c r="AK79" i="1"/>
  <c r="AL79" i="1" s="1"/>
  <c r="AL14" i="1"/>
  <c r="AG82" i="1"/>
  <c r="AI79" i="1"/>
  <c r="AF57" i="1"/>
  <c r="AH57" i="1"/>
  <c r="AI14" i="1"/>
  <c r="AF58" i="1"/>
  <c r="AH58" i="1"/>
  <c r="AF56" i="1"/>
  <c r="AH56" i="1"/>
  <c r="W77" i="1"/>
  <c r="AB77" i="1" s="1"/>
  <c r="W76" i="1"/>
  <c r="AB76" i="1" s="1"/>
  <c r="W75" i="1"/>
  <c r="AB75" i="1" s="1"/>
  <c r="W74" i="1"/>
  <c r="AB74" i="1" s="1"/>
  <c r="W73" i="1"/>
  <c r="AB73" i="1" s="1"/>
  <c r="W72" i="1"/>
  <c r="AB72" i="1" s="1"/>
  <c r="W71" i="1"/>
  <c r="AB71" i="1" s="1"/>
  <c r="W70" i="1"/>
  <c r="AB70" i="1" s="1"/>
  <c r="W69" i="1"/>
  <c r="AB69" i="1" s="1"/>
  <c r="W68" i="1"/>
  <c r="AB68" i="1" s="1"/>
  <c r="W55" i="1"/>
  <c r="AB55" i="1" s="1"/>
  <c r="W54" i="1"/>
  <c r="AB54" i="1" s="1"/>
  <c r="W46" i="1"/>
  <c r="AB46" i="1" s="1"/>
  <c r="W30" i="1"/>
  <c r="AB30" i="1" s="1"/>
  <c r="W21" i="1"/>
  <c r="AB21" i="1" s="1"/>
  <c r="W20" i="1"/>
  <c r="AB20" i="1" s="1"/>
  <c r="W19" i="1"/>
  <c r="AB19" i="1" s="1"/>
  <c r="W11" i="1"/>
  <c r="AB11" i="1" s="1"/>
  <c r="AN79" i="1" l="1"/>
  <c r="AO79" i="1"/>
  <c r="AI58" i="1"/>
  <c r="AK58" i="1"/>
  <c r="AI57" i="1"/>
  <c r="AK57" i="1"/>
  <c r="AI56" i="1"/>
  <c r="AK56" i="1"/>
  <c r="R54" i="1"/>
  <c r="S54" i="1" s="1"/>
  <c r="AL56" i="1" l="1"/>
  <c r="AN56" i="1"/>
  <c r="AO56" i="1" s="1"/>
  <c r="AL57" i="1"/>
  <c r="AN57" i="1"/>
  <c r="AO57" i="1" s="1"/>
  <c r="AL58" i="1"/>
  <c r="AN58" i="1"/>
  <c r="AO58" i="1" s="1"/>
  <c r="Y54" i="1"/>
  <c r="T54" i="1"/>
  <c r="V13" i="1"/>
  <c r="W13" i="1" s="1"/>
  <c r="AB13" i="1" s="1"/>
  <c r="P69" i="1"/>
  <c r="J13" i="1"/>
  <c r="K13" i="1" s="1"/>
  <c r="N13" i="1" s="1"/>
  <c r="O13" i="1" s="1"/>
  <c r="P13" i="1" s="1"/>
  <c r="Q13" i="1" s="1"/>
  <c r="R13" i="1" s="1"/>
  <c r="G13" i="1"/>
  <c r="H13" i="1" s="1"/>
  <c r="Q53" i="1"/>
  <c r="Q52" i="1"/>
  <c r="R52" i="1" s="1"/>
  <c r="Q51" i="1"/>
  <c r="R51" i="1" s="1"/>
  <c r="Q50" i="1"/>
  <c r="Q49" i="1"/>
  <c r="R49" i="1" s="1"/>
  <c r="Q48" i="1"/>
  <c r="Q47" i="1"/>
  <c r="R47" i="1" s="1"/>
  <c r="Q46" i="1"/>
  <c r="Q45" i="1"/>
  <c r="R45" i="1" s="1"/>
  <c r="Q44" i="1"/>
  <c r="Q41" i="1"/>
  <c r="R41" i="1" s="1"/>
  <c r="Q40" i="1"/>
  <c r="Q39" i="1"/>
  <c r="Q22" i="1"/>
  <c r="R22" i="1" s="1"/>
  <c r="Q23" i="1"/>
  <c r="R23" i="1" s="1"/>
  <c r="Q21" i="1"/>
  <c r="V51" i="1"/>
  <c r="W51" i="1" s="1"/>
  <c r="AB51" i="1" s="1"/>
  <c r="G51" i="1"/>
  <c r="H51" i="1" s="1"/>
  <c r="I51" i="1" s="1"/>
  <c r="K51" i="1" s="1"/>
  <c r="N51" i="1" s="1"/>
  <c r="O51" i="1" s="1"/>
  <c r="V50" i="1"/>
  <c r="W50" i="1" s="1"/>
  <c r="AB50" i="1" s="1"/>
  <c r="G50" i="1"/>
  <c r="H50" i="1" s="1"/>
  <c r="I50" i="1" s="1"/>
  <c r="K50" i="1" s="1"/>
  <c r="N50" i="1" s="1"/>
  <c r="O50" i="1" s="1"/>
  <c r="V49" i="1"/>
  <c r="W49" i="1" s="1"/>
  <c r="AB49" i="1" s="1"/>
  <c r="G49" i="1"/>
  <c r="H49" i="1" s="1"/>
  <c r="I49" i="1" s="1"/>
  <c r="K49" i="1" s="1"/>
  <c r="N49" i="1" s="1"/>
  <c r="O49" i="1" s="1"/>
  <c r="V48" i="1"/>
  <c r="W48" i="1" s="1"/>
  <c r="AB48" i="1" s="1"/>
  <c r="G48" i="1"/>
  <c r="H48" i="1" s="1"/>
  <c r="I48" i="1" s="1"/>
  <c r="K48" i="1" s="1"/>
  <c r="N48" i="1" s="1"/>
  <c r="O48" i="1" s="1"/>
  <c r="V47" i="1"/>
  <c r="W47" i="1" s="1"/>
  <c r="AB47" i="1" s="1"/>
  <c r="G47" i="1"/>
  <c r="H47" i="1" s="1"/>
  <c r="I47" i="1" s="1"/>
  <c r="K47" i="1" s="1"/>
  <c r="N47" i="1" s="1"/>
  <c r="O47" i="1" s="1"/>
  <c r="V45" i="1"/>
  <c r="W45" i="1" s="1"/>
  <c r="AB45" i="1" s="1"/>
  <c r="G45" i="1"/>
  <c r="H45" i="1" s="1"/>
  <c r="I45" i="1" s="1"/>
  <c r="K45" i="1" s="1"/>
  <c r="N45" i="1" s="1"/>
  <c r="O45" i="1" s="1"/>
  <c r="V44" i="1"/>
  <c r="W44" i="1" s="1"/>
  <c r="AB44" i="1" s="1"/>
  <c r="G44" i="1"/>
  <c r="H44" i="1" s="1"/>
  <c r="I44" i="1" s="1"/>
  <c r="K44" i="1" s="1"/>
  <c r="N44" i="1" s="1"/>
  <c r="O44" i="1" s="1"/>
  <c r="V41" i="1"/>
  <c r="W41" i="1" s="1"/>
  <c r="AB41" i="1" s="1"/>
  <c r="G41" i="1"/>
  <c r="H41" i="1" s="1"/>
  <c r="I41" i="1" s="1"/>
  <c r="K41" i="1" s="1"/>
  <c r="N41" i="1" s="1"/>
  <c r="O41" i="1" s="1"/>
  <c r="V40" i="1"/>
  <c r="W40" i="1" s="1"/>
  <c r="AB40" i="1" s="1"/>
  <c r="G40" i="1"/>
  <c r="H40" i="1" s="1"/>
  <c r="I40" i="1" s="1"/>
  <c r="K40" i="1" s="1"/>
  <c r="N40" i="1" s="1"/>
  <c r="O40" i="1" s="1"/>
  <c r="V39" i="1"/>
  <c r="W39" i="1" s="1"/>
  <c r="AB39" i="1" s="1"/>
  <c r="G39" i="1"/>
  <c r="H39" i="1" s="1"/>
  <c r="I39" i="1" s="1"/>
  <c r="K39" i="1" s="1"/>
  <c r="N39" i="1" s="1"/>
  <c r="O39" i="1" s="1"/>
  <c r="G69" i="1"/>
  <c r="H69" i="1" s="1"/>
  <c r="I69" i="1" s="1"/>
  <c r="K69" i="1" s="1"/>
  <c r="N69" i="1" s="1"/>
  <c r="V23" i="1"/>
  <c r="W23" i="1" s="1"/>
  <c r="AB23" i="1" s="1"/>
  <c r="G23" i="1"/>
  <c r="H23" i="1" s="1"/>
  <c r="I23" i="1" s="1"/>
  <c r="K23" i="1" s="1"/>
  <c r="N23" i="1" s="1"/>
  <c r="O23" i="1" s="1"/>
  <c r="V22" i="1"/>
  <c r="W22" i="1" s="1"/>
  <c r="AB22" i="1" s="1"/>
  <c r="G22" i="1"/>
  <c r="H22" i="1" s="1"/>
  <c r="I22" i="1" s="1"/>
  <c r="K22" i="1" s="1"/>
  <c r="N22" i="1" s="1"/>
  <c r="O22" i="1" s="1"/>
  <c r="G21" i="1"/>
  <c r="H21" i="1" s="1"/>
  <c r="I21" i="1" s="1"/>
  <c r="K21" i="1" s="1"/>
  <c r="N21" i="1" s="1"/>
  <c r="O21" i="1" s="1"/>
  <c r="V53" i="1"/>
  <c r="W53" i="1" s="1"/>
  <c r="AB53" i="1" s="1"/>
  <c r="K53" i="1"/>
  <c r="N53" i="1" s="1"/>
  <c r="O53" i="1" s="1"/>
  <c r="V52" i="1"/>
  <c r="W52" i="1" s="1"/>
  <c r="AB52" i="1" s="1"/>
  <c r="G52" i="1"/>
  <c r="H52" i="1" s="1"/>
  <c r="I52" i="1" s="1"/>
  <c r="K52" i="1" s="1"/>
  <c r="N52" i="1" s="1"/>
  <c r="O52" i="1" s="1"/>
  <c r="AD62" i="1" l="1"/>
  <c r="Q69" i="1"/>
  <c r="R69" i="1" s="1"/>
  <c r="S69" i="1" s="1"/>
  <c r="T69" i="1" s="1"/>
  <c r="Z54" i="1"/>
  <c r="AA54" i="1"/>
  <c r="AC54" i="1" s="1"/>
  <c r="S22" i="1"/>
  <c r="S13" i="1"/>
  <c r="T13" i="1" s="1"/>
  <c r="AA13" i="1" s="1"/>
  <c r="AC13" i="1" s="1"/>
  <c r="S23" i="1"/>
  <c r="S41" i="1"/>
  <c r="S45" i="1"/>
  <c r="S47" i="1"/>
  <c r="S49" i="1"/>
  <c r="S51" i="1"/>
  <c r="S52" i="1"/>
  <c r="R21" i="1"/>
  <c r="R39" i="1"/>
  <c r="R40" i="1"/>
  <c r="R44" i="1"/>
  <c r="R46" i="1"/>
  <c r="R48" i="1"/>
  <c r="R50" i="1"/>
  <c r="R53" i="1"/>
  <c r="P17" i="1"/>
  <c r="Q17" i="1" s="1"/>
  <c r="R17" i="1" s="1"/>
  <c r="P42" i="1"/>
  <c r="Q42" i="1" s="1"/>
  <c r="R42" i="1" s="1"/>
  <c r="P43" i="1"/>
  <c r="Q43" i="1" s="1"/>
  <c r="R43" i="1" s="1"/>
  <c r="P55" i="1"/>
  <c r="P75" i="1"/>
  <c r="P76" i="1"/>
  <c r="P77" i="1"/>
  <c r="P66" i="1"/>
  <c r="Q66" i="1" s="1"/>
  <c r="R66" i="1" s="1"/>
  <c r="P68" i="1"/>
  <c r="P73" i="1"/>
  <c r="P74" i="1"/>
  <c r="P71" i="1"/>
  <c r="P72" i="1"/>
  <c r="P70" i="1"/>
  <c r="P65" i="1"/>
  <c r="Q65" i="1" s="1"/>
  <c r="R65" i="1" s="1"/>
  <c r="V66" i="1"/>
  <c r="W66" i="1" s="1"/>
  <c r="AB66" i="1" s="1"/>
  <c r="V65" i="1"/>
  <c r="W65" i="1" s="1"/>
  <c r="AB65" i="1" s="1"/>
  <c r="V17" i="1"/>
  <c r="W17" i="1" s="1"/>
  <c r="AB17" i="1" s="1"/>
  <c r="J17" i="1"/>
  <c r="K17" i="1" s="1"/>
  <c r="N17" i="1" s="1"/>
  <c r="G17" i="1"/>
  <c r="H17" i="1" s="1"/>
  <c r="G77" i="1"/>
  <c r="H77" i="1" s="1"/>
  <c r="I77" i="1" s="1"/>
  <c r="K77" i="1" s="1"/>
  <c r="N77" i="1" s="1"/>
  <c r="G76" i="1"/>
  <c r="H76" i="1" s="1"/>
  <c r="I76" i="1" s="1"/>
  <c r="K76" i="1" s="1"/>
  <c r="N76" i="1" s="1"/>
  <c r="G75" i="1"/>
  <c r="H75" i="1" s="1"/>
  <c r="I75" i="1" s="1"/>
  <c r="K75" i="1" s="1"/>
  <c r="N75" i="1" s="1"/>
  <c r="G74" i="1"/>
  <c r="H74" i="1" s="1"/>
  <c r="I74" i="1" s="1"/>
  <c r="K74" i="1" s="1"/>
  <c r="N74" i="1" s="1"/>
  <c r="G73" i="1"/>
  <c r="H73" i="1" s="1"/>
  <c r="I73" i="1" s="1"/>
  <c r="K73" i="1" s="1"/>
  <c r="N73" i="1" s="1"/>
  <c r="G72" i="1"/>
  <c r="H72" i="1" s="1"/>
  <c r="I72" i="1" s="1"/>
  <c r="K72" i="1" s="1"/>
  <c r="N72" i="1" s="1"/>
  <c r="G71" i="1"/>
  <c r="H71" i="1" s="1"/>
  <c r="I71" i="1" s="1"/>
  <c r="K71" i="1" s="1"/>
  <c r="N71" i="1" s="1"/>
  <c r="V43" i="1"/>
  <c r="W43" i="1" s="1"/>
  <c r="AB43" i="1" s="1"/>
  <c r="G43" i="1"/>
  <c r="H43" i="1" s="1"/>
  <c r="I43" i="1" s="1"/>
  <c r="K43" i="1" s="1"/>
  <c r="N43" i="1" s="1"/>
  <c r="V42" i="1"/>
  <c r="W42" i="1" s="1"/>
  <c r="AB42" i="1" s="1"/>
  <c r="G42" i="1"/>
  <c r="H42" i="1" s="1"/>
  <c r="I42" i="1" s="1"/>
  <c r="K42" i="1" s="1"/>
  <c r="N42" i="1" s="1"/>
  <c r="G70" i="1"/>
  <c r="H70" i="1" s="1"/>
  <c r="I70" i="1" s="1"/>
  <c r="K70" i="1" s="1"/>
  <c r="N70" i="1" s="1"/>
  <c r="G68" i="1"/>
  <c r="H68" i="1" s="1"/>
  <c r="I68" i="1" s="1"/>
  <c r="K68" i="1" s="1"/>
  <c r="N68" i="1" s="1"/>
  <c r="G66" i="1"/>
  <c r="H66" i="1" s="1"/>
  <c r="I66" i="1" s="1"/>
  <c r="K66" i="1" s="1"/>
  <c r="N66" i="1" s="1"/>
  <c r="G65" i="1"/>
  <c r="H65" i="1" s="1"/>
  <c r="I65" i="1" s="1"/>
  <c r="K65" i="1" s="1"/>
  <c r="O19" i="1"/>
  <c r="P19" i="1" s="1"/>
  <c r="G19" i="1"/>
  <c r="H19" i="1" s="1"/>
  <c r="I19" i="1" s="1"/>
  <c r="O33" i="1"/>
  <c r="P33" i="1" s="1"/>
  <c r="Q33" i="1" s="1"/>
  <c r="R33" i="1" s="1"/>
  <c r="O38" i="1"/>
  <c r="P38" i="1" s="1"/>
  <c r="Q38" i="1" s="1"/>
  <c r="R38" i="1" s="1"/>
  <c r="O37" i="1"/>
  <c r="P37" i="1" s="1"/>
  <c r="Q37" i="1" s="1"/>
  <c r="R37" i="1" s="1"/>
  <c r="O36" i="1"/>
  <c r="P36" i="1" s="1"/>
  <c r="Q36" i="1" s="1"/>
  <c r="R36" i="1" s="1"/>
  <c r="O35" i="1"/>
  <c r="P35" i="1" s="1"/>
  <c r="Q35" i="1" s="1"/>
  <c r="R35" i="1" s="1"/>
  <c r="O34" i="1"/>
  <c r="P34" i="1" s="1"/>
  <c r="Q34" i="1" s="1"/>
  <c r="R34" i="1" s="1"/>
  <c r="O28" i="1"/>
  <c r="P28" i="1" s="1"/>
  <c r="Q28" i="1" s="1"/>
  <c r="O29" i="1"/>
  <c r="P29" i="1" s="1"/>
  <c r="Q29" i="1" s="1"/>
  <c r="R29" i="1" s="1"/>
  <c r="O24" i="1"/>
  <c r="P24" i="1" s="1"/>
  <c r="Q24" i="1" s="1"/>
  <c r="R24" i="1" s="1"/>
  <c r="O11" i="1"/>
  <c r="P11" i="1" s="1"/>
  <c r="V12" i="1"/>
  <c r="V14" i="1" s="1"/>
  <c r="V24" i="1"/>
  <c r="W24" i="1" s="1"/>
  <c r="AB24" i="1" s="1"/>
  <c r="V28" i="1"/>
  <c r="W28" i="1" s="1"/>
  <c r="AB28" i="1" s="1"/>
  <c r="G28" i="1"/>
  <c r="H28" i="1" s="1"/>
  <c r="I28" i="1" s="1"/>
  <c r="K28" i="1" s="1"/>
  <c r="V29" i="1"/>
  <c r="W29" i="1" s="1"/>
  <c r="AB29" i="1" s="1"/>
  <c r="G29" i="1"/>
  <c r="H29" i="1" s="1"/>
  <c r="I29" i="1" s="1"/>
  <c r="K29" i="1" s="1"/>
  <c r="G11" i="1"/>
  <c r="H11" i="1" s="1"/>
  <c r="I11" i="1" s="1"/>
  <c r="K11" i="1" s="1"/>
  <c r="V38" i="1"/>
  <c r="W38" i="1" s="1"/>
  <c r="AB38" i="1" s="1"/>
  <c r="G38" i="1"/>
  <c r="H38" i="1" s="1"/>
  <c r="I38" i="1" s="1"/>
  <c r="K38" i="1" s="1"/>
  <c r="V37" i="1"/>
  <c r="W37" i="1" s="1"/>
  <c r="AB37" i="1" s="1"/>
  <c r="G37" i="1"/>
  <c r="H37" i="1" s="1"/>
  <c r="I37" i="1" s="1"/>
  <c r="K37" i="1" s="1"/>
  <c r="V36" i="1"/>
  <c r="W36" i="1" s="1"/>
  <c r="AB36" i="1" s="1"/>
  <c r="G36" i="1"/>
  <c r="H36" i="1" s="1"/>
  <c r="I36" i="1" s="1"/>
  <c r="K36" i="1" s="1"/>
  <c r="V33" i="1"/>
  <c r="W33" i="1" s="1"/>
  <c r="AB33" i="1" s="1"/>
  <c r="G33" i="1"/>
  <c r="H33" i="1" s="1"/>
  <c r="I33" i="1" s="1"/>
  <c r="K33" i="1" s="1"/>
  <c r="V35" i="1"/>
  <c r="W35" i="1" s="1"/>
  <c r="AB35" i="1" s="1"/>
  <c r="G35" i="1"/>
  <c r="H35" i="1" s="1"/>
  <c r="I35" i="1" s="1"/>
  <c r="K35" i="1" s="1"/>
  <c r="V34" i="1"/>
  <c r="W34" i="1" s="1"/>
  <c r="AB34" i="1" s="1"/>
  <c r="G34" i="1"/>
  <c r="H34" i="1" s="1"/>
  <c r="I34" i="1" s="1"/>
  <c r="K34" i="1" s="1"/>
  <c r="G24" i="1"/>
  <c r="H24" i="1" s="1"/>
  <c r="I24" i="1" s="1"/>
  <c r="K24" i="1" s="1"/>
  <c r="N30" i="1"/>
  <c r="O30" i="1" s="1"/>
  <c r="P30" i="1" s="1"/>
  <c r="N20" i="1"/>
  <c r="O20" i="1" s="1"/>
  <c r="P20" i="1" s="1"/>
  <c r="V67" i="1"/>
  <c r="W67" i="1" s="1"/>
  <c r="AB67" i="1" s="1"/>
  <c r="G67" i="1"/>
  <c r="H67" i="1" s="1"/>
  <c r="I67" i="1" s="1"/>
  <c r="K67" i="1" s="1"/>
  <c r="N67" i="1" s="1"/>
  <c r="O67" i="1" s="1"/>
  <c r="O79" i="1" s="1"/>
  <c r="V27" i="1"/>
  <c r="W27" i="1" s="1"/>
  <c r="AB27" i="1" s="1"/>
  <c r="V31" i="1"/>
  <c r="W31" i="1" s="1"/>
  <c r="AB31" i="1" s="1"/>
  <c r="V32" i="1"/>
  <c r="W32" i="1" s="1"/>
  <c r="AB32" i="1" s="1"/>
  <c r="V25" i="1"/>
  <c r="W25" i="1" s="1"/>
  <c r="AB25" i="1" s="1"/>
  <c r="V26" i="1"/>
  <c r="W26" i="1" s="1"/>
  <c r="AB26" i="1" s="1"/>
  <c r="V18" i="1"/>
  <c r="W18" i="1" s="1"/>
  <c r="AB18" i="1" s="1"/>
  <c r="G27" i="1"/>
  <c r="H27" i="1" s="1"/>
  <c r="I27" i="1" s="1"/>
  <c r="K27" i="1" s="1"/>
  <c r="N27" i="1" s="1"/>
  <c r="O27" i="1" s="1"/>
  <c r="P27" i="1" s="1"/>
  <c r="Q27" i="1" s="1"/>
  <c r="J31" i="1"/>
  <c r="K31" i="1" s="1"/>
  <c r="N31" i="1" s="1"/>
  <c r="O31" i="1" s="1"/>
  <c r="P31" i="1" s="1"/>
  <c r="Q31" i="1" s="1"/>
  <c r="G32" i="1"/>
  <c r="H32" i="1" s="1"/>
  <c r="I32" i="1" s="1"/>
  <c r="K32" i="1" s="1"/>
  <c r="N32" i="1" s="1"/>
  <c r="O32" i="1" s="1"/>
  <c r="P32" i="1" s="1"/>
  <c r="Q32" i="1" s="1"/>
  <c r="G25" i="1"/>
  <c r="H25" i="1" s="1"/>
  <c r="I25" i="1" s="1"/>
  <c r="K25" i="1" s="1"/>
  <c r="N25" i="1" s="1"/>
  <c r="O25" i="1" s="1"/>
  <c r="P25" i="1" s="1"/>
  <c r="G26" i="1"/>
  <c r="H26" i="1" s="1"/>
  <c r="I26" i="1" s="1"/>
  <c r="K26" i="1" s="1"/>
  <c r="N26" i="1" s="1"/>
  <c r="O26" i="1" s="1"/>
  <c r="P26" i="1" s="1"/>
  <c r="Q26" i="1" s="1"/>
  <c r="K18" i="1"/>
  <c r="N18" i="1" s="1"/>
  <c r="O18" i="1" s="1"/>
  <c r="P18" i="1" s="1"/>
  <c r="Q18" i="1" s="1"/>
  <c r="L14" i="1"/>
  <c r="L79" i="1"/>
  <c r="M62" i="1"/>
  <c r="M79" i="1"/>
  <c r="G31" i="1"/>
  <c r="H31" i="1" s="1"/>
  <c r="F79" i="1"/>
  <c r="F14" i="1"/>
  <c r="J79" i="1"/>
  <c r="L62" i="1"/>
  <c r="Z69" i="1" l="1"/>
  <c r="AA69" i="1"/>
  <c r="AC69" i="1" s="1"/>
  <c r="Y13" i="1"/>
  <c r="Z13" i="1"/>
  <c r="Y12" i="1"/>
  <c r="W12" i="1"/>
  <c r="W62" i="1"/>
  <c r="AB62" i="1" s="1"/>
  <c r="Y22" i="1"/>
  <c r="T22" i="1"/>
  <c r="Y45" i="1"/>
  <c r="T45" i="1"/>
  <c r="W79" i="1"/>
  <c r="AB79" i="1" s="1"/>
  <c r="Y41" i="1"/>
  <c r="T41" i="1"/>
  <c r="Y49" i="1"/>
  <c r="T49" i="1"/>
  <c r="Y47" i="1"/>
  <c r="T47" i="1"/>
  <c r="Y52" i="1"/>
  <c r="T52" i="1"/>
  <c r="Y23" i="1"/>
  <c r="T23" i="1"/>
  <c r="Y51" i="1"/>
  <c r="T51" i="1"/>
  <c r="Y69" i="1"/>
  <c r="S24" i="1"/>
  <c r="S35" i="1"/>
  <c r="S37" i="1"/>
  <c r="S33" i="1"/>
  <c r="S66" i="1"/>
  <c r="S42" i="1"/>
  <c r="S48" i="1"/>
  <c r="S40" i="1"/>
  <c r="S21" i="1"/>
  <c r="S29" i="1"/>
  <c r="S34" i="1"/>
  <c r="S36" i="1"/>
  <c r="S38" i="1"/>
  <c r="S65" i="1"/>
  <c r="S43" i="1"/>
  <c r="S17" i="1"/>
  <c r="S53" i="1"/>
  <c r="S50" i="1"/>
  <c r="S46" i="1"/>
  <c r="S44" i="1"/>
  <c r="S39" i="1"/>
  <c r="R18" i="1"/>
  <c r="R31" i="1"/>
  <c r="R26" i="1"/>
  <c r="R32" i="1"/>
  <c r="R27" i="1"/>
  <c r="R28" i="1"/>
  <c r="Q30" i="1"/>
  <c r="Q72" i="1"/>
  <c r="Q74" i="1"/>
  <c r="Q68" i="1"/>
  <c r="Q77" i="1"/>
  <c r="Q75" i="1"/>
  <c r="Q25" i="1"/>
  <c r="Q20" i="1"/>
  <c r="Q11" i="1"/>
  <c r="R11" i="1" s="1"/>
  <c r="Q19" i="1"/>
  <c r="Q70" i="1"/>
  <c r="Q71" i="1"/>
  <c r="Q73" i="1"/>
  <c r="Q76" i="1"/>
  <c r="Q55" i="1"/>
  <c r="K14" i="1"/>
  <c r="V79" i="1"/>
  <c r="J62" i="1"/>
  <c r="H14" i="1"/>
  <c r="G62" i="1"/>
  <c r="J14" i="1"/>
  <c r="G79" i="1"/>
  <c r="P67" i="1"/>
  <c r="Q67" i="1" s="1"/>
  <c r="G14" i="1"/>
  <c r="I62" i="1"/>
  <c r="H62" i="1"/>
  <c r="V62" i="1"/>
  <c r="H79" i="1"/>
  <c r="N14" i="1"/>
  <c r="N62" i="1"/>
  <c r="N65" i="1"/>
  <c r="I14" i="1"/>
  <c r="K62" i="1"/>
  <c r="AB12" i="1" l="1"/>
  <c r="Z23" i="1"/>
  <c r="AA23" i="1"/>
  <c r="AC23" i="1" s="1"/>
  <c r="Z52" i="1"/>
  <c r="AA52" i="1"/>
  <c r="AC52" i="1" s="1"/>
  <c r="Z45" i="1"/>
  <c r="AA45" i="1"/>
  <c r="AC45" i="1" s="1"/>
  <c r="Z41" i="1"/>
  <c r="AA41" i="1"/>
  <c r="AC41" i="1" s="1"/>
  <c r="Z47" i="1"/>
  <c r="AA47" i="1"/>
  <c r="AC47" i="1" s="1"/>
  <c r="Z22" i="1"/>
  <c r="AA22" i="1"/>
  <c r="AC22" i="1" s="1"/>
  <c r="Z51" i="1"/>
  <c r="AA51" i="1"/>
  <c r="AC51" i="1" s="1"/>
  <c r="Z49" i="1"/>
  <c r="AA49" i="1"/>
  <c r="AC49" i="1" s="1"/>
  <c r="Y53" i="1"/>
  <c r="T53" i="1"/>
  <c r="Y40" i="1"/>
  <c r="T40" i="1"/>
  <c r="V82" i="1"/>
  <c r="Y65" i="1"/>
  <c r="T65" i="1"/>
  <c r="AA65" i="1" s="1"/>
  <c r="Y33" i="1"/>
  <c r="T33" i="1"/>
  <c r="Y21" i="1"/>
  <c r="T21" i="1"/>
  <c r="Y24" i="1"/>
  <c r="T24" i="1"/>
  <c r="Y44" i="1"/>
  <c r="T44" i="1"/>
  <c r="Y29" i="1"/>
  <c r="T29" i="1"/>
  <c r="Y17" i="1"/>
  <c r="T17" i="1"/>
  <c r="AA17" i="1" s="1"/>
  <c r="Y37" i="1"/>
  <c r="T37" i="1"/>
  <c r="Y43" i="1"/>
  <c r="T43" i="1"/>
  <c r="Y35" i="1"/>
  <c r="T35" i="1"/>
  <c r="Y48" i="1"/>
  <c r="T48" i="1"/>
  <c r="Y39" i="1"/>
  <c r="T39" i="1"/>
  <c r="P79" i="1"/>
  <c r="Y38" i="1"/>
  <c r="T38" i="1"/>
  <c r="Y42" i="1"/>
  <c r="T42" i="1"/>
  <c r="Y46" i="1"/>
  <c r="T46" i="1"/>
  <c r="Y36" i="1"/>
  <c r="T36" i="1"/>
  <c r="Y66" i="1"/>
  <c r="T66" i="1"/>
  <c r="Y50" i="1"/>
  <c r="T50" i="1"/>
  <c r="Y34" i="1"/>
  <c r="T34" i="1"/>
  <c r="W14" i="1"/>
  <c r="AB14" i="1" s="1"/>
  <c r="Z12" i="1"/>
  <c r="S28" i="1"/>
  <c r="S27" i="1"/>
  <c r="S32" i="1"/>
  <c r="S31" i="1"/>
  <c r="S18" i="1"/>
  <c r="R14" i="1"/>
  <c r="S11" i="1"/>
  <c r="T11" i="1" s="1"/>
  <c r="AA11" i="1" s="1"/>
  <c r="AC11" i="1" s="1"/>
  <c r="S26" i="1"/>
  <c r="R67" i="1"/>
  <c r="R76" i="1"/>
  <c r="R71" i="1"/>
  <c r="R68" i="1"/>
  <c r="R72" i="1"/>
  <c r="R73" i="1"/>
  <c r="R70" i="1"/>
  <c r="R75" i="1"/>
  <c r="R77" i="1"/>
  <c r="R74" i="1"/>
  <c r="R55" i="1"/>
  <c r="R19" i="1"/>
  <c r="R20" i="1"/>
  <c r="R25" i="1"/>
  <c r="R30" i="1"/>
  <c r="Q14" i="1"/>
  <c r="I79" i="1"/>
  <c r="Q79" i="1"/>
  <c r="Q62" i="1"/>
  <c r="N79" i="1"/>
  <c r="O62" i="1"/>
  <c r="K79" i="1"/>
  <c r="P62" i="1"/>
  <c r="O14" i="1"/>
  <c r="AF12" i="1" l="1"/>
  <c r="AD82" i="1"/>
  <c r="AC17" i="1"/>
  <c r="Z40" i="1"/>
  <c r="AA40" i="1"/>
  <c r="AC40" i="1" s="1"/>
  <c r="Z36" i="1"/>
  <c r="AA36" i="1"/>
  <c r="AC36" i="1" s="1"/>
  <c r="Z43" i="1"/>
  <c r="AA43" i="1"/>
  <c r="AC43" i="1" s="1"/>
  <c r="Z29" i="1"/>
  <c r="AA29" i="1"/>
  <c r="AC29" i="1" s="1"/>
  <c r="Z53" i="1"/>
  <c r="AA53" i="1"/>
  <c r="AC53" i="1" s="1"/>
  <c r="Z42" i="1"/>
  <c r="AA42" i="1"/>
  <c r="AC42" i="1" s="1"/>
  <c r="Z44" i="1"/>
  <c r="AA44" i="1"/>
  <c r="AC44" i="1" s="1"/>
  <c r="Z38" i="1"/>
  <c r="AA38" i="1"/>
  <c r="AC38" i="1" s="1"/>
  <c r="Z37" i="1"/>
  <c r="AA37" i="1"/>
  <c r="AC37" i="1" s="1"/>
  <c r="Z33" i="1"/>
  <c r="AA33" i="1"/>
  <c r="AC33" i="1" s="1"/>
  <c r="Z35" i="1"/>
  <c r="AA35" i="1"/>
  <c r="AC35" i="1" s="1"/>
  <c r="Z39" i="1"/>
  <c r="AA39" i="1"/>
  <c r="AC39" i="1" s="1"/>
  <c r="Z21" i="1"/>
  <c r="AA21" i="1"/>
  <c r="AC21" i="1" s="1"/>
  <c r="W82" i="1"/>
  <c r="AB82" i="1" s="1"/>
  <c r="Z66" i="1"/>
  <c r="AA66" i="1"/>
  <c r="AC66" i="1" s="1"/>
  <c r="Z24" i="1"/>
  <c r="AA24" i="1"/>
  <c r="AC24" i="1" s="1"/>
  <c r="Z34" i="1"/>
  <c r="AA34" i="1"/>
  <c r="AC34" i="1" s="1"/>
  <c r="Z46" i="1"/>
  <c r="AA46" i="1"/>
  <c r="AC46" i="1" s="1"/>
  <c r="Z50" i="1"/>
  <c r="AA50" i="1"/>
  <c r="AC50" i="1" s="1"/>
  <c r="Z48" i="1"/>
  <c r="AA48" i="1"/>
  <c r="AC48" i="1" s="1"/>
  <c r="AC65" i="1"/>
  <c r="T14" i="1"/>
  <c r="AA14" i="1" s="1"/>
  <c r="Z11" i="1"/>
  <c r="Y18" i="1"/>
  <c r="T18" i="1"/>
  <c r="Y31" i="1"/>
  <c r="T31" i="1"/>
  <c r="Z65" i="1"/>
  <c r="Y26" i="1"/>
  <c r="T26" i="1"/>
  <c r="Y32" i="1"/>
  <c r="T32" i="1"/>
  <c r="Y27" i="1"/>
  <c r="T27" i="1"/>
  <c r="Y28" i="1"/>
  <c r="T28" i="1"/>
  <c r="Z17" i="1"/>
  <c r="S14" i="1"/>
  <c r="Y11" i="1"/>
  <c r="S30" i="1"/>
  <c r="S25" i="1"/>
  <c r="S20" i="1"/>
  <c r="S19" i="1"/>
  <c r="S55" i="1"/>
  <c r="S74" i="1"/>
  <c r="T74" i="1" s="1"/>
  <c r="S77" i="1"/>
  <c r="T77" i="1" s="1"/>
  <c r="S75" i="1"/>
  <c r="T75" i="1" s="1"/>
  <c r="S70" i="1"/>
  <c r="T70" i="1" s="1"/>
  <c r="S73" i="1"/>
  <c r="T73" i="1" s="1"/>
  <c r="S72" i="1"/>
  <c r="T72" i="1" s="1"/>
  <c r="S68" i="1"/>
  <c r="T68" i="1" s="1"/>
  <c r="S71" i="1"/>
  <c r="T71" i="1" s="1"/>
  <c r="S76" i="1"/>
  <c r="T76" i="1" s="1"/>
  <c r="S67" i="1"/>
  <c r="R62" i="1"/>
  <c r="R79" i="1"/>
  <c r="P14" i="1"/>
  <c r="Z70" i="1" l="1"/>
  <c r="AA70" i="1"/>
  <c r="AC70" i="1" s="1"/>
  <c r="Z28" i="1"/>
  <c r="AA28" i="1"/>
  <c r="AC28" i="1" s="1"/>
  <c r="Z76" i="1"/>
  <c r="AA76" i="1"/>
  <c r="AC76" i="1" s="1"/>
  <c r="Z71" i="1"/>
  <c r="AA71" i="1"/>
  <c r="AC71" i="1" s="1"/>
  <c r="Z32" i="1"/>
  <c r="AE32" i="1" s="1"/>
  <c r="AA32" i="1"/>
  <c r="AC32" i="1" s="1"/>
  <c r="Z77" i="1"/>
  <c r="AA77" i="1"/>
  <c r="AC77" i="1" s="1"/>
  <c r="Z27" i="1"/>
  <c r="AE27" i="1" s="1"/>
  <c r="AA27" i="1"/>
  <c r="AC27" i="1" s="1"/>
  <c r="Z68" i="1"/>
  <c r="AA68" i="1"/>
  <c r="AC68" i="1" s="1"/>
  <c r="Z26" i="1"/>
  <c r="AE26" i="1" s="1"/>
  <c r="AA26" i="1"/>
  <c r="AC26" i="1" s="1"/>
  <c r="Z75" i="1"/>
  <c r="AA75" i="1"/>
  <c r="AC75" i="1" s="1"/>
  <c r="AC14" i="1"/>
  <c r="Z18" i="1"/>
  <c r="AA18" i="1"/>
  <c r="Z72" i="1"/>
  <c r="AA72" i="1"/>
  <c r="AC72" i="1" s="1"/>
  <c r="Z74" i="1"/>
  <c r="AA74" i="1"/>
  <c r="AC74" i="1" s="1"/>
  <c r="Z31" i="1"/>
  <c r="AA31" i="1"/>
  <c r="AC31" i="1" s="1"/>
  <c r="Z73" i="1"/>
  <c r="AA73" i="1"/>
  <c r="AC73" i="1" s="1"/>
  <c r="Y67" i="1"/>
  <c r="T67" i="1"/>
  <c r="AA67" i="1" s="1"/>
  <c r="AC67" i="1" s="1"/>
  <c r="Y20" i="1"/>
  <c r="T20" i="1"/>
  <c r="Y19" i="1"/>
  <c r="T19" i="1"/>
  <c r="AA19" i="1" s="1"/>
  <c r="AC19" i="1" s="1"/>
  <c r="Y25" i="1"/>
  <c r="T25" i="1"/>
  <c r="Z14" i="1"/>
  <c r="AF14" i="1" s="1"/>
  <c r="Y55" i="1"/>
  <c r="T55" i="1"/>
  <c r="Y30" i="1"/>
  <c r="T30" i="1"/>
  <c r="Y76" i="1"/>
  <c r="Y68" i="1"/>
  <c r="Y73" i="1"/>
  <c r="Y75" i="1"/>
  <c r="Y74" i="1"/>
  <c r="Y71" i="1"/>
  <c r="Y72" i="1"/>
  <c r="Y70" i="1"/>
  <c r="Y77" i="1"/>
  <c r="S79" i="1"/>
  <c r="R82" i="1"/>
  <c r="S62" i="1"/>
  <c r="Y14" i="1"/>
  <c r="AF32" i="1" l="1"/>
  <c r="AH32" i="1"/>
  <c r="AF27" i="1"/>
  <c r="AH27" i="1"/>
  <c r="AF26" i="1"/>
  <c r="AH26" i="1"/>
  <c r="AC18" i="1"/>
  <c r="Z20" i="1"/>
  <c r="AA20" i="1"/>
  <c r="AC20" i="1" s="1"/>
  <c r="Z30" i="1"/>
  <c r="AA30" i="1"/>
  <c r="AC30" i="1" s="1"/>
  <c r="Z25" i="1"/>
  <c r="AE25" i="1" s="1"/>
  <c r="AA25" i="1"/>
  <c r="AC25" i="1" s="1"/>
  <c r="AA79" i="1"/>
  <c r="AC79" i="1" s="1"/>
  <c r="Z55" i="1"/>
  <c r="AA55" i="1"/>
  <c r="AC55" i="1" s="1"/>
  <c r="S82" i="1"/>
  <c r="Y62" i="1"/>
  <c r="Y79" i="1"/>
  <c r="Z19" i="1"/>
  <c r="T62" i="1"/>
  <c r="Z67" i="1"/>
  <c r="T79" i="1"/>
  <c r="AI26" i="1" l="1"/>
  <c r="AK26" i="1"/>
  <c r="AI27" i="1"/>
  <c r="AK27" i="1"/>
  <c r="AI32" i="1"/>
  <c r="AK32" i="1"/>
  <c r="AF25" i="1"/>
  <c r="AH25" i="1"/>
  <c r="AK25" i="1" s="1"/>
  <c r="AN25" i="1" s="1"/>
  <c r="AE62" i="1"/>
  <c r="AE82" i="1" s="1"/>
  <c r="AA62" i="1"/>
  <c r="Y82" i="1"/>
  <c r="Z79" i="1"/>
  <c r="AF79" i="1" s="1"/>
  <c r="T82" i="1"/>
  <c r="Z62" i="1"/>
  <c r="AO25" i="1" l="1"/>
  <c r="AL27" i="1"/>
  <c r="AN27" i="1"/>
  <c r="AO27" i="1" s="1"/>
  <c r="AL32" i="1"/>
  <c r="AN32" i="1"/>
  <c r="AO32" i="1" s="1"/>
  <c r="AL26" i="1"/>
  <c r="AN26" i="1"/>
  <c r="AO26" i="1" s="1"/>
  <c r="AL25" i="1"/>
  <c r="AK62" i="1"/>
  <c r="AK82" i="1" s="1"/>
  <c r="AL82" i="1" s="1"/>
  <c r="AF62" i="1"/>
  <c r="AI25" i="1"/>
  <c r="AH62" i="1"/>
  <c r="AH82" i="1" s="1"/>
  <c r="AI82" i="1" s="1"/>
  <c r="AC62" i="1"/>
  <c r="AA82" i="1"/>
  <c r="AC82" i="1" s="1"/>
  <c r="AC86" i="1" s="1"/>
  <c r="Z82" i="1"/>
  <c r="AF82" i="1" s="1"/>
  <c r="AF86" i="1" s="1"/>
  <c r="AN62" i="1" l="1"/>
  <c r="AN82" i="1" s="1"/>
  <c r="AO62" i="1"/>
  <c r="AO82" i="1" s="1"/>
  <c r="AL62" i="1"/>
  <c r="AI62" i="1"/>
</calcChain>
</file>

<file path=xl/comments1.xml><?xml version="1.0" encoding="utf-8"?>
<comments xmlns="http://schemas.openxmlformats.org/spreadsheetml/2006/main">
  <authors>
    <author>Petra Cornelisse</author>
    <author>Nijssen Lizzy</author>
    <author>pcornelisse</author>
  </authors>
  <commentList>
    <comment ref="V13" authorId="0" shapeId="0">
      <text>
        <r>
          <rPr>
            <sz val="9"/>
            <color indexed="81"/>
            <rFont val="Tahoma"/>
            <family val="2"/>
          </rPr>
          <t>excl.computerapparatuur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Nijssen Lizzy:</t>
        </r>
        <r>
          <rPr>
            <sz val="9"/>
            <color indexed="81"/>
            <rFont val="Tahoma"/>
            <family val="2"/>
          </rPr>
          <t xml:space="preserve">
kan dit per 2017 ook samengevoegd worden in de nieuwe taxatie? </t>
        </r>
      </text>
    </comment>
    <comment ref="A73" authorId="2" shapeId="0">
      <text>
        <r>
          <rPr>
            <b/>
            <sz val="8"/>
            <color indexed="81"/>
            <rFont val="Tahoma"/>
            <family val="2"/>
          </rPr>
          <t>pcornelisse:</t>
        </r>
        <r>
          <rPr>
            <sz val="8"/>
            <color indexed="81"/>
            <rFont val="Tahoma"/>
            <family val="2"/>
          </rPr>
          <t xml:space="preserve">
was nr 4 nu 2</t>
        </r>
      </text>
    </comment>
  </commentList>
</comments>
</file>

<file path=xl/sharedStrings.xml><?xml version="1.0" encoding="utf-8"?>
<sst xmlns="http://schemas.openxmlformats.org/spreadsheetml/2006/main" count="882" uniqueCount="230">
  <si>
    <t>Totaal</t>
  </si>
  <si>
    <t>TOTAAL</t>
  </si>
  <si>
    <t>Risico object</t>
  </si>
  <si>
    <t>Inventaris</t>
  </si>
  <si>
    <t xml:space="preserve">Opstal </t>
  </si>
  <si>
    <t>Plaatsnaam</t>
  </si>
  <si>
    <t>Overige eigendommen</t>
  </si>
  <si>
    <t>Primair onderwijs</t>
  </si>
  <si>
    <t>Totaal primair onderwijs</t>
  </si>
  <si>
    <t>Voortgezet onderwijs</t>
  </si>
  <si>
    <t>Totaal voortgezet onderwijs</t>
  </si>
  <si>
    <t>Risico adres + nummer</t>
  </si>
  <si>
    <t>Gennep</t>
  </si>
  <si>
    <t>Stiemensweg 40</t>
  </si>
  <si>
    <t>Ven-Zelderheide</t>
  </si>
  <si>
    <t>Milsbeek</t>
  </si>
  <si>
    <t>Heijen</t>
  </si>
  <si>
    <t>Ottersum</t>
  </si>
  <si>
    <t>Gymnastieklokaal</t>
  </si>
  <si>
    <t>Schoolstraat 6</t>
  </si>
  <si>
    <t>Sleedoornstraat 5</t>
  </si>
  <si>
    <t>Stiemensweg 175</t>
  </si>
  <si>
    <t>Brink 20</t>
  </si>
  <si>
    <t>2e Dwarsweg 77</t>
  </si>
  <si>
    <t>Europaplein 1</t>
  </si>
  <si>
    <t>Schoolstraat 4</t>
  </si>
  <si>
    <t>Picardie 64</t>
  </si>
  <si>
    <t>Kerkvonder 3</t>
  </si>
  <si>
    <t>Kerktoren RK-kerk, Torenstraat</t>
  </si>
  <si>
    <t>Zandstraat</t>
  </si>
  <si>
    <t>Picardie 36</t>
  </si>
  <si>
    <t>Picardie 34</t>
  </si>
  <si>
    <t>Waldstraat 5a</t>
  </si>
  <si>
    <t>Langeweg 4</t>
  </si>
  <si>
    <t>Heikampseweg 50a</t>
  </si>
  <si>
    <t>Kleefseweg 29</t>
  </si>
  <si>
    <t>Torenstraat</t>
  </si>
  <si>
    <t>Vensestraat 66</t>
  </si>
  <si>
    <t>Pr. Margrietstraat 22</t>
  </si>
  <si>
    <t>Pr. Margrietstraat 20</t>
  </si>
  <si>
    <t>Lijsterbesstraat 10</t>
  </si>
  <si>
    <t>Pr. Irenestraat 23</t>
  </si>
  <si>
    <t>Sleedoornstraat 1</t>
  </si>
  <si>
    <t>Kampweg 7</t>
  </si>
  <si>
    <t>Davidlaan</t>
  </si>
  <si>
    <t>Ellen Hoffmannplein 1</t>
  </si>
  <si>
    <t>Markt 1</t>
  </si>
  <si>
    <t>Genneperhuisweg 9</t>
  </si>
  <si>
    <t>Paesplasweg 6</t>
  </si>
  <si>
    <t>per 31-12-2010</t>
  </si>
  <si>
    <t>na index</t>
  </si>
  <si>
    <t>per 31-12-2011</t>
  </si>
  <si>
    <t>per 31-12-2012</t>
  </si>
  <si>
    <t>Mutaties</t>
  </si>
  <si>
    <t>inventaris</t>
  </si>
  <si>
    <t>Postcode</t>
  </si>
  <si>
    <t>vso Mikado, inclusief gymzalen</t>
  </si>
  <si>
    <t>Passage tussen 2 straten</t>
  </si>
  <si>
    <t>Sportcomplex aangeb. Zwembad</t>
  </si>
  <si>
    <t>Kleedlokaal ponyclub Noblesse</t>
  </si>
  <si>
    <t>Kapel Ven-Zelderheide</t>
  </si>
  <si>
    <t>Wijkgebouw 't Hökske</t>
  </si>
  <si>
    <t>Jongerencentrum Megafoon</t>
  </si>
  <si>
    <t>Wijkcentrum Tjengke Muda</t>
  </si>
  <si>
    <t>Wijkgebouw buurthuis "Van Ons"</t>
  </si>
  <si>
    <t>Gemeenschapshuis "D'n Toomp"</t>
  </si>
  <si>
    <t>De Blokhut</t>
  </si>
  <si>
    <t>Peuterspeelzaal De Zonnepitjes</t>
  </si>
  <si>
    <t>Loodsen bij begraafplaats</t>
  </si>
  <si>
    <t>Woonwagen gebouwtjes</t>
  </si>
  <si>
    <t>Gemeentehuis</t>
  </si>
  <si>
    <t>Informatiepanelen in gemeentesecretarie</t>
  </si>
  <si>
    <t>Brandweergarage/opslag</t>
  </si>
  <si>
    <t>Markt 1 en Ellen Hoffmannplein 1</t>
  </si>
  <si>
    <t>Gemeentewerf</t>
  </si>
  <si>
    <t>Raadhuis, toren en carillon</t>
  </si>
  <si>
    <t>OBS Elckerlyc, 11 klassige openbare basisschool</t>
  </si>
  <si>
    <t>SO Mikado</t>
  </si>
  <si>
    <t>Schoolstraat 2</t>
  </si>
  <si>
    <t>Verbinding tussen Nederland en Duitsland</t>
  </si>
  <si>
    <t>Houten brugverbinding, fietsbrug</t>
  </si>
  <si>
    <t>Gebouwen</t>
  </si>
  <si>
    <t>per 31-12-2013</t>
  </si>
  <si>
    <t>gebouwen</t>
  </si>
  <si>
    <t>Raadhuis, toren en carillon (inclusief geluidsapparatuur)</t>
  </si>
  <si>
    <t>6591 XP</t>
  </si>
  <si>
    <t>6595 AN</t>
  </si>
  <si>
    <t>6591 CP</t>
  </si>
  <si>
    <t>6591 AV</t>
  </si>
  <si>
    <t>6595 AM</t>
  </si>
  <si>
    <t>6598 BN</t>
  </si>
  <si>
    <t>6591 XV</t>
  </si>
  <si>
    <t>6599 AK</t>
  </si>
  <si>
    <t>6599 AA</t>
  </si>
  <si>
    <t>6591 XX</t>
  </si>
  <si>
    <t>6598 AW</t>
  </si>
  <si>
    <t>6591 BZ</t>
  </si>
  <si>
    <t>6591 XA</t>
  </si>
  <si>
    <t>6591 MH</t>
  </si>
  <si>
    <t>6591 JE</t>
  </si>
  <si>
    <t>6591 JG</t>
  </si>
  <si>
    <t>6591 GA</t>
  </si>
  <si>
    <t>6591 GD</t>
  </si>
  <si>
    <t>6596 AP</t>
  </si>
  <si>
    <t>6598 AX</t>
  </si>
  <si>
    <t>6591 MD</t>
  </si>
  <si>
    <t>6599 AR</t>
  </si>
  <si>
    <t>6591 ZX</t>
  </si>
  <si>
    <t>per 31-12-2014</t>
  </si>
  <si>
    <t>Hoek Noordwal/Mariaoord</t>
  </si>
  <si>
    <t>Norbertuspad</t>
  </si>
  <si>
    <t>Norbertplein 2</t>
  </si>
  <si>
    <t>Norbertplein 3</t>
  </si>
  <si>
    <t>Cultureel Centr. Pica Mare incl. bovenbouw studio lokale omroep</t>
  </si>
  <si>
    <t>Picardie 111</t>
  </si>
  <si>
    <t>Sleedoornstraat 3</t>
  </si>
  <si>
    <t>BBS De Drie Vijvers</t>
  </si>
  <si>
    <t>Zwarteweg 85</t>
  </si>
  <si>
    <t>Stiemensweg 44-46</t>
  </si>
  <si>
    <t>Elzendaal college</t>
  </si>
  <si>
    <t>*1</t>
  </si>
  <si>
    <t>*2</t>
  </si>
  <si>
    <t>*2 getaxeerd J.L. van der Mark d.d. 10-06-2016, rapportnr. 41146/16</t>
  </si>
  <si>
    <t>*1 getaxeerd J.L. van der Mark d.d. 17-05-2016, rapportnr. 41146/16</t>
  </si>
  <si>
    <t>Peuterspeelzaal Pippeloentje</t>
  </si>
  <si>
    <t>St. Janstraat 66</t>
  </si>
  <si>
    <t>6595 AD</t>
  </si>
  <si>
    <t>Verloren Land 3</t>
  </si>
  <si>
    <t>6596 CL</t>
  </si>
  <si>
    <t>6596 MJ</t>
  </si>
  <si>
    <t>Martinushof 21</t>
  </si>
  <si>
    <t>6591 DM</t>
  </si>
  <si>
    <t>#1</t>
  </si>
  <si>
    <t>#1 getaxeerd J.L. van der Mark d.d. 16-07-2015, rapportnr. 41107/15</t>
  </si>
  <si>
    <t>per 31-12-2016</t>
  </si>
  <si>
    <t>voor index</t>
  </si>
  <si>
    <t>Sportaccommodatie</t>
  </si>
  <si>
    <t>Peuterette Hummelhonk</t>
  </si>
  <si>
    <t>Kleedlokaal en kantine Tennis- en korfbalvereniging</t>
  </si>
  <si>
    <t>Goorseweg 51-53</t>
  </si>
  <si>
    <t>$1</t>
  </si>
  <si>
    <t>$1 gebouwen getaxeerd door J.L. van der Mark d.d. 08-09-2017, rapportnummer  41176/17</t>
  </si>
  <si>
    <t>$2 inventaris getaxeerd door J.L. van der Mark d.d. 08-09-2017, rapportnummer  41176/17</t>
  </si>
  <si>
    <t>$1, $2</t>
  </si>
  <si>
    <t>$2</t>
  </si>
  <si>
    <t>MFC de Uitkomst incl. woning en kleedlokaal</t>
  </si>
  <si>
    <t>per 31-12-2017</t>
  </si>
  <si>
    <t>Tennisvereniging de Milsbeek</t>
  </si>
  <si>
    <t>Multifunctioneel centrum De Goede Herder</t>
  </si>
  <si>
    <t>Kleedaccommodatie "de Komeet "</t>
  </si>
  <si>
    <t>Brug tussen 't Melkstraatje en De Doelen</t>
  </si>
  <si>
    <t>Sportpark SV Milsbeek</t>
  </si>
  <si>
    <t>Groote Heeze 33</t>
  </si>
  <si>
    <t xml:space="preserve">6598 AV </t>
  </si>
  <si>
    <t>gebouw milieustation</t>
  </si>
  <si>
    <t>6591 BS</t>
  </si>
  <si>
    <t>Kruittoren in stadsmuur</t>
  </si>
  <si>
    <t>per 31-12-2018</t>
  </si>
  <si>
    <t>Willem Boyeweg 137 (17 ?)</t>
  </si>
  <si>
    <t>Brink 12 (22)</t>
  </si>
  <si>
    <t>per 31-12-2019</t>
  </si>
  <si>
    <t>Gemeente Gennep</t>
  </si>
  <si>
    <t>Brandverzekering</t>
  </si>
  <si>
    <t>per 31-12-2020</t>
  </si>
  <si>
    <t>Troostwijk</t>
  </si>
  <si>
    <t xml:space="preserve"> </t>
  </si>
  <si>
    <t>Index</t>
  </si>
  <si>
    <t>Taxatie</t>
  </si>
  <si>
    <t>Controletelling</t>
  </si>
  <si>
    <t>Vensestraat 1</t>
  </si>
  <si>
    <t>6595 MV</t>
  </si>
  <si>
    <t>Picardie ..</t>
  </si>
  <si>
    <t xml:space="preserve">Tijdelijke sporthal </t>
  </si>
  <si>
    <t>per 31-12-2021</t>
  </si>
  <si>
    <t>totaal</t>
  </si>
  <si>
    <t>Kleedaccommodatie Vitesse '08</t>
  </si>
  <si>
    <t>Kantine en kleedaccomodatie Achates</t>
  </si>
  <si>
    <t>BBS De Ratel incl. noodlokalen SKOMeN</t>
  </si>
  <si>
    <t>BBS Heggerank, met speellokaal SKOMeN</t>
  </si>
  <si>
    <t>BBS De Brink SKOMeN</t>
  </si>
  <si>
    <t>BBS De Vonder SKOMeN</t>
  </si>
  <si>
    <t>OBS Elckerlyc KEC (Elckerlyc, Piramide en Stella Nova)</t>
  </si>
  <si>
    <t>Leegstand met vloerbedekking en zonwering</t>
  </si>
  <si>
    <t>Kapel Sint-Antonius Abtkerk Ven Zelderheide</t>
  </si>
  <si>
    <t>per 02-08-2022</t>
  </si>
  <si>
    <t>Verloren Land 1</t>
  </si>
  <si>
    <t>Taxatie 41327/22 d.d. 2-8-2022</t>
  </si>
  <si>
    <t>Leegstand</t>
  </si>
  <si>
    <t>per 31-12-2022</t>
  </si>
  <si>
    <t xml:space="preserve">Inventaris </t>
  </si>
  <si>
    <t>Getaxeerd</t>
  </si>
  <si>
    <t>2022 Q3</t>
  </si>
  <si>
    <t>Ongetaxeerd</t>
  </si>
  <si>
    <t>Sloop 2025</t>
  </si>
  <si>
    <t>Brabantweg 6</t>
  </si>
  <si>
    <t>Wachtruimte Arriva / openbaar toilet</t>
  </si>
  <si>
    <t>Kerkstraat 31</t>
  </si>
  <si>
    <t>Zalencentrum 't Trefpunt</t>
  </si>
  <si>
    <t>Kleedruimte Vense Boys</t>
  </si>
  <si>
    <t xml:space="preserve">Gebouwen </t>
  </si>
  <si>
    <t>per 31-12-2023</t>
  </si>
  <si>
    <t xml:space="preserve">Totaal </t>
  </si>
  <si>
    <t>index 126,4</t>
  </si>
  <si>
    <t>index 130,0</t>
  </si>
  <si>
    <t>index 126,8</t>
  </si>
  <si>
    <r>
      <t xml:space="preserve">Sint-Antonius Abtkerk Ven Zelderheide </t>
    </r>
    <r>
      <rPr>
        <b/>
        <sz val="10"/>
        <rFont val="Arial"/>
        <family val="2"/>
      </rPr>
      <t>(nieuwe naam MFA D'n Tunnis)</t>
    </r>
  </si>
  <si>
    <t>per 31-12-2024</t>
  </si>
  <si>
    <t>index 138,2</t>
  </si>
  <si>
    <t>index 131,5</t>
  </si>
  <si>
    <t>Taxatie 311892-01-0 d.d. 9-1-2025</t>
  </si>
  <si>
    <t>Bijlage C.2</t>
  </si>
  <si>
    <t>Objectenspecificatie 31-12-2024</t>
  </si>
  <si>
    <t>Opmerkingen</t>
  </si>
  <si>
    <t>Inbraakalarm</t>
  </si>
  <si>
    <t>Brandalarm</t>
  </si>
  <si>
    <t>Sprinklerinstall</t>
  </si>
  <si>
    <t>Aanwezige prevenie</t>
  </si>
  <si>
    <t>Ja / Nee</t>
  </si>
  <si>
    <t>Zonnepanelen</t>
  </si>
  <si>
    <t>Asbestdak</t>
  </si>
  <si>
    <t>Monument?</t>
  </si>
  <si>
    <t>Rijks of Gemeentelijk</t>
  </si>
  <si>
    <t>Ja</t>
  </si>
  <si>
    <t>Onbekend</t>
  </si>
  <si>
    <t>Nee</t>
  </si>
  <si>
    <t>N.v.t.</t>
  </si>
  <si>
    <t>Geen</t>
  </si>
  <si>
    <t>Gemeentelijk</t>
  </si>
  <si>
    <t>Rijks</t>
  </si>
  <si>
    <t>Volgt 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</si>
</sst>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[$€]\ * #,##0.00_-;_-[$€]\ * #,##0.00\-;_-[$€]\ * &quot;-&quot;??_-;_-@_-"/>
    <numFmt numFmtId="166" formatCode="dd\-mmm\-yy"/>
    <numFmt numFmtId="167" formatCode="#,##0.00_ ;\-#,##0.00\ "/>
    <numFmt numFmtId="168" formatCode="#,##0.0_ ;\-#,##0.0\ "/>
    <numFmt numFmtId="169" formatCode="0.0"/>
    <numFmt numFmtId="170" formatCode="0.0%"/>
    <numFmt numFmtId="171" formatCode="0.000"/>
    <numFmt numFmtId="172" formatCode="_-&quot;€&quot;\ * #,##0_-;_-&quot;€&quot;\ * #,##0\-;_-&quot;€&quot;\ 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11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sz val="10"/>
      <color indexed="57"/>
      <name val="Arial"/>
      <family val="2"/>
    </font>
    <font>
      <sz val="10"/>
      <color indexed="57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0" xfId="0" applyBorder="1" applyAlignment="1"/>
    <xf numFmtId="164" fontId="0" fillId="0" borderId="0" xfId="0" applyNumberFormat="1" applyBorder="1" applyAlignment="1"/>
    <xf numFmtId="0" fontId="0" fillId="0" borderId="0" xfId="0" applyFill="1" applyBorder="1" applyAlignment="1"/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0" fontId="2" fillId="2" borderId="3" xfId="0" applyFont="1" applyFill="1" applyBorder="1" applyAlignment="1"/>
    <xf numFmtId="164" fontId="2" fillId="2" borderId="3" xfId="0" applyNumberFormat="1" applyFont="1" applyFill="1" applyBorder="1" applyAlignment="1"/>
    <xf numFmtId="0" fontId="2" fillId="0" borderId="0" xfId="0" applyFont="1" applyBorder="1" applyAlignment="1"/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Border="1" applyAlignment="1"/>
    <xf numFmtId="0" fontId="3" fillId="2" borderId="3" xfId="0" applyFont="1" applyFill="1" applyBorder="1" applyAlignment="1"/>
    <xf numFmtId="0" fontId="0" fillId="2" borderId="3" xfId="0" applyFill="1" applyBorder="1" applyAlignment="1"/>
    <xf numFmtId="49" fontId="3" fillId="0" borderId="0" xfId="0" applyNumberFormat="1" applyFont="1" applyFill="1" applyBorder="1" applyAlignment="1"/>
    <xf numFmtId="0" fontId="2" fillId="2" borderId="4" xfId="0" applyFont="1" applyFill="1" applyBorder="1" applyAlignment="1"/>
    <xf numFmtId="0" fontId="3" fillId="2" borderId="5" xfId="0" applyFont="1" applyFill="1" applyBorder="1" applyAlignment="1"/>
    <xf numFmtId="0" fontId="2" fillId="2" borderId="5" xfId="0" applyFont="1" applyFill="1" applyBorder="1" applyAlignment="1"/>
    <xf numFmtId="164" fontId="2" fillId="2" borderId="5" xfId="0" applyNumberFormat="1" applyFont="1" applyFill="1" applyBorder="1" applyAlignment="1"/>
    <xf numFmtId="0" fontId="3" fillId="2" borderId="6" xfId="0" applyFont="1" applyFill="1" applyBorder="1" applyAlignment="1"/>
    <xf numFmtId="164" fontId="3" fillId="2" borderId="6" xfId="0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14" fontId="2" fillId="2" borderId="8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0" fontId="3" fillId="0" borderId="0" xfId="0" applyFo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164" fontId="4" fillId="2" borderId="8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/>
    <xf numFmtId="0" fontId="3" fillId="0" borderId="9" xfId="0" applyFont="1" applyFill="1" applyBorder="1" applyAlignment="1"/>
    <xf numFmtId="14" fontId="9" fillId="2" borderId="8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/>
    <xf numFmtId="164" fontId="9" fillId="0" borderId="0" xfId="0" applyNumberFormat="1" applyFont="1" applyFill="1" applyBorder="1" applyAlignment="1"/>
    <xf numFmtId="164" fontId="10" fillId="0" borderId="0" xfId="0" applyNumberFormat="1" applyFont="1" applyFill="1" applyBorder="1" applyAlignment="1"/>
    <xf numFmtId="164" fontId="9" fillId="2" borderId="5" xfId="0" applyNumberFormat="1" applyFont="1" applyFill="1" applyBorder="1" applyAlignment="1"/>
    <xf numFmtId="164" fontId="10" fillId="2" borderId="6" xfId="0" applyNumberFormat="1" applyFont="1" applyFill="1" applyBorder="1" applyAlignment="1"/>
    <xf numFmtId="164" fontId="10" fillId="0" borderId="0" xfId="0" applyNumberFormat="1" applyFont="1" applyBorder="1" applyAlignment="1"/>
    <xf numFmtId="164" fontId="2" fillId="0" borderId="8" xfId="0" applyNumberFormat="1" applyFont="1" applyFill="1" applyBorder="1" applyAlignment="1"/>
    <xf numFmtId="164" fontId="9" fillId="0" borderId="8" xfId="0" applyNumberFormat="1" applyFont="1" applyFill="1" applyBorder="1" applyAlignment="1"/>
    <xf numFmtId="164" fontId="0" fillId="0" borderId="0" xfId="0" applyNumberFormat="1" applyFill="1" applyBorder="1" applyAlignment="1"/>
    <xf numFmtId="164" fontId="11" fillId="2" borderId="3" xfId="0" applyNumberFormat="1" applyFont="1" applyFill="1" applyBorder="1" applyAlignment="1"/>
    <xf numFmtId="164" fontId="11" fillId="0" borderId="8" xfId="0" applyNumberFormat="1" applyFont="1" applyFill="1" applyBorder="1" applyAlignment="1"/>
    <xf numFmtId="164" fontId="11" fillId="0" borderId="0" xfId="0" applyNumberFormat="1" applyFont="1" applyFill="1" applyBorder="1" applyAlignment="1"/>
    <xf numFmtId="164" fontId="12" fillId="0" borderId="0" xfId="0" applyNumberFormat="1" applyFont="1" applyFill="1" applyBorder="1" applyAlignment="1"/>
    <xf numFmtId="164" fontId="11" fillId="2" borderId="5" xfId="0" applyNumberFormat="1" applyFont="1" applyFill="1" applyBorder="1" applyAlignment="1"/>
    <xf numFmtId="164" fontId="12" fillId="2" borderId="6" xfId="0" applyNumberFormat="1" applyFont="1" applyFill="1" applyBorder="1" applyAlignment="1"/>
    <xf numFmtId="164" fontId="12" fillId="0" borderId="0" xfId="0" applyNumberFormat="1" applyFont="1" applyBorder="1" applyAlignment="1"/>
    <xf numFmtId="14" fontId="11" fillId="2" borderId="8" xfId="0" applyNumberFormat="1" applyFont="1" applyFill="1" applyBorder="1" applyAlignment="1">
      <alignment horizontal="center"/>
    </xf>
    <xf numFmtId="164" fontId="8" fillId="0" borderId="9" xfId="0" applyNumberFormat="1" applyFont="1" applyFill="1" applyBorder="1" applyAlignment="1"/>
    <xf numFmtId="164" fontId="3" fillId="0" borderId="11" xfId="0" applyNumberFormat="1" applyFont="1" applyFill="1" applyBorder="1" applyAlignment="1"/>
    <xf numFmtId="164" fontId="4" fillId="2" borderId="3" xfId="0" applyNumberFormat="1" applyFont="1" applyFill="1" applyBorder="1" applyAlignment="1"/>
    <xf numFmtId="164" fontId="4" fillId="0" borderId="8" xfId="0" applyNumberFormat="1" applyFont="1" applyFill="1" applyBorder="1" applyAlignment="1"/>
    <xf numFmtId="14" fontId="4" fillId="2" borderId="8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4" fontId="8" fillId="0" borderId="0" xfId="0" applyNumberFormat="1" applyFont="1" applyFill="1" applyBorder="1" applyAlignment="1"/>
    <xf numFmtId="164" fontId="4" fillId="2" borderId="5" xfId="0" applyNumberFormat="1" applyFont="1" applyFill="1" applyBorder="1" applyAlignment="1"/>
    <xf numFmtId="164" fontId="8" fillId="2" borderId="6" xfId="0" applyNumberFormat="1" applyFont="1" applyFill="1" applyBorder="1" applyAlignment="1"/>
    <xf numFmtId="164" fontId="8" fillId="0" borderId="0" xfId="0" applyNumberFormat="1" applyFont="1" applyBorder="1" applyAlignment="1"/>
    <xf numFmtId="49" fontId="2" fillId="2" borderId="3" xfId="0" applyNumberFormat="1" applyFont="1" applyFill="1" applyBorder="1" applyAlignment="1">
      <alignment horizontal="left"/>
    </xf>
    <xf numFmtId="0" fontId="2" fillId="0" borderId="9" xfId="0" applyFont="1" applyBorder="1" applyAlignment="1"/>
    <xf numFmtId="164" fontId="2" fillId="2" borderId="8" xfId="0" applyNumberFormat="1" applyFont="1" applyFill="1" applyBorder="1" applyAlignment="1"/>
    <xf numFmtId="164" fontId="4" fillId="2" borderId="8" xfId="0" applyNumberFormat="1" applyFont="1" applyFill="1" applyBorder="1" applyAlignment="1"/>
    <xf numFmtId="0" fontId="7" fillId="0" borderId="9" xfId="0" applyFont="1" applyFill="1" applyBorder="1" applyAlignment="1"/>
    <xf numFmtId="0" fontId="1" fillId="0" borderId="0" xfId="0" applyFont="1" applyFill="1" applyBorder="1" applyAlignment="1"/>
    <xf numFmtId="164" fontId="3" fillId="0" borderId="8" xfId="0" applyNumberFormat="1" applyFont="1" applyFill="1" applyBorder="1" applyAlignment="1"/>
    <xf numFmtId="164" fontId="8" fillId="0" borderId="8" xfId="0" applyNumberFormat="1" applyFont="1" applyFill="1" applyBorder="1" applyAlignment="1"/>
    <xf numFmtId="0" fontId="3" fillId="2" borderId="2" xfId="0" applyFont="1" applyFill="1" applyBorder="1" applyAlignment="1"/>
    <xf numFmtId="164" fontId="2" fillId="2" borderId="0" xfId="0" applyNumberFormat="1" applyFont="1" applyFill="1" applyBorder="1" applyAlignment="1"/>
    <xf numFmtId="0" fontId="0" fillId="3" borderId="0" xfId="0" applyFill="1" applyBorder="1" applyAlignment="1"/>
    <xf numFmtId="0" fontId="3" fillId="2" borderId="8" xfId="0" applyFont="1" applyFill="1" applyBorder="1" applyAlignment="1"/>
    <xf numFmtId="0" fontId="2" fillId="2" borderId="8" xfId="0" applyFont="1" applyFill="1" applyBorder="1" applyAlignment="1"/>
    <xf numFmtId="167" fontId="2" fillId="2" borderId="8" xfId="0" applyNumberFormat="1" applyFont="1" applyFill="1" applyBorder="1" applyAlignment="1"/>
    <xf numFmtId="167" fontId="4" fillId="2" borderId="8" xfId="0" applyNumberFormat="1" applyFont="1" applyFill="1" applyBorder="1" applyAlignment="1"/>
    <xf numFmtId="168" fontId="2" fillId="2" borderId="8" xfId="0" applyNumberFormat="1" applyFont="1" applyFill="1" applyBorder="1" applyAlignment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left"/>
    </xf>
    <xf numFmtId="164" fontId="2" fillId="0" borderId="8" xfId="0" applyNumberFormat="1" applyFont="1" applyFill="1" applyBorder="1" applyAlignment="1">
      <alignment horizontal="left"/>
    </xf>
    <xf numFmtId="166" fontId="15" fillId="0" borderId="9" xfId="0" applyNumberFormat="1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166" fontId="3" fillId="0" borderId="3" xfId="0" applyNumberFormat="1" applyFont="1" applyFill="1" applyBorder="1" applyAlignment="1">
      <alignment horizontal="left" wrapText="1"/>
    </xf>
    <xf numFmtId="164" fontId="3" fillId="0" borderId="3" xfId="0" applyNumberFormat="1" applyFont="1" applyFill="1" applyBorder="1" applyAlignment="1"/>
    <xf numFmtId="0" fontId="2" fillId="4" borderId="17" xfId="0" applyFont="1" applyFill="1" applyBorder="1" applyAlignment="1"/>
    <xf numFmtId="0" fontId="2" fillId="4" borderId="18" xfId="0" applyFont="1" applyFill="1" applyBorder="1" applyAlignment="1"/>
    <xf numFmtId="0" fontId="2" fillId="4" borderId="19" xfId="0" applyFont="1" applyFill="1" applyBorder="1" applyAlignment="1"/>
    <xf numFmtId="164" fontId="3" fillId="0" borderId="0" xfId="0" applyNumberFormat="1" applyFont="1" applyBorder="1" applyAlignment="1"/>
    <xf numFmtId="0" fontId="0" fillId="0" borderId="9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2" fillId="0" borderId="23" xfId="0" applyFont="1" applyBorder="1" applyAlignment="1"/>
    <xf numFmtId="0" fontId="3" fillId="0" borderId="23" xfId="0" applyFont="1" applyBorder="1" applyAlignment="1"/>
    <xf numFmtId="169" fontId="0" fillId="0" borderId="24" xfId="0" applyNumberFormat="1" applyBorder="1" applyAlignment="1">
      <alignment horizontal="center"/>
    </xf>
    <xf numFmtId="0" fontId="3" fillId="0" borderId="23" xfId="0" applyFont="1" applyFill="1" applyBorder="1" applyAlignment="1"/>
    <xf numFmtId="0" fontId="0" fillId="0" borderId="24" xfId="0" applyBorder="1" applyAlignment="1">
      <alignment horizont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Fill="1" applyBorder="1" applyAlignment="1"/>
    <xf numFmtId="0" fontId="0" fillId="0" borderId="26" xfId="0" applyFill="1" applyBorder="1" applyAlignment="1"/>
    <xf numFmtId="0" fontId="0" fillId="0" borderId="27" xfId="0" applyFill="1" applyBorder="1" applyAlignment="1"/>
    <xf numFmtId="0" fontId="2" fillId="2" borderId="9" xfId="0" applyFont="1" applyFill="1" applyBorder="1" applyAlignment="1">
      <alignment horizontal="left"/>
    </xf>
    <xf numFmtId="164" fontId="2" fillId="2" borderId="9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center"/>
    </xf>
    <xf numFmtId="0" fontId="2" fillId="4" borderId="9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164" fontId="2" fillId="2" borderId="21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2" fillId="4" borderId="21" xfId="0" applyNumberFormat="1" applyFont="1" applyFill="1" applyBorder="1" applyAlignment="1">
      <alignment horizontal="center"/>
    </xf>
    <xf numFmtId="0" fontId="2" fillId="3" borderId="22" xfId="0" applyFont="1" applyFill="1" applyBorder="1" applyAlignment="1"/>
    <xf numFmtId="0" fontId="2" fillId="2" borderId="2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left"/>
    </xf>
    <xf numFmtId="14" fontId="2" fillId="2" borderId="26" xfId="0" applyNumberFormat="1" applyFont="1" applyFill="1" applyBorder="1" applyAlignment="1">
      <alignment horizontal="center"/>
    </xf>
    <xf numFmtId="1" fontId="2" fillId="2" borderId="26" xfId="0" applyNumberFormat="1" applyFont="1" applyFill="1" applyBorder="1" applyAlignment="1">
      <alignment horizontal="center"/>
    </xf>
    <xf numFmtId="1" fontId="4" fillId="2" borderId="26" xfId="0" applyNumberFormat="1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1" fontId="2" fillId="4" borderId="26" xfId="0" applyNumberFormat="1" applyFont="1" applyFill="1" applyBorder="1" applyAlignment="1">
      <alignment horizontal="center"/>
    </xf>
    <xf numFmtId="14" fontId="2" fillId="4" borderId="26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/>
    <xf numFmtId="0" fontId="2" fillId="5" borderId="9" xfId="0" quotePrefix="1" applyFont="1" applyFill="1" applyBorder="1" applyAlignment="1">
      <alignment horizontal="center"/>
    </xf>
    <xf numFmtId="0" fontId="2" fillId="5" borderId="24" xfId="0" quotePrefix="1" applyFont="1" applyFill="1" applyBorder="1" applyAlignment="1">
      <alignment horizontal="center"/>
    </xf>
    <xf numFmtId="164" fontId="3" fillId="2" borderId="8" xfId="0" applyNumberFormat="1" applyFont="1" applyFill="1" applyBorder="1" applyAlignment="1"/>
    <xf numFmtId="164" fontId="3" fillId="2" borderId="28" xfId="0" applyNumberFormat="1" applyFont="1" applyFill="1" applyBorder="1" applyAlignment="1"/>
    <xf numFmtId="164" fontId="2" fillId="2" borderId="28" xfId="0" applyNumberFormat="1" applyFont="1" applyFill="1" applyBorder="1" applyAlignment="1"/>
    <xf numFmtId="0" fontId="2" fillId="4" borderId="20" xfId="0" applyFont="1" applyFill="1" applyBorder="1" applyAlignment="1"/>
    <xf numFmtId="170" fontId="0" fillId="0" borderId="0" xfId="2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/>
    <xf numFmtId="44" fontId="3" fillId="0" borderId="0" xfId="0" applyNumberFormat="1" applyFont="1" applyBorder="1" applyAlignment="1"/>
    <xf numFmtId="0" fontId="2" fillId="6" borderId="9" xfId="0" applyFont="1" applyFill="1" applyBorder="1" applyAlignment="1"/>
    <xf numFmtId="164" fontId="2" fillId="7" borderId="21" xfId="0" applyNumberFormat="1" applyFont="1" applyFill="1" applyBorder="1" applyAlignment="1">
      <alignment horizontal="center"/>
    </xf>
    <xf numFmtId="0" fontId="2" fillId="7" borderId="9" xfId="0" applyNumberFormat="1" applyFont="1" applyFill="1" applyBorder="1" applyAlignment="1">
      <alignment horizontal="center"/>
    </xf>
    <xf numFmtId="14" fontId="2" fillId="7" borderId="26" xfId="0" applyNumberFormat="1" applyFont="1" applyFill="1" applyBorder="1" applyAlignment="1">
      <alignment horizontal="center"/>
    </xf>
    <xf numFmtId="1" fontId="2" fillId="7" borderId="26" xfId="0" applyNumberFormat="1" applyFont="1" applyFill="1" applyBorder="1" applyAlignment="1">
      <alignment horizontal="center"/>
    </xf>
    <xf numFmtId="0" fontId="3" fillId="7" borderId="9" xfId="0" applyFont="1" applyFill="1" applyBorder="1" applyAlignment="1"/>
    <xf numFmtId="0" fontId="3" fillId="7" borderId="12" xfId="0" applyFont="1" applyFill="1" applyBorder="1" applyAlignment="1">
      <alignment horizontal="left" vertical="center" wrapText="1"/>
    </xf>
    <xf numFmtId="164" fontId="3" fillId="7" borderId="9" xfId="0" applyNumberFormat="1" applyFont="1" applyFill="1" applyBorder="1" applyAlignment="1"/>
    <xf numFmtId="164" fontId="3" fillId="7" borderId="11" xfId="0" applyNumberFormat="1" applyFont="1" applyFill="1" applyBorder="1" applyAlignment="1"/>
    <xf numFmtId="0" fontId="3" fillId="7" borderId="12" xfId="0" applyFont="1" applyFill="1" applyBorder="1" applyAlignment="1">
      <alignment horizontal="left" wrapText="1"/>
    </xf>
    <xf numFmtId="0" fontId="2" fillId="7" borderId="9" xfId="0" applyFont="1" applyFill="1" applyBorder="1" applyAlignment="1"/>
    <xf numFmtId="0" fontId="2" fillId="7" borderId="11" xfId="0" applyFont="1" applyFill="1" applyBorder="1" applyAlignment="1"/>
    <xf numFmtId="0" fontId="3" fillId="7" borderId="9" xfId="0" applyFont="1" applyFill="1" applyBorder="1" applyAlignment="1">
      <alignment horizontal="left" wrapText="1"/>
    </xf>
    <xf numFmtId="164" fontId="3" fillId="7" borderId="10" xfId="0" applyNumberFormat="1" applyFont="1" applyFill="1" applyBorder="1" applyAlignment="1"/>
    <xf numFmtId="164" fontId="3" fillId="7" borderId="14" xfId="0" applyNumberFormat="1" applyFont="1" applyFill="1" applyBorder="1" applyAlignment="1"/>
    <xf numFmtId="166" fontId="3" fillId="7" borderId="12" xfId="0" applyNumberFormat="1" applyFont="1" applyFill="1" applyBorder="1" applyAlignment="1">
      <alignment horizontal="left" wrapText="1"/>
    </xf>
    <xf numFmtId="0" fontId="3" fillId="7" borderId="16" xfId="0" applyFont="1" applyFill="1" applyBorder="1" applyAlignment="1">
      <alignment horizontal="left" wrapText="1"/>
    </xf>
    <xf numFmtId="0" fontId="3" fillId="7" borderId="13" xfId="0" applyFont="1" applyFill="1" applyBorder="1" applyAlignment="1">
      <alignment horizontal="left" wrapText="1"/>
    </xf>
    <xf numFmtId="164" fontId="8" fillId="7" borderId="9" xfId="0" applyNumberFormat="1" applyFont="1" applyFill="1" applyBorder="1" applyAlignment="1"/>
    <xf numFmtId="164" fontId="18" fillId="7" borderId="9" xfId="0" applyNumberFormat="1" applyFont="1" applyFill="1" applyBorder="1" applyAlignment="1"/>
    <xf numFmtId="0" fontId="3" fillId="7" borderId="9" xfId="0" applyFont="1" applyFill="1" applyBorder="1" applyAlignment="1">
      <alignment horizontal="left"/>
    </xf>
    <xf numFmtId="166" fontId="15" fillId="7" borderId="9" xfId="0" applyNumberFormat="1" applyFont="1" applyFill="1" applyBorder="1" applyAlignment="1">
      <alignment horizontal="left" wrapText="1"/>
    </xf>
    <xf numFmtId="166" fontId="3" fillId="7" borderId="9" xfId="0" applyNumberFormat="1" applyFont="1" applyFill="1" applyBorder="1" applyAlignment="1">
      <alignment horizontal="left" wrapText="1"/>
    </xf>
    <xf numFmtId="164" fontId="2" fillId="7" borderId="9" xfId="0" applyNumberFormat="1" applyFont="1" applyFill="1" applyBorder="1" applyAlignment="1"/>
    <xf numFmtId="164" fontId="2" fillId="7" borderId="11" xfId="0" applyNumberFormat="1" applyFont="1" applyFill="1" applyBorder="1" applyAlignment="1"/>
    <xf numFmtId="164" fontId="3" fillId="8" borderId="9" xfId="0" applyNumberFormat="1" applyFont="1" applyFill="1" applyBorder="1" applyAlignment="1"/>
    <xf numFmtId="164" fontId="3" fillId="8" borderId="11" xfId="0" applyNumberFormat="1" applyFont="1" applyFill="1" applyBorder="1" applyAlignment="1"/>
    <xf numFmtId="164" fontId="3" fillId="9" borderId="9" xfId="0" applyNumberFormat="1" applyFont="1" applyFill="1" applyBorder="1" applyAlignment="1"/>
    <xf numFmtId="164" fontId="3" fillId="9" borderId="11" xfId="0" applyNumberFormat="1" applyFont="1" applyFill="1" applyBorder="1" applyAlignment="1"/>
    <xf numFmtId="164" fontId="4" fillId="0" borderId="3" xfId="0" applyNumberFormat="1" applyFont="1" applyFill="1" applyBorder="1" applyAlignment="1"/>
    <xf numFmtId="164" fontId="2" fillId="0" borderId="3" xfId="0" applyNumberFormat="1" applyFont="1" applyFill="1" applyBorder="1" applyAlignment="1"/>
    <xf numFmtId="164" fontId="2" fillId="0" borderId="11" xfId="0" applyNumberFormat="1" applyFont="1" applyFill="1" applyBorder="1" applyAlignment="1"/>
    <xf numFmtId="164" fontId="2" fillId="0" borderId="5" xfId="0" applyNumberFormat="1" applyFont="1" applyFill="1" applyBorder="1" applyAlignment="1"/>
    <xf numFmtId="164" fontId="3" fillId="0" borderId="6" xfId="0" applyNumberFormat="1" applyFont="1" applyFill="1" applyBorder="1" applyAlignment="1"/>
    <xf numFmtId="0" fontId="0" fillId="7" borderId="0" xfId="0" applyFill="1" applyBorder="1" applyAlignment="1"/>
    <xf numFmtId="164" fontId="3" fillId="4" borderId="0" xfId="0" applyNumberFormat="1" applyFont="1" applyFill="1" applyBorder="1" applyAlignment="1"/>
    <xf numFmtId="44" fontId="3" fillId="4" borderId="0" xfId="0" applyNumberFormat="1" applyFont="1" applyFill="1" applyBorder="1" applyAlignment="1"/>
    <xf numFmtId="164" fontId="0" fillId="4" borderId="0" xfId="0" applyNumberFormat="1" applyFill="1" applyBorder="1" applyAlignment="1"/>
    <xf numFmtId="0" fontId="2" fillId="7" borderId="0" xfId="0" applyFont="1" applyFill="1" applyBorder="1" applyAlignment="1"/>
    <xf numFmtId="164" fontId="3" fillId="0" borderId="14" xfId="0" applyNumberFormat="1" applyFont="1" applyFill="1" applyBorder="1" applyAlignment="1"/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164" fontId="2" fillId="0" borderId="7" xfId="0" applyNumberFormat="1" applyFont="1" applyFill="1" applyBorder="1" applyAlignment="1"/>
    <xf numFmtId="0" fontId="7" fillId="7" borderId="0" xfId="0" applyFont="1" applyFill="1" applyBorder="1" applyAlignment="1"/>
    <xf numFmtId="164" fontId="3" fillId="3" borderId="8" xfId="0" applyNumberFormat="1" applyFont="1" applyFill="1" applyBorder="1" applyAlignment="1"/>
    <xf numFmtId="164" fontId="3" fillId="3" borderId="11" xfId="0" applyNumberFormat="1" applyFont="1" applyFill="1" applyBorder="1" applyAlignment="1"/>
    <xf numFmtId="164" fontId="2" fillId="3" borderId="8" xfId="0" applyNumberFormat="1" applyFont="1" applyFill="1" applyBorder="1" applyAlignment="1"/>
    <xf numFmtId="164" fontId="2" fillId="3" borderId="11" xfId="0" applyNumberFormat="1" applyFont="1" applyFill="1" applyBorder="1" applyAlignment="1"/>
    <xf numFmtId="164" fontId="2" fillId="3" borderId="29" xfId="0" applyNumberFormat="1" applyFont="1" applyFill="1" applyBorder="1" applyAlignment="1"/>
    <xf numFmtId="166" fontId="15" fillId="7" borderId="0" xfId="0" applyNumberFormat="1" applyFont="1" applyFill="1" applyBorder="1" applyAlignment="1">
      <alignment horizontal="left" wrapText="1"/>
    </xf>
    <xf numFmtId="164" fontId="3" fillId="7" borderId="0" xfId="0" applyNumberFormat="1" applyFont="1" applyFill="1" applyBorder="1" applyAlignment="1"/>
    <xf numFmtId="164" fontId="3" fillId="7" borderId="8" xfId="0" applyNumberFormat="1" applyFont="1" applyFill="1" applyBorder="1" applyAlignment="1"/>
    <xf numFmtId="164" fontId="8" fillId="7" borderId="8" xfId="0" applyNumberFormat="1" applyFont="1" applyFill="1" applyBorder="1" applyAlignment="1"/>
    <xf numFmtId="0" fontId="2" fillId="6" borderId="0" xfId="0" applyFont="1" applyFill="1" applyBorder="1" applyAlignment="1"/>
    <xf numFmtId="164" fontId="2" fillId="3" borderId="31" xfId="0" applyNumberFormat="1" applyFont="1" applyFill="1" applyBorder="1" applyAlignment="1"/>
    <xf numFmtId="164" fontId="2" fillId="3" borderId="30" xfId="0" applyNumberFormat="1" applyFont="1" applyFill="1" applyBorder="1" applyAlignment="1"/>
    <xf numFmtId="0" fontId="0" fillId="0" borderId="9" xfId="0" applyFill="1" applyBorder="1" applyAlignment="1"/>
    <xf numFmtId="164" fontId="3" fillId="0" borderId="10" xfId="0" applyNumberFormat="1" applyFont="1" applyFill="1" applyBorder="1" applyAlignment="1"/>
    <xf numFmtId="0" fontId="7" fillId="4" borderId="0" xfId="0" applyFont="1" applyFill="1" applyBorder="1" applyAlignment="1"/>
    <xf numFmtId="172" fontId="3" fillId="0" borderId="11" xfId="0" applyNumberFormat="1" applyFont="1" applyFill="1" applyBorder="1" applyAlignment="1"/>
    <xf numFmtId="172" fontId="2" fillId="3" borderId="8" xfId="0" applyNumberFormat="1" applyFont="1" applyFill="1" applyBorder="1" applyAlignment="1"/>
    <xf numFmtId="172" fontId="3" fillId="0" borderId="8" xfId="0" applyNumberFormat="1" applyFont="1" applyFill="1" applyBorder="1" applyAlignment="1"/>
    <xf numFmtId="172" fontId="3" fillId="3" borderId="8" xfId="0" applyNumberFormat="1" applyFont="1" applyFill="1" applyBorder="1" applyAlignment="1"/>
    <xf numFmtId="172" fontId="2" fillId="3" borderId="30" xfId="0" applyNumberFormat="1" applyFont="1" applyFill="1" applyBorder="1" applyAlignment="1"/>
    <xf numFmtId="164" fontId="2" fillId="6" borderId="21" xfId="0" applyNumberFormat="1" applyFont="1" applyFill="1" applyBorder="1" applyAlignment="1">
      <alignment horizontal="center"/>
    </xf>
    <xf numFmtId="0" fontId="2" fillId="6" borderId="9" xfId="0" applyNumberFormat="1" applyFont="1" applyFill="1" applyBorder="1" applyAlignment="1">
      <alignment horizontal="center"/>
    </xf>
    <xf numFmtId="14" fontId="2" fillId="6" borderId="26" xfId="0" applyNumberFormat="1" applyFont="1" applyFill="1" applyBorder="1" applyAlignment="1">
      <alignment horizontal="center"/>
    </xf>
    <xf numFmtId="164" fontId="2" fillId="10" borderId="21" xfId="0" applyNumberFormat="1" applyFont="1" applyFill="1" applyBorder="1" applyAlignment="1">
      <alignment horizontal="center"/>
    </xf>
    <xf numFmtId="0" fontId="2" fillId="10" borderId="9" xfId="0" applyNumberFormat="1" applyFont="1" applyFill="1" applyBorder="1" applyAlignment="1">
      <alignment horizontal="center"/>
    </xf>
    <xf numFmtId="0" fontId="2" fillId="10" borderId="26" xfId="0" applyNumberFormat="1" applyFont="1" applyFill="1" applyBorder="1" applyAlignment="1">
      <alignment horizontal="center"/>
    </xf>
    <xf numFmtId="14" fontId="2" fillId="10" borderId="26" xfId="0" applyNumberFormat="1" applyFont="1" applyFill="1" applyBorder="1" applyAlignment="1">
      <alignment horizontal="center"/>
    </xf>
    <xf numFmtId="44" fontId="3" fillId="0" borderId="0" xfId="0" applyNumberFormat="1" applyFont="1" applyFill="1" applyBorder="1" applyAlignment="1"/>
    <xf numFmtId="0" fontId="7" fillId="0" borderId="1" xfId="0" applyFont="1" applyFill="1" applyBorder="1" applyAlignment="1"/>
    <xf numFmtId="0" fontId="2" fillId="0" borderId="9" xfId="0" applyFont="1" applyFill="1" applyBorder="1" applyAlignment="1"/>
    <xf numFmtId="171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3" borderId="1" xfId="0" applyFill="1" applyBorder="1" applyAlignment="1"/>
    <xf numFmtId="0" fontId="0" fillId="3" borderId="32" xfId="0" applyFill="1" applyBorder="1" applyAlignment="1"/>
    <xf numFmtId="0" fontId="0" fillId="0" borderId="33" xfId="0" applyFill="1" applyBorder="1" applyAlignment="1"/>
    <xf numFmtId="0" fontId="3" fillId="0" borderId="34" xfId="0" applyFont="1" applyFill="1" applyBorder="1" applyAlignment="1"/>
    <xf numFmtId="0" fontId="0" fillId="0" borderId="34" xfId="0" applyBorder="1" applyAlignment="1"/>
    <xf numFmtId="0" fontId="1" fillId="11" borderId="9" xfId="0" applyFont="1" applyFill="1" applyBorder="1" applyAlignment="1"/>
    <xf numFmtId="0" fontId="1" fillId="11" borderId="9" xfId="0" applyFont="1" applyFill="1" applyBorder="1" applyAlignment="1">
      <alignment horizontal="center"/>
    </xf>
    <xf numFmtId="0" fontId="0" fillId="11" borderId="0" xfId="0" applyFill="1" applyBorder="1" applyAlignment="1"/>
    <xf numFmtId="0" fontId="2" fillId="3" borderId="1" xfId="0" applyFont="1" applyFill="1" applyBorder="1" applyAlignment="1"/>
    <xf numFmtId="0" fontId="1" fillId="11" borderId="23" xfId="0" applyFont="1" applyFill="1" applyBorder="1" applyAlignment="1"/>
    <xf numFmtId="0" fontId="1" fillId="11" borderId="24" xfId="0" applyFont="1" applyFill="1" applyBorder="1" applyAlignment="1">
      <alignment horizontal="center"/>
    </xf>
    <xf numFmtId="0" fontId="1" fillId="11" borderId="36" xfId="0" applyFont="1" applyFill="1" applyBorder="1" applyAlignment="1">
      <alignment horizontal="center"/>
    </xf>
    <xf numFmtId="0" fontId="1" fillId="11" borderId="36" xfId="0" applyFont="1" applyFill="1" applyBorder="1" applyAlignment="1"/>
    <xf numFmtId="0" fontId="1" fillId="11" borderId="37" xfId="0" applyFont="1" applyFill="1" applyBorder="1" applyAlignment="1">
      <alignment horizontal="center"/>
    </xf>
    <xf numFmtId="0" fontId="1" fillId="11" borderId="25" xfId="0" applyFont="1" applyFill="1" applyBorder="1" applyAlignment="1"/>
    <xf numFmtId="0" fontId="1" fillId="11" borderId="26" xfId="0" applyFont="1" applyFill="1" applyBorder="1" applyAlignment="1"/>
    <xf numFmtId="0" fontId="1" fillId="11" borderId="26" xfId="0" applyFont="1" applyFill="1" applyBorder="1" applyAlignment="1">
      <alignment horizontal="center"/>
    </xf>
    <xf numFmtId="0" fontId="1" fillId="11" borderId="27" xfId="0" applyFont="1" applyFill="1" applyBorder="1" applyAlignment="1"/>
    <xf numFmtId="0" fontId="1" fillId="0" borderId="9" xfId="0" applyFont="1" applyFill="1" applyBorder="1" applyAlignment="1"/>
    <xf numFmtId="0" fontId="1" fillId="11" borderId="35" xfId="0" applyFont="1" applyFill="1" applyBorder="1" applyAlignment="1">
      <alignment horizontal="center"/>
    </xf>
    <xf numFmtId="0" fontId="1" fillId="11" borderId="36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3" fillId="0" borderId="14" xfId="0" applyFont="1" applyFill="1" applyBorder="1" applyAlignment="1"/>
    <xf numFmtId="0" fontId="0" fillId="0" borderId="9" xfId="0" applyFont="1" applyFill="1" applyBorder="1" applyAlignment="1"/>
  </cellXfs>
  <cellStyles count="3">
    <cellStyle name="Euro" xfId="1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S103"/>
  <sheetViews>
    <sheetView tabSelected="1" zoomScale="115" zoomScaleNormal="115" workbookViewId="0">
      <pane xSplit="18" ySplit="10" topLeftCell="S11" activePane="bottomRight" state="frozen"/>
      <selection pane="topRight" activeCell="T1" sqref="T1"/>
      <selection pane="bottomLeft" activeCell="A10" sqref="A10"/>
      <selection pane="bottomRight" activeCell="B3" sqref="B3"/>
    </sheetView>
  </sheetViews>
  <sheetFormatPr defaultColWidth="9.140625" defaultRowHeight="12.75" x14ac:dyDescent="0.2"/>
  <cols>
    <col min="1" max="1" width="31" style="3" customWidth="1"/>
    <col min="2" max="2" width="9.28515625" style="3" bestFit="1" customWidth="1"/>
    <col min="3" max="3" width="16.85546875" style="3" customWidth="1"/>
    <col min="4" max="4" width="61.5703125" style="3" customWidth="1"/>
    <col min="5" max="5" width="6.5703125" style="95" hidden="1" customWidth="1"/>
    <col min="6" max="7" width="19.7109375" style="4" hidden="1" customWidth="1"/>
    <col min="8" max="8" width="19.7109375" style="41" hidden="1" customWidth="1"/>
    <col min="9" max="9" width="21.42578125" style="51" hidden="1" customWidth="1"/>
    <col min="10" max="11" width="21.140625" style="62" hidden="1" customWidth="1"/>
    <col min="12" max="12" width="19.7109375" style="4" hidden="1" customWidth="1"/>
    <col min="13" max="16" width="19.7109375" style="62" hidden="1" customWidth="1"/>
    <col min="17" max="18" width="20.85546875" style="62" hidden="1" customWidth="1"/>
    <col min="19" max="19" width="0.5703125" style="62" hidden="1" customWidth="1"/>
    <col min="20" max="20" width="20.85546875" style="62" hidden="1" customWidth="1"/>
    <col min="21" max="21" width="22.85546875" style="62" hidden="1" customWidth="1"/>
    <col min="22" max="22" width="18.5703125" style="62" hidden="1" customWidth="1"/>
    <col min="23" max="23" width="19.7109375" style="62" hidden="1" customWidth="1"/>
    <col min="24" max="24" width="11.85546875" style="62" hidden="1" customWidth="1"/>
    <col min="25" max="25" width="32" style="4" hidden="1" customWidth="1"/>
    <col min="26" max="26" width="18.140625" style="4" hidden="1" customWidth="1"/>
    <col min="27" max="32" width="23" style="4" hidden="1" customWidth="1"/>
    <col min="33" max="33" width="19.140625" style="4" hidden="1" customWidth="1"/>
    <col min="34" max="34" width="22.42578125" style="4" hidden="1" customWidth="1"/>
    <col min="35" max="38" width="19.42578125" style="4" hidden="1" customWidth="1"/>
    <col min="39" max="41" width="19.42578125" style="4" customWidth="1"/>
    <col min="42" max="42" width="31.28515625" style="3" bestFit="1" customWidth="1"/>
    <col min="43" max="43" width="27.42578125" style="3" bestFit="1" customWidth="1"/>
    <col min="44" max="49" width="15.7109375" style="3" customWidth="1"/>
    <col min="50" max="50" width="21.7109375" style="3" customWidth="1"/>
    <col min="51" max="51" width="15.7109375" style="5" customWidth="1"/>
    <col min="52" max="56" width="16.85546875" style="3" customWidth="1"/>
    <col min="57" max="57" width="14.28515625" style="3" customWidth="1"/>
    <col min="58" max="58" width="15.28515625" style="3" customWidth="1"/>
    <col min="59" max="59" width="15.42578125" style="3" customWidth="1"/>
    <col min="60" max="60" width="11.140625" style="3" customWidth="1"/>
    <col min="61" max="16384" width="9.140625" style="3"/>
  </cols>
  <sheetData>
    <row r="1" spans="1:60" ht="13.5" thickBot="1" x14ac:dyDescent="0.25">
      <c r="C1" s="5"/>
    </row>
    <row r="2" spans="1:60" x14ac:dyDescent="0.2">
      <c r="A2" s="100" t="s">
        <v>210</v>
      </c>
      <c r="C2" s="5"/>
      <c r="AZ2" s="143" t="s">
        <v>166</v>
      </c>
      <c r="BA2" s="105"/>
      <c r="BB2" s="106"/>
      <c r="BD2" s="143" t="s">
        <v>166</v>
      </c>
      <c r="BE2" s="187" t="s">
        <v>191</v>
      </c>
      <c r="BF2" s="188">
        <v>2023</v>
      </c>
      <c r="BG2" s="187">
        <v>2022</v>
      </c>
      <c r="BH2" s="188">
        <v>2023</v>
      </c>
    </row>
    <row r="3" spans="1:60" x14ac:dyDescent="0.2">
      <c r="A3" s="101" t="s">
        <v>161</v>
      </c>
      <c r="AZ3" s="107" t="s">
        <v>164</v>
      </c>
      <c r="BA3" s="138">
        <v>2021</v>
      </c>
      <c r="BB3" s="139">
        <v>2022</v>
      </c>
      <c r="BD3" s="107" t="s">
        <v>164</v>
      </c>
      <c r="BE3" s="138" t="s">
        <v>190</v>
      </c>
      <c r="BF3" s="139"/>
      <c r="BG3" s="138" t="s">
        <v>192</v>
      </c>
      <c r="BH3" s="139"/>
    </row>
    <row r="4" spans="1:60" x14ac:dyDescent="0.2">
      <c r="A4" s="101" t="s">
        <v>162</v>
      </c>
      <c r="AZ4" s="108" t="s">
        <v>81</v>
      </c>
      <c r="BA4" s="109">
        <v>108</v>
      </c>
      <c r="BB4" s="109">
        <v>113.9</v>
      </c>
      <c r="BD4" s="108" t="s">
        <v>81</v>
      </c>
      <c r="BE4" s="109">
        <v>116.6</v>
      </c>
      <c r="BF4" s="109">
        <v>130</v>
      </c>
      <c r="BG4" s="109">
        <v>113.9</v>
      </c>
      <c r="BH4" s="109">
        <v>130</v>
      </c>
    </row>
    <row r="5" spans="1:60" ht="13.5" thickBot="1" x14ac:dyDescent="0.25">
      <c r="A5" s="102" t="s">
        <v>211</v>
      </c>
      <c r="AZ5" s="108"/>
      <c r="BA5" s="109"/>
      <c r="BB5" s="109"/>
      <c r="BD5" s="108"/>
      <c r="BE5" s="109"/>
      <c r="BF5" s="109"/>
      <c r="BG5" s="109"/>
      <c r="BH5" s="109"/>
    </row>
    <row r="6" spans="1:60" ht="13.5" thickBot="1" x14ac:dyDescent="0.25">
      <c r="AZ6" s="227" t="s">
        <v>3</v>
      </c>
      <c r="BA6" s="111">
        <v>103.5</v>
      </c>
      <c r="BB6" s="111">
        <v>109.2</v>
      </c>
      <c r="BD6" s="110" t="s">
        <v>3</v>
      </c>
      <c r="BE6" s="111">
        <v>111.7</v>
      </c>
      <c r="BF6" s="111">
        <v>126.4</v>
      </c>
      <c r="BG6" s="111">
        <v>109.2</v>
      </c>
      <c r="BH6" s="111">
        <v>126.4</v>
      </c>
    </row>
    <row r="7" spans="1:60" ht="12.75" customHeight="1" x14ac:dyDescent="0.2">
      <c r="A7" s="79" t="s">
        <v>11</v>
      </c>
      <c r="B7" s="80" t="s">
        <v>55</v>
      </c>
      <c r="C7" s="122" t="s">
        <v>5</v>
      </c>
      <c r="D7" s="123" t="s">
        <v>2</v>
      </c>
      <c r="E7" s="123"/>
      <c r="F7" s="124" t="s">
        <v>4</v>
      </c>
      <c r="G7" s="124" t="s">
        <v>4</v>
      </c>
      <c r="H7" s="124" t="s">
        <v>4</v>
      </c>
      <c r="I7" s="124" t="s">
        <v>81</v>
      </c>
      <c r="J7" s="125" t="s">
        <v>53</v>
      </c>
      <c r="K7" s="124" t="s">
        <v>81</v>
      </c>
      <c r="L7" s="124" t="s">
        <v>3</v>
      </c>
      <c r="M7" s="125" t="s">
        <v>53</v>
      </c>
      <c r="N7" s="124" t="s">
        <v>81</v>
      </c>
      <c r="O7" s="124" t="s">
        <v>81</v>
      </c>
      <c r="P7" s="124" t="s">
        <v>81</v>
      </c>
      <c r="Q7" s="124" t="s">
        <v>81</v>
      </c>
      <c r="R7" s="124" t="s">
        <v>81</v>
      </c>
      <c r="S7" s="124" t="s">
        <v>81</v>
      </c>
      <c r="T7" s="126" t="s">
        <v>81</v>
      </c>
      <c r="U7" s="126"/>
      <c r="V7" s="124" t="s">
        <v>3</v>
      </c>
      <c r="W7" s="126" t="s">
        <v>3</v>
      </c>
      <c r="X7" s="126"/>
      <c r="Y7" s="124" t="s">
        <v>0</v>
      </c>
      <c r="Z7" s="126" t="s">
        <v>0</v>
      </c>
      <c r="AA7" s="148" t="s">
        <v>81</v>
      </c>
      <c r="AB7" s="148" t="s">
        <v>3</v>
      </c>
      <c r="AC7" s="148" t="s">
        <v>174</v>
      </c>
      <c r="AD7" s="148" t="s">
        <v>81</v>
      </c>
      <c r="AE7" s="148" t="s">
        <v>3</v>
      </c>
      <c r="AF7" s="148" t="s">
        <v>174</v>
      </c>
      <c r="AG7" s="148" t="s">
        <v>81</v>
      </c>
      <c r="AH7" s="148" t="s">
        <v>189</v>
      </c>
      <c r="AI7" s="148" t="s">
        <v>174</v>
      </c>
      <c r="AJ7" s="211" t="s">
        <v>199</v>
      </c>
      <c r="AK7" s="211" t="s">
        <v>3</v>
      </c>
      <c r="AL7" s="211" t="s">
        <v>201</v>
      </c>
      <c r="AM7" s="214" t="s">
        <v>81</v>
      </c>
      <c r="AN7" s="214" t="s">
        <v>3</v>
      </c>
      <c r="AO7" s="214" t="s">
        <v>201</v>
      </c>
      <c r="AP7" s="127" t="s">
        <v>167</v>
      </c>
      <c r="AQ7" s="232" t="s">
        <v>212</v>
      </c>
      <c r="AR7" s="243" t="s">
        <v>216</v>
      </c>
      <c r="AS7" s="244"/>
      <c r="AT7" s="244"/>
      <c r="AU7" s="235" t="s">
        <v>187</v>
      </c>
      <c r="AV7" s="236" t="s">
        <v>218</v>
      </c>
      <c r="AW7" s="236" t="s">
        <v>219</v>
      </c>
      <c r="AX7" s="237" t="s">
        <v>220</v>
      </c>
      <c r="AY7" s="11"/>
      <c r="AZ7" s="228"/>
      <c r="BA7" s="104"/>
      <c r="BB7" s="113"/>
      <c r="BD7" s="112"/>
      <c r="BE7" s="104"/>
      <c r="BF7" s="113"/>
      <c r="BG7" s="104"/>
      <c r="BH7" s="113"/>
    </row>
    <row r="8" spans="1:60" s="5" customFormat="1" ht="13.5" customHeight="1" thickBot="1" x14ac:dyDescent="0.25">
      <c r="A8" s="81"/>
      <c r="B8" s="23"/>
      <c r="C8" s="128"/>
      <c r="D8" s="117"/>
      <c r="E8" s="117"/>
      <c r="F8" s="119"/>
      <c r="G8" s="119" t="s">
        <v>49</v>
      </c>
      <c r="H8" s="119" t="s">
        <v>51</v>
      </c>
      <c r="I8" s="119" t="s">
        <v>52</v>
      </c>
      <c r="J8" s="120" t="s">
        <v>83</v>
      </c>
      <c r="K8" s="119" t="s">
        <v>82</v>
      </c>
      <c r="L8" s="118"/>
      <c r="M8" s="120" t="s">
        <v>54</v>
      </c>
      <c r="N8" s="119" t="s">
        <v>108</v>
      </c>
      <c r="O8" s="119" t="s">
        <v>134</v>
      </c>
      <c r="P8" s="119" t="s">
        <v>134</v>
      </c>
      <c r="Q8" s="119" t="s">
        <v>146</v>
      </c>
      <c r="R8" s="119" t="s">
        <v>157</v>
      </c>
      <c r="S8" s="119" t="s">
        <v>160</v>
      </c>
      <c r="T8" s="121" t="s">
        <v>163</v>
      </c>
      <c r="U8" s="121"/>
      <c r="V8" s="119" t="s">
        <v>160</v>
      </c>
      <c r="W8" s="121" t="s">
        <v>163</v>
      </c>
      <c r="X8" s="121"/>
      <c r="Y8" s="119" t="s">
        <v>160</v>
      </c>
      <c r="Z8" s="121" t="s">
        <v>163</v>
      </c>
      <c r="AA8" s="149" t="s">
        <v>173</v>
      </c>
      <c r="AB8" s="149" t="s">
        <v>173</v>
      </c>
      <c r="AC8" s="149" t="s">
        <v>173</v>
      </c>
      <c r="AD8" s="149" t="s">
        <v>184</v>
      </c>
      <c r="AE8" s="149" t="s">
        <v>184</v>
      </c>
      <c r="AF8" s="149" t="s">
        <v>184</v>
      </c>
      <c r="AG8" s="149" t="s">
        <v>188</v>
      </c>
      <c r="AH8" s="149" t="s">
        <v>188</v>
      </c>
      <c r="AI8" s="149" t="s">
        <v>188</v>
      </c>
      <c r="AJ8" s="212" t="s">
        <v>200</v>
      </c>
      <c r="AK8" s="212" t="s">
        <v>200</v>
      </c>
      <c r="AL8" s="212" t="s">
        <v>200</v>
      </c>
      <c r="AM8" s="215" t="s">
        <v>206</v>
      </c>
      <c r="AN8" s="215" t="s">
        <v>206</v>
      </c>
      <c r="AO8" s="215" t="s">
        <v>206</v>
      </c>
      <c r="AP8" s="224"/>
      <c r="AQ8" s="224"/>
      <c r="AR8" s="233" t="s">
        <v>213</v>
      </c>
      <c r="AS8" s="229" t="s">
        <v>214</v>
      </c>
      <c r="AT8" s="229" t="s">
        <v>215</v>
      </c>
      <c r="AU8" s="230" t="s">
        <v>217</v>
      </c>
      <c r="AV8" s="230" t="s">
        <v>217</v>
      </c>
      <c r="AW8" s="230" t="s">
        <v>217</v>
      </c>
      <c r="AX8" s="234" t="s">
        <v>221</v>
      </c>
      <c r="AZ8" s="226"/>
      <c r="BA8" s="115"/>
      <c r="BB8" s="116"/>
      <c r="BD8" s="114"/>
      <c r="BE8" s="115"/>
      <c r="BF8" s="116"/>
      <c r="BG8" s="115"/>
      <c r="BH8" s="116"/>
    </row>
    <row r="9" spans="1:60" s="5" customFormat="1" ht="13.5" customHeight="1" thickBot="1" x14ac:dyDescent="0.25">
      <c r="A9" s="82"/>
      <c r="B9" s="83"/>
      <c r="C9" s="129"/>
      <c r="D9" s="130"/>
      <c r="E9" s="130"/>
      <c r="F9" s="131"/>
      <c r="G9" s="132" t="s">
        <v>50</v>
      </c>
      <c r="H9" s="132" t="s">
        <v>50</v>
      </c>
      <c r="I9" s="132" t="s">
        <v>50</v>
      </c>
      <c r="J9" s="133">
        <v>2013</v>
      </c>
      <c r="K9" s="132" t="s">
        <v>50</v>
      </c>
      <c r="L9" s="134"/>
      <c r="M9" s="133">
        <v>2013</v>
      </c>
      <c r="N9" s="132" t="s">
        <v>50</v>
      </c>
      <c r="O9" s="132" t="s">
        <v>135</v>
      </c>
      <c r="P9" s="132" t="s">
        <v>50</v>
      </c>
      <c r="Q9" s="132" t="s">
        <v>50</v>
      </c>
      <c r="R9" s="132" t="s">
        <v>50</v>
      </c>
      <c r="S9" s="132" t="s">
        <v>50</v>
      </c>
      <c r="T9" s="135" t="s">
        <v>50</v>
      </c>
      <c r="U9" s="135"/>
      <c r="V9" s="133"/>
      <c r="W9" s="135" t="s">
        <v>50</v>
      </c>
      <c r="X9" s="135"/>
      <c r="Y9" s="131"/>
      <c r="Z9" s="136"/>
      <c r="AA9" s="151" t="s">
        <v>50</v>
      </c>
      <c r="AB9" s="151" t="s">
        <v>50</v>
      </c>
      <c r="AC9" s="150"/>
      <c r="AD9" s="151"/>
      <c r="AE9" s="151"/>
      <c r="AF9" s="150"/>
      <c r="AG9" s="150" t="s">
        <v>203</v>
      </c>
      <c r="AH9" s="150" t="s">
        <v>202</v>
      </c>
      <c r="AI9" s="150"/>
      <c r="AJ9" s="213" t="s">
        <v>203</v>
      </c>
      <c r="AK9" s="213" t="s">
        <v>204</v>
      </c>
      <c r="AL9" s="213"/>
      <c r="AM9" s="216" t="s">
        <v>207</v>
      </c>
      <c r="AN9" s="216" t="s">
        <v>208</v>
      </c>
      <c r="AO9" s="217"/>
      <c r="AP9" s="225"/>
      <c r="AQ9" s="224"/>
      <c r="AR9" s="238"/>
      <c r="AS9" s="239"/>
      <c r="AT9" s="239"/>
      <c r="AU9" s="240"/>
      <c r="AV9" s="239"/>
      <c r="AW9" s="239"/>
      <c r="AX9" s="241"/>
    </row>
    <row r="10" spans="1:60" ht="12.75" customHeight="1" x14ac:dyDescent="0.2">
      <c r="A10" s="25" t="s">
        <v>9</v>
      </c>
      <c r="B10" s="74"/>
      <c r="C10" s="74"/>
      <c r="D10" s="75"/>
      <c r="E10" s="25"/>
      <c r="F10" s="65"/>
      <c r="G10" s="76">
        <v>112</v>
      </c>
      <c r="H10" s="76">
        <v>113.8</v>
      </c>
      <c r="I10" s="76">
        <v>117</v>
      </c>
      <c r="J10" s="77"/>
      <c r="K10" s="76">
        <v>118.7</v>
      </c>
      <c r="L10" s="65"/>
      <c r="M10" s="66"/>
      <c r="N10" s="78">
        <v>120.2</v>
      </c>
      <c r="O10" s="78">
        <v>120.7</v>
      </c>
      <c r="P10" s="78">
        <v>122.4</v>
      </c>
      <c r="Q10" s="78">
        <v>125</v>
      </c>
      <c r="R10" s="78">
        <v>131.5</v>
      </c>
      <c r="S10" s="78">
        <v>140.30000000000001</v>
      </c>
      <c r="T10" s="78"/>
      <c r="U10" s="78"/>
      <c r="V10" s="66"/>
      <c r="W10" s="66"/>
      <c r="X10" s="66"/>
      <c r="Y10" s="65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3"/>
      <c r="AQ10" s="73"/>
      <c r="AR10" s="231"/>
      <c r="AS10" s="231"/>
      <c r="AT10" s="231"/>
      <c r="AU10" s="231"/>
      <c r="AV10" s="231"/>
      <c r="AW10" s="231"/>
      <c r="AX10" s="231"/>
    </row>
    <row r="11" spans="1:60" s="5" customFormat="1" ht="12.75" customHeight="1" x14ac:dyDescent="0.2">
      <c r="A11" s="245" t="s">
        <v>13</v>
      </c>
      <c r="B11" s="245" t="s">
        <v>105</v>
      </c>
      <c r="C11" s="245" t="s">
        <v>12</v>
      </c>
      <c r="D11" s="245" t="s">
        <v>119</v>
      </c>
      <c r="E11" s="156" t="s">
        <v>132</v>
      </c>
      <c r="F11" s="154">
        <v>9330284</v>
      </c>
      <c r="G11" s="155">
        <f>ROUND(F11/109.9*112,0)</f>
        <v>9508570</v>
      </c>
      <c r="H11" s="155">
        <f>ROUND(G11/112*113.8,0)</f>
        <v>9661386</v>
      </c>
      <c r="I11" s="155">
        <f>ROUND(H11/113.8*117,0)</f>
        <v>9933059</v>
      </c>
      <c r="J11" s="155"/>
      <c r="K11" s="155">
        <f>ROUND((I11+J11)/117*118.7,0)</f>
        <v>10077385</v>
      </c>
      <c r="L11" s="171"/>
      <c r="M11" s="171"/>
      <c r="N11" s="155">
        <v>12210000</v>
      </c>
      <c r="O11" s="155">
        <f>N11</f>
        <v>12210000</v>
      </c>
      <c r="P11" s="155">
        <f>ROUND(O11/120.7*122.4,0)</f>
        <v>12381972</v>
      </c>
      <c r="Q11" s="155">
        <f>ROUND(P11/122.4*125,0)</f>
        <v>12644988</v>
      </c>
      <c r="R11" s="155">
        <f>ROUND(Q11/125*131.5,0)</f>
        <v>13302527</v>
      </c>
      <c r="S11" s="155">
        <f>ROUND(R11/131.5*140.3,0)</f>
        <v>14192734</v>
      </c>
      <c r="T11" s="155">
        <f>CEILING((S11*$BB$4/$BA$4),100)</f>
        <v>14968100</v>
      </c>
      <c r="U11" s="155"/>
      <c r="V11" s="155"/>
      <c r="W11" s="155">
        <f>CEILING((V11*$BB$6/$BA$6),100)</f>
        <v>0</v>
      </c>
      <c r="X11" s="155"/>
      <c r="Y11" s="155">
        <f>S11+V11</f>
        <v>14192734</v>
      </c>
      <c r="Z11" s="155">
        <f>T11+W11</f>
        <v>14968100</v>
      </c>
      <c r="AA11" s="54">
        <f>CEILING((T11*$BB$4/$BA$4),100)</f>
        <v>15785900</v>
      </c>
      <c r="AB11" s="54">
        <f>CEILING((W11*$BB$6/$BA$6),100)</f>
        <v>0</v>
      </c>
      <c r="AC11" s="54">
        <f>AA11+AB11</f>
        <v>15785900</v>
      </c>
      <c r="AD11" s="54">
        <v>16583000</v>
      </c>
      <c r="AE11" s="54">
        <v>2334192</v>
      </c>
      <c r="AF11" s="54">
        <f>AD11+AE11</f>
        <v>18917192</v>
      </c>
      <c r="AG11" s="54">
        <f>130/116.6*AD11</f>
        <v>18488765.00857633</v>
      </c>
      <c r="AH11" s="54">
        <f>126.4/111.7*AE11</f>
        <v>2641377.5183527302</v>
      </c>
      <c r="AI11" s="54">
        <f>AG11+AH11</f>
        <v>21130142.526929058</v>
      </c>
      <c r="AJ11" s="54">
        <v>18488765.00857633</v>
      </c>
      <c r="AK11" s="54">
        <f>126.8/126.4*AH11</f>
        <v>2649736.3079677704</v>
      </c>
      <c r="AL11" s="54">
        <f>AJ11+AK11</f>
        <v>21138501.316544101</v>
      </c>
      <c r="AM11" s="206">
        <f>138.2/130*AJ11</f>
        <v>19654979.416809604</v>
      </c>
      <c r="AN11" s="206">
        <f>131.5/126.8*AK11</f>
        <v>2747952.0859444938</v>
      </c>
      <c r="AO11" s="206">
        <f>AM11+AN11</f>
        <v>22402931.502754096</v>
      </c>
      <c r="AP11" s="219" t="s">
        <v>186</v>
      </c>
      <c r="AQ11" s="31"/>
      <c r="AR11" s="67" t="s">
        <v>222</v>
      </c>
      <c r="AS11" s="67" t="s">
        <v>222</v>
      </c>
      <c r="AT11" s="67" t="s">
        <v>223</v>
      </c>
      <c r="AU11" s="67" t="s">
        <v>224</v>
      </c>
      <c r="AV11" s="67" t="s">
        <v>224</v>
      </c>
      <c r="AW11" s="67" t="s">
        <v>224</v>
      </c>
      <c r="AX11" s="242" t="s">
        <v>226</v>
      </c>
      <c r="AY11" s="31"/>
      <c r="AZ11" s="11"/>
      <c r="BA11" s="11"/>
      <c r="BB11" s="11"/>
      <c r="BD11" s="11"/>
      <c r="BE11" s="11"/>
      <c r="BF11" s="11"/>
    </row>
    <row r="12" spans="1:60" s="5" customFormat="1" ht="12.75" customHeight="1" x14ac:dyDescent="0.2">
      <c r="A12" s="245" t="s">
        <v>13</v>
      </c>
      <c r="B12" s="245" t="s">
        <v>105</v>
      </c>
      <c r="C12" s="34" t="s">
        <v>12</v>
      </c>
      <c r="D12" s="245" t="s">
        <v>119</v>
      </c>
      <c r="E12" s="156" t="s">
        <v>132</v>
      </c>
      <c r="F12" s="170"/>
      <c r="G12" s="170"/>
      <c r="H12" s="170"/>
      <c r="I12" s="170"/>
      <c r="J12" s="154"/>
      <c r="K12" s="154"/>
      <c r="L12" s="154">
        <v>2880100</v>
      </c>
      <c r="M12" s="155"/>
      <c r="N12" s="155"/>
      <c r="O12" s="155"/>
      <c r="P12" s="155"/>
      <c r="Q12" s="155"/>
      <c r="R12" s="155"/>
      <c r="S12" s="155"/>
      <c r="T12" s="155">
        <f>CEILING((S12*$BB$4/$BA$4),100)</f>
        <v>0</v>
      </c>
      <c r="U12" s="155"/>
      <c r="V12" s="155">
        <f>1450000+55000+75000</f>
        <v>1580000</v>
      </c>
      <c r="W12" s="155">
        <f>CEILING((V12*$BB$6/$BA$6),100)</f>
        <v>1667100</v>
      </c>
      <c r="X12" s="155"/>
      <c r="Y12" s="155">
        <f t="shared" ref="Y12:Y13" si="0">S12+V12</f>
        <v>1580000</v>
      </c>
      <c r="Z12" s="155">
        <f>T12+W12</f>
        <v>1667100</v>
      </c>
      <c r="AA12" s="54">
        <f>CEILING((T12*$BB$4/$BA$4),100)</f>
        <v>0</v>
      </c>
      <c r="AB12" s="54">
        <f>CEILING((W12*$BB$6/$BA$6),100)</f>
        <v>1759000</v>
      </c>
      <c r="AC12" s="54">
        <v>0</v>
      </c>
      <c r="AD12" s="54">
        <v>0</v>
      </c>
      <c r="AE12" s="54">
        <v>0</v>
      </c>
      <c r="AF12" s="54">
        <f>AD12+AE12</f>
        <v>0</v>
      </c>
      <c r="AG12" s="54"/>
      <c r="AH12" s="54"/>
      <c r="AI12" s="54">
        <f t="shared" ref="AI12:AI76" si="1">AG12+AH12</f>
        <v>0</v>
      </c>
      <c r="AJ12" s="54"/>
      <c r="AK12" s="54">
        <f>126.8/126.4*AH12</f>
        <v>0</v>
      </c>
      <c r="AL12" s="54">
        <f t="shared" ref="AL12:AL60" si="2">AJ12+AK12</f>
        <v>0</v>
      </c>
      <c r="AM12" s="206">
        <f t="shared" ref="AM12:AM13" si="3">138.2/130*AJ12</f>
        <v>0</v>
      </c>
      <c r="AN12" s="206">
        <f t="shared" ref="AN12:AN13" si="4">131.5/126.8*AK12</f>
        <v>0</v>
      </c>
      <c r="AO12" s="206">
        <f t="shared" ref="AO12:AO13" si="5">AM12+AN12</f>
        <v>0</v>
      </c>
      <c r="AP12" s="219"/>
      <c r="AQ12" s="31"/>
      <c r="AR12" s="67" t="s">
        <v>222</v>
      </c>
      <c r="AS12" s="67" t="s">
        <v>222</v>
      </c>
      <c r="AT12" s="67" t="s">
        <v>223</v>
      </c>
      <c r="AU12" s="67" t="s">
        <v>224</v>
      </c>
      <c r="AV12" s="67" t="s">
        <v>224</v>
      </c>
      <c r="AW12" s="67" t="s">
        <v>224</v>
      </c>
      <c r="AX12" s="242" t="s">
        <v>226</v>
      </c>
      <c r="AY12" s="31"/>
      <c r="AZ12" s="222"/>
      <c r="BA12" s="222"/>
      <c r="BB12" s="222"/>
      <c r="BD12" s="222"/>
      <c r="BE12" s="222"/>
      <c r="BF12" s="222"/>
    </row>
    <row r="13" spans="1:60" s="31" customFormat="1" ht="12.75" customHeight="1" x14ac:dyDescent="0.2">
      <c r="A13" s="34" t="s">
        <v>118</v>
      </c>
      <c r="B13" s="34" t="s">
        <v>105</v>
      </c>
      <c r="C13" s="34" t="s">
        <v>12</v>
      </c>
      <c r="D13" s="34" t="s">
        <v>56</v>
      </c>
      <c r="E13" s="156" t="s">
        <v>144</v>
      </c>
      <c r="F13" s="154">
        <v>3545943</v>
      </c>
      <c r="G13" s="154">
        <f>ROUND(F13/109.9*112,0)</f>
        <v>3613700</v>
      </c>
      <c r="H13" s="154">
        <f>ROUND(G13/112*113.8,0)</f>
        <v>3671777</v>
      </c>
      <c r="I13" s="154">
        <v>3775026</v>
      </c>
      <c r="J13" s="154">
        <f>4870000-I13</f>
        <v>1094974</v>
      </c>
      <c r="K13" s="155">
        <f>I13+J13</f>
        <v>4870000</v>
      </c>
      <c r="L13" s="170"/>
      <c r="M13" s="171"/>
      <c r="N13" s="155">
        <f>ROUND(K13/118.7*120.2,0)</f>
        <v>4931542</v>
      </c>
      <c r="O13" s="155">
        <f>ROUND(N13/120.2*120.7,0)</f>
        <v>4952056</v>
      </c>
      <c r="P13" s="155">
        <f>ROUND(O13/120.7*122.4,0)</f>
        <v>5021803</v>
      </c>
      <c r="Q13" s="155">
        <f t="shared" ref="Q13" si="6">ROUND(P13/122.4*125,0)</f>
        <v>5128475</v>
      </c>
      <c r="R13" s="155">
        <f>ROUND(Q13/125*131.5,0)</f>
        <v>5395156</v>
      </c>
      <c r="S13" s="155">
        <f>ROUND(R13/131.5*140.3,0)</f>
        <v>5756201</v>
      </c>
      <c r="T13" s="155">
        <f>CEILING((S13*$BB$4/$BA$4),100)</f>
        <v>6070700</v>
      </c>
      <c r="U13" s="155"/>
      <c r="V13" s="155">
        <f>638672+32000</f>
        <v>670672</v>
      </c>
      <c r="W13" s="155">
        <f>CEILING((V13*$BB$6/$BA$6),100)</f>
        <v>707700</v>
      </c>
      <c r="X13" s="155"/>
      <c r="Y13" s="155">
        <f t="shared" si="0"/>
        <v>6426873</v>
      </c>
      <c r="Z13" s="155">
        <f>T13+W13</f>
        <v>6778400</v>
      </c>
      <c r="AA13" s="54">
        <f>CEILING((T13*$BB$4/$BA$4),100)</f>
        <v>6402400</v>
      </c>
      <c r="AB13" s="54">
        <f>CEILING((W13*$BB$6/$BA$6),100)</f>
        <v>746700</v>
      </c>
      <c r="AC13" s="54">
        <f>AA13+AB13</f>
        <v>7149100</v>
      </c>
      <c r="AD13" s="54">
        <v>6210000</v>
      </c>
      <c r="AE13" s="54">
        <v>729082</v>
      </c>
      <c r="AF13" s="54">
        <f>AD13+AE13</f>
        <v>6939082</v>
      </c>
      <c r="AG13" s="54">
        <f>130/116.6*AD13</f>
        <v>6923670.6689536888</v>
      </c>
      <c r="AH13" s="54">
        <f>126.4/111.7*AE13</f>
        <v>825031.01880035806</v>
      </c>
      <c r="AI13" s="54">
        <f t="shared" si="1"/>
        <v>7748701.6877540471</v>
      </c>
      <c r="AJ13" s="54">
        <v>6923670.6689536888</v>
      </c>
      <c r="AK13" s="54">
        <f>126.8/126.4*AH13</f>
        <v>827641.87645478954</v>
      </c>
      <c r="AL13" s="54">
        <f t="shared" si="2"/>
        <v>7751312.545408478</v>
      </c>
      <c r="AM13" s="206">
        <f t="shared" si="3"/>
        <v>7360394.5111492286</v>
      </c>
      <c r="AN13" s="206">
        <f t="shared" si="4"/>
        <v>858319.45389435976</v>
      </c>
      <c r="AO13" s="206">
        <f t="shared" si="5"/>
        <v>8218713.9650435885</v>
      </c>
      <c r="AP13" s="219" t="s">
        <v>186</v>
      </c>
      <c r="AR13" s="67" t="s">
        <v>222</v>
      </c>
      <c r="AS13" s="67" t="s">
        <v>222</v>
      </c>
      <c r="AT13" s="67" t="s">
        <v>223</v>
      </c>
      <c r="AU13" s="67" t="s">
        <v>224</v>
      </c>
      <c r="AV13" s="67" t="s">
        <v>224</v>
      </c>
      <c r="AW13" s="67" t="s">
        <v>224</v>
      </c>
      <c r="AX13" s="242" t="s">
        <v>226</v>
      </c>
      <c r="AZ13" s="6"/>
      <c r="BA13" s="144"/>
      <c r="BB13" s="221"/>
      <c r="BD13" s="6"/>
      <c r="BE13" s="144"/>
      <c r="BF13" s="221"/>
    </row>
    <row r="14" spans="1:60" s="4" customFormat="1" ht="12.75" customHeight="1" x14ac:dyDescent="0.2">
      <c r="A14" s="27" t="s">
        <v>10</v>
      </c>
      <c r="B14" s="63"/>
      <c r="C14" s="9"/>
      <c r="D14" s="9"/>
      <c r="E14" s="84"/>
      <c r="F14" s="9">
        <f t="shared" ref="F14:L14" si="7">SUM(F11:F13)</f>
        <v>12876227</v>
      </c>
      <c r="G14" s="9">
        <f t="shared" si="7"/>
        <v>13122270</v>
      </c>
      <c r="H14" s="9">
        <f t="shared" si="7"/>
        <v>13333163</v>
      </c>
      <c r="I14" s="9">
        <f t="shared" si="7"/>
        <v>13708085</v>
      </c>
      <c r="J14" s="55">
        <f t="shared" si="7"/>
        <v>1094974</v>
      </c>
      <c r="K14" s="9">
        <f t="shared" si="7"/>
        <v>14947385</v>
      </c>
      <c r="L14" s="9">
        <f t="shared" si="7"/>
        <v>2880100</v>
      </c>
      <c r="M14" s="55"/>
      <c r="N14" s="9">
        <f t="shared" ref="N14:Y14" si="8">SUM(N11:N13)</f>
        <v>17141542</v>
      </c>
      <c r="O14" s="9">
        <f t="shared" si="8"/>
        <v>17162056</v>
      </c>
      <c r="P14" s="9">
        <f t="shared" si="8"/>
        <v>17403775</v>
      </c>
      <c r="Q14" s="9">
        <f t="shared" si="8"/>
        <v>17773463</v>
      </c>
      <c r="R14" s="9">
        <f t="shared" si="8"/>
        <v>18697683</v>
      </c>
      <c r="S14" s="137">
        <f t="shared" si="8"/>
        <v>19948935</v>
      </c>
      <c r="T14" s="9">
        <f>SUM(T11:T13)</f>
        <v>21038800</v>
      </c>
      <c r="U14" s="9"/>
      <c r="V14" s="137">
        <f t="shared" si="8"/>
        <v>2250672</v>
      </c>
      <c r="W14" s="9">
        <f>SUM(W11:W13)</f>
        <v>2374800</v>
      </c>
      <c r="X14" s="9"/>
      <c r="Y14" s="137">
        <f t="shared" si="8"/>
        <v>22199607</v>
      </c>
      <c r="Z14" s="9">
        <f>SUM(Z11:Z13)</f>
        <v>23413600</v>
      </c>
      <c r="AA14" s="54">
        <f>CEILING((T14*$BB$4/$BA$4),100)</f>
        <v>22188200</v>
      </c>
      <c r="AB14" s="54">
        <f>CEILING((W14*$BB$6/$BA$6),100)</f>
        <v>2505600</v>
      </c>
      <c r="AC14" s="54">
        <f>AA14+AB14</f>
        <v>24693800</v>
      </c>
      <c r="AD14" s="192">
        <f>SUM(AD11:AD13)</f>
        <v>22793000</v>
      </c>
      <c r="AE14" s="192">
        <f>SUM(AE11:AE13)</f>
        <v>3063274</v>
      </c>
      <c r="AF14" s="192">
        <f>AD14+AE14</f>
        <v>25856274</v>
      </c>
      <c r="AG14" s="193">
        <f t="shared" ref="AG14:AL14" si="9">SUM(AG11:AG13)</f>
        <v>25412435.67753002</v>
      </c>
      <c r="AH14" s="193">
        <f t="shared" si="9"/>
        <v>3466408.5371530885</v>
      </c>
      <c r="AI14" s="194">
        <f t="shared" si="9"/>
        <v>28878844.214683104</v>
      </c>
      <c r="AJ14" s="193">
        <f t="shared" si="9"/>
        <v>25412435.67753002</v>
      </c>
      <c r="AK14" s="193">
        <f t="shared" si="9"/>
        <v>3477378.18442256</v>
      </c>
      <c r="AL14" s="194">
        <f t="shared" si="9"/>
        <v>28889813.861952581</v>
      </c>
      <c r="AM14" s="207">
        <f>SUM(AM11:AM13)</f>
        <v>27015373.927958831</v>
      </c>
      <c r="AN14" s="207">
        <f>SUM(AN11:AN13)</f>
        <v>3606271.5398388533</v>
      </c>
      <c r="AO14" s="207">
        <f>SUM(AO11:AO13)</f>
        <v>30621645.467797685</v>
      </c>
      <c r="AY14" s="44"/>
      <c r="AZ14" s="6"/>
      <c r="BA14" s="144"/>
      <c r="BB14" s="1"/>
      <c r="BD14" s="6"/>
      <c r="BE14" s="144"/>
      <c r="BF14" s="1"/>
    </row>
    <row r="15" spans="1:60" s="44" customFormat="1" ht="12.75" customHeight="1" x14ac:dyDescent="0.2">
      <c r="A15" s="42"/>
      <c r="B15" s="42"/>
      <c r="C15" s="42"/>
      <c r="D15" s="42"/>
      <c r="E15" s="85"/>
      <c r="F15" s="42"/>
      <c r="G15" s="42"/>
      <c r="H15" s="43"/>
      <c r="I15" s="46"/>
      <c r="J15" s="56"/>
      <c r="K15" s="56"/>
      <c r="L15" s="42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42"/>
      <c r="Z15" s="42"/>
      <c r="AA15" s="54"/>
      <c r="AB15" s="54"/>
      <c r="AC15" s="54"/>
      <c r="AD15" s="54"/>
      <c r="AE15" s="54"/>
      <c r="AF15" s="54"/>
      <c r="AG15" s="69"/>
      <c r="AH15" s="69"/>
      <c r="AI15" s="54"/>
      <c r="AJ15" s="69"/>
      <c r="AK15" s="69"/>
      <c r="AL15" s="54"/>
      <c r="AM15" s="208"/>
      <c r="AN15" s="208"/>
      <c r="AO15" s="208"/>
      <c r="AZ15" s="6"/>
      <c r="BA15" s="144"/>
      <c r="BB15" s="1"/>
      <c r="BD15" s="6"/>
      <c r="BE15" s="144"/>
      <c r="BF15" s="1"/>
    </row>
    <row r="16" spans="1:60" s="5" customFormat="1" ht="13.5" customHeight="1" x14ac:dyDescent="0.2">
      <c r="A16" s="25" t="s">
        <v>6</v>
      </c>
      <c r="B16" s="24"/>
      <c r="C16" s="24"/>
      <c r="D16" s="25"/>
      <c r="E16" s="25"/>
      <c r="F16" s="26"/>
      <c r="G16" s="26"/>
      <c r="H16" s="35"/>
      <c r="I16" s="52"/>
      <c r="J16" s="57"/>
      <c r="K16" s="57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26"/>
      <c r="Z16" s="26"/>
      <c r="AA16" s="54"/>
      <c r="AB16" s="54"/>
      <c r="AC16" s="54"/>
      <c r="AD16" s="192"/>
      <c r="AE16" s="192"/>
      <c r="AF16" s="192"/>
      <c r="AG16" s="191"/>
      <c r="AH16" s="191"/>
      <c r="AI16" s="192"/>
      <c r="AJ16" s="191"/>
      <c r="AK16" s="191"/>
      <c r="AL16" s="192"/>
      <c r="AM16" s="209"/>
      <c r="AN16" s="209"/>
      <c r="AO16" s="209"/>
      <c r="BA16" s="144"/>
      <c r="BE16" s="144"/>
    </row>
    <row r="17" spans="1:58" s="5" customFormat="1" ht="12.75" customHeight="1" x14ac:dyDescent="0.2">
      <c r="A17" s="34" t="s">
        <v>45</v>
      </c>
      <c r="B17" s="34" t="s">
        <v>87</v>
      </c>
      <c r="C17" s="34" t="s">
        <v>12</v>
      </c>
      <c r="D17" s="34" t="s">
        <v>70</v>
      </c>
      <c r="E17" s="153" t="s">
        <v>121</v>
      </c>
      <c r="F17" s="154">
        <v>5533100</v>
      </c>
      <c r="G17" s="155">
        <f>ROUND(F17/109.9*112,0)</f>
        <v>5638828</v>
      </c>
      <c r="H17" s="155">
        <f>ROUND(G17/112*113.8,0)</f>
        <v>5729452</v>
      </c>
      <c r="I17" s="155">
        <v>5890561</v>
      </c>
      <c r="J17" s="155">
        <f>9080000-I17</f>
        <v>3189439</v>
      </c>
      <c r="K17" s="155">
        <f>I17+J17</f>
        <v>9080000</v>
      </c>
      <c r="L17" s="154">
        <v>1710900</v>
      </c>
      <c r="M17" s="155"/>
      <c r="N17" s="155">
        <f>ROUND(K17/118.7*120.2,0)</f>
        <v>9194743</v>
      </c>
      <c r="O17" s="155">
        <v>7947000</v>
      </c>
      <c r="P17" s="155">
        <f>ROUND(O17/121.5*122.4,0)</f>
        <v>8005867</v>
      </c>
      <c r="Q17" s="155">
        <f>ROUND(P17/122.4*125,0)</f>
        <v>8175926</v>
      </c>
      <c r="R17" s="155">
        <f t="shared" ref="R17:R55" si="10">ROUND(Q17/125*131.5,0)</f>
        <v>8601074</v>
      </c>
      <c r="S17" s="155">
        <f>ROUND(R17/131.5*140.3,0)</f>
        <v>9176659</v>
      </c>
      <c r="T17" s="155">
        <f t="shared" ref="T17:T55" si="11">CEILING((S17*$BB$4/$BA$4),100)</f>
        <v>9678000</v>
      </c>
      <c r="U17" s="155"/>
      <c r="V17" s="155">
        <f>L17+M17</f>
        <v>1710900</v>
      </c>
      <c r="W17" s="155">
        <f t="shared" ref="W17:W55" si="12">CEILING((V17*$BB$6/$BA$6),100)</f>
        <v>1805200</v>
      </c>
      <c r="X17" s="155"/>
      <c r="Y17" s="155">
        <f t="shared" ref="Y17:Y55" si="13">S17+V17</f>
        <v>10887559</v>
      </c>
      <c r="Z17" s="155">
        <f>T17+W17</f>
        <v>11483200</v>
      </c>
      <c r="AA17" s="54">
        <f t="shared" ref="AA17:AA55" si="14">CEILING((T17*$BB$4/$BA$4),100)</f>
        <v>10206800</v>
      </c>
      <c r="AB17" s="54">
        <f t="shared" ref="AB17:AB58" si="15">CEILING((W17*$BB$6/$BA$6),100)</f>
        <v>1904700</v>
      </c>
      <c r="AC17" s="54">
        <f t="shared" ref="AC17:AC62" si="16">AA17+AB17</f>
        <v>12111500</v>
      </c>
      <c r="AD17" s="54">
        <v>10778400</v>
      </c>
      <c r="AE17" s="54">
        <v>882500</v>
      </c>
      <c r="AF17" s="54">
        <f t="shared" ref="AF17:AF62" si="17">AD17+AE17</f>
        <v>11660900</v>
      </c>
      <c r="AG17" s="54">
        <f t="shared" ref="AG17:AG24" si="18">130/116.6*AD17</f>
        <v>12017084.048027445</v>
      </c>
      <c r="AH17" s="54">
        <f t="shared" ref="AH17:AH24" si="19">126.4/111.7*AE17</f>
        <v>998639.21217546996</v>
      </c>
      <c r="AI17" s="54">
        <f t="shared" si="1"/>
        <v>13015723.260202914</v>
      </c>
      <c r="AJ17" s="54">
        <v>12017084.048027445</v>
      </c>
      <c r="AK17" s="54">
        <f t="shared" ref="AK17:AK58" si="20">126.8/126.4*AH17</f>
        <v>1001799.4628469114</v>
      </c>
      <c r="AL17" s="54">
        <f t="shared" si="2"/>
        <v>13018883.510874355</v>
      </c>
      <c r="AM17" s="206">
        <f>138.2/130*AJ17</f>
        <v>12775084.734133791</v>
      </c>
      <c r="AN17" s="206">
        <f>131.5/126.8*AK17</f>
        <v>1038932.4082363474</v>
      </c>
      <c r="AO17" s="206">
        <f>AM17+AN17</f>
        <v>13814017.142370138</v>
      </c>
      <c r="AP17" s="219" t="s">
        <v>186</v>
      </c>
      <c r="AQ17" s="31"/>
      <c r="AR17" s="67" t="s">
        <v>222</v>
      </c>
      <c r="AS17" s="67" t="s">
        <v>222</v>
      </c>
      <c r="AT17" s="67" t="s">
        <v>223</v>
      </c>
      <c r="AU17" s="67" t="s">
        <v>224</v>
      </c>
      <c r="AV17" s="67" t="s">
        <v>229</v>
      </c>
      <c r="AW17" s="67" t="s">
        <v>224</v>
      </c>
      <c r="AX17" s="67" t="s">
        <v>226</v>
      </c>
      <c r="AY17" s="31"/>
      <c r="AZ17" s="223"/>
      <c r="BB17" s="1"/>
      <c r="BD17" s="223"/>
      <c r="BF17" s="1"/>
    </row>
    <row r="18" spans="1:58" s="5" customFormat="1" ht="12.75" customHeight="1" x14ac:dyDescent="0.2">
      <c r="A18" s="34" t="s">
        <v>24</v>
      </c>
      <c r="B18" s="34" t="s">
        <v>88</v>
      </c>
      <c r="C18" s="34" t="s">
        <v>12</v>
      </c>
      <c r="D18" s="34" t="s">
        <v>148</v>
      </c>
      <c r="E18" s="156"/>
      <c r="F18" s="154">
        <v>950000</v>
      </c>
      <c r="G18" s="155"/>
      <c r="H18" s="155"/>
      <c r="I18" s="155">
        <v>0</v>
      </c>
      <c r="J18" s="155">
        <v>1021914</v>
      </c>
      <c r="K18" s="155">
        <f>ROUND((I18+J18)/117*118.7,0)</f>
        <v>1036762</v>
      </c>
      <c r="L18" s="157"/>
      <c r="M18" s="158"/>
      <c r="N18" s="155">
        <f>ROUND(K18/118.7*120.2,0)</f>
        <v>1049863</v>
      </c>
      <c r="O18" s="155">
        <f>ROUND(N18/120.2*120.7,0)</f>
        <v>1054230</v>
      </c>
      <c r="P18" s="155">
        <f>ROUND(O18/120.7*122.4,0)</f>
        <v>1069078</v>
      </c>
      <c r="Q18" s="155">
        <f t="shared" ref="Q18:Q55" si="21">ROUND(P18/122.4*125,0)</f>
        <v>1091787</v>
      </c>
      <c r="R18" s="155">
        <f t="shared" si="10"/>
        <v>1148560</v>
      </c>
      <c r="S18" s="155">
        <f t="shared" ref="S18:S55" si="22">ROUND(R18/131.5*140.3,0)</f>
        <v>1225422</v>
      </c>
      <c r="T18" s="155">
        <f t="shared" si="11"/>
        <v>1292400</v>
      </c>
      <c r="U18" s="155"/>
      <c r="V18" s="155">
        <f>L18+M18</f>
        <v>0</v>
      </c>
      <c r="W18" s="155">
        <f t="shared" si="12"/>
        <v>0</v>
      </c>
      <c r="X18" s="155"/>
      <c r="Y18" s="155">
        <f t="shared" si="13"/>
        <v>1225422</v>
      </c>
      <c r="Z18" s="155">
        <f t="shared" ref="Z18:Z55" si="23">T18+W18</f>
        <v>1292400</v>
      </c>
      <c r="AA18" s="54">
        <f t="shared" si="14"/>
        <v>1363100</v>
      </c>
      <c r="AB18" s="54">
        <f t="shared" si="15"/>
        <v>0</v>
      </c>
      <c r="AC18" s="54">
        <f t="shared" si="16"/>
        <v>1363100</v>
      </c>
      <c r="AD18" s="54">
        <v>2495000</v>
      </c>
      <c r="AE18" s="54">
        <v>0</v>
      </c>
      <c r="AF18" s="54">
        <f t="shared" si="17"/>
        <v>2495000</v>
      </c>
      <c r="AG18" s="54">
        <f t="shared" si="18"/>
        <v>2781732.4185248716</v>
      </c>
      <c r="AH18" s="54">
        <f t="shared" si="19"/>
        <v>0</v>
      </c>
      <c r="AI18" s="54">
        <f t="shared" si="1"/>
        <v>2781732.4185248716</v>
      </c>
      <c r="AJ18" s="54">
        <v>2781732.4185248716</v>
      </c>
      <c r="AK18" s="54">
        <f t="shared" si="20"/>
        <v>0</v>
      </c>
      <c r="AL18" s="54">
        <f t="shared" si="2"/>
        <v>2781732.4185248716</v>
      </c>
      <c r="AM18" s="206">
        <f t="shared" ref="AM18:AM60" si="24">138.2/130*AJ18</f>
        <v>2957195.5403087479</v>
      </c>
      <c r="AN18" s="206">
        <f t="shared" ref="AN18:AN60" si="25">131.5/126.8*AK18</f>
        <v>0</v>
      </c>
      <c r="AO18" s="206">
        <f t="shared" ref="AO18:AO60" si="26">AM18+AN18</f>
        <v>2957195.5403087479</v>
      </c>
      <c r="AP18" s="219" t="s">
        <v>186</v>
      </c>
      <c r="AQ18" s="31"/>
      <c r="AR18" s="67" t="s">
        <v>222</v>
      </c>
      <c r="AS18" s="67" t="s">
        <v>222</v>
      </c>
      <c r="AT18" s="67" t="s">
        <v>223</v>
      </c>
      <c r="AU18" s="67" t="s">
        <v>224</v>
      </c>
      <c r="AV18" s="67" t="s">
        <v>222</v>
      </c>
      <c r="AW18" s="67" t="s">
        <v>224</v>
      </c>
      <c r="AX18" s="67" t="s">
        <v>226</v>
      </c>
      <c r="AY18" s="31"/>
    </row>
    <row r="19" spans="1:58" s="5" customFormat="1" ht="12.75" customHeight="1" x14ac:dyDescent="0.2">
      <c r="A19" s="34" t="s">
        <v>47</v>
      </c>
      <c r="B19" s="34" t="s">
        <v>155</v>
      </c>
      <c r="C19" s="34" t="s">
        <v>12</v>
      </c>
      <c r="D19" s="34" t="s">
        <v>72</v>
      </c>
      <c r="E19" s="156" t="s">
        <v>132</v>
      </c>
      <c r="F19" s="154">
        <v>1734200</v>
      </c>
      <c r="G19" s="155">
        <f>ROUND(F19/109.9*112,0)</f>
        <v>1767338</v>
      </c>
      <c r="H19" s="155">
        <f>ROUND(G19/112*113.8,0)</f>
        <v>1795742</v>
      </c>
      <c r="I19" s="155">
        <f>ROUND(H19/113.8*117,0)</f>
        <v>1846237</v>
      </c>
      <c r="J19" s="155"/>
      <c r="K19" s="155">
        <v>250000</v>
      </c>
      <c r="L19" s="154"/>
      <c r="M19" s="155"/>
      <c r="N19" s="155">
        <v>955500</v>
      </c>
      <c r="O19" s="155">
        <f>N19</f>
        <v>955500</v>
      </c>
      <c r="P19" s="155">
        <f>ROUND(O19/120.7*122.4,0)</f>
        <v>968958</v>
      </c>
      <c r="Q19" s="155">
        <f t="shared" si="21"/>
        <v>989540</v>
      </c>
      <c r="R19" s="155">
        <f t="shared" si="10"/>
        <v>1040996</v>
      </c>
      <c r="S19" s="155">
        <f t="shared" si="22"/>
        <v>1110660</v>
      </c>
      <c r="T19" s="155">
        <f t="shared" si="11"/>
        <v>1171400</v>
      </c>
      <c r="U19" s="155"/>
      <c r="V19" s="155">
        <v>30000</v>
      </c>
      <c r="W19" s="155">
        <f t="shared" si="12"/>
        <v>31700</v>
      </c>
      <c r="X19" s="155"/>
      <c r="Y19" s="155">
        <f t="shared" si="13"/>
        <v>1140660</v>
      </c>
      <c r="Z19" s="155">
        <f t="shared" si="23"/>
        <v>1203100</v>
      </c>
      <c r="AA19" s="54">
        <f t="shared" si="14"/>
        <v>1235400</v>
      </c>
      <c r="AB19" s="54">
        <f t="shared" si="15"/>
        <v>33500</v>
      </c>
      <c r="AC19" s="54">
        <f t="shared" si="16"/>
        <v>1268900</v>
      </c>
      <c r="AD19" s="54">
        <v>1246000</v>
      </c>
      <c r="AE19" s="54">
        <v>20000</v>
      </c>
      <c r="AF19" s="54">
        <f t="shared" si="17"/>
        <v>1266000</v>
      </c>
      <c r="AG19" s="54">
        <f t="shared" si="18"/>
        <v>1389193.8250428818</v>
      </c>
      <c r="AH19" s="54">
        <f t="shared" si="19"/>
        <v>22632.050134288271</v>
      </c>
      <c r="AI19" s="54">
        <f t="shared" si="1"/>
        <v>1411825.8751771701</v>
      </c>
      <c r="AJ19" s="54">
        <v>1389193.8250428818</v>
      </c>
      <c r="AK19" s="54">
        <f t="shared" si="20"/>
        <v>22703.670546105641</v>
      </c>
      <c r="AL19" s="54">
        <f t="shared" si="2"/>
        <v>1411897.4955889874</v>
      </c>
      <c r="AM19" s="206">
        <f t="shared" si="24"/>
        <v>1476819.897084048</v>
      </c>
      <c r="AN19" s="206">
        <f t="shared" si="25"/>
        <v>23545.210384959715</v>
      </c>
      <c r="AO19" s="206">
        <f t="shared" si="26"/>
        <v>1500365.1074690078</v>
      </c>
      <c r="AP19" s="67" t="s">
        <v>186</v>
      </c>
      <c r="AQ19" s="31"/>
      <c r="AR19" s="67" t="s">
        <v>224</v>
      </c>
      <c r="AS19" s="67" t="s">
        <v>224</v>
      </c>
      <c r="AT19" s="67" t="s">
        <v>223</v>
      </c>
      <c r="AU19" s="67" t="s">
        <v>224</v>
      </c>
      <c r="AV19" s="67" t="s">
        <v>224</v>
      </c>
      <c r="AW19" s="67" t="s">
        <v>224</v>
      </c>
      <c r="AX19" s="67" t="s">
        <v>227</v>
      </c>
      <c r="AY19" s="31"/>
    </row>
    <row r="20" spans="1:58" s="31" customFormat="1" ht="12.75" customHeight="1" x14ac:dyDescent="0.2">
      <c r="A20" s="34" t="s">
        <v>109</v>
      </c>
      <c r="B20" s="34"/>
      <c r="C20" s="34" t="s">
        <v>12</v>
      </c>
      <c r="D20" s="34" t="s">
        <v>156</v>
      </c>
      <c r="E20" s="156"/>
      <c r="F20" s="154"/>
      <c r="G20" s="155"/>
      <c r="H20" s="155"/>
      <c r="I20" s="155"/>
      <c r="J20" s="155"/>
      <c r="K20" s="155">
        <v>25000</v>
      </c>
      <c r="L20" s="154"/>
      <c r="M20" s="155"/>
      <c r="N20" s="155">
        <f>ROUND(K20/118.7*120.2,0)</f>
        <v>25316</v>
      </c>
      <c r="O20" s="155">
        <f>ROUND(N20/120.2*120.7,0)</f>
        <v>25421</v>
      </c>
      <c r="P20" s="155">
        <f>ROUND(O20/120.7*122.4,0)</f>
        <v>25779</v>
      </c>
      <c r="Q20" s="155">
        <f t="shared" si="21"/>
        <v>26327</v>
      </c>
      <c r="R20" s="155">
        <f t="shared" si="10"/>
        <v>27696</v>
      </c>
      <c r="S20" s="155">
        <f t="shared" si="22"/>
        <v>29549</v>
      </c>
      <c r="T20" s="155">
        <f t="shared" si="11"/>
        <v>31200</v>
      </c>
      <c r="U20" s="155"/>
      <c r="V20" s="155">
        <v>0</v>
      </c>
      <c r="W20" s="155">
        <f t="shared" si="12"/>
        <v>0</v>
      </c>
      <c r="X20" s="155"/>
      <c r="Y20" s="155">
        <f t="shared" si="13"/>
        <v>29549</v>
      </c>
      <c r="Z20" s="155">
        <f t="shared" si="23"/>
        <v>31200</v>
      </c>
      <c r="AA20" s="54">
        <f t="shared" si="14"/>
        <v>33000</v>
      </c>
      <c r="AB20" s="54">
        <f t="shared" si="15"/>
        <v>0</v>
      </c>
      <c r="AC20" s="54">
        <f t="shared" si="16"/>
        <v>33000</v>
      </c>
      <c r="AD20" s="54">
        <v>63000</v>
      </c>
      <c r="AE20" s="54">
        <v>0</v>
      </c>
      <c r="AF20" s="54">
        <f t="shared" si="17"/>
        <v>63000</v>
      </c>
      <c r="AG20" s="54">
        <f t="shared" si="18"/>
        <v>70240.13722126931</v>
      </c>
      <c r="AH20" s="54">
        <f t="shared" si="19"/>
        <v>0</v>
      </c>
      <c r="AI20" s="54">
        <f t="shared" si="1"/>
        <v>70240.13722126931</v>
      </c>
      <c r="AJ20" s="54">
        <v>70240.13722126931</v>
      </c>
      <c r="AK20" s="54">
        <f t="shared" si="20"/>
        <v>0</v>
      </c>
      <c r="AL20" s="54">
        <f t="shared" si="2"/>
        <v>70240.13722126931</v>
      </c>
      <c r="AM20" s="206">
        <f t="shared" si="24"/>
        <v>74670.668953687826</v>
      </c>
      <c r="AN20" s="206">
        <f t="shared" si="25"/>
        <v>0</v>
      </c>
      <c r="AO20" s="206">
        <f t="shared" si="26"/>
        <v>74670.668953687826</v>
      </c>
      <c r="AP20" s="67" t="s">
        <v>186</v>
      </c>
      <c r="AR20" s="67" t="s">
        <v>224</v>
      </c>
      <c r="AS20" s="67" t="s">
        <v>224</v>
      </c>
      <c r="AT20" s="67" t="s">
        <v>223</v>
      </c>
      <c r="AU20" s="67" t="s">
        <v>224</v>
      </c>
      <c r="AV20" s="67" t="s">
        <v>224</v>
      </c>
      <c r="AW20" s="67" t="s">
        <v>224</v>
      </c>
      <c r="AX20" s="67" t="s">
        <v>228</v>
      </c>
    </row>
    <row r="21" spans="1:58" s="5" customFormat="1" ht="12.75" customHeight="1" x14ac:dyDescent="0.2">
      <c r="A21" s="34" t="s">
        <v>43</v>
      </c>
      <c r="B21" s="34" t="s">
        <v>91</v>
      </c>
      <c r="C21" s="34" t="s">
        <v>12</v>
      </c>
      <c r="D21" s="34" t="s">
        <v>68</v>
      </c>
      <c r="E21" s="156" t="s">
        <v>143</v>
      </c>
      <c r="F21" s="154">
        <v>64600</v>
      </c>
      <c r="G21" s="155">
        <f t="shared" ref="G21:G29" si="27">ROUND(F21/109.9*112,0)</f>
        <v>65834</v>
      </c>
      <c r="H21" s="155">
        <f t="shared" ref="H21:H29" si="28">ROUND(G21/112*113.8,0)</f>
        <v>66892</v>
      </c>
      <c r="I21" s="155">
        <f t="shared" ref="I21:I29" si="29">ROUND(H21/113.8*117,0)</f>
        <v>68773</v>
      </c>
      <c r="J21" s="155"/>
      <c r="K21" s="155">
        <f t="shared" ref="K21:K29" si="30">ROUND((I21+J21)/117*118.7,0)</f>
        <v>69772</v>
      </c>
      <c r="L21" s="154">
        <v>3800</v>
      </c>
      <c r="M21" s="155"/>
      <c r="N21" s="155">
        <f>ROUND(K21/118.7*120.2,0)</f>
        <v>70654</v>
      </c>
      <c r="O21" s="155">
        <f>ROUND(N21/120.2*120.7,0)</f>
        <v>70948</v>
      </c>
      <c r="P21" s="155">
        <v>71500</v>
      </c>
      <c r="Q21" s="155">
        <f>ROUND(P21/123.6*125,0)</f>
        <v>72310</v>
      </c>
      <c r="R21" s="155">
        <f t="shared" si="10"/>
        <v>76070</v>
      </c>
      <c r="S21" s="155">
        <f t="shared" si="22"/>
        <v>81161</v>
      </c>
      <c r="T21" s="155">
        <f t="shared" si="11"/>
        <v>85600</v>
      </c>
      <c r="U21" s="155"/>
      <c r="V21" s="155">
        <v>20700</v>
      </c>
      <c r="W21" s="155">
        <f t="shared" si="12"/>
        <v>21900</v>
      </c>
      <c r="X21" s="155"/>
      <c r="Y21" s="155">
        <f t="shared" si="13"/>
        <v>101861</v>
      </c>
      <c r="Z21" s="155">
        <f t="shared" si="23"/>
        <v>107500</v>
      </c>
      <c r="AA21" s="54">
        <f t="shared" si="14"/>
        <v>90300</v>
      </c>
      <c r="AB21" s="54">
        <f t="shared" si="15"/>
        <v>23200</v>
      </c>
      <c r="AC21" s="54">
        <f t="shared" si="16"/>
        <v>113500</v>
      </c>
      <c r="AD21" s="54">
        <v>94050</v>
      </c>
      <c r="AE21" s="54">
        <v>25230</v>
      </c>
      <c r="AF21" s="54">
        <f t="shared" si="17"/>
        <v>119280</v>
      </c>
      <c r="AG21" s="54">
        <f t="shared" si="18"/>
        <v>104858.49056603774</v>
      </c>
      <c r="AH21" s="54">
        <f t="shared" si="19"/>
        <v>28550.331244404653</v>
      </c>
      <c r="AI21" s="54">
        <f t="shared" si="1"/>
        <v>133408.8218104424</v>
      </c>
      <c r="AJ21" s="54">
        <v>104858.49056603774</v>
      </c>
      <c r="AK21" s="54">
        <f t="shared" si="20"/>
        <v>28640.680393912262</v>
      </c>
      <c r="AL21" s="54">
        <f t="shared" si="2"/>
        <v>133499.17095995002</v>
      </c>
      <c r="AM21" s="206">
        <f t="shared" si="24"/>
        <v>111472.64150943396</v>
      </c>
      <c r="AN21" s="206">
        <f t="shared" si="25"/>
        <v>29702.282900626677</v>
      </c>
      <c r="AO21" s="206">
        <f t="shared" si="26"/>
        <v>141174.92441006063</v>
      </c>
      <c r="AP21" s="67" t="s">
        <v>186</v>
      </c>
      <c r="AQ21" s="31"/>
      <c r="AR21" s="67" t="s">
        <v>224</v>
      </c>
      <c r="AS21" s="67" t="s">
        <v>224</v>
      </c>
      <c r="AT21" s="67" t="s">
        <v>223</v>
      </c>
      <c r="AU21" s="67" t="s">
        <v>224</v>
      </c>
      <c r="AV21" s="67" t="s">
        <v>224</v>
      </c>
      <c r="AW21" s="67" t="s">
        <v>224</v>
      </c>
      <c r="AX21" s="67" t="s">
        <v>226</v>
      </c>
      <c r="AY21" s="31"/>
    </row>
    <row r="22" spans="1:58" s="5" customFormat="1" ht="12.75" customHeight="1" x14ac:dyDescent="0.2">
      <c r="A22" s="34" t="s">
        <v>33</v>
      </c>
      <c r="B22" s="34" t="s">
        <v>94</v>
      </c>
      <c r="C22" s="34" t="s">
        <v>12</v>
      </c>
      <c r="D22" s="34" t="s">
        <v>175</v>
      </c>
      <c r="E22" s="156" t="s">
        <v>140</v>
      </c>
      <c r="F22" s="154">
        <v>455000</v>
      </c>
      <c r="G22" s="155">
        <f t="shared" si="27"/>
        <v>463694</v>
      </c>
      <c r="H22" s="155">
        <f t="shared" si="28"/>
        <v>471146</v>
      </c>
      <c r="I22" s="155">
        <f t="shared" si="29"/>
        <v>484394</v>
      </c>
      <c r="J22" s="155"/>
      <c r="K22" s="155">
        <f t="shared" si="30"/>
        <v>491432</v>
      </c>
      <c r="L22" s="154"/>
      <c r="M22" s="155"/>
      <c r="N22" s="155">
        <f>ROUND(K22/118.7*120.2,0)</f>
        <v>497642</v>
      </c>
      <c r="O22" s="155">
        <f>ROUND(N22/120.2*120.7,0)</f>
        <v>499712</v>
      </c>
      <c r="P22" s="155">
        <v>745000</v>
      </c>
      <c r="Q22" s="155">
        <f t="shared" ref="Q22:Q23" si="31">ROUND(P22/123.6*125,0)</f>
        <v>753439</v>
      </c>
      <c r="R22" s="155">
        <f t="shared" si="10"/>
        <v>792618</v>
      </c>
      <c r="S22" s="155">
        <f t="shared" si="22"/>
        <v>845660</v>
      </c>
      <c r="T22" s="175">
        <f t="shared" si="11"/>
        <v>891900</v>
      </c>
      <c r="U22" s="175"/>
      <c r="V22" s="175">
        <f>L22+M22</f>
        <v>0</v>
      </c>
      <c r="W22" s="175">
        <f t="shared" si="12"/>
        <v>0</v>
      </c>
      <c r="X22" s="175"/>
      <c r="Y22" s="175">
        <f t="shared" si="13"/>
        <v>845660</v>
      </c>
      <c r="Z22" s="175">
        <f t="shared" si="23"/>
        <v>891900</v>
      </c>
      <c r="AA22" s="54">
        <f t="shared" si="14"/>
        <v>940700</v>
      </c>
      <c r="AB22" s="54">
        <f t="shared" si="15"/>
        <v>0</v>
      </c>
      <c r="AC22" s="54">
        <f t="shared" si="16"/>
        <v>940700</v>
      </c>
      <c r="AD22" s="54">
        <v>1176000</v>
      </c>
      <c r="AE22" s="54">
        <v>0</v>
      </c>
      <c r="AF22" s="54">
        <f t="shared" si="17"/>
        <v>1176000</v>
      </c>
      <c r="AG22" s="54">
        <f t="shared" si="18"/>
        <v>1311149.2281303604</v>
      </c>
      <c r="AH22" s="54">
        <f t="shared" si="19"/>
        <v>0</v>
      </c>
      <c r="AI22" s="54">
        <f t="shared" si="1"/>
        <v>1311149.2281303604</v>
      </c>
      <c r="AJ22" s="54">
        <v>1311149.2281303604</v>
      </c>
      <c r="AK22" s="54">
        <f t="shared" si="20"/>
        <v>0</v>
      </c>
      <c r="AL22" s="54">
        <f t="shared" si="2"/>
        <v>1311149.2281303604</v>
      </c>
      <c r="AM22" s="206">
        <f t="shared" si="24"/>
        <v>1393852.487135506</v>
      </c>
      <c r="AN22" s="206">
        <f t="shared" si="25"/>
        <v>0</v>
      </c>
      <c r="AO22" s="206">
        <f t="shared" si="26"/>
        <v>1393852.487135506</v>
      </c>
      <c r="AP22" s="67" t="s">
        <v>186</v>
      </c>
      <c r="AQ22" s="31"/>
      <c r="AR22" s="67" t="s">
        <v>222</v>
      </c>
      <c r="AS22" s="67" t="s">
        <v>222</v>
      </c>
      <c r="AT22" s="67" t="s">
        <v>223</v>
      </c>
      <c r="AU22" s="67" t="s">
        <v>224</v>
      </c>
      <c r="AV22" s="67" t="s">
        <v>224</v>
      </c>
      <c r="AW22" s="67" t="s">
        <v>224</v>
      </c>
      <c r="AX22" s="67" t="s">
        <v>226</v>
      </c>
      <c r="AY22" s="31"/>
    </row>
    <row r="23" spans="1:58" s="31" customFormat="1" ht="12.75" customHeight="1" x14ac:dyDescent="0.2">
      <c r="A23" s="34" t="s">
        <v>33</v>
      </c>
      <c r="B23" s="34" t="s">
        <v>94</v>
      </c>
      <c r="C23" s="34" t="s">
        <v>12</v>
      </c>
      <c r="D23" s="34" t="s">
        <v>149</v>
      </c>
      <c r="E23" s="156" t="s">
        <v>140</v>
      </c>
      <c r="F23" s="154">
        <v>177500</v>
      </c>
      <c r="G23" s="155">
        <f t="shared" si="27"/>
        <v>180892</v>
      </c>
      <c r="H23" s="155">
        <f t="shared" si="28"/>
        <v>183799</v>
      </c>
      <c r="I23" s="155">
        <f t="shared" si="29"/>
        <v>188967</v>
      </c>
      <c r="J23" s="155"/>
      <c r="K23" s="155">
        <f t="shared" si="30"/>
        <v>191713</v>
      </c>
      <c r="L23" s="154"/>
      <c r="M23" s="155"/>
      <c r="N23" s="155">
        <f>ROUND(K23/118.7*120.2,0)</f>
        <v>194136</v>
      </c>
      <c r="O23" s="155">
        <f>ROUND(N23/120.2*120.7,0)</f>
        <v>194944</v>
      </c>
      <c r="P23" s="155">
        <v>210000</v>
      </c>
      <c r="Q23" s="155">
        <f t="shared" si="31"/>
        <v>212379</v>
      </c>
      <c r="R23" s="155">
        <f t="shared" si="10"/>
        <v>223423</v>
      </c>
      <c r="S23" s="155">
        <f t="shared" si="22"/>
        <v>238375</v>
      </c>
      <c r="T23" s="175">
        <f t="shared" si="11"/>
        <v>251400</v>
      </c>
      <c r="U23" s="175"/>
      <c r="V23" s="175">
        <f>L23+M23</f>
        <v>0</v>
      </c>
      <c r="W23" s="175">
        <f t="shared" si="12"/>
        <v>0</v>
      </c>
      <c r="X23" s="175"/>
      <c r="Y23" s="175">
        <f t="shared" si="13"/>
        <v>238375</v>
      </c>
      <c r="Z23" s="175">
        <f t="shared" si="23"/>
        <v>251400</v>
      </c>
      <c r="AA23" s="54">
        <f t="shared" si="14"/>
        <v>265200</v>
      </c>
      <c r="AB23" s="54">
        <f t="shared" si="15"/>
        <v>0</v>
      </c>
      <c r="AC23" s="54">
        <f t="shared" si="16"/>
        <v>265200</v>
      </c>
      <c r="AD23" s="54">
        <v>230000</v>
      </c>
      <c r="AE23" s="54">
        <v>0</v>
      </c>
      <c r="AF23" s="54">
        <f t="shared" si="17"/>
        <v>230000</v>
      </c>
      <c r="AG23" s="54">
        <f t="shared" si="18"/>
        <v>256432.24699828477</v>
      </c>
      <c r="AH23" s="54">
        <f t="shared" si="19"/>
        <v>0</v>
      </c>
      <c r="AI23" s="54">
        <f t="shared" si="1"/>
        <v>256432.24699828477</v>
      </c>
      <c r="AJ23" s="54">
        <v>256432.24699828477</v>
      </c>
      <c r="AK23" s="54">
        <f t="shared" si="20"/>
        <v>0</v>
      </c>
      <c r="AL23" s="54">
        <f t="shared" si="2"/>
        <v>256432.24699828477</v>
      </c>
      <c r="AM23" s="206">
        <f t="shared" si="24"/>
        <v>272607.20411663811</v>
      </c>
      <c r="AN23" s="206">
        <f t="shared" si="25"/>
        <v>0</v>
      </c>
      <c r="AO23" s="206">
        <f t="shared" si="26"/>
        <v>272607.20411663811</v>
      </c>
      <c r="AP23" s="67" t="s">
        <v>186</v>
      </c>
      <c r="AR23" s="67" t="s">
        <v>222</v>
      </c>
      <c r="AS23" s="67" t="s">
        <v>222</v>
      </c>
      <c r="AT23" s="67" t="s">
        <v>223</v>
      </c>
      <c r="AU23" s="67" t="s">
        <v>224</v>
      </c>
      <c r="AV23" s="67" t="s">
        <v>224</v>
      </c>
      <c r="AW23" s="67" t="s">
        <v>224</v>
      </c>
      <c r="AX23" s="67" t="s">
        <v>226</v>
      </c>
    </row>
    <row r="24" spans="1:58" s="5" customFormat="1" ht="12.75" customHeight="1" x14ac:dyDescent="0.2">
      <c r="A24" s="34" t="s">
        <v>46</v>
      </c>
      <c r="B24" s="34" t="s">
        <v>96</v>
      </c>
      <c r="C24" s="34" t="s">
        <v>12</v>
      </c>
      <c r="D24" s="34" t="s">
        <v>75</v>
      </c>
      <c r="E24" s="156" t="s">
        <v>132</v>
      </c>
      <c r="F24" s="154">
        <v>2653700</v>
      </c>
      <c r="G24" s="155">
        <f t="shared" si="27"/>
        <v>2704408</v>
      </c>
      <c r="H24" s="155">
        <f t="shared" si="28"/>
        <v>2747872</v>
      </c>
      <c r="I24" s="155">
        <f t="shared" si="29"/>
        <v>2825141</v>
      </c>
      <c r="J24" s="155"/>
      <c r="K24" s="155">
        <f t="shared" si="30"/>
        <v>2866190</v>
      </c>
      <c r="L24" s="154"/>
      <c r="M24" s="155"/>
      <c r="N24" s="155">
        <v>5750250</v>
      </c>
      <c r="O24" s="155">
        <f>N24</f>
        <v>5750250</v>
      </c>
      <c r="P24" s="155">
        <f t="shared" ref="P24:P35" si="32">ROUND(O24/120.7*122.4,0)</f>
        <v>5831239</v>
      </c>
      <c r="Q24" s="155">
        <f t="shared" si="21"/>
        <v>5955105</v>
      </c>
      <c r="R24" s="155">
        <f t="shared" si="10"/>
        <v>6264770</v>
      </c>
      <c r="S24" s="155">
        <f t="shared" si="22"/>
        <v>6684009</v>
      </c>
      <c r="T24" s="155">
        <f t="shared" si="11"/>
        <v>7049200</v>
      </c>
      <c r="U24" s="155"/>
      <c r="V24" s="155">
        <f>74365+13300</f>
        <v>87665</v>
      </c>
      <c r="W24" s="155">
        <f t="shared" si="12"/>
        <v>92500</v>
      </c>
      <c r="X24" s="155"/>
      <c r="Y24" s="155">
        <f t="shared" si="13"/>
        <v>6771674</v>
      </c>
      <c r="Z24" s="155">
        <f t="shared" si="23"/>
        <v>7141700</v>
      </c>
      <c r="AA24" s="54">
        <f t="shared" si="14"/>
        <v>7434300</v>
      </c>
      <c r="AB24" s="54">
        <f t="shared" si="15"/>
        <v>97600</v>
      </c>
      <c r="AC24" s="54">
        <f t="shared" si="16"/>
        <v>7531900</v>
      </c>
      <c r="AD24" s="54">
        <v>7398500</v>
      </c>
      <c r="AE24" s="54">
        <v>68200</v>
      </c>
      <c r="AF24" s="54">
        <f t="shared" si="17"/>
        <v>7466700</v>
      </c>
      <c r="AG24" s="54">
        <f t="shared" si="18"/>
        <v>8248756.4322469989</v>
      </c>
      <c r="AH24" s="54">
        <f t="shared" si="19"/>
        <v>77175.290957923004</v>
      </c>
      <c r="AI24" s="54">
        <f t="shared" si="1"/>
        <v>8325931.7232049219</v>
      </c>
      <c r="AJ24" s="54">
        <v>8248756.4322469989</v>
      </c>
      <c r="AK24" s="54">
        <f t="shared" si="20"/>
        <v>77419.516562220233</v>
      </c>
      <c r="AL24" s="54">
        <f t="shared" si="2"/>
        <v>8326175.9488092195</v>
      </c>
      <c r="AM24" s="206">
        <f t="shared" si="24"/>
        <v>8769062.6072041169</v>
      </c>
      <c r="AN24" s="206">
        <f t="shared" si="25"/>
        <v>80289.167412712617</v>
      </c>
      <c r="AO24" s="206">
        <f t="shared" si="26"/>
        <v>8849351.7746168301</v>
      </c>
      <c r="AP24" s="67" t="s">
        <v>186</v>
      </c>
      <c r="AQ24" s="31"/>
      <c r="AR24" s="67" t="s">
        <v>222</v>
      </c>
      <c r="AS24" s="67" t="s">
        <v>222</v>
      </c>
      <c r="AT24" s="67" t="s">
        <v>223</v>
      </c>
      <c r="AU24" s="67" t="s">
        <v>224</v>
      </c>
      <c r="AV24" s="67" t="s">
        <v>224</v>
      </c>
      <c r="AW24" s="67" t="s">
        <v>224</v>
      </c>
      <c r="AX24" s="67" t="s">
        <v>228</v>
      </c>
      <c r="AY24" s="31"/>
    </row>
    <row r="25" spans="1:58" s="5" customFormat="1" ht="12.75" customHeight="1" x14ac:dyDescent="0.2">
      <c r="A25" s="34" t="s">
        <v>46</v>
      </c>
      <c r="B25" s="34" t="s">
        <v>96</v>
      </c>
      <c r="C25" s="34" t="s">
        <v>12</v>
      </c>
      <c r="D25" s="34" t="s">
        <v>84</v>
      </c>
      <c r="E25" s="156"/>
      <c r="F25" s="154"/>
      <c r="G25" s="155">
        <f t="shared" si="27"/>
        <v>0</v>
      </c>
      <c r="H25" s="155">
        <f t="shared" si="28"/>
        <v>0</v>
      </c>
      <c r="I25" s="155">
        <f t="shared" si="29"/>
        <v>0</v>
      </c>
      <c r="J25" s="155"/>
      <c r="K25" s="155">
        <f t="shared" si="30"/>
        <v>0</v>
      </c>
      <c r="L25" s="154">
        <v>163900</v>
      </c>
      <c r="M25" s="155"/>
      <c r="N25" s="155">
        <f>ROUND(K25/118.7*120.2,0)</f>
        <v>0</v>
      </c>
      <c r="O25" s="155">
        <f>ROUND(N25/120.2*120.7,0)</f>
        <v>0</v>
      </c>
      <c r="P25" s="155">
        <f t="shared" si="32"/>
        <v>0</v>
      </c>
      <c r="Q25" s="155">
        <f t="shared" si="21"/>
        <v>0</v>
      </c>
      <c r="R25" s="155">
        <f t="shared" si="10"/>
        <v>0</v>
      </c>
      <c r="S25" s="155">
        <f t="shared" si="22"/>
        <v>0</v>
      </c>
      <c r="T25" s="155">
        <f t="shared" si="11"/>
        <v>0</v>
      </c>
      <c r="U25" s="155"/>
      <c r="V25" s="155">
        <f>L25+M25</f>
        <v>163900</v>
      </c>
      <c r="W25" s="155">
        <f t="shared" si="12"/>
        <v>173000</v>
      </c>
      <c r="X25" s="155"/>
      <c r="Y25" s="155">
        <f t="shared" si="13"/>
        <v>163900</v>
      </c>
      <c r="Z25" s="155">
        <f t="shared" si="23"/>
        <v>173000</v>
      </c>
      <c r="AA25" s="54">
        <f t="shared" si="14"/>
        <v>0</v>
      </c>
      <c r="AB25" s="54">
        <f t="shared" si="15"/>
        <v>182600</v>
      </c>
      <c r="AC25" s="54">
        <f t="shared" si="16"/>
        <v>182600</v>
      </c>
      <c r="AD25" s="54">
        <v>0</v>
      </c>
      <c r="AE25" s="54">
        <f>CEILING((Z25*$BB$6/$BA$6),100)</f>
        <v>182600</v>
      </c>
      <c r="AF25" s="54">
        <f t="shared" si="17"/>
        <v>182600</v>
      </c>
      <c r="AG25" s="54">
        <v>0</v>
      </c>
      <c r="AH25" s="54">
        <f>126.4/109.2*AE25</f>
        <v>211361.17216117217</v>
      </c>
      <c r="AI25" s="54">
        <f t="shared" si="1"/>
        <v>211361.17216117217</v>
      </c>
      <c r="AJ25" s="54">
        <v>0</v>
      </c>
      <c r="AK25" s="54">
        <f t="shared" si="20"/>
        <v>212030.03663003666</v>
      </c>
      <c r="AL25" s="54">
        <f t="shared" si="2"/>
        <v>212030.03663003666</v>
      </c>
      <c r="AM25" s="206">
        <f t="shared" si="24"/>
        <v>0</v>
      </c>
      <c r="AN25" s="206">
        <f t="shared" si="25"/>
        <v>219889.19413919418</v>
      </c>
      <c r="AO25" s="206">
        <f t="shared" si="26"/>
        <v>219889.19413919418</v>
      </c>
      <c r="AP25" s="31"/>
      <c r="AQ25" s="31"/>
      <c r="AR25" s="67" t="s">
        <v>222</v>
      </c>
      <c r="AS25" s="67" t="s">
        <v>222</v>
      </c>
      <c r="AT25" s="67" t="s">
        <v>223</v>
      </c>
      <c r="AU25" s="67" t="s">
        <v>224</v>
      </c>
      <c r="AV25" s="67" t="s">
        <v>224</v>
      </c>
      <c r="AW25" s="67" t="s">
        <v>224</v>
      </c>
      <c r="AX25" s="67" t="s">
        <v>228</v>
      </c>
      <c r="AY25" s="31"/>
    </row>
    <row r="26" spans="1:58" s="5" customFormat="1" ht="12.75" customHeight="1" x14ac:dyDescent="0.2">
      <c r="A26" s="34" t="s">
        <v>46</v>
      </c>
      <c r="B26" s="34" t="s">
        <v>96</v>
      </c>
      <c r="C26" s="34" t="s">
        <v>12</v>
      </c>
      <c r="D26" s="34" t="s">
        <v>75</v>
      </c>
      <c r="E26" s="156"/>
      <c r="F26" s="154"/>
      <c r="G26" s="155">
        <f t="shared" si="27"/>
        <v>0</v>
      </c>
      <c r="H26" s="155">
        <f t="shared" si="28"/>
        <v>0</v>
      </c>
      <c r="I26" s="155">
        <f t="shared" si="29"/>
        <v>0</v>
      </c>
      <c r="J26" s="155"/>
      <c r="K26" s="155">
        <f t="shared" si="30"/>
        <v>0</v>
      </c>
      <c r="L26" s="154">
        <v>52000</v>
      </c>
      <c r="M26" s="155"/>
      <c r="N26" s="155">
        <f>ROUND(K26/118.7*120.2,0)</f>
        <v>0</v>
      </c>
      <c r="O26" s="155">
        <f>ROUND(N26/120.2*120.7,0)</f>
        <v>0</v>
      </c>
      <c r="P26" s="155">
        <f t="shared" si="32"/>
        <v>0</v>
      </c>
      <c r="Q26" s="155">
        <f t="shared" si="21"/>
        <v>0</v>
      </c>
      <c r="R26" s="155">
        <f t="shared" si="10"/>
        <v>0</v>
      </c>
      <c r="S26" s="155">
        <f t="shared" si="22"/>
        <v>0</v>
      </c>
      <c r="T26" s="155">
        <f t="shared" si="11"/>
        <v>0</v>
      </c>
      <c r="U26" s="155"/>
      <c r="V26" s="155">
        <f>L26+M26</f>
        <v>52000</v>
      </c>
      <c r="W26" s="155">
        <f t="shared" si="12"/>
        <v>54900</v>
      </c>
      <c r="X26" s="155"/>
      <c r="Y26" s="155">
        <f t="shared" si="13"/>
        <v>52000</v>
      </c>
      <c r="Z26" s="155">
        <f t="shared" si="23"/>
        <v>54900</v>
      </c>
      <c r="AA26" s="54">
        <f t="shared" si="14"/>
        <v>0</v>
      </c>
      <c r="AB26" s="54">
        <f t="shared" si="15"/>
        <v>58000</v>
      </c>
      <c r="AC26" s="54">
        <f t="shared" si="16"/>
        <v>58000</v>
      </c>
      <c r="AD26" s="54">
        <v>0</v>
      </c>
      <c r="AE26" s="54">
        <f>CEILING((Z26*$BB$6/$BA$6),100)</f>
        <v>58000</v>
      </c>
      <c r="AF26" s="54">
        <f t="shared" si="17"/>
        <v>58000</v>
      </c>
      <c r="AG26" s="54">
        <v>0</v>
      </c>
      <c r="AH26" s="54">
        <f t="shared" ref="AH26:AH58" si="33">126.4/109.2*AE26</f>
        <v>67135.531135531142</v>
      </c>
      <c r="AI26" s="54">
        <f t="shared" si="1"/>
        <v>67135.531135531142</v>
      </c>
      <c r="AJ26" s="54">
        <v>0</v>
      </c>
      <c r="AK26" s="54">
        <f t="shared" si="20"/>
        <v>67347.985347985363</v>
      </c>
      <c r="AL26" s="54">
        <f t="shared" si="2"/>
        <v>67347.985347985363</v>
      </c>
      <c r="AM26" s="206">
        <f t="shared" si="24"/>
        <v>0</v>
      </c>
      <c r="AN26" s="206">
        <f t="shared" si="25"/>
        <v>69844.322344322354</v>
      </c>
      <c r="AO26" s="206">
        <f t="shared" si="26"/>
        <v>69844.322344322354</v>
      </c>
      <c r="AP26" s="31"/>
      <c r="AQ26" s="31"/>
      <c r="AR26" s="67" t="s">
        <v>222</v>
      </c>
      <c r="AS26" s="67" t="s">
        <v>222</v>
      </c>
      <c r="AT26" s="67" t="s">
        <v>223</v>
      </c>
      <c r="AU26" s="67" t="s">
        <v>224</v>
      </c>
      <c r="AV26" s="67" t="s">
        <v>224</v>
      </c>
      <c r="AW26" s="67" t="s">
        <v>224</v>
      </c>
      <c r="AX26" s="67" t="s">
        <v>228</v>
      </c>
      <c r="AY26" s="31"/>
    </row>
    <row r="27" spans="1:58" s="5" customFormat="1" ht="12.75" customHeight="1" x14ac:dyDescent="0.2">
      <c r="A27" s="34" t="s">
        <v>73</v>
      </c>
      <c r="B27" s="34" t="s">
        <v>96</v>
      </c>
      <c r="C27" s="34" t="s">
        <v>12</v>
      </c>
      <c r="D27" s="34" t="s">
        <v>71</v>
      </c>
      <c r="E27" s="156"/>
      <c r="F27" s="152"/>
      <c r="G27" s="155">
        <f t="shared" si="27"/>
        <v>0</v>
      </c>
      <c r="H27" s="155">
        <f t="shared" si="28"/>
        <v>0</v>
      </c>
      <c r="I27" s="155">
        <f t="shared" si="29"/>
        <v>0</v>
      </c>
      <c r="J27" s="155"/>
      <c r="K27" s="155">
        <f t="shared" si="30"/>
        <v>0</v>
      </c>
      <c r="L27" s="154">
        <v>17300</v>
      </c>
      <c r="M27" s="155"/>
      <c r="N27" s="155">
        <f>ROUND(K27/118.7*120.2,0)</f>
        <v>0</v>
      </c>
      <c r="O27" s="155">
        <f>ROUND(N27/120.2*120.7,0)</f>
        <v>0</v>
      </c>
      <c r="P27" s="155">
        <f t="shared" si="32"/>
        <v>0</v>
      </c>
      <c r="Q27" s="155">
        <f t="shared" si="21"/>
        <v>0</v>
      </c>
      <c r="R27" s="155">
        <f t="shared" si="10"/>
        <v>0</v>
      </c>
      <c r="S27" s="155">
        <f t="shared" si="22"/>
        <v>0</v>
      </c>
      <c r="T27" s="155">
        <f t="shared" si="11"/>
        <v>0</v>
      </c>
      <c r="U27" s="155"/>
      <c r="V27" s="155">
        <f>L27+M27</f>
        <v>17300</v>
      </c>
      <c r="W27" s="155">
        <f t="shared" si="12"/>
        <v>18300</v>
      </c>
      <c r="X27" s="155"/>
      <c r="Y27" s="155">
        <f t="shared" si="13"/>
        <v>17300</v>
      </c>
      <c r="Z27" s="155">
        <f t="shared" si="23"/>
        <v>18300</v>
      </c>
      <c r="AA27" s="54">
        <f t="shared" si="14"/>
        <v>0</v>
      </c>
      <c r="AB27" s="54">
        <f t="shared" si="15"/>
        <v>19400</v>
      </c>
      <c r="AC27" s="54">
        <f t="shared" si="16"/>
        <v>19400</v>
      </c>
      <c r="AD27" s="54">
        <v>0</v>
      </c>
      <c r="AE27" s="54">
        <f>CEILING((Z27*$BB$6/$BA$6),100)</f>
        <v>19400</v>
      </c>
      <c r="AF27" s="54">
        <f t="shared" si="17"/>
        <v>19400</v>
      </c>
      <c r="AG27" s="54">
        <v>0</v>
      </c>
      <c r="AH27" s="54">
        <f t="shared" si="33"/>
        <v>22455.677655677657</v>
      </c>
      <c r="AI27" s="54">
        <f t="shared" si="1"/>
        <v>22455.677655677657</v>
      </c>
      <c r="AJ27" s="54">
        <v>0</v>
      </c>
      <c r="AK27" s="54">
        <f t="shared" si="20"/>
        <v>22526.739926739927</v>
      </c>
      <c r="AL27" s="54">
        <f t="shared" si="2"/>
        <v>22526.739926739927</v>
      </c>
      <c r="AM27" s="206">
        <f t="shared" si="24"/>
        <v>0</v>
      </c>
      <c r="AN27" s="206">
        <f t="shared" si="25"/>
        <v>23361.721611721612</v>
      </c>
      <c r="AO27" s="206">
        <f t="shared" si="26"/>
        <v>23361.721611721612</v>
      </c>
      <c r="AP27" s="28"/>
      <c r="AQ27" s="28"/>
      <c r="AR27" s="67" t="s">
        <v>222</v>
      </c>
      <c r="AS27" s="67" t="s">
        <v>222</v>
      </c>
      <c r="AT27" s="67" t="s">
        <v>223</v>
      </c>
      <c r="AU27" s="67" t="s">
        <v>224</v>
      </c>
      <c r="AV27" s="67" t="s">
        <v>224</v>
      </c>
      <c r="AW27" s="67" t="s">
        <v>224</v>
      </c>
      <c r="AX27" s="67" t="s">
        <v>226</v>
      </c>
      <c r="AY27" s="28"/>
    </row>
    <row r="28" spans="1:58" s="5" customFormat="1" ht="12.75" customHeight="1" x14ac:dyDescent="0.2">
      <c r="A28" s="34" t="s">
        <v>111</v>
      </c>
      <c r="B28" s="34" t="s">
        <v>97</v>
      </c>
      <c r="C28" s="34" t="s">
        <v>12</v>
      </c>
      <c r="D28" s="34" t="s">
        <v>124</v>
      </c>
      <c r="E28" s="156" t="s">
        <v>132</v>
      </c>
      <c r="F28" s="154">
        <v>700200</v>
      </c>
      <c r="G28" s="155">
        <f t="shared" si="27"/>
        <v>713580</v>
      </c>
      <c r="H28" s="155">
        <f t="shared" si="28"/>
        <v>725048</v>
      </c>
      <c r="I28" s="155">
        <f t="shared" si="29"/>
        <v>745436</v>
      </c>
      <c r="J28" s="155"/>
      <c r="K28" s="155">
        <f t="shared" si="30"/>
        <v>756267</v>
      </c>
      <c r="L28" s="154"/>
      <c r="M28" s="155"/>
      <c r="N28" s="155">
        <v>189475</v>
      </c>
      <c r="O28" s="155">
        <f>N28</f>
        <v>189475</v>
      </c>
      <c r="P28" s="155">
        <f t="shared" si="32"/>
        <v>192144</v>
      </c>
      <c r="Q28" s="155">
        <f t="shared" si="21"/>
        <v>196225</v>
      </c>
      <c r="R28" s="155">
        <f t="shared" si="10"/>
        <v>206429</v>
      </c>
      <c r="S28" s="155">
        <f t="shared" si="22"/>
        <v>220243</v>
      </c>
      <c r="T28" s="155">
        <f t="shared" si="11"/>
        <v>232300</v>
      </c>
      <c r="U28" s="155"/>
      <c r="V28" s="155">
        <f>L28+M28</f>
        <v>0</v>
      </c>
      <c r="W28" s="155">
        <f t="shared" si="12"/>
        <v>0</v>
      </c>
      <c r="X28" s="155"/>
      <c r="Y28" s="155">
        <f t="shared" si="13"/>
        <v>220243</v>
      </c>
      <c r="Z28" s="155">
        <f t="shared" si="23"/>
        <v>232300</v>
      </c>
      <c r="AA28" s="54">
        <f t="shared" si="14"/>
        <v>245000</v>
      </c>
      <c r="AB28" s="54">
        <f t="shared" si="15"/>
        <v>0</v>
      </c>
      <c r="AC28" s="54">
        <f t="shared" si="16"/>
        <v>245000</v>
      </c>
      <c r="AD28" s="54">
        <v>292000</v>
      </c>
      <c r="AE28" s="54">
        <v>0</v>
      </c>
      <c r="AF28" s="54">
        <f t="shared" si="17"/>
        <v>292000</v>
      </c>
      <c r="AG28" s="54">
        <f t="shared" ref="AG28:AG31" si="34">130/116.6*AD28</f>
        <v>325557.46140651806</v>
      </c>
      <c r="AH28" s="54">
        <f t="shared" si="33"/>
        <v>0</v>
      </c>
      <c r="AI28" s="54">
        <f t="shared" si="1"/>
        <v>325557.46140651806</v>
      </c>
      <c r="AJ28" s="54">
        <v>325557.46140651806</v>
      </c>
      <c r="AK28" s="54">
        <f t="shared" si="20"/>
        <v>0</v>
      </c>
      <c r="AL28" s="54">
        <f t="shared" si="2"/>
        <v>325557.46140651806</v>
      </c>
      <c r="AM28" s="206">
        <f t="shared" si="24"/>
        <v>346092.62435677537</v>
      </c>
      <c r="AN28" s="206">
        <f t="shared" si="25"/>
        <v>0</v>
      </c>
      <c r="AO28" s="206">
        <f t="shared" si="26"/>
        <v>346092.62435677537</v>
      </c>
      <c r="AP28" s="67" t="s">
        <v>186</v>
      </c>
      <c r="AQ28" s="31"/>
      <c r="AR28" s="67" t="s">
        <v>222</v>
      </c>
      <c r="AS28" s="67" t="s">
        <v>222</v>
      </c>
      <c r="AT28" s="67" t="s">
        <v>223</v>
      </c>
      <c r="AU28" s="67" t="s">
        <v>224</v>
      </c>
      <c r="AV28" s="67" t="s">
        <v>224</v>
      </c>
      <c r="AW28" s="67" t="s">
        <v>224</v>
      </c>
      <c r="AX28" s="67" t="s">
        <v>226</v>
      </c>
      <c r="AY28" s="31"/>
    </row>
    <row r="29" spans="1:58" s="5" customFormat="1" ht="12.75" customHeight="1" x14ac:dyDescent="0.2">
      <c r="A29" s="34" t="s">
        <v>112</v>
      </c>
      <c r="B29" s="34" t="s">
        <v>97</v>
      </c>
      <c r="C29" s="34" t="s">
        <v>12</v>
      </c>
      <c r="D29" s="34" t="s">
        <v>64</v>
      </c>
      <c r="E29" s="156" t="s">
        <v>132</v>
      </c>
      <c r="F29" s="154">
        <v>700200</v>
      </c>
      <c r="G29" s="155">
        <f t="shared" si="27"/>
        <v>713580</v>
      </c>
      <c r="H29" s="155">
        <f t="shared" si="28"/>
        <v>725048</v>
      </c>
      <c r="I29" s="155">
        <f t="shared" si="29"/>
        <v>745436</v>
      </c>
      <c r="J29" s="155"/>
      <c r="K29" s="155">
        <f t="shared" si="30"/>
        <v>756267</v>
      </c>
      <c r="L29" s="154"/>
      <c r="M29" s="155"/>
      <c r="N29" s="155">
        <v>754800</v>
      </c>
      <c r="O29" s="155">
        <f>N29</f>
        <v>754800</v>
      </c>
      <c r="P29" s="155">
        <f t="shared" si="32"/>
        <v>765431</v>
      </c>
      <c r="Q29" s="155">
        <f t="shared" si="21"/>
        <v>781690</v>
      </c>
      <c r="R29" s="155">
        <f t="shared" si="10"/>
        <v>822338</v>
      </c>
      <c r="S29" s="155">
        <f t="shared" si="22"/>
        <v>877369</v>
      </c>
      <c r="T29" s="155">
        <f t="shared" si="11"/>
        <v>925300</v>
      </c>
      <c r="U29" s="155"/>
      <c r="V29" s="155">
        <f>L29+M29</f>
        <v>0</v>
      </c>
      <c r="W29" s="155">
        <f t="shared" si="12"/>
        <v>0</v>
      </c>
      <c r="X29" s="155"/>
      <c r="Y29" s="155">
        <f t="shared" si="13"/>
        <v>877369</v>
      </c>
      <c r="Z29" s="155">
        <f t="shared" si="23"/>
        <v>925300</v>
      </c>
      <c r="AA29" s="54">
        <f t="shared" si="14"/>
        <v>975900</v>
      </c>
      <c r="AB29" s="54">
        <f t="shared" si="15"/>
        <v>0</v>
      </c>
      <c r="AC29" s="54">
        <f t="shared" si="16"/>
        <v>975900</v>
      </c>
      <c r="AD29" s="54">
        <v>1226550</v>
      </c>
      <c r="AE29" s="54">
        <v>0</v>
      </c>
      <c r="AF29" s="54">
        <f t="shared" si="17"/>
        <v>1226550</v>
      </c>
      <c r="AG29" s="54">
        <f t="shared" si="34"/>
        <v>1367508.5763293311</v>
      </c>
      <c r="AH29" s="54">
        <f t="shared" si="33"/>
        <v>0</v>
      </c>
      <c r="AI29" s="54">
        <f t="shared" si="1"/>
        <v>1367508.5763293311</v>
      </c>
      <c r="AJ29" s="54">
        <v>1367508.5763293311</v>
      </c>
      <c r="AK29" s="54">
        <f t="shared" si="20"/>
        <v>0</v>
      </c>
      <c r="AL29" s="54">
        <f t="shared" si="2"/>
        <v>1367508.5763293311</v>
      </c>
      <c r="AM29" s="206">
        <f t="shared" si="24"/>
        <v>1453766.8096054888</v>
      </c>
      <c r="AN29" s="206">
        <f t="shared" si="25"/>
        <v>0</v>
      </c>
      <c r="AO29" s="206">
        <f t="shared" si="26"/>
        <v>1453766.8096054888</v>
      </c>
      <c r="AP29" s="67" t="s">
        <v>186</v>
      </c>
      <c r="AQ29" s="31"/>
      <c r="AR29" s="67" t="s">
        <v>222</v>
      </c>
      <c r="AS29" s="67" t="s">
        <v>222</v>
      </c>
      <c r="AT29" s="67" t="s">
        <v>223</v>
      </c>
      <c r="AU29" s="67" t="s">
        <v>224</v>
      </c>
      <c r="AV29" s="67" t="s">
        <v>229</v>
      </c>
      <c r="AW29" s="67" t="s">
        <v>224</v>
      </c>
      <c r="AX29" s="67" t="s">
        <v>226</v>
      </c>
      <c r="AY29" s="31"/>
    </row>
    <row r="30" spans="1:58" s="5" customFormat="1" ht="12.75" customHeight="1" x14ac:dyDescent="0.2">
      <c r="A30" s="34" t="s">
        <v>110</v>
      </c>
      <c r="B30" s="34"/>
      <c r="C30" s="34" t="s">
        <v>12</v>
      </c>
      <c r="D30" s="34" t="s">
        <v>150</v>
      </c>
      <c r="E30" s="156"/>
      <c r="F30" s="154"/>
      <c r="G30" s="155"/>
      <c r="H30" s="155"/>
      <c r="I30" s="155"/>
      <c r="J30" s="155"/>
      <c r="K30" s="155">
        <v>40000</v>
      </c>
      <c r="L30" s="157"/>
      <c r="M30" s="158"/>
      <c r="N30" s="155">
        <f>ROUND(K30/118.7*120.2,0)</f>
        <v>40505</v>
      </c>
      <c r="O30" s="155">
        <f>ROUND(N30/120.2*120.7,0)</f>
        <v>40673</v>
      </c>
      <c r="P30" s="155">
        <f t="shared" si="32"/>
        <v>41246</v>
      </c>
      <c r="Q30" s="155">
        <f t="shared" si="21"/>
        <v>42122</v>
      </c>
      <c r="R30" s="155">
        <f t="shared" si="10"/>
        <v>44312</v>
      </c>
      <c r="S30" s="155">
        <f t="shared" si="22"/>
        <v>47277</v>
      </c>
      <c r="T30" s="155">
        <f t="shared" si="11"/>
        <v>49900</v>
      </c>
      <c r="U30" s="155"/>
      <c r="V30" s="155">
        <v>0</v>
      </c>
      <c r="W30" s="155">
        <f t="shared" si="12"/>
        <v>0</v>
      </c>
      <c r="X30" s="155"/>
      <c r="Y30" s="155">
        <f t="shared" si="13"/>
        <v>47277</v>
      </c>
      <c r="Z30" s="155">
        <f t="shared" si="23"/>
        <v>49900</v>
      </c>
      <c r="AA30" s="54">
        <f t="shared" si="14"/>
        <v>52700</v>
      </c>
      <c r="AB30" s="54">
        <f t="shared" si="15"/>
        <v>0</v>
      </c>
      <c r="AC30" s="54">
        <f t="shared" si="16"/>
        <v>52700</v>
      </c>
      <c r="AD30" s="54">
        <v>57600</v>
      </c>
      <c r="AE30" s="54">
        <v>0</v>
      </c>
      <c r="AF30" s="54">
        <f t="shared" si="17"/>
        <v>57600</v>
      </c>
      <c r="AG30" s="54">
        <f t="shared" si="34"/>
        <v>64219.554030874795</v>
      </c>
      <c r="AH30" s="54">
        <f t="shared" si="33"/>
        <v>0</v>
      </c>
      <c r="AI30" s="54">
        <f t="shared" si="1"/>
        <v>64219.554030874795</v>
      </c>
      <c r="AJ30" s="54">
        <v>64219.554030874795</v>
      </c>
      <c r="AK30" s="54">
        <f t="shared" si="20"/>
        <v>0</v>
      </c>
      <c r="AL30" s="54">
        <f t="shared" si="2"/>
        <v>64219.554030874795</v>
      </c>
      <c r="AM30" s="206">
        <f t="shared" si="24"/>
        <v>68270.325900514581</v>
      </c>
      <c r="AN30" s="206">
        <f t="shared" si="25"/>
        <v>0</v>
      </c>
      <c r="AO30" s="206">
        <f t="shared" si="26"/>
        <v>68270.325900514581</v>
      </c>
      <c r="AP30" s="67" t="s">
        <v>186</v>
      </c>
      <c r="AQ30" s="31"/>
      <c r="AR30" s="67" t="s">
        <v>224</v>
      </c>
      <c r="AS30" s="67" t="s">
        <v>224</v>
      </c>
      <c r="AT30" s="67" t="s">
        <v>223</v>
      </c>
      <c r="AU30" s="67" t="s">
        <v>224</v>
      </c>
      <c r="AV30" s="67" t="s">
        <v>224</v>
      </c>
      <c r="AW30" s="67" t="s">
        <v>224</v>
      </c>
      <c r="AX30" s="67" t="s">
        <v>226</v>
      </c>
      <c r="AY30" s="31"/>
    </row>
    <row r="31" spans="1:58" s="5" customFormat="1" ht="12.75" customHeight="1" x14ac:dyDescent="0.2">
      <c r="A31" s="34" t="s">
        <v>48</v>
      </c>
      <c r="B31" s="34" t="s">
        <v>98</v>
      </c>
      <c r="C31" s="34" t="s">
        <v>12</v>
      </c>
      <c r="D31" s="34" t="s">
        <v>74</v>
      </c>
      <c r="E31" s="156"/>
      <c r="F31" s="154">
        <v>2258400</v>
      </c>
      <c r="G31" s="155">
        <f>ROUND(F31/109.9*112,0)</f>
        <v>2301554</v>
      </c>
      <c r="H31" s="155">
        <f>ROUND(G31/112*113.8,0)</f>
        <v>2338543</v>
      </c>
      <c r="I31" s="155">
        <v>2404302</v>
      </c>
      <c r="J31" s="155">
        <f>2650000-I31</f>
        <v>245698</v>
      </c>
      <c r="K31" s="155">
        <f>I31+J31</f>
        <v>2650000</v>
      </c>
      <c r="L31" s="154"/>
      <c r="M31" s="155"/>
      <c r="N31" s="155">
        <f>ROUND(K31/118.7*120.2,0)</f>
        <v>2683488</v>
      </c>
      <c r="O31" s="155">
        <f>ROUND(N31/120.2*120.7,0)</f>
        <v>2694651</v>
      </c>
      <c r="P31" s="155">
        <f t="shared" si="32"/>
        <v>2732604</v>
      </c>
      <c r="Q31" s="155">
        <f t="shared" si="21"/>
        <v>2790650</v>
      </c>
      <c r="R31" s="155">
        <f t="shared" si="10"/>
        <v>2935764</v>
      </c>
      <c r="S31" s="155">
        <f t="shared" si="22"/>
        <v>3132226</v>
      </c>
      <c r="T31" s="155">
        <f t="shared" si="11"/>
        <v>3303400</v>
      </c>
      <c r="U31" s="155"/>
      <c r="V31" s="155">
        <f t="shared" ref="V31:V36" si="35">L31+M31</f>
        <v>0</v>
      </c>
      <c r="W31" s="155">
        <f t="shared" si="12"/>
        <v>0</v>
      </c>
      <c r="X31" s="155"/>
      <c r="Y31" s="155">
        <f t="shared" si="13"/>
        <v>3132226</v>
      </c>
      <c r="Z31" s="155">
        <f t="shared" si="23"/>
        <v>3303400</v>
      </c>
      <c r="AA31" s="54">
        <f t="shared" si="14"/>
        <v>3483900</v>
      </c>
      <c r="AB31" s="54">
        <f t="shared" si="15"/>
        <v>0</v>
      </c>
      <c r="AC31" s="54">
        <f t="shared" si="16"/>
        <v>3483900</v>
      </c>
      <c r="AD31" s="54">
        <v>3621000</v>
      </c>
      <c r="AE31" s="54">
        <v>235000</v>
      </c>
      <c r="AF31" s="54">
        <f t="shared" si="17"/>
        <v>3856000</v>
      </c>
      <c r="AG31" s="54">
        <f t="shared" si="34"/>
        <v>4037135.506003431</v>
      </c>
      <c r="AH31" s="54">
        <f t="shared" ref="AH31" si="36">126.4/111.7*AE31</f>
        <v>265926.58907788718</v>
      </c>
      <c r="AI31" s="54">
        <f t="shared" si="1"/>
        <v>4303062.0950813182</v>
      </c>
      <c r="AJ31" s="54">
        <v>4037135.506003431</v>
      </c>
      <c r="AK31" s="54">
        <f t="shared" si="20"/>
        <v>266768.12891674123</v>
      </c>
      <c r="AL31" s="54">
        <f t="shared" si="2"/>
        <v>4303903.6349201724</v>
      </c>
      <c r="AM31" s="206">
        <f t="shared" si="24"/>
        <v>4291785.5917667244</v>
      </c>
      <c r="AN31" s="206">
        <f t="shared" si="25"/>
        <v>276656.22202327661</v>
      </c>
      <c r="AO31" s="206">
        <f t="shared" si="26"/>
        <v>4568441.813790001</v>
      </c>
      <c r="AP31" s="67" t="s">
        <v>186</v>
      </c>
      <c r="AQ31" s="31"/>
      <c r="AR31" s="67" t="s">
        <v>222</v>
      </c>
      <c r="AS31" s="67" t="s">
        <v>222</v>
      </c>
      <c r="AT31" s="67" t="s">
        <v>223</v>
      </c>
      <c r="AU31" s="67" t="s">
        <v>224</v>
      </c>
      <c r="AV31" s="67" t="s">
        <v>222</v>
      </c>
      <c r="AW31" s="67" t="s">
        <v>224</v>
      </c>
      <c r="AX31" s="67" t="s">
        <v>226</v>
      </c>
      <c r="AY31" s="31"/>
    </row>
    <row r="32" spans="1:58" s="5" customFormat="1" ht="12.75" customHeight="1" x14ac:dyDescent="0.2">
      <c r="A32" s="34" t="s">
        <v>48</v>
      </c>
      <c r="B32" s="34" t="s">
        <v>98</v>
      </c>
      <c r="C32" s="34" t="s">
        <v>12</v>
      </c>
      <c r="D32" s="34" t="s">
        <v>74</v>
      </c>
      <c r="E32" s="159"/>
      <c r="F32" s="154"/>
      <c r="G32" s="155">
        <f>ROUND(F32/109.9*112,0)</f>
        <v>0</v>
      </c>
      <c r="H32" s="155">
        <f>ROUND(G32/112*113.8,0)</f>
        <v>0</v>
      </c>
      <c r="I32" s="155">
        <f>ROUND(H32/113.8*117,0)</f>
        <v>0</v>
      </c>
      <c r="J32" s="155"/>
      <c r="K32" s="155">
        <f t="shared" ref="K32:K45" si="37">ROUND((I32+J32)/117*118.7,0)</f>
        <v>0</v>
      </c>
      <c r="L32" s="154">
        <v>502600</v>
      </c>
      <c r="M32" s="155">
        <v>62700</v>
      </c>
      <c r="N32" s="155">
        <f>ROUND(K32/118.7*120.2,0)</f>
        <v>0</v>
      </c>
      <c r="O32" s="155">
        <f>ROUND(N32/120.2*120.7,0)</f>
        <v>0</v>
      </c>
      <c r="P32" s="155">
        <f t="shared" si="32"/>
        <v>0</v>
      </c>
      <c r="Q32" s="155">
        <f t="shared" si="21"/>
        <v>0</v>
      </c>
      <c r="R32" s="155">
        <f t="shared" si="10"/>
        <v>0</v>
      </c>
      <c r="S32" s="155">
        <f t="shared" si="22"/>
        <v>0</v>
      </c>
      <c r="T32" s="155">
        <f t="shared" si="11"/>
        <v>0</v>
      </c>
      <c r="U32" s="155"/>
      <c r="V32" s="155">
        <f t="shared" si="35"/>
        <v>565300</v>
      </c>
      <c r="W32" s="155">
        <f t="shared" si="12"/>
        <v>596500</v>
      </c>
      <c r="X32" s="155"/>
      <c r="Y32" s="155">
        <f t="shared" si="13"/>
        <v>565300</v>
      </c>
      <c r="Z32" s="155">
        <f t="shared" si="23"/>
        <v>596500</v>
      </c>
      <c r="AA32" s="54">
        <f t="shared" si="14"/>
        <v>0</v>
      </c>
      <c r="AB32" s="54">
        <f t="shared" si="15"/>
        <v>629400</v>
      </c>
      <c r="AC32" s="54">
        <f t="shared" si="16"/>
        <v>629400</v>
      </c>
      <c r="AD32" s="54">
        <v>0</v>
      </c>
      <c r="AE32" s="54">
        <f>CEILING((Z32*$BB$6/$BA$6),100)</f>
        <v>629400</v>
      </c>
      <c r="AF32" s="54">
        <f t="shared" si="17"/>
        <v>629400</v>
      </c>
      <c r="AG32" s="54">
        <v>0</v>
      </c>
      <c r="AH32" s="54">
        <f>126.4/109.2*AE32</f>
        <v>728536.26373626385</v>
      </c>
      <c r="AI32" s="54">
        <f t="shared" si="1"/>
        <v>728536.26373626385</v>
      </c>
      <c r="AJ32" s="54">
        <v>0</v>
      </c>
      <c r="AK32" s="54">
        <f t="shared" si="20"/>
        <v>730841.75824175833</v>
      </c>
      <c r="AL32" s="54">
        <f t="shared" si="2"/>
        <v>730841.75824175833</v>
      </c>
      <c r="AM32" s="206">
        <f t="shared" si="24"/>
        <v>0</v>
      </c>
      <c r="AN32" s="206">
        <f t="shared" si="25"/>
        <v>757931.31868131878</v>
      </c>
      <c r="AO32" s="206">
        <f t="shared" si="26"/>
        <v>757931.31868131878</v>
      </c>
      <c r="AP32" s="31"/>
      <c r="AQ32" s="31"/>
      <c r="AR32" s="67" t="s">
        <v>222</v>
      </c>
      <c r="AS32" s="67" t="s">
        <v>222</v>
      </c>
      <c r="AT32" s="67" t="s">
        <v>223</v>
      </c>
      <c r="AU32" s="67" t="s">
        <v>224</v>
      </c>
      <c r="AV32" s="67" t="s">
        <v>222</v>
      </c>
      <c r="AW32" s="67" t="s">
        <v>224</v>
      </c>
      <c r="AX32" s="67" t="s">
        <v>226</v>
      </c>
      <c r="AY32" s="31"/>
    </row>
    <row r="33" spans="1:149" s="5" customFormat="1" ht="12.75" customHeight="1" x14ac:dyDescent="0.2">
      <c r="A33" s="34" t="s">
        <v>114</v>
      </c>
      <c r="B33" s="34" t="s">
        <v>99</v>
      </c>
      <c r="C33" s="34" t="s">
        <v>12</v>
      </c>
      <c r="D33" s="34" t="s">
        <v>62</v>
      </c>
      <c r="E33" s="156" t="s">
        <v>132</v>
      </c>
      <c r="F33" s="154">
        <v>395300</v>
      </c>
      <c r="G33" s="155">
        <f>ROUND(F33/109.9*112,0)</f>
        <v>402854</v>
      </c>
      <c r="H33" s="155">
        <f>ROUND(G33/112*113.8,0)</f>
        <v>409328</v>
      </c>
      <c r="I33" s="155">
        <f>ROUND(H33/113.8*117,0)</f>
        <v>420838</v>
      </c>
      <c r="J33" s="155"/>
      <c r="K33" s="155">
        <f t="shared" si="37"/>
        <v>426953</v>
      </c>
      <c r="L33" s="154"/>
      <c r="M33" s="155"/>
      <c r="N33" s="155">
        <v>570000</v>
      </c>
      <c r="O33" s="155">
        <f t="shared" ref="O33:O38" si="38">N33</f>
        <v>570000</v>
      </c>
      <c r="P33" s="155">
        <f t="shared" si="32"/>
        <v>578028</v>
      </c>
      <c r="Q33" s="155">
        <f t="shared" si="21"/>
        <v>590306</v>
      </c>
      <c r="R33" s="155">
        <f t="shared" si="10"/>
        <v>621002</v>
      </c>
      <c r="S33" s="155">
        <f t="shared" si="22"/>
        <v>662560</v>
      </c>
      <c r="T33" s="155">
        <f t="shared" si="11"/>
        <v>698800</v>
      </c>
      <c r="U33" s="155"/>
      <c r="V33" s="155">
        <f t="shared" si="35"/>
        <v>0</v>
      </c>
      <c r="W33" s="155">
        <f t="shared" si="12"/>
        <v>0</v>
      </c>
      <c r="X33" s="155"/>
      <c r="Y33" s="155">
        <f t="shared" si="13"/>
        <v>662560</v>
      </c>
      <c r="Z33" s="155">
        <f t="shared" si="23"/>
        <v>698800</v>
      </c>
      <c r="AA33" s="54">
        <f t="shared" si="14"/>
        <v>737000</v>
      </c>
      <c r="AB33" s="54">
        <f t="shared" si="15"/>
        <v>0</v>
      </c>
      <c r="AC33" s="54">
        <f t="shared" si="16"/>
        <v>737000</v>
      </c>
      <c r="AD33" s="54">
        <v>754000</v>
      </c>
      <c r="AE33" s="54">
        <v>0</v>
      </c>
      <c r="AF33" s="54">
        <f t="shared" si="17"/>
        <v>754000</v>
      </c>
      <c r="AG33" s="54">
        <f t="shared" ref="AG33:AG51" si="39">130/116.6*AD33</f>
        <v>840651.80102915957</v>
      </c>
      <c r="AH33" s="54">
        <f t="shared" si="33"/>
        <v>0</v>
      </c>
      <c r="AI33" s="54">
        <f t="shared" si="1"/>
        <v>840651.80102915957</v>
      </c>
      <c r="AJ33" s="54">
        <v>840651.80102915957</v>
      </c>
      <c r="AK33" s="54">
        <f t="shared" si="20"/>
        <v>0</v>
      </c>
      <c r="AL33" s="54">
        <f t="shared" si="2"/>
        <v>840651.80102915957</v>
      </c>
      <c r="AM33" s="206">
        <f t="shared" si="24"/>
        <v>893677.53001715266</v>
      </c>
      <c r="AN33" s="206">
        <f t="shared" si="25"/>
        <v>0</v>
      </c>
      <c r="AO33" s="206">
        <f t="shared" si="26"/>
        <v>893677.53001715266</v>
      </c>
      <c r="AP33" s="67" t="s">
        <v>186</v>
      </c>
      <c r="AQ33" s="31"/>
      <c r="AR33" s="67" t="s">
        <v>222</v>
      </c>
      <c r="AS33" s="67" t="s">
        <v>222</v>
      </c>
      <c r="AT33" s="67" t="s">
        <v>223</v>
      </c>
      <c r="AU33" s="67" t="s">
        <v>224</v>
      </c>
      <c r="AV33" s="67" t="s">
        <v>224</v>
      </c>
      <c r="AW33" s="67" t="s">
        <v>224</v>
      </c>
      <c r="AX33" s="67" t="s">
        <v>226</v>
      </c>
      <c r="AY33" s="31"/>
    </row>
    <row r="34" spans="1:149" s="5" customFormat="1" ht="12.75" customHeight="1" x14ac:dyDescent="0.2">
      <c r="A34" s="34" t="s">
        <v>31</v>
      </c>
      <c r="B34" s="34" t="s">
        <v>99</v>
      </c>
      <c r="C34" s="34" t="s">
        <v>12</v>
      </c>
      <c r="D34" s="34" t="s">
        <v>58</v>
      </c>
      <c r="E34" s="156" t="s">
        <v>132</v>
      </c>
      <c r="F34" s="154">
        <v>7057500</v>
      </c>
      <c r="G34" s="155">
        <f>ROUND(F34/109.9*112,0)</f>
        <v>7192357</v>
      </c>
      <c r="H34" s="155">
        <f>ROUND(G34/112*113.8,0)</f>
        <v>7307948</v>
      </c>
      <c r="I34" s="155">
        <f>ROUND(H34/113.8*117,0)</f>
        <v>7513444</v>
      </c>
      <c r="J34" s="155"/>
      <c r="K34" s="155">
        <f t="shared" si="37"/>
        <v>7622614</v>
      </c>
      <c r="L34" s="154"/>
      <c r="M34" s="155"/>
      <c r="N34" s="155">
        <v>9945800</v>
      </c>
      <c r="O34" s="155">
        <f t="shared" si="38"/>
        <v>9945800</v>
      </c>
      <c r="P34" s="155">
        <f t="shared" si="32"/>
        <v>10085882</v>
      </c>
      <c r="Q34" s="155">
        <f t="shared" si="21"/>
        <v>10300125</v>
      </c>
      <c r="R34" s="155">
        <f t="shared" si="10"/>
        <v>10835732</v>
      </c>
      <c r="S34" s="155">
        <f t="shared" si="22"/>
        <v>11560861</v>
      </c>
      <c r="T34" s="155">
        <f t="shared" si="11"/>
        <v>12192500</v>
      </c>
      <c r="U34" s="155"/>
      <c r="V34" s="155">
        <f t="shared" si="35"/>
        <v>0</v>
      </c>
      <c r="W34" s="155">
        <f t="shared" si="12"/>
        <v>0</v>
      </c>
      <c r="X34" s="155"/>
      <c r="Y34" s="155">
        <f t="shared" si="13"/>
        <v>11560861</v>
      </c>
      <c r="Z34" s="155">
        <f t="shared" si="23"/>
        <v>12192500</v>
      </c>
      <c r="AA34" s="54">
        <f t="shared" si="14"/>
        <v>12858600</v>
      </c>
      <c r="AB34" s="54">
        <f t="shared" si="15"/>
        <v>0</v>
      </c>
      <c r="AC34" s="54">
        <f t="shared" si="16"/>
        <v>12858600</v>
      </c>
      <c r="AD34" s="54">
        <v>13890000</v>
      </c>
      <c r="AE34" s="54">
        <v>0</v>
      </c>
      <c r="AF34" s="54">
        <f t="shared" si="17"/>
        <v>13890000</v>
      </c>
      <c r="AG34" s="54">
        <f t="shared" si="39"/>
        <v>15486277.873070328</v>
      </c>
      <c r="AH34" s="54">
        <f t="shared" si="33"/>
        <v>0</v>
      </c>
      <c r="AI34" s="54">
        <f t="shared" si="1"/>
        <v>15486277.873070328</v>
      </c>
      <c r="AJ34" s="54">
        <v>15486277.873070328</v>
      </c>
      <c r="AK34" s="54">
        <f t="shared" si="20"/>
        <v>0</v>
      </c>
      <c r="AL34" s="54">
        <f t="shared" si="2"/>
        <v>15486277.873070328</v>
      </c>
      <c r="AM34" s="206">
        <f t="shared" si="24"/>
        <v>16463104.631217839</v>
      </c>
      <c r="AN34" s="206">
        <f t="shared" si="25"/>
        <v>0</v>
      </c>
      <c r="AO34" s="206">
        <f t="shared" si="26"/>
        <v>16463104.631217839</v>
      </c>
      <c r="AP34" s="67" t="s">
        <v>186</v>
      </c>
      <c r="AQ34" s="31"/>
      <c r="AR34" s="67" t="s">
        <v>222</v>
      </c>
      <c r="AS34" s="67" t="s">
        <v>222</v>
      </c>
      <c r="AT34" s="67" t="s">
        <v>223</v>
      </c>
      <c r="AU34" s="67" t="s">
        <v>224</v>
      </c>
      <c r="AV34" s="67" t="s">
        <v>224</v>
      </c>
      <c r="AW34" s="67" t="s">
        <v>224</v>
      </c>
      <c r="AX34" s="67" t="s">
        <v>226</v>
      </c>
      <c r="AY34" s="31"/>
    </row>
    <row r="35" spans="1:149" s="5" customFormat="1" ht="12.75" customHeight="1" x14ac:dyDescent="0.2">
      <c r="A35" s="34" t="s">
        <v>30</v>
      </c>
      <c r="B35" s="34" t="s">
        <v>99</v>
      </c>
      <c r="C35" s="34" t="s">
        <v>12</v>
      </c>
      <c r="D35" s="34" t="s">
        <v>113</v>
      </c>
      <c r="E35" s="156" t="s">
        <v>132</v>
      </c>
      <c r="F35" s="154">
        <v>3500600</v>
      </c>
      <c r="G35" s="155">
        <f>ROUND(F35/109.9*112,0)</f>
        <v>3567490</v>
      </c>
      <c r="H35" s="155">
        <f>ROUND(G35/112*113.8,0)</f>
        <v>3624825</v>
      </c>
      <c r="I35" s="155">
        <f>ROUND(H35/113.8*117,0)</f>
        <v>3726753</v>
      </c>
      <c r="J35" s="155"/>
      <c r="K35" s="155">
        <f t="shared" si="37"/>
        <v>3780902</v>
      </c>
      <c r="L35" s="154"/>
      <c r="M35" s="155"/>
      <c r="N35" s="155">
        <v>2865400</v>
      </c>
      <c r="O35" s="155">
        <f t="shared" si="38"/>
        <v>2865400</v>
      </c>
      <c r="P35" s="155">
        <f t="shared" si="32"/>
        <v>2905758</v>
      </c>
      <c r="Q35" s="155">
        <f t="shared" si="21"/>
        <v>2967482</v>
      </c>
      <c r="R35" s="155">
        <f t="shared" si="10"/>
        <v>3121791</v>
      </c>
      <c r="S35" s="155">
        <f t="shared" si="22"/>
        <v>3330702</v>
      </c>
      <c r="T35" s="155">
        <f t="shared" si="11"/>
        <v>3512700</v>
      </c>
      <c r="U35" s="155"/>
      <c r="V35" s="155">
        <f t="shared" si="35"/>
        <v>0</v>
      </c>
      <c r="W35" s="155">
        <f t="shared" si="12"/>
        <v>0</v>
      </c>
      <c r="X35" s="155"/>
      <c r="Y35" s="155">
        <f t="shared" si="13"/>
        <v>3330702</v>
      </c>
      <c r="Z35" s="155">
        <f t="shared" si="23"/>
        <v>3512700</v>
      </c>
      <c r="AA35" s="54">
        <f t="shared" si="14"/>
        <v>3704600</v>
      </c>
      <c r="AB35" s="54">
        <f t="shared" si="15"/>
        <v>0</v>
      </c>
      <c r="AC35" s="54">
        <f t="shared" si="16"/>
        <v>3704600</v>
      </c>
      <c r="AD35" s="54">
        <v>3705000</v>
      </c>
      <c r="AE35" s="54">
        <v>0</v>
      </c>
      <c r="AF35" s="54">
        <f t="shared" si="17"/>
        <v>3705000</v>
      </c>
      <c r="AG35" s="54">
        <f t="shared" si="39"/>
        <v>4130789.0222984566</v>
      </c>
      <c r="AH35" s="54">
        <f t="shared" si="33"/>
        <v>0</v>
      </c>
      <c r="AI35" s="54">
        <f t="shared" si="1"/>
        <v>4130789.0222984566</v>
      </c>
      <c r="AJ35" s="54">
        <v>4130789.0222984566</v>
      </c>
      <c r="AK35" s="54">
        <f t="shared" si="20"/>
        <v>0</v>
      </c>
      <c r="AL35" s="54">
        <f t="shared" si="2"/>
        <v>4130789.0222984566</v>
      </c>
      <c r="AM35" s="206">
        <f t="shared" si="24"/>
        <v>4391346.4837049749</v>
      </c>
      <c r="AN35" s="206">
        <f t="shared" si="25"/>
        <v>0</v>
      </c>
      <c r="AO35" s="206">
        <f t="shared" si="26"/>
        <v>4391346.4837049749</v>
      </c>
      <c r="AP35" s="67" t="s">
        <v>186</v>
      </c>
      <c r="AQ35" s="31"/>
      <c r="AR35" s="67" t="s">
        <v>222</v>
      </c>
      <c r="AS35" s="67" t="s">
        <v>222</v>
      </c>
      <c r="AT35" s="67" t="s">
        <v>223</v>
      </c>
      <c r="AU35" s="67" t="s">
        <v>224</v>
      </c>
      <c r="AV35" s="67" t="s">
        <v>224</v>
      </c>
      <c r="AW35" s="67" t="s">
        <v>224</v>
      </c>
      <c r="AX35" s="67" t="s">
        <v>226</v>
      </c>
      <c r="AY35" s="31"/>
    </row>
    <row r="36" spans="1:149" s="5" customFormat="1" ht="12.75" customHeight="1" x14ac:dyDescent="0.2">
      <c r="A36" s="34" t="s">
        <v>41</v>
      </c>
      <c r="B36" s="34" t="s">
        <v>101</v>
      </c>
      <c r="C36" s="34" t="s">
        <v>12</v>
      </c>
      <c r="D36" s="34" t="s">
        <v>66</v>
      </c>
      <c r="E36" s="156" t="s">
        <v>132</v>
      </c>
      <c r="F36" s="154">
        <v>400100</v>
      </c>
      <c r="G36" s="155">
        <f t="shared" ref="G36:G45" si="40">ROUND(F36/109.9*112,0)</f>
        <v>407745</v>
      </c>
      <c r="H36" s="155">
        <f t="shared" ref="H36:H45" si="41">ROUND(G36/112*113.8,0)</f>
        <v>414298</v>
      </c>
      <c r="I36" s="155">
        <f t="shared" ref="I36:I45" si="42">ROUND(H36/113.8*117,0)</f>
        <v>425948</v>
      </c>
      <c r="J36" s="155"/>
      <c r="K36" s="155">
        <f t="shared" si="37"/>
        <v>432137</v>
      </c>
      <c r="L36" s="154"/>
      <c r="M36" s="155"/>
      <c r="N36" s="155">
        <v>411000</v>
      </c>
      <c r="O36" s="155">
        <f t="shared" si="38"/>
        <v>411000</v>
      </c>
      <c r="P36" s="155">
        <f>ROUND(O36/120.7*122.4,0)</f>
        <v>416789</v>
      </c>
      <c r="Q36" s="155">
        <f t="shared" si="21"/>
        <v>425642</v>
      </c>
      <c r="R36" s="155">
        <f t="shared" si="10"/>
        <v>447775</v>
      </c>
      <c r="S36" s="155">
        <f t="shared" si="22"/>
        <v>477740</v>
      </c>
      <c r="T36" s="155">
        <f t="shared" si="11"/>
        <v>503900</v>
      </c>
      <c r="U36" s="155"/>
      <c r="V36" s="155">
        <f t="shared" si="35"/>
        <v>0</v>
      </c>
      <c r="W36" s="155">
        <f t="shared" si="12"/>
        <v>0</v>
      </c>
      <c r="X36" s="155"/>
      <c r="Y36" s="155">
        <f t="shared" si="13"/>
        <v>477740</v>
      </c>
      <c r="Z36" s="155">
        <f t="shared" si="23"/>
        <v>503900</v>
      </c>
      <c r="AA36" s="54">
        <f t="shared" si="14"/>
        <v>531500</v>
      </c>
      <c r="AB36" s="54">
        <f t="shared" si="15"/>
        <v>0</v>
      </c>
      <c r="AC36" s="54">
        <f t="shared" si="16"/>
        <v>531500</v>
      </c>
      <c r="AD36" s="54">
        <v>586600</v>
      </c>
      <c r="AE36" s="54">
        <v>0</v>
      </c>
      <c r="AF36" s="54">
        <f t="shared" si="17"/>
        <v>586600</v>
      </c>
      <c r="AG36" s="54">
        <f t="shared" si="39"/>
        <v>654013.72212692979</v>
      </c>
      <c r="AH36" s="54">
        <f t="shared" si="33"/>
        <v>0</v>
      </c>
      <c r="AI36" s="54">
        <f t="shared" si="1"/>
        <v>654013.72212692979</v>
      </c>
      <c r="AJ36" s="54">
        <v>654013.72212692979</v>
      </c>
      <c r="AK36" s="54">
        <f t="shared" si="20"/>
        <v>0</v>
      </c>
      <c r="AL36" s="54">
        <f t="shared" si="2"/>
        <v>654013.72212692979</v>
      </c>
      <c r="AM36" s="206">
        <f t="shared" si="24"/>
        <v>695266.89536878222</v>
      </c>
      <c r="AN36" s="206">
        <f t="shared" si="25"/>
        <v>0</v>
      </c>
      <c r="AO36" s="206">
        <f t="shared" si="26"/>
        <v>695266.89536878222</v>
      </c>
      <c r="AP36" s="67" t="s">
        <v>186</v>
      </c>
      <c r="AQ36" s="31"/>
      <c r="AR36" s="67" t="s">
        <v>222</v>
      </c>
      <c r="AS36" s="67" t="s">
        <v>222</v>
      </c>
      <c r="AT36" s="67" t="s">
        <v>223</v>
      </c>
      <c r="AU36" s="67" t="s">
        <v>224</v>
      </c>
      <c r="AV36" s="67" t="s">
        <v>224</v>
      </c>
      <c r="AW36" s="67" t="s">
        <v>224</v>
      </c>
      <c r="AX36" s="67" t="s">
        <v>226</v>
      </c>
      <c r="AY36" s="31"/>
    </row>
    <row r="37" spans="1:149" s="5" customFormat="1" ht="12.75" customHeight="1" x14ac:dyDescent="0.2">
      <c r="A37" s="34" t="s">
        <v>39</v>
      </c>
      <c r="B37" s="34" t="s">
        <v>102</v>
      </c>
      <c r="C37" s="34" t="s">
        <v>12</v>
      </c>
      <c r="D37" s="34" t="s">
        <v>63</v>
      </c>
      <c r="E37" s="156" t="s">
        <v>132</v>
      </c>
      <c r="F37" s="154">
        <v>301600</v>
      </c>
      <c r="G37" s="155">
        <f t="shared" si="40"/>
        <v>307363</v>
      </c>
      <c r="H37" s="155">
        <f t="shared" si="41"/>
        <v>312303</v>
      </c>
      <c r="I37" s="155">
        <f t="shared" si="42"/>
        <v>321085</v>
      </c>
      <c r="J37" s="155"/>
      <c r="K37" s="155">
        <f t="shared" si="37"/>
        <v>325750</v>
      </c>
      <c r="L37" s="154"/>
      <c r="M37" s="155"/>
      <c r="N37" s="155">
        <v>340000</v>
      </c>
      <c r="O37" s="155">
        <f t="shared" si="38"/>
        <v>340000</v>
      </c>
      <c r="P37" s="155">
        <f>ROUND(O37/120.7*122.4,0)</f>
        <v>344789</v>
      </c>
      <c r="Q37" s="155">
        <f t="shared" si="21"/>
        <v>352113</v>
      </c>
      <c r="R37" s="155">
        <f t="shared" si="10"/>
        <v>370423</v>
      </c>
      <c r="S37" s="155">
        <f t="shared" si="22"/>
        <v>395212</v>
      </c>
      <c r="T37" s="155">
        <f t="shared" si="11"/>
        <v>416900</v>
      </c>
      <c r="U37" s="155"/>
      <c r="V37" s="155">
        <f t="shared" ref="V37:V45" si="43">L37+M37</f>
        <v>0</v>
      </c>
      <c r="W37" s="155">
        <f t="shared" si="12"/>
        <v>0</v>
      </c>
      <c r="X37" s="155"/>
      <c r="Y37" s="155">
        <f t="shared" si="13"/>
        <v>395212</v>
      </c>
      <c r="Z37" s="155">
        <f t="shared" si="23"/>
        <v>416900</v>
      </c>
      <c r="AA37" s="54">
        <f t="shared" si="14"/>
        <v>439700</v>
      </c>
      <c r="AB37" s="54">
        <f t="shared" si="15"/>
        <v>0</v>
      </c>
      <c r="AC37" s="54">
        <f t="shared" si="16"/>
        <v>439700</v>
      </c>
      <c r="AD37" s="54">
        <v>454000</v>
      </c>
      <c r="AE37" s="54">
        <v>0</v>
      </c>
      <c r="AF37" s="54">
        <f t="shared" si="17"/>
        <v>454000</v>
      </c>
      <c r="AG37" s="54">
        <f t="shared" si="39"/>
        <v>506174.9571183534</v>
      </c>
      <c r="AH37" s="54">
        <f t="shared" si="33"/>
        <v>0</v>
      </c>
      <c r="AI37" s="54">
        <f t="shared" si="1"/>
        <v>506174.9571183534</v>
      </c>
      <c r="AJ37" s="54">
        <v>506174.9571183534</v>
      </c>
      <c r="AK37" s="54">
        <f t="shared" si="20"/>
        <v>0</v>
      </c>
      <c r="AL37" s="54">
        <f t="shared" si="2"/>
        <v>506174.9571183534</v>
      </c>
      <c r="AM37" s="206">
        <f t="shared" si="24"/>
        <v>538102.91595197259</v>
      </c>
      <c r="AN37" s="206">
        <f t="shared" si="25"/>
        <v>0</v>
      </c>
      <c r="AO37" s="206">
        <f t="shared" si="26"/>
        <v>538102.91595197259</v>
      </c>
      <c r="AP37" s="67" t="s">
        <v>186</v>
      </c>
      <c r="AQ37" s="31"/>
      <c r="AR37" s="67" t="s">
        <v>224</v>
      </c>
      <c r="AS37" s="67" t="s">
        <v>222</v>
      </c>
      <c r="AT37" s="67" t="s">
        <v>223</v>
      </c>
      <c r="AU37" s="67" t="s">
        <v>224</v>
      </c>
      <c r="AV37" s="67" t="s">
        <v>222</v>
      </c>
      <c r="AW37" s="67" t="s">
        <v>224</v>
      </c>
      <c r="AX37" s="67" t="s">
        <v>226</v>
      </c>
      <c r="AY37" s="31"/>
    </row>
    <row r="38" spans="1:149" s="5" customFormat="1" ht="12.75" customHeight="1" x14ac:dyDescent="0.2">
      <c r="A38" s="34" t="s">
        <v>38</v>
      </c>
      <c r="B38" s="34" t="s">
        <v>102</v>
      </c>
      <c r="C38" s="34" t="s">
        <v>12</v>
      </c>
      <c r="D38" s="34" t="s">
        <v>61</v>
      </c>
      <c r="E38" s="156" t="s">
        <v>132</v>
      </c>
      <c r="F38" s="154">
        <v>583900</v>
      </c>
      <c r="G38" s="154">
        <f t="shared" si="40"/>
        <v>595057</v>
      </c>
      <c r="H38" s="154">
        <f t="shared" si="41"/>
        <v>604620</v>
      </c>
      <c r="I38" s="154">
        <f t="shared" si="42"/>
        <v>621622</v>
      </c>
      <c r="J38" s="154"/>
      <c r="K38" s="155">
        <f t="shared" si="37"/>
        <v>630654</v>
      </c>
      <c r="L38" s="154"/>
      <c r="M38" s="155"/>
      <c r="N38" s="155">
        <v>647000</v>
      </c>
      <c r="O38" s="155">
        <f t="shared" si="38"/>
        <v>647000</v>
      </c>
      <c r="P38" s="155">
        <f>ROUND(O38/120.7*122.4,0)</f>
        <v>656113</v>
      </c>
      <c r="Q38" s="155">
        <f t="shared" si="21"/>
        <v>670050</v>
      </c>
      <c r="R38" s="155">
        <f t="shared" si="10"/>
        <v>704893</v>
      </c>
      <c r="S38" s="155">
        <f t="shared" si="22"/>
        <v>752065</v>
      </c>
      <c r="T38" s="155">
        <f t="shared" si="11"/>
        <v>793200</v>
      </c>
      <c r="U38" s="155"/>
      <c r="V38" s="155">
        <f t="shared" si="43"/>
        <v>0</v>
      </c>
      <c r="W38" s="155">
        <f t="shared" si="12"/>
        <v>0</v>
      </c>
      <c r="X38" s="155"/>
      <c r="Y38" s="155">
        <f t="shared" si="13"/>
        <v>752065</v>
      </c>
      <c r="Z38" s="155">
        <f t="shared" si="23"/>
        <v>793200</v>
      </c>
      <c r="AA38" s="54">
        <f t="shared" si="14"/>
        <v>836600</v>
      </c>
      <c r="AB38" s="54">
        <f t="shared" si="15"/>
        <v>0</v>
      </c>
      <c r="AC38" s="54">
        <f t="shared" si="16"/>
        <v>836600</v>
      </c>
      <c r="AD38" s="54">
        <v>860500</v>
      </c>
      <c r="AE38" s="54">
        <v>0</v>
      </c>
      <c r="AF38" s="54">
        <f t="shared" si="17"/>
        <v>860500</v>
      </c>
      <c r="AG38" s="54">
        <f t="shared" si="39"/>
        <v>959391.08061749581</v>
      </c>
      <c r="AH38" s="54">
        <f t="shared" si="33"/>
        <v>0</v>
      </c>
      <c r="AI38" s="54">
        <f t="shared" si="1"/>
        <v>959391.08061749581</v>
      </c>
      <c r="AJ38" s="54">
        <v>959391.08061749581</v>
      </c>
      <c r="AK38" s="54">
        <f t="shared" si="20"/>
        <v>0</v>
      </c>
      <c r="AL38" s="54">
        <f t="shared" si="2"/>
        <v>959391.08061749581</v>
      </c>
      <c r="AM38" s="206">
        <f t="shared" si="24"/>
        <v>1019906.5180102916</v>
      </c>
      <c r="AN38" s="206">
        <f t="shared" si="25"/>
        <v>0</v>
      </c>
      <c r="AO38" s="206">
        <f t="shared" si="26"/>
        <v>1019906.5180102916</v>
      </c>
      <c r="AP38" s="67" t="s">
        <v>186</v>
      </c>
      <c r="AQ38" s="31"/>
      <c r="AR38" s="67" t="s">
        <v>222</v>
      </c>
      <c r="AS38" s="67" t="s">
        <v>222</v>
      </c>
      <c r="AT38" s="67" t="s">
        <v>223</v>
      </c>
      <c r="AU38" s="67" t="s">
        <v>224</v>
      </c>
      <c r="AV38" s="67" t="s">
        <v>222</v>
      </c>
      <c r="AW38" s="67" t="s">
        <v>224</v>
      </c>
      <c r="AX38" s="67" t="s">
        <v>226</v>
      </c>
      <c r="AY38" s="31"/>
    </row>
    <row r="39" spans="1:149" s="10" customFormat="1" ht="12.75" customHeight="1" x14ac:dyDescent="0.2">
      <c r="A39" s="246" t="s">
        <v>36</v>
      </c>
      <c r="B39" s="246"/>
      <c r="C39" s="246" t="s">
        <v>12</v>
      </c>
      <c r="D39" s="246" t="s">
        <v>28</v>
      </c>
      <c r="E39" s="156" t="s">
        <v>140</v>
      </c>
      <c r="F39" s="160">
        <v>1126400</v>
      </c>
      <c r="G39" s="160">
        <f t="shared" si="40"/>
        <v>1147924</v>
      </c>
      <c r="H39" s="160">
        <f t="shared" si="41"/>
        <v>1166373</v>
      </c>
      <c r="I39" s="160">
        <f t="shared" si="42"/>
        <v>1199171</v>
      </c>
      <c r="J39" s="160"/>
      <c r="K39" s="161">
        <f t="shared" si="37"/>
        <v>1216595</v>
      </c>
      <c r="L39" s="160"/>
      <c r="M39" s="160"/>
      <c r="N39" s="154">
        <f t="shared" ref="N39:N45" si="44">ROUND(K39/118.7*120.2,0)</f>
        <v>1231969</v>
      </c>
      <c r="O39" s="155">
        <f>ROUND(N39/120.2*120.7,0)</f>
        <v>1237094</v>
      </c>
      <c r="P39" s="155">
        <v>1420000</v>
      </c>
      <c r="Q39" s="155">
        <f t="shared" ref="Q39:Q41" si="45">ROUND(P39/123.6*125,0)</f>
        <v>1436084</v>
      </c>
      <c r="R39" s="155">
        <f t="shared" si="10"/>
        <v>1510760</v>
      </c>
      <c r="S39" s="155">
        <f t="shared" si="22"/>
        <v>1611860</v>
      </c>
      <c r="T39" s="155">
        <f t="shared" si="11"/>
        <v>1700000</v>
      </c>
      <c r="U39" s="155"/>
      <c r="V39" s="154">
        <f t="shared" si="43"/>
        <v>0</v>
      </c>
      <c r="W39" s="155">
        <f t="shared" si="12"/>
        <v>0</v>
      </c>
      <c r="X39" s="155"/>
      <c r="Y39" s="155">
        <f t="shared" si="13"/>
        <v>1611860</v>
      </c>
      <c r="Z39" s="155">
        <f t="shared" si="23"/>
        <v>1700000</v>
      </c>
      <c r="AA39" s="54">
        <f t="shared" si="14"/>
        <v>1792900</v>
      </c>
      <c r="AB39" s="54">
        <f t="shared" si="15"/>
        <v>0</v>
      </c>
      <c r="AC39" s="54">
        <f t="shared" si="16"/>
        <v>1792900</v>
      </c>
      <c r="AD39" s="54">
        <v>1890000</v>
      </c>
      <c r="AE39" s="54">
        <v>0</v>
      </c>
      <c r="AF39" s="54">
        <f t="shared" si="17"/>
        <v>1890000</v>
      </c>
      <c r="AG39" s="54">
        <f t="shared" si="39"/>
        <v>2107204.1166380793</v>
      </c>
      <c r="AH39" s="54">
        <f t="shared" si="33"/>
        <v>0</v>
      </c>
      <c r="AI39" s="54">
        <f t="shared" si="1"/>
        <v>2107204.1166380793</v>
      </c>
      <c r="AJ39" s="54">
        <v>2107204.1166380793</v>
      </c>
      <c r="AK39" s="54">
        <f t="shared" si="20"/>
        <v>0</v>
      </c>
      <c r="AL39" s="54">
        <f t="shared" si="2"/>
        <v>2107204.1166380793</v>
      </c>
      <c r="AM39" s="206">
        <f t="shared" si="24"/>
        <v>2240120.0686106351</v>
      </c>
      <c r="AN39" s="206">
        <f t="shared" si="25"/>
        <v>0</v>
      </c>
      <c r="AO39" s="206">
        <f t="shared" si="26"/>
        <v>2240120.0686106351</v>
      </c>
      <c r="AP39" s="67" t="s">
        <v>186</v>
      </c>
      <c r="AQ39" s="31"/>
      <c r="AR39" s="67" t="s">
        <v>224</v>
      </c>
      <c r="AS39" s="67" t="s">
        <v>224</v>
      </c>
      <c r="AT39" s="67" t="s">
        <v>223</v>
      </c>
      <c r="AU39" s="67" t="s">
        <v>224</v>
      </c>
      <c r="AV39" s="67" t="s">
        <v>224</v>
      </c>
      <c r="AW39" s="67" t="s">
        <v>224</v>
      </c>
      <c r="AX39" s="67" t="s">
        <v>226</v>
      </c>
      <c r="AY39" s="31"/>
    </row>
    <row r="40" spans="1:149" s="5" customFormat="1" ht="12.75" customHeight="1" x14ac:dyDescent="0.2">
      <c r="A40" s="34" t="s">
        <v>29</v>
      </c>
      <c r="B40" s="34"/>
      <c r="C40" s="34" t="s">
        <v>12</v>
      </c>
      <c r="D40" s="34" t="s">
        <v>57</v>
      </c>
      <c r="E40" s="156" t="s">
        <v>140</v>
      </c>
      <c r="F40" s="154">
        <v>85400</v>
      </c>
      <c r="G40" s="155">
        <f t="shared" si="40"/>
        <v>87032</v>
      </c>
      <c r="H40" s="155">
        <f t="shared" si="41"/>
        <v>88431</v>
      </c>
      <c r="I40" s="155">
        <f t="shared" si="42"/>
        <v>90918</v>
      </c>
      <c r="J40" s="155"/>
      <c r="K40" s="155">
        <f t="shared" si="37"/>
        <v>92239</v>
      </c>
      <c r="L40" s="154"/>
      <c r="M40" s="155"/>
      <c r="N40" s="155">
        <f t="shared" si="44"/>
        <v>93405</v>
      </c>
      <c r="O40" s="155">
        <f>ROUND(N40/120.2*120.7,0)</f>
        <v>93794</v>
      </c>
      <c r="P40" s="155">
        <v>95000</v>
      </c>
      <c r="Q40" s="155">
        <f t="shared" si="45"/>
        <v>96076</v>
      </c>
      <c r="R40" s="155">
        <f t="shared" si="10"/>
        <v>101072</v>
      </c>
      <c r="S40" s="155">
        <f t="shared" si="22"/>
        <v>107836</v>
      </c>
      <c r="T40" s="155">
        <f t="shared" si="11"/>
        <v>113800</v>
      </c>
      <c r="U40" s="155"/>
      <c r="V40" s="155">
        <f t="shared" si="43"/>
        <v>0</v>
      </c>
      <c r="W40" s="155">
        <f t="shared" si="12"/>
        <v>0</v>
      </c>
      <c r="X40" s="155"/>
      <c r="Y40" s="155">
        <f t="shared" si="13"/>
        <v>107836</v>
      </c>
      <c r="Z40" s="155">
        <f t="shared" si="23"/>
        <v>113800</v>
      </c>
      <c r="AA40" s="54">
        <f t="shared" si="14"/>
        <v>120100</v>
      </c>
      <c r="AB40" s="54">
        <f t="shared" si="15"/>
        <v>0</v>
      </c>
      <c r="AC40" s="54">
        <f t="shared" si="16"/>
        <v>120100</v>
      </c>
      <c r="AD40" s="54">
        <v>126000</v>
      </c>
      <c r="AE40" s="54">
        <v>0</v>
      </c>
      <c r="AF40" s="54">
        <f t="shared" si="17"/>
        <v>126000</v>
      </c>
      <c r="AG40" s="54">
        <f t="shared" si="39"/>
        <v>140480.27444253862</v>
      </c>
      <c r="AH40" s="54">
        <f t="shared" si="33"/>
        <v>0</v>
      </c>
      <c r="AI40" s="54">
        <f t="shared" si="1"/>
        <v>140480.27444253862</v>
      </c>
      <c r="AJ40" s="54">
        <v>140480.27444253862</v>
      </c>
      <c r="AK40" s="54">
        <f t="shared" si="20"/>
        <v>0</v>
      </c>
      <c r="AL40" s="54">
        <f t="shared" si="2"/>
        <v>140480.27444253862</v>
      </c>
      <c r="AM40" s="206">
        <f t="shared" si="24"/>
        <v>149341.33790737565</v>
      </c>
      <c r="AN40" s="206">
        <f t="shared" si="25"/>
        <v>0</v>
      </c>
      <c r="AO40" s="206">
        <f t="shared" si="26"/>
        <v>149341.33790737565</v>
      </c>
      <c r="AP40" s="67" t="s">
        <v>186</v>
      </c>
      <c r="AQ40" s="31"/>
      <c r="AR40" s="67" t="s">
        <v>224</v>
      </c>
      <c r="AS40" s="67" t="s">
        <v>224</v>
      </c>
      <c r="AT40" s="67" t="s">
        <v>223</v>
      </c>
      <c r="AU40" s="67" t="s">
        <v>224</v>
      </c>
      <c r="AV40" s="67" t="s">
        <v>224</v>
      </c>
      <c r="AW40" s="67" t="s">
        <v>224</v>
      </c>
      <c r="AX40" s="67" t="s">
        <v>226</v>
      </c>
      <c r="AY40" s="31"/>
    </row>
    <row r="41" spans="1:149" s="31" customFormat="1" ht="12.75" customHeight="1" x14ac:dyDescent="0.2">
      <c r="A41" s="34" t="s">
        <v>34</v>
      </c>
      <c r="B41" s="34" t="s">
        <v>90</v>
      </c>
      <c r="C41" s="34" t="s">
        <v>16</v>
      </c>
      <c r="D41" s="34" t="s">
        <v>136</v>
      </c>
      <c r="E41" s="156" t="s">
        <v>140</v>
      </c>
      <c r="F41" s="154">
        <v>666300</v>
      </c>
      <c r="G41" s="155">
        <f t="shared" si="40"/>
        <v>679032</v>
      </c>
      <c r="H41" s="155">
        <f t="shared" si="41"/>
        <v>689945</v>
      </c>
      <c r="I41" s="155">
        <f t="shared" si="42"/>
        <v>709346</v>
      </c>
      <c r="J41" s="155"/>
      <c r="K41" s="155">
        <f t="shared" si="37"/>
        <v>719653</v>
      </c>
      <c r="L41" s="154"/>
      <c r="M41" s="155"/>
      <c r="N41" s="155">
        <f t="shared" si="44"/>
        <v>728747</v>
      </c>
      <c r="O41" s="155">
        <f>ROUND(N41/120.2*120.7,0)</f>
        <v>731778</v>
      </c>
      <c r="P41" s="155">
        <v>1255000</v>
      </c>
      <c r="Q41" s="155">
        <f t="shared" si="45"/>
        <v>1269215</v>
      </c>
      <c r="R41" s="155">
        <f t="shared" si="10"/>
        <v>1335214</v>
      </c>
      <c r="S41" s="155">
        <f t="shared" si="22"/>
        <v>1424567</v>
      </c>
      <c r="T41" s="155">
        <f t="shared" si="11"/>
        <v>1502400</v>
      </c>
      <c r="U41" s="155"/>
      <c r="V41" s="155">
        <f t="shared" si="43"/>
        <v>0</v>
      </c>
      <c r="W41" s="155">
        <f t="shared" si="12"/>
        <v>0</v>
      </c>
      <c r="X41" s="155"/>
      <c r="Y41" s="155">
        <f t="shared" si="13"/>
        <v>1424567</v>
      </c>
      <c r="Z41" s="155">
        <f t="shared" si="23"/>
        <v>1502400</v>
      </c>
      <c r="AA41" s="54">
        <f t="shared" si="14"/>
        <v>1584500</v>
      </c>
      <c r="AB41" s="54">
        <f t="shared" si="15"/>
        <v>0</v>
      </c>
      <c r="AC41" s="54">
        <f t="shared" si="16"/>
        <v>1584500</v>
      </c>
      <c r="AD41" s="54">
        <v>1811000</v>
      </c>
      <c r="AE41" s="54">
        <v>0</v>
      </c>
      <c r="AF41" s="54">
        <f t="shared" si="17"/>
        <v>1811000</v>
      </c>
      <c r="AG41" s="54">
        <f t="shared" si="39"/>
        <v>2019125.2144082335</v>
      </c>
      <c r="AH41" s="54">
        <f t="shared" si="33"/>
        <v>0</v>
      </c>
      <c r="AI41" s="54">
        <f t="shared" si="1"/>
        <v>2019125.2144082335</v>
      </c>
      <c r="AJ41" s="54">
        <v>2019125.2144082335</v>
      </c>
      <c r="AK41" s="54">
        <f t="shared" si="20"/>
        <v>0</v>
      </c>
      <c r="AL41" s="54">
        <f t="shared" si="2"/>
        <v>2019125.2144082335</v>
      </c>
      <c r="AM41" s="206">
        <f t="shared" si="24"/>
        <v>2146485.4202401373</v>
      </c>
      <c r="AN41" s="206">
        <f t="shared" si="25"/>
        <v>0</v>
      </c>
      <c r="AO41" s="206">
        <f t="shared" si="26"/>
        <v>2146485.4202401373</v>
      </c>
      <c r="AP41" s="67" t="s">
        <v>186</v>
      </c>
      <c r="AR41" s="67" t="s">
        <v>222</v>
      </c>
      <c r="AS41" s="67" t="s">
        <v>222</v>
      </c>
      <c r="AT41" s="67" t="s">
        <v>223</v>
      </c>
      <c r="AU41" s="67" t="s">
        <v>224</v>
      </c>
      <c r="AV41" s="67" t="s">
        <v>222</v>
      </c>
      <c r="AW41" s="67" t="s">
        <v>224</v>
      </c>
      <c r="AX41" s="67" t="s">
        <v>226</v>
      </c>
    </row>
    <row r="42" spans="1:149" s="5" customFormat="1" ht="12.75" customHeight="1" x14ac:dyDescent="0.2">
      <c r="A42" s="34" t="s">
        <v>40</v>
      </c>
      <c r="B42" s="34" t="s">
        <v>95</v>
      </c>
      <c r="C42" s="34" t="s">
        <v>16</v>
      </c>
      <c r="D42" s="34" t="s">
        <v>65</v>
      </c>
      <c r="E42" s="162" t="s">
        <v>120</v>
      </c>
      <c r="F42" s="154">
        <v>1637500</v>
      </c>
      <c r="G42" s="155">
        <f t="shared" si="40"/>
        <v>1668790</v>
      </c>
      <c r="H42" s="155">
        <f t="shared" si="41"/>
        <v>1695610</v>
      </c>
      <c r="I42" s="155">
        <f t="shared" si="42"/>
        <v>1743290</v>
      </c>
      <c r="J42" s="155"/>
      <c r="K42" s="155">
        <f t="shared" si="37"/>
        <v>1768620</v>
      </c>
      <c r="L42" s="154"/>
      <c r="M42" s="155"/>
      <c r="N42" s="155">
        <f t="shared" si="44"/>
        <v>1790970</v>
      </c>
      <c r="O42" s="155">
        <v>1960000</v>
      </c>
      <c r="P42" s="155">
        <f>ROUND(O42/121.5*122.4,0)</f>
        <v>1974519</v>
      </c>
      <c r="Q42" s="155">
        <f t="shared" si="21"/>
        <v>2016461</v>
      </c>
      <c r="R42" s="155">
        <f t="shared" si="10"/>
        <v>2121317</v>
      </c>
      <c r="S42" s="155">
        <f t="shared" si="22"/>
        <v>2263276</v>
      </c>
      <c r="T42" s="155">
        <f t="shared" si="11"/>
        <v>2387000</v>
      </c>
      <c r="U42" s="155"/>
      <c r="V42" s="155">
        <f t="shared" si="43"/>
        <v>0</v>
      </c>
      <c r="W42" s="155">
        <f t="shared" si="12"/>
        <v>0</v>
      </c>
      <c r="X42" s="155"/>
      <c r="Y42" s="155">
        <f t="shared" si="13"/>
        <v>2263276</v>
      </c>
      <c r="Z42" s="155">
        <f t="shared" si="23"/>
        <v>2387000</v>
      </c>
      <c r="AA42" s="54">
        <f t="shared" si="14"/>
        <v>2517500</v>
      </c>
      <c r="AB42" s="54">
        <f t="shared" si="15"/>
        <v>0</v>
      </c>
      <c r="AC42" s="54">
        <f t="shared" si="16"/>
        <v>2517500</v>
      </c>
      <c r="AD42" s="54">
        <v>2592000</v>
      </c>
      <c r="AE42" s="54">
        <v>0</v>
      </c>
      <c r="AF42" s="54">
        <f t="shared" si="17"/>
        <v>2592000</v>
      </c>
      <c r="AG42" s="54">
        <f t="shared" si="39"/>
        <v>2889879.9313893658</v>
      </c>
      <c r="AH42" s="54">
        <f t="shared" si="33"/>
        <v>0</v>
      </c>
      <c r="AI42" s="54">
        <f t="shared" si="1"/>
        <v>2889879.9313893658</v>
      </c>
      <c r="AJ42" s="54">
        <v>2889879.9313893658</v>
      </c>
      <c r="AK42" s="54">
        <f t="shared" si="20"/>
        <v>0</v>
      </c>
      <c r="AL42" s="54">
        <f t="shared" si="2"/>
        <v>2889879.9313893658</v>
      </c>
      <c r="AM42" s="206">
        <f t="shared" si="24"/>
        <v>3072164.6655231565</v>
      </c>
      <c r="AN42" s="206">
        <f t="shared" si="25"/>
        <v>0</v>
      </c>
      <c r="AO42" s="206">
        <f t="shared" si="26"/>
        <v>3072164.6655231565</v>
      </c>
      <c r="AP42" s="67" t="s">
        <v>186</v>
      </c>
      <c r="AQ42" s="31"/>
      <c r="AR42" s="67" t="s">
        <v>222</v>
      </c>
      <c r="AS42" s="67" t="s">
        <v>222</v>
      </c>
      <c r="AT42" s="67" t="s">
        <v>223</v>
      </c>
      <c r="AU42" s="67" t="s">
        <v>224</v>
      </c>
      <c r="AV42" s="67" t="s">
        <v>222</v>
      </c>
      <c r="AW42" s="67" t="s">
        <v>224</v>
      </c>
      <c r="AX42" s="67" t="s">
        <v>226</v>
      </c>
      <c r="AY42" s="31"/>
    </row>
    <row r="43" spans="1:149" s="5" customFormat="1" ht="12.75" customHeight="1" x14ac:dyDescent="0.2">
      <c r="A43" s="34" t="s">
        <v>42</v>
      </c>
      <c r="B43" s="34" t="s">
        <v>104</v>
      </c>
      <c r="C43" s="34" t="s">
        <v>16</v>
      </c>
      <c r="D43" s="34" t="s">
        <v>67</v>
      </c>
      <c r="E43" s="162" t="s">
        <v>120</v>
      </c>
      <c r="F43" s="154">
        <v>146900</v>
      </c>
      <c r="G43" s="155">
        <f t="shared" si="40"/>
        <v>149707</v>
      </c>
      <c r="H43" s="155">
        <f t="shared" si="41"/>
        <v>152113</v>
      </c>
      <c r="I43" s="155">
        <f t="shared" si="42"/>
        <v>156390</v>
      </c>
      <c r="J43" s="155"/>
      <c r="K43" s="155">
        <f t="shared" si="37"/>
        <v>158662</v>
      </c>
      <c r="L43" s="154"/>
      <c r="M43" s="155"/>
      <c r="N43" s="155">
        <f t="shared" si="44"/>
        <v>160667</v>
      </c>
      <c r="O43" s="155">
        <v>166000</v>
      </c>
      <c r="P43" s="155">
        <f>ROUND(O43/121.5*122.4,0)</f>
        <v>167230</v>
      </c>
      <c r="Q43" s="155">
        <f t="shared" si="21"/>
        <v>170782</v>
      </c>
      <c r="R43" s="155">
        <f t="shared" si="10"/>
        <v>179663</v>
      </c>
      <c r="S43" s="155">
        <f t="shared" si="22"/>
        <v>191686</v>
      </c>
      <c r="T43" s="155">
        <f t="shared" si="11"/>
        <v>202200</v>
      </c>
      <c r="U43" s="155"/>
      <c r="V43" s="155">
        <f t="shared" si="43"/>
        <v>0</v>
      </c>
      <c r="W43" s="155">
        <f t="shared" si="12"/>
        <v>0</v>
      </c>
      <c r="X43" s="155"/>
      <c r="Y43" s="155">
        <f t="shared" si="13"/>
        <v>191686</v>
      </c>
      <c r="Z43" s="155">
        <f t="shared" si="23"/>
        <v>202200</v>
      </c>
      <c r="AA43" s="54">
        <f t="shared" si="14"/>
        <v>213300</v>
      </c>
      <c r="AB43" s="54">
        <f t="shared" si="15"/>
        <v>0</v>
      </c>
      <c r="AC43" s="54">
        <f t="shared" si="16"/>
        <v>213300</v>
      </c>
      <c r="AD43" s="54">
        <v>260000</v>
      </c>
      <c r="AE43" s="54">
        <v>0</v>
      </c>
      <c r="AF43" s="54">
        <f t="shared" si="17"/>
        <v>260000</v>
      </c>
      <c r="AG43" s="54">
        <f t="shared" si="39"/>
        <v>289879.9313893654</v>
      </c>
      <c r="AH43" s="54">
        <f t="shared" si="33"/>
        <v>0</v>
      </c>
      <c r="AI43" s="54">
        <f t="shared" si="1"/>
        <v>289879.9313893654</v>
      </c>
      <c r="AJ43" s="54">
        <v>289879.9313893654</v>
      </c>
      <c r="AK43" s="54">
        <f t="shared" si="20"/>
        <v>0</v>
      </c>
      <c r="AL43" s="54">
        <f t="shared" si="2"/>
        <v>289879.9313893654</v>
      </c>
      <c r="AM43" s="206">
        <f t="shared" si="24"/>
        <v>308164.66552315612</v>
      </c>
      <c r="AN43" s="206">
        <f t="shared" si="25"/>
        <v>0</v>
      </c>
      <c r="AO43" s="206">
        <f t="shared" si="26"/>
        <v>308164.66552315612</v>
      </c>
      <c r="AP43" s="67" t="s">
        <v>186</v>
      </c>
      <c r="AQ43" s="31"/>
      <c r="AR43" s="67" t="s">
        <v>222</v>
      </c>
      <c r="AS43" s="67" t="s">
        <v>222</v>
      </c>
      <c r="AT43" s="67" t="s">
        <v>223</v>
      </c>
      <c r="AU43" s="67" t="s">
        <v>224</v>
      </c>
      <c r="AV43" s="67" t="s">
        <v>222</v>
      </c>
      <c r="AW43" s="67" t="s">
        <v>224</v>
      </c>
      <c r="AX43" s="67" t="s">
        <v>226</v>
      </c>
      <c r="AY43" s="31"/>
    </row>
    <row r="44" spans="1:149" s="31" customFormat="1" ht="12.75" customHeight="1" x14ac:dyDescent="0.2">
      <c r="A44" s="34" t="s">
        <v>25</v>
      </c>
      <c r="B44" s="34" t="s">
        <v>103</v>
      </c>
      <c r="C44" s="34" t="s">
        <v>15</v>
      </c>
      <c r="D44" s="34" t="s">
        <v>137</v>
      </c>
      <c r="E44" s="156" t="s">
        <v>140</v>
      </c>
      <c r="F44" s="154">
        <v>175100</v>
      </c>
      <c r="G44" s="155">
        <f t="shared" si="40"/>
        <v>178446</v>
      </c>
      <c r="H44" s="155">
        <f t="shared" si="41"/>
        <v>181314</v>
      </c>
      <c r="I44" s="155">
        <f t="shared" si="42"/>
        <v>186412</v>
      </c>
      <c r="J44" s="155"/>
      <c r="K44" s="155">
        <f t="shared" si="37"/>
        <v>189121</v>
      </c>
      <c r="L44" s="154"/>
      <c r="M44" s="155"/>
      <c r="N44" s="155">
        <f t="shared" si="44"/>
        <v>191511</v>
      </c>
      <c r="O44" s="155">
        <f>ROUND(N44/120.2*120.7,0)</f>
        <v>192308</v>
      </c>
      <c r="P44" s="155">
        <v>215000</v>
      </c>
      <c r="Q44" s="155">
        <f t="shared" ref="Q44:Q53" si="46">ROUND(P44/123.6*125,0)</f>
        <v>217435</v>
      </c>
      <c r="R44" s="155">
        <f t="shared" si="10"/>
        <v>228742</v>
      </c>
      <c r="S44" s="155">
        <f t="shared" si="22"/>
        <v>244049</v>
      </c>
      <c r="T44" s="155">
        <f t="shared" si="11"/>
        <v>257400</v>
      </c>
      <c r="U44" s="155"/>
      <c r="V44" s="154">
        <f t="shared" si="43"/>
        <v>0</v>
      </c>
      <c r="W44" s="155">
        <f t="shared" si="12"/>
        <v>0</v>
      </c>
      <c r="X44" s="155"/>
      <c r="Y44" s="155">
        <f t="shared" si="13"/>
        <v>244049</v>
      </c>
      <c r="Z44" s="155">
        <f t="shared" si="23"/>
        <v>257400</v>
      </c>
      <c r="AA44" s="54">
        <f t="shared" si="14"/>
        <v>271500</v>
      </c>
      <c r="AB44" s="54">
        <f t="shared" si="15"/>
        <v>0</v>
      </c>
      <c r="AC44" s="54">
        <f t="shared" si="16"/>
        <v>271500</v>
      </c>
      <c r="AD44" s="54">
        <v>273000</v>
      </c>
      <c r="AE44" s="54">
        <v>0</v>
      </c>
      <c r="AF44" s="54">
        <f t="shared" si="17"/>
        <v>273000</v>
      </c>
      <c r="AG44" s="54">
        <f t="shared" si="39"/>
        <v>304373.92795883364</v>
      </c>
      <c r="AH44" s="54">
        <f t="shared" si="33"/>
        <v>0</v>
      </c>
      <c r="AI44" s="54">
        <f t="shared" si="1"/>
        <v>304373.92795883364</v>
      </c>
      <c r="AJ44" s="54">
        <v>304373.92795883364</v>
      </c>
      <c r="AK44" s="54">
        <f t="shared" si="20"/>
        <v>0</v>
      </c>
      <c r="AL44" s="54">
        <f t="shared" si="2"/>
        <v>304373.92795883364</v>
      </c>
      <c r="AM44" s="206">
        <f t="shared" si="24"/>
        <v>323572.89879931387</v>
      </c>
      <c r="AN44" s="206">
        <f t="shared" si="25"/>
        <v>0</v>
      </c>
      <c r="AO44" s="206">
        <f t="shared" si="26"/>
        <v>323572.89879931387</v>
      </c>
      <c r="AP44" s="67" t="s">
        <v>186</v>
      </c>
      <c r="AR44" s="67" t="s">
        <v>222</v>
      </c>
      <c r="AS44" s="67" t="s">
        <v>222</v>
      </c>
      <c r="AT44" s="67" t="s">
        <v>223</v>
      </c>
      <c r="AU44" s="67" t="s">
        <v>224</v>
      </c>
      <c r="AV44" s="67" t="s">
        <v>224</v>
      </c>
      <c r="AW44" s="67" t="s">
        <v>224</v>
      </c>
      <c r="AX44" s="67" t="s">
        <v>226</v>
      </c>
    </row>
    <row r="45" spans="1:149" s="185" customFormat="1" ht="12.75" customHeight="1" x14ac:dyDescent="0.2">
      <c r="A45" s="34" t="s">
        <v>185</v>
      </c>
      <c r="B45" s="34" t="s">
        <v>128</v>
      </c>
      <c r="C45" s="34" t="s">
        <v>15</v>
      </c>
      <c r="D45" s="34" t="s">
        <v>59</v>
      </c>
      <c r="E45" s="156" t="s">
        <v>140</v>
      </c>
      <c r="F45" s="154">
        <v>125400</v>
      </c>
      <c r="G45" s="154">
        <f t="shared" si="40"/>
        <v>127796</v>
      </c>
      <c r="H45" s="154">
        <f t="shared" si="41"/>
        <v>129850</v>
      </c>
      <c r="I45" s="154">
        <f t="shared" si="42"/>
        <v>133501</v>
      </c>
      <c r="J45" s="154"/>
      <c r="K45" s="154">
        <f t="shared" si="37"/>
        <v>135441</v>
      </c>
      <c r="L45" s="154"/>
      <c r="M45" s="154"/>
      <c r="N45" s="154">
        <f t="shared" si="44"/>
        <v>137153</v>
      </c>
      <c r="O45" s="155">
        <f>ROUND(N45/120.2*120.7,0)</f>
        <v>137724</v>
      </c>
      <c r="P45" s="155">
        <v>138000</v>
      </c>
      <c r="Q45" s="155">
        <f t="shared" si="46"/>
        <v>139563</v>
      </c>
      <c r="R45" s="155">
        <f t="shared" si="10"/>
        <v>146820</v>
      </c>
      <c r="S45" s="155">
        <f t="shared" si="22"/>
        <v>156645</v>
      </c>
      <c r="T45" s="155">
        <f t="shared" si="11"/>
        <v>165300</v>
      </c>
      <c r="U45" s="155"/>
      <c r="V45" s="154">
        <f t="shared" si="43"/>
        <v>0</v>
      </c>
      <c r="W45" s="155">
        <f t="shared" si="12"/>
        <v>0</v>
      </c>
      <c r="X45" s="155"/>
      <c r="Y45" s="155">
        <f t="shared" si="13"/>
        <v>156645</v>
      </c>
      <c r="Z45" s="155">
        <f t="shared" si="23"/>
        <v>165300</v>
      </c>
      <c r="AA45" s="54">
        <f t="shared" si="14"/>
        <v>174400</v>
      </c>
      <c r="AB45" s="54">
        <f t="shared" si="15"/>
        <v>0</v>
      </c>
      <c r="AC45" s="54">
        <f t="shared" si="16"/>
        <v>174400</v>
      </c>
      <c r="AD45" s="54">
        <v>174400</v>
      </c>
      <c r="AE45" s="54">
        <v>0</v>
      </c>
      <c r="AF45" s="54">
        <f t="shared" si="17"/>
        <v>174400</v>
      </c>
      <c r="AG45" s="54">
        <f t="shared" si="39"/>
        <v>194442.53859348202</v>
      </c>
      <c r="AH45" s="54">
        <f t="shared" si="33"/>
        <v>0</v>
      </c>
      <c r="AI45" s="54">
        <f t="shared" si="1"/>
        <v>194442.53859348202</v>
      </c>
      <c r="AJ45" s="54">
        <v>194442.53859348202</v>
      </c>
      <c r="AK45" s="54">
        <f t="shared" si="20"/>
        <v>0</v>
      </c>
      <c r="AL45" s="54">
        <f t="shared" si="2"/>
        <v>194442.53859348202</v>
      </c>
      <c r="AM45" s="206">
        <f t="shared" si="24"/>
        <v>206707.37564322472</v>
      </c>
      <c r="AN45" s="206">
        <f t="shared" si="25"/>
        <v>0</v>
      </c>
      <c r="AO45" s="206">
        <f t="shared" si="26"/>
        <v>206707.37564322472</v>
      </c>
      <c r="AP45" s="67" t="s">
        <v>186</v>
      </c>
      <c r="AQ45" s="31"/>
      <c r="AR45" s="67" t="s">
        <v>224</v>
      </c>
      <c r="AS45" s="67" t="s">
        <v>224</v>
      </c>
      <c r="AT45" s="67" t="s">
        <v>223</v>
      </c>
      <c r="AU45" s="67" t="s">
        <v>224</v>
      </c>
      <c r="AV45" s="67" t="s">
        <v>224</v>
      </c>
      <c r="AW45" s="67" t="s">
        <v>224</v>
      </c>
      <c r="AX45" s="67" t="s">
        <v>226</v>
      </c>
      <c r="AY45" s="3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</row>
    <row r="46" spans="1:149" s="6" customFormat="1" ht="12.75" customHeight="1" x14ac:dyDescent="0.2">
      <c r="A46" s="34" t="s">
        <v>127</v>
      </c>
      <c r="B46" s="34" t="s">
        <v>128</v>
      </c>
      <c r="C46" s="34" t="s">
        <v>15</v>
      </c>
      <c r="D46" s="34" t="s">
        <v>147</v>
      </c>
      <c r="E46" s="156" t="s">
        <v>140</v>
      </c>
      <c r="F46" s="154"/>
      <c r="G46" s="155"/>
      <c r="H46" s="155"/>
      <c r="I46" s="155"/>
      <c r="J46" s="155"/>
      <c r="K46" s="155"/>
      <c r="L46" s="154"/>
      <c r="M46" s="155"/>
      <c r="N46" s="155"/>
      <c r="O46" s="155"/>
      <c r="P46" s="155">
        <v>300400</v>
      </c>
      <c r="Q46" s="155">
        <f t="shared" si="46"/>
        <v>303803</v>
      </c>
      <c r="R46" s="155">
        <f t="shared" si="10"/>
        <v>319601</v>
      </c>
      <c r="S46" s="155">
        <f t="shared" si="22"/>
        <v>340989</v>
      </c>
      <c r="T46" s="155">
        <f t="shared" si="11"/>
        <v>359700</v>
      </c>
      <c r="U46" s="155"/>
      <c r="V46" s="154">
        <v>0</v>
      </c>
      <c r="W46" s="155">
        <f t="shared" si="12"/>
        <v>0</v>
      </c>
      <c r="X46" s="155"/>
      <c r="Y46" s="155">
        <f t="shared" si="13"/>
        <v>340989</v>
      </c>
      <c r="Z46" s="155">
        <f t="shared" si="23"/>
        <v>359700</v>
      </c>
      <c r="AA46" s="54">
        <f t="shared" si="14"/>
        <v>379400</v>
      </c>
      <c r="AB46" s="54">
        <f t="shared" si="15"/>
        <v>0</v>
      </c>
      <c r="AC46" s="54">
        <f t="shared" si="16"/>
        <v>379400</v>
      </c>
      <c r="AD46" s="54">
        <v>418875</v>
      </c>
      <c r="AE46" s="54">
        <v>0</v>
      </c>
      <c r="AF46" s="54">
        <f t="shared" si="17"/>
        <v>418875</v>
      </c>
      <c r="AG46" s="54">
        <f t="shared" si="39"/>
        <v>467013.2933104632</v>
      </c>
      <c r="AH46" s="54">
        <f t="shared" si="33"/>
        <v>0</v>
      </c>
      <c r="AI46" s="54">
        <f t="shared" si="1"/>
        <v>467013.2933104632</v>
      </c>
      <c r="AJ46" s="54">
        <v>467013.2933104632</v>
      </c>
      <c r="AK46" s="54">
        <f t="shared" si="20"/>
        <v>0</v>
      </c>
      <c r="AL46" s="54">
        <f t="shared" si="2"/>
        <v>467013.2933104632</v>
      </c>
      <c r="AM46" s="206">
        <f t="shared" si="24"/>
        <v>496471.05488850776</v>
      </c>
      <c r="AN46" s="206">
        <f t="shared" si="25"/>
        <v>0</v>
      </c>
      <c r="AO46" s="206">
        <f t="shared" si="26"/>
        <v>496471.05488850776</v>
      </c>
      <c r="AP46" s="67" t="s">
        <v>186</v>
      </c>
      <c r="AQ46" s="31"/>
      <c r="AR46" s="67" t="s">
        <v>222</v>
      </c>
      <c r="AS46" s="67" t="s">
        <v>222</v>
      </c>
      <c r="AT46" s="67" t="s">
        <v>223</v>
      </c>
      <c r="AU46" s="67" t="s">
        <v>224</v>
      </c>
      <c r="AV46" s="67" t="s">
        <v>224</v>
      </c>
      <c r="AW46" s="67" t="s">
        <v>224</v>
      </c>
      <c r="AX46" s="67" t="s">
        <v>226</v>
      </c>
      <c r="AY46" s="31"/>
    </row>
    <row r="47" spans="1:149" s="5" customFormat="1" ht="12.75" customHeight="1" x14ac:dyDescent="0.2">
      <c r="A47" s="34" t="s">
        <v>117</v>
      </c>
      <c r="B47" s="34" t="s">
        <v>129</v>
      </c>
      <c r="C47" s="34" t="s">
        <v>15</v>
      </c>
      <c r="D47" s="34" t="s">
        <v>151</v>
      </c>
      <c r="E47" s="156" t="s">
        <v>140</v>
      </c>
      <c r="F47" s="154">
        <v>1276100</v>
      </c>
      <c r="G47" s="155">
        <f t="shared" ref="G47:G52" si="47">ROUND(F47/109.9*112,0)</f>
        <v>1300484</v>
      </c>
      <c r="H47" s="155">
        <f t="shared" ref="H47:H52" si="48">ROUND(G47/112*113.8,0)</f>
        <v>1321385</v>
      </c>
      <c r="I47" s="155">
        <f t="shared" ref="I47:I52" si="49">ROUND(H47/113.8*117,0)</f>
        <v>1358542</v>
      </c>
      <c r="J47" s="155"/>
      <c r="K47" s="155">
        <f t="shared" ref="K47:K52" si="50">ROUND((I47+J47)/117*118.7,0)</f>
        <v>1378281</v>
      </c>
      <c r="L47" s="154"/>
      <c r="M47" s="155"/>
      <c r="N47" s="155">
        <f t="shared" ref="N47:N52" si="51">ROUND(K47/118.7*120.2,0)</f>
        <v>1395698</v>
      </c>
      <c r="O47" s="155">
        <f>ROUND(N47/120.2*120.7,0)+200000</f>
        <v>1601504</v>
      </c>
      <c r="P47" s="155">
        <v>1390000</v>
      </c>
      <c r="Q47" s="155">
        <f t="shared" si="46"/>
        <v>1405744</v>
      </c>
      <c r="R47" s="155">
        <f t="shared" si="10"/>
        <v>1478843</v>
      </c>
      <c r="S47" s="155">
        <f t="shared" si="22"/>
        <v>1577807</v>
      </c>
      <c r="T47" s="155">
        <f t="shared" si="11"/>
        <v>1664100</v>
      </c>
      <c r="U47" s="155"/>
      <c r="V47" s="154">
        <f t="shared" ref="V47:V52" si="52">L47+M47</f>
        <v>0</v>
      </c>
      <c r="W47" s="155">
        <f t="shared" si="12"/>
        <v>0</v>
      </c>
      <c r="X47" s="155"/>
      <c r="Y47" s="155">
        <f t="shared" si="13"/>
        <v>1577807</v>
      </c>
      <c r="Z47" s="155">
        <f t="shared" si="23"/>
        <v>1664100</v>
      </c>
      <c r="AA47" s="54">
        <f t="shared" si="14"/>
        <v>1755100</v>
      </c>
      <c r="AB47" s="54">
        <f t="shared" si="15"/>
        <v>0</v>
      </c>
      <c r="AC47" s="54">
        <f t="shared" si="16"/>
        <v>1755100</v>
      </c>
      <c r="AD47" s="54">
        <v>1788000</v>
      </c>
      <c r="AE47" s="54">
        <v>0</v>
      </c>
      <c r="AF47" s="54">
        <f t="shared" si="17"/>
        <v>1788000</v>
      </c>
      <c r="AG47" s="54">
        <f t="shared" si="39"/>
        <v>1993481.989708405</v>
      </c>
      <c r="AH47" s="54">
        <f t="shared" si="33"/>
        <v>0</v>
      </c>
      <c r="AI47" s="54">
        <f t="shared" si="1"/>
        <v>1993481.989708405</v>
      </c>
      <c r="AJ47" s="54">
        <v>1993481.989708405</v>
      </c>
      <c r="AK47" s="54">
        <f t="shared" si="20"/>
        <v>0</v>
      </c>
      <c r="AL47" s="54">
        <f t="shared" si="2"/>
        <v>1993481.989708405</v>
      </c>
      <c r="AM47" s="206">
        <f t="shared" si="24"/>
        <v>2119224.6998284734</v>
      </c>
      <c r="AN47" s="206">
        <f t="shared" si="25"/>
        <v>0</v>
      </c>
      <c r="AO47" s="206">
        <f t="shared" si="26"/>
        <v>2119224.6998284734</v>
      </c>
      <c r="AP47" s="67" t="s">
        <v>186</v>
      </c>
      <c r="AQ47" s="31"/>
      <c r="AR47" s="67" t="s">
        <v>222</v>
      </c>
      <c r="AS47" s="67" t="s">
        <v>222</v>
      </c>
      <c r="AT47" s="67" t="s">
        <v>223</v>
      </c>
      <c r="AU47" s="67" t="s">
        <v>224</v>
      </c>
      <c r="AV47" s="67" t="s">
        <v>222</v>
      </c>
      <c r="AW47" s="67" t="s">
        <v>224</v>
      </c>
      <c r="AX47" s="67" t="s">
        <v>226</v>
      </c>
      <c r="AY47" s="31"/>
    </row>
    <row r="48" spans="1:149" s="31" customFormat="1" ht="12.75" customHeight="1" x14ac:dyDescent="0.2">
      <c r="A48" s="34" t="s">
        <v>139</v>
      </c>
      <c r="B48" s="34" t="s">
        <v>89</v>
      </c>
      <c r="C48" s="34" t="s">
        <v>17</v>
      </c>
      <c r="D48" s="34" t="s">
        <v>138</v>
      </c>
      <c r="E48" s="156" t="s">
        <v>140</v>
      </c>
      <c r="F48" s="154">
        <v>271100</v>
      </c>
      <c r="G48" s="155">
        <f t="shared" si="47"/>
        <v>276280</v>
      </c>
      <c r="H48" s="155">
        <f t="shared" si="48"/>
        <v>280720</v>
      </c>
      <c r="I48" s="155">
        <f t="shared" si="49"/>
        <v>288614</v>
      </c>
      <c r="J48" s="155"/>
      <c r="K48" s="155">
        <f t="shared" si="50"/>
        <v>292808</v>
      </c>
      <c r="L48" s="154"/>
      <c r="M48" s="155"/>
      <c r="N48" s="155">
        <f t="shared" si="51"/>
        <v>296508</v>
      </c>
      <c r="O48" s="155">
        <f t="shared" ref="O48:O52" si="53">ROUND(N48/120.2*120.7,0)</f>
        <v>297741</v>
      </c>
      <c r="P48" s="155">
        <v>525000</v>
      </c>
      <c r="Q48" s="155">
        <f t="shared" si="46"/>
        <v>530947</v>
      </c>
      <c r="R48" s="155">
        <f t="shared" si="10"/>
        <v>558556</v>
      </c>
      <c r="S48" s="155">
        <f t="shared" si="22"/>
        <v>595935</v>
      </c>
      <c r="T48" s="155">
        <f t="shared" si="11"/>
        <v>628500</v>
      </c>
      <c r="U48" s="155"/>
      <c r="V48" s="154">
        <f t="shared" si="52"/>
        <v>0</v>
      </c>
      <c r="W48" s="155">
        <f t="shared" si="12"/>
        <v>0</v>
      </c>
      <c r="X48" s="155"/>
      <c r="Y48" s="155">
        <f t="shared" si="13"/>
        <v>595935</v>
      </c>
      <c r="Z48" s="155">
        <f t="shared" si="23"/>
        <v>628500</v>
      </c>
      <c r="AA48" s="54">
        <f t="shared" si="14"/>
        <v>662900</v>
      </c>
      <c r="AB48" s="54">
        <f t="shared" si="15"/>
        <v>0</v>
      </c>
      <c r="AC48" s="54">
        <f t="shared" si="16"/>
        <v>662900</v>
      </c>
      <c r="AD48" s="54">
        <v>630000</v>
      </c>
      <c r="AE48" s="54">
        <v>0</v>
      </c>
      <c r="AF48" s="54">
        <f t="shared" si="17"/>
        <v>630000</v>
      </c>
      <c r="AG48" s="54">
        <f t="shared" si="39"/>
        <v>702401.3722126931</v>
      </c>
      <c r="AH48" s="54">
        <f t="shared" si="33"/>
        <v>0</v>
      </c>
      <c r="AI48" s="54">
        <f t="shared" si="1"/>
        <v>702401.3722126931</v>
      </c>
      <c r="AJ48" s="54">
        <v>702401.3722126931</v>
      </c>
      <c r="AK48" s="54">
        <f t="shared" si="20"/>
        <v>0</v>
      </c>
      <c r="AL48" s="54">
        <f t="shared" si="2"/>
        <v>702401.3722126931</v>
      </c>
      <c r="AM48" s="206">
        <f t="shared" si="24"/>
        <v>746706.68953687837</v>
      </c>
      <c r="AN48" s="206">
        <f t="shared" si="25"/>
        <v>0</v>
      </c>
      <c r="AO48" s="206">
        <f t="shared" si="26"/>
        <v>746706.68953687837</v>
      </c>
      <c r="AP48" s="67" t="s">
        <v>186</v>
      </c>
      <c r="AR48" s="67" t="s">
        <v>222</v>
      </c>
      <c r="AS48" s="67" t="s">
        <v>222</v>
      </c>
      <c r="AT48" s="67" t="s">
        <v>223</v>
      </c>
      <c r="AU48" s="67" t="s">
        <v>224</v>
      </c>
      <c r="AV48" s="67" t="s">
        <v>224</v>
      </c>
      <c r="AW48" s="67" t="s">
        <v>224</v>
      </c>
      <c r="AX48" s="67" t="s">
        <v>226</v>
      </c>
    </row>
    <row r="49" spans="1:149" s="5" customFormat="1" ht="12.75" customHeight="1" x14ac:dyDescent="0.2">
      <c r="A49" s="34" t="s">
        <v>125</v>
      </c>
      <c r="B49" s="34" t="s">
        <v>126</v>
      </c>
      <c r="C49" s="34" t="s">
        <v>17</v>
      </c>
      <c r="D49" s="34" t="s">
        <v>176</v>
      </c>
      <c r="E49" s="156" t="s">
        <v>140</v>
      </c>
      <c r="F49" s="154">
        <v>943000</v>
      </c>
      <c r="G49" s="155">
        <f t="shared" si="47"/>
        <v>961019</v>
      </c>
      <c r="H49" s="155">
        <f t="shared" si="48"/>
        <v>976464</v>
      </c>
      <c r="I49" s="155">
        <f t="shared" si="49"/>
        <v>1003922</v>
      </c>
      <c r="J49" s="155"/>
      <c r="K49" s="155">
        <f t="shared" si="50"/>
        <v>1018509</v>
      </c>
      <c r="L49" s="154"/>
      <c r="M49" s="155"/>
      <c r="N49" s="155">
        <f t="shared" si="51"/>
        <v>1031380</v>
      </c>
      <c r="O49" s="155">
        <f t="shared" si="53"/>
        <v>1035670</v>
      </c>
      <c r="P49" s="155">
        <v>1045000</v>
      </c>
      <c r="Q49" s="155">
        <f t="shared" si="46"/>
        <v>1056837</v>
      </c>
      <c r="R49" s="155">
        <f t="shared" si="10"/>
        <v>1111793</v>
      </c>
      <c r="S49" s="155">
        <f t="shared" si="22"/>
        <v>1186194</v>
      </c>
      <c r="T49" s="175">
        <f t="shared" si="11"/>
        <v>1251000</v>
      </c>
      <c r="U49" s="175"/>
      <c r="V49" s="174">
        <f t="shared" si="52"/>
        <v>0</v>
      </c>
      <c r="W49" s="175">
        <f t="shared" si="12"/>
        <v>0</v>
      </c>
      <c r="X49" s="175"/>
      <c r="Y49" s="175">
        <f t="shared" si="13"/>
        <v>1186194</v>
      </c>
      <c r="Z49" s="175">
        <f t="shared" si="23"/>
        <v>1251000</v>
      </c>
      <c r="AA49" s="54">
        <f t="shared" si="14"/>
        <v>1319400</v>
      </c>
      <c r="AB49" s="54">
        <f t="shared" si="15"/>
        <v>0</v>
      </c>
      <c r="AC49" s="54">
        <f t="shared" si="16"/>
        <v>1319400</v>
      </c>
      <c r="AD49" s="54">
        <v>1320000</v>
      </c>
      <c r="AE49" s="54">
        <v>0</v>
      </c>
      <c r="AF49" s="54">
        <f t="shared" si="17"/>
        <v>1320000</v>
      </c>
      <c r="AG49" s="54">
        <f t="shared" si="39"/>
        <v>1471698.1132075472</v>
      </c>
      <c r="AH49" s="54">
        <f t="shared" si="33"/>
        <v>0</v>
      </c>
      <c r="AI49" s="54">
        <f t="shared" si="1"/>
        <v>1471698.1132075472</v>
      </c>
      <c r="AJ49" s="54">
        <v>1471698.1132075472</v>
      </c>
      <c r="AK49" s="54">
        <f t="shared" si="20"/>
        <v>0</v>
      </c>
      <c r="AL49" s="54">
        <f t="shared" si="2"/>
        <v>1471698.1132075472</v>
      </c>
      <c r="AM49" s="206">
        <f t="shared" si="24"/>
        <v>1564528.3018867925</v>
      </c>
      <c r="AN49" s="206">
        <f t="shared" si="25"/>
        <v>0</v>
      </c>
      <c r="AO49" s="206">
        <f t="shared" si="26"/>
        <v>1564528.3018867925</v>
      </c>
      <c r="AP49" s="67" t="s">
        <v>186</v>
      </c>
      <c r="AQ49" s="31"/>
      <c r="AR49" s="67" t="s">
        <v>222</v>
      </c>
      <c r="AS49" s="67" t="s">
        <v>222</v>
      </c>
      <c r="AT49" s="67" t="s">
        <v>223</v>
      </c>
      <c r="AU49" s="67" t="s">
        <v>224</v>
      </c>
      <c r="AV49" s="67" t="s">
        <v>224</v>
      </c>
      <c r="AW49" s="67" t="s">
        <v>224</v>
      </c>
      <c r="AX49" s="67" t="s">
        <v>226</v>
      </c>
      <c r="AY49" s="31"/>
    </row>
    <row r="50" spans="1:149" s="31" customFormat="1" ht="12.75" customHeight="1" x14ac:dyDescent="0.2">
      <c r="A50" s="34" t="s">
        <v>35</v>
      </c>
      <c r="B50" s="34" t="s">
        <v>93</v>
      </c>
      <c r="C50" s="34" t="s">
        <v>14</v>
      </c>
      <c r="D50" s="34" t="s">
        <v>145</v>
      </c>
      <c r="E50" s="156" t="s">
        <v>140</v>
      </c>
      <c r="F50" s="154">
        <v>824400</v>
      </c>
      <c r="G50" s="155">
        <f t="shared" si="47"/>
        <v>840153</v>
      </c>
      <c r="H50" s="155">
        <f t="shared" si="48"/>
        <v>853655</v>
      </c>
      <c r="I50" s="155">
        <f t="shared" si="49"/>
        <v>877659</v>
      </c>
      <c r="J50" s="155"/>
      <c r="K50" s="155">
        <f t="shared" si="50"/>
        <v>890411</v>
      </c>
      <c r="L50" s="154"/>
      <c r="M50" s="155"/>
      <c r="N50" s="155">
        <f t="shared" si="51"/>
        <v>901663</v>
      </c>
      <c r="O50" s="155">
        <f t="shared" si="53"/>
        <v>905414</v>
      </c>
      <c r="P50" s="155">
        <v>1324500</v>
      </c>
      <c r="Q50" s="155">
        <f t="shared" si="46"/>
        <v>1339502</v>
      </c>
      <c r="R50" s="155">
        <f t="shared" si="10"/>
        <v>1409156</v>
      </c>
      <c r="S50" s="155">
        <f t="shared" si="22"/>
        <v>1503457</v>
      </c>
      <c r="T50" s="155">
        <f t="shared" si="11"/>
        <v>1585600</v>
      </c>
      <c r="U50" s="155"/>
      <c r="V50" s="154">
        <f t="shared" si="52"/>
        <v>0</v>
      </c>
      <c r="W50" s="155">
        <f t="shared" si="12"/>
        <v>0</v>
      </c>
      <c r="X50" s="155"/>
      <c r="Y50" s="155">
        <f t="shared" si="13"/>
        <v>1503457</v>
      </c>
      <c r="Z50" s="155">
        <f t="shared" si="23"/>
        <v>1585600</v>
      </c>
      <c r="AA50" s="54">
        <f t="shared" si="14"/>
        <v>1672300</v>
      </c>
      <c r="AB50" s="54">
        <f t="shared" si="15"/>
        <v>0</v>
      </c>
      <c r="AC50" s="54">
        <f t="shared" si="16"/>
        <v>1672300</v>
      </c>
      <c r="AD50" s="54">
        <v>1426900</v>
      </c>
      <c r="AE50" s="54">
        <v>0</v>
      </c>
      <c r="AF50" s="54">
        <f t="shared" si="17"/>
        <v>1426900</v>
      </c>
      <c r="AG50" s="54">
        <f t="shared" si="39"/>
        <v>1590883.3619210979</v>
      </c>
      <c r="AH50" s="54">
        <f t="shared" si="33"/>
        <v>0</v>
      </c>
      <c r="AI50" s="54">
        <f t="shared" si="1"/>
        <v>1590883.3619210979</v>
      </c>
      <c r="AJ50" s="54">
        <v>1590883.3619210979</v>
      </c>
      <c r="AK50" s="54">
        <f t="shared" si="20"/>
        <v>0</v>
      </c>
      <c r="AL50" s="54">
        <f t="shared" si="2"/>
        <v>1590883.3619210979</v>
      </c>
      <c r="AM50" s="206">
        <f t="shared" si="24"/>
        <v>1691231.3893653515</v>
      </c>
      <c r="AN50" s="206">
        <f t="shared" si="25"/>
        <v>0</v>
      </c>
      <c r="AO50" s="206">
        <f t="shared" si="26"/>
        <v>1691231.3893653515</v>
      </c>
      <c r="AP50" s="67" t="s">
        <v>186</v>
      </c>
      <c r="AQ50" s="205" t="s">
        <v>193</v>
      </c>
      <c r="AR50" s="67" t="s">
        <v>225</v>
      </c>
      <c r="AS50" s="67" t="s">
        <v>225</v>
      </c>
      <c r="AT50" s="67" t="s">
        <v>225</v>
      </c>
      <c r="AU50" s="67" t="s">
        <v>225</v>
      </c>
      <c r="AV50" s="67" t="s">
        <v>225</v>
      </c>
      <c r="AW50" s="67" t="s">
        <v>225</v>
      </c>
      <c r="AX50" s="67" t="s">
        <v>225</v>
      </c>
    </row>
    <row r="51" spans="1:149" s="5" customFormat="1" ht="12.75" customHeight="1" x14ac:dyDescent="0.2">
      <c r="A51" s="34" t="s">
        <v>37</v>
      </c>
      <c r="B51" s="245" t="s">
        <v>106</v>
      </c>
      <c r="C51" s="34" t="s">
        <v>14</v>
      </c>
      <c r="D51" s="34" t="s">
        <v>60</v>
      </c>
      <c r="E51" s="163" t="s">
        <v>140</v>
      </c>
      <c r="F51" s="154">
        <v>299400</v>
      </c>
      <c r="G51" s="155">
        <f t="shared" si="47"/>
        <v>305121</v>
      </c>
      <c r="H51" s="155">
        <f t="shared" si="48"/>
        <v>310025</v>
      </c>
      <c r="I51" s="155">
        <f t="shared" si="49"/>
        <v>318743</v>
      </c>
      <c r="J51" s="155"/>
      <c r="K51" s="155">
        <f t="shared" si="50"/>
        <v>323374</v>
      </c>
      <c r="L51" s="154"/>
      <c r="M51" s="155"/>
      <c r="N51" s="155">
        <f t="shared" si="51"/>
        <v>327460</v>
      </c>
      <c r="O51" s="155">
        <f t="shared" si="53"/>
        <v>328822</v>
      </c>
      <c r="P51" s="155">
        <v>445200</v>
      </c>
      <c r="Q51" s="155">
        <f t="shared" si="46"/>
        <v>450243</v>
      </c>
      <c r="R51" s="155">
        <f t="shared" si="10"/>
        <v>473656</v>
      </c>
      <c r="S51" s="155">
        <f t="shared" si="22"/>
        <v>505353</v>
      </c>
      <c r="T51" s="155">
        <f t="shared" si="11"/>
        <v>533000</v>
      </c>
      <c r="U51" s="155"/>
      <c r="V51" s="154">
        <f t="shared" si="52"/>
        <v>0</v>
      </c>
      <c r="W51" s="155">
        <f t="shared" si="12"/>
        <v>0</v>
      </c>
      <c r="X51" s="155"/>
      <c r="Y51" s="155">
        <f t="shared" si="13"/>
        <v>505353</v>
      </c>
      <c r="Z51" s="155">
        <f t="shared" si="23"/>
        <v>533000</v>
      </c>
      <c r="AA51" s="54">
        <f t="shared" si="14"/>
        <v>562200</v>
      </c>
      <c r="AB51" s="54">
        <f t="shared" si="15"/>
        <v>0</v>
      </c>
      <c r="AC51" s="54">
        <f t="shared" si="16"/>
        <v>562200</v>
      </c>
      <c r="AD51" s="54">
        <v>572000</v>
      </c>
      <c r="AE51" s="54">
        <v>0</v>
      </c>
      <c r="AF51" s="54">
        <f t="shared" si="17"/>
        <v>572000</v>
      </c>
      <c r="AG51" s="54">
        <f t="shared" si="39"/>
        <v>637735.84905660385</v>
      </c>
      <c r="AH51" s="54">
        <f t="shared" si="33"/>
        <v>0</v>
      </c>
      <c r="AI51" s="54">
        <f t="shared" si="1"/>
        <v>637735.84905660385</v>
      </c>
      <c r="AJ51" s="54">
        <v>637735.84905660385</v>
      </c>
      <c r="AK51" s="54">
        <f t="shared" si="20"/>
        <v>0</v>
      </c>
      <c r="AL51" s="54">
        <f t="shared" si="2"/>
        <v>637735.84905660385</v>
      </c>
      <c r="AM51" s="206">
        <f t="shared" si="24"/>
        <v>677962.26415094349</v>
      </c>
      <c r="AN51" s="206">
        <f t="shared" si="25"/>
        <v>0</v>
      </c>
      <c r="AO51" s="206">
        <f t="shared" si="26"/>
        <v>677962.26415094349</v>
      </c>
      <c r="AP51" s="67" t="s">
        <v>186</v>
      </c>
      <c r="AQ51" s="31"/>
      <c r="AR51" s="67" t="s">
        <v>224</v>
      </c>
      <c r="AS51" s="67" t="s">
        <v>224</v>
      </c>
      <c r="AT51" s="67" t="s">
        <v>223</v>
      </c>
      <c r="AU51" s="67" t="s">
        <v>224</v>
      </c>
      <c r="AV51" s="67" t="s">
        <v>224</v>
      </c>
      <c r="AW51" s="67" t="s">
        <v>224</v>
      </c>
      <c r="AX51" s="67" t="s">
        <v>228</v>
      </c>
      <c r="AY51" s="31"/>
    </row>
    <row r="52" spans="1:149" s="10" customFormat="1" ht="12.75" customHeight="1" x14ac:dyDescent="0.2">
      <c r="A52" s="246" t="s">
        <v>44</v>
      </c>
      <c r="B52" s="246"/>
      <c r="C52" s="246"/>
      <c r="D52" s="246" t="s">
        <v>69</v>
      </c>
      <c r="E52" s="164" t="s">
        <v>140</v>
      </c>
      <c r="F52" s="160">
        <v>48700</v>
      </c>
      <c r="G52" s="160">
        <f t="shared" si="47"/>
        <v>49631</v>
      </c>
      <c r="H52" s="160">
        <f t="shared" si="48"/>
        <v>50429</v>
      </c>
      <c r="I52" s="160">
        <f t="shared" si="49"/>
        <v>51847</v>
      </c>
      <c r="J52" s="160"/>
      <c r="K52" s="161">
        <f t="shared" si="50"/>
        <v>52600</v>
      </c>
      <c r="L52" s="160"/>
      <c r="M52" s="160"/>
      <c r="N52" s="160">
        <f t="shared" si="51"/>
        <v>53265</v>
      </c>
      <c r="O52" s="161">
        <f t="shared" si="53"/>
        <v>53487</v>
      </c>
      <c r="P52" s="161">
        <v>56000</v>
      </c>
      <c r="Q52" s="161">
        <f t="shared" si="46"/>
        <v>56634</v>
      </c>
      <c r="R52" s="161">
        <f t="shared" si="10"/>
        <v>59579</v>
      </c>
      <c r="S52" s="161">
        <f t="shared" si="22"/>
        <v>63566</v>
      </c>
      <c r="T52" s="161">
        <f t="shared" si="11"/>
        <v>67100</v>
      </c>
      <c r="U52" s="161"/>
      <c r="V52" s="160">
        <f t="shared" si="52"/>
        <v>0</v>
      </c>
      <c r="W52" s="161">
        <f t="shared" si="12"/>
        <v>0</v>
      </c>
      <c r="X52" s="161"/>
      <c r="Y52" s="161">
        <f t="shared" si="13"/>
        <v>63566</v>
      </c>
      <c r="Z52" s="161">
        <f t="shared" si="23"/>
        <v>67100</v>
      </c>
      <c r="AA52" s="54">
        <f t="shared" si="14"/>
        <v>70800</v>
      </c>
      <c r="AB52" s="54">
        <f t="shared" si="15"/>
        <v>0</v>
      </c>
      <c r="AC52" s="54">
        <f t="shared" si="16"/>
        <v>70800</v>
      </c>
      <c r="AD52" s="54">
        <v>74000</v>
      </c>
      <c r="AE52" s="54">
        <v>0</v>
      </c>
      <c r="AF52" s="54">
        <f t="shared" si="17"/>
        <v>74000</v>
      </c>
      <c r="AG52" s="54">
        <f t="shared" ref="AG52:AG57" si="54">130/116.6*AD52</f>
        <v>82504.28816466553</v>
      </c>
      <c r="AH52" s="54">
        <f t="shared" si="33"/>
        <v>0</v>
      </c>
      <c r="AI52" s="54">
        <f t="shared" si="1"/>
        <v>82504.28816466553</v>
      </c>
      <c r="AJ52" s="54">
        <v>82504.28816466553</v>
      </c>
      <c r="AK52" s="54">
        <f t="shared" si="20"/>
        <v>0</v>
      </c>
      <c r="AL52" s="54">
        <f t="shared" si="2"/>
        <v>82504.28816466553</v>
      </c>
      <c r="AM52" s="206">
        <f t="shared" si="24"/>
        <v>87708.404802744422</v>
      </c>
      <c r="AN52" s="206">
        <f t="shared" si="25"/>
        <v>0</v>
      </c>
      <c r="AO52" s="206">
        <f t="shared" si="26"/>
        <v>87708.404802744422</v>
      </c>
      <c r="AP52" s="67" t="s">
        <v>186</v>
      </c>
      <c r="AQ52" s="31"/>
      <c r="AR52" s="67" t="s">
        <v>224</v>
      </c>
      <c r="AS52" s="67" t="s">
        <v>224</v>
      </c>
      <c r="AT52" s="67" t="s">
        <v>223</v>
      </c>
      <c r="AU52" s="67" t="s">
        <v>224</v>
      </c>
      <c r="AV52" s="67" t="s">
        <v>224</v>
      </c>
      <c r="AW52" s="67" t="s">
        <v>224</v>
      </c>
      <c r="AX52" s="67" t="s">
        <v>226</v>
      </c>
      <c r="AY52" s="31"/>
      <c r="AZ52" s="11"/>
      <c r="BA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</row>
    <row r="53" spans="1:149" s="67" customFormat="1" ht="12.75" customHeight="1" x14ac:dyDescent="0.2">
      <c r="A53" s="242" t="s">
        <v>79</v>
      </c>
      <c r="B53" s="242"/>
      <c r="D53" s="242" t="s">
        <v>80</v>
      </c>
      <c r="E53" s="159" t="s">
        <v>140</v>
      </c>
      <c r="F53" s="154"/>
      <c r="G53" s="154"/>
      <c r="H53" s="154"/>
      <c r="I53" s="154">
        <v>60000</v>
      </c>
      <c r="J53" s="165"/>
      <c r="K53" s="154">
        <f t="shared" ref="K53" si="55">ROUND((I53+J53)/117*118.7,0)</f>
        <v>60872</v>
      </c>
      <c r="L53" s="154"/>
      <c r="M53" s="165"/>
      <c r="N53" s="154">
        <f t="shared" ref="N53" si="56">ROUND(K53/118.7*120.2,0)</f>
        <v>61641</v>
      </c>
      <c r="O53" s="154">
        <f t="shared" ref="O53" si="57">ROUND(N53/120.2*120.7,0)</f>
        <v>61897</v>
      </c>
      <c r="P53" s="166">
        <v>65000</v>
      </c>
      <c r="Q53" s="154">
        <f t="shared" si="46"/>
        <v>65736</v>
      </c>
      <c r="R53" s="154">
        <f t="shared" si="10"/>
        <v>69154</v>
      </c>
      <c r="S53" s="154">
        <f t="shared" si="22"/>
        <v>73782</v>
      </c>
      <c r="T53" s="154">
        <f t="shared" si="11"/>
        <v>77900</v>
      </c>
      <c r="U53" s="154"/>
      <c r="V53" s="154">
        <f t="shared" ref="V53" si="58">L53+M53</f>
        <v>0</v>
      </c>
      <c r="W53" s="154">
        <f t="shared" si="12"/>
        <v>0</v>
      </c>
      <c r="X53" s="154"/>
      <c r="Y53" s="154">
        <f t="shared" si="13"/>
        <v>73782</v>
      </c>
      <c r="Z53" s="154">
        <f t="shared" si="23"/>
        <v>77900</v>
      </c>
      <c r="AA53" s="54">
        <f t="shared" si="14"/>
        <v>82200</v>
      </c>
      <c r="AB53" s="54">
        <f t="shared" si="15"/>
        <v>0</v>
      </c>
      <c r="AC53" s="54">
        <f t="shared" si="16"/>
        <v>82200</v>
      </c>
      <c r="AD53" s="54">
        <v>85800</v>
      </c>
      <c r="AE53" s="54">
        <v>0</v>
      </c>
      <c r="AF53" s="54">
        <f t="shared" si="17"/>
        <v>85800</v>
      </c>
      <c r="AG53" s="54">
        <f t="shared" si="54"/>
        <v>95660.377358490572</v>
      </c>
      <c r="AH53" s="54">
        <f t="shared" si="33"/>
        <v>0</v>
      </c>
      <c r="AI53" s="54">
        <f t="shared" si="1"/>
        <v>95660.377358490572</v>
      </c>
      <c r="AJ53" s="54">
        <v>95660.377358490572</v>
      </c>
      <c r="AK53" s="54">
        <f t="shared" si="20"/>
        <v>0</v>
      </c>
      <c r="AL53" s="54">
        <f t="shared" si="2"/>
        <v>95660.377358490572</v>
      </c>
      <c r="AM53" s="206">
        <f t="shared" si="24"/>
        <v>101694.33962264151</v>
      </c>
      <c r="AN53" s="206">
        <f t="shared" si="25"/>
        <v>0</v>
      </c>
      <c r="AO53" s="206">
        <f t="shared" si="26"/>
        <v>101694.33962264151</v>
      </c>
      <c r="AP53" s="219" t="s">
        <v>186</v>
      </c>
      <c r="AQ53" s="31"/>
      <c r="AR53" s="67" t="s">
        <v>224</v>
      </c>
      <c r="AS53" s="67" t="s">
        <v>224</v>
      </c>
      <c r="AT53" s="67" t="s">
        <v>223</v>
      </c>
      <c r="AU53" s="67" t="s">
        <v>224</v>
      </c>
      <c r="AV53" s="67" t="s">
        <v>224</v>
      </c>
      <c r="AW53" s="67" t="s">
        <v>224</v>
      </c>
      <c r="AX53" s="67" t="s">
        <v>226</v>
      </c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</row>
    <row r="54" spans="1:149" s="34" customFormat="1" x14ac:dyDescent="0.2">
      <c r="A54" s="34" t="s">
        <v>152</v>
      </c>
      <c r="B54" s="34" t="s">
        <v>153</v>
      </c>
      <c r="C54" s="34" t="s">
        <v>16</v>
      </c>
      <c r="D54" s="34" t="s">
        <v>154</v>
      </c>
      <c r="E54" s="167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>
        <v>40000</v>
      </c>
      <c r="R54" s="154">
        <f t="shared" si="10"/>
        <v>42080</v>
      </c>
      <c r="S54" s="154">
        <f t="shared" si="22"/>
        <v>44896</v>
      </c>
      <c r="T54" s="154">
        <f t="shared" si="11"/>
        <v>47400</v>
      </c>
      <c r="U54" s="154"/>
      <c r="V54" s="154"/>
      <c r="W54" s="154">
        <f t="shared" si="12"/>
        <v>0</v>
      </c>
      <c r="X54" s="154"/>
      <c r="Y54" s="154">
        <f t="shared" si="13"/>
        <v>44896</v>
      </c>
      <c r="Z54" s="154">
        <f t="shared" si="23"/>
        <v>47400</v>
      </c>
      <c r="AA54" s="54">
        <f t="shared" si="14"/>
        <v>50000</v>
      </c>
      <c r="AB54" s="54">
        <f t="shared" si="15"/>
        <v>0</v>
      </c>
      <c r="AC54" s="54">
        <f t="shared" si="16"/>
        <v>50000</v>
      </c>
      <c r="AD54" s="54">
        <v>48000</v>
      </c>
      <c r="AE54" s="54">
        <v>0</v>
      </c>
      <c r="AF54" s="54">
        <f t="shared" si="17"/>
        <v>48000</v>
      </c>
      <c r="AG54" s="54">
        <f t="shared" si="54"/>
        <v>53516.295025728992</v>
      </c>
      <c r="AH54" s="54">
        <f t="shared" si="33"/>
        <v>0</v>
      </c>
      <c r="AI54" s="54">
        <f t="shared" si="1"/>
        <v>53516.295025728992</v>
      </c>
      <c r="AJ54" s="54">
        <v>53516.295025728992</v>
      </c>
      <c r="AK54" s="54">
        <f t="shared" si="20"/>
        <v>0</v>
      </c>
      <c r="AL54" s="54">
        <f t="shared" si="2"/>
        <v>53516.295025728992</v>
      </c>
      <c r="AM54" s="206">
        <f t="shared" si="24"/>
        <v>56891.938250428815</v>
      </c>
      <c r="AN54" s="206">
        <f t="shared" si="25"/>
        <v>0</v>
      </c>
      <c r="AO54" s="206">
        <f t="shared" si="26"/>
        <v>56891.938250428815</v>
      </c>
      <c r="AP54" s="219" t="s">
        <v>186</v>
      </c>
      <c r="AQ54" s="31"/>
      <c r="AR54" s="67" t="s">
        <v>224</v>
      </c>
      <c r="AS54" s="67" t="s">
        <v>224</v>
      </c>
      <c r="AT54" s="67" t="s">
        <v>223</v>
      </c>
      <c r="AU54" s="67" t="s">
        <v>224</v>
      </c>
      <c r="AV54" s="67" t="s">
        <v>224</v>
      </c>
      <c r="AW54" s="67" t="s">
        <v>224</v>
      </c>
      <c r="AX54" s="67" t="s">
        <v>226</v>
      </c>
      <c r="AY54" s="3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</row>
    <row r="55" spans="1:149" s="64" customFormat="1" ht="12.75" customHeight="1" x14ac:dyDescent="0.2">
      <c r="A55" s="34" t="s">
        <v>169</v>
      </c>
      <c r="B55" s="34" t="s">
        <v>170</v>
      </c>
      <c r="C55" s="34" t="s">
        <v>14</v>
      </c>
      <c r="D55" s="34" t="s">
        <v>205</v>
      </c>
      <c r="E55" s="86" t="s">
        <v>120</v>
      </c>
      <c r="F55" s="33"/>
      <c r="G55" s="33"/>
      <c r="H55" s="33"/>
      <c r="I55" s="33"/>
      <c r="J55" s="53"/>
      <c r="K55" s="33"/>
      <c r="L55" s="33"/>
      <c r="M55" s="53"/>
      <c r="N55" s="33">
        <v>600000</v>
      </c>
      <c r="O55" s="33">
        <v>200000</v>
      </c>
      <c r="P55" s="33">
        <f>ROUND(O55/121.5*122.4,0)</f>
        <v>201481</v>
      </c>
      <c r="Q55" s="33">
        <f t="shared" si="21"/>
        <v>205761</v>
      </c>
      <c r="R55" s="33">
        <f t="shared" si="10"/>
        <v>216461</v>
      </c>
      <c r="S55" s="33">
        <f t="shared" si="22"/>
        <v>230947</v>
      </c>
      <c r="T55" s="33">
        <f t="shared" si="11"/>
        <v>243600</v>
      </c>
      <c r="U55" s="33"/>
      <c r="V55" s="33">
        <v>0</v>
      </c>
      <c r="W55" s="33">
        <f t="shared" si="12"/>
        <v>0</v>
      </c>
      <c r="X55" s="33"/>
      <c r="Y55" s="33">
        <f t="shared" si="13"/>
        <v>230947</v>
      </c>
      <c r="Z55" s="33">
        <f t="shared" si="23"/>
        <v>243600</v>
      </c>
      <c r="AA55" s="54">
        <f t="shared" si="14"/>
        <v>257000</v>
      </c>
      <c r="AB55" s="54">
        <f t="shared" si="15"/>
        <v>0</v>
      </c>
      <c r="AC55" s="54">
        <f t="shared" si="16"/>
        <v>257000</v>
      </c>
      <c r="AD55" s="54">
        <v>3808000</v>
      </c>
      <c r="AE55" s="54">
        <v>0</v>
      </c>
      <c r="AF55" s="54">
        <f t="shared" si="17"/>
        <v>3808000</v>
      </c>
      <c r="AG55" s="54">
        <f t="shared" si="54"/>
        <v>4245626.0720411669</v>
      </c>
      <c r="AH55" s="54">
        <f t="shared" si="33"/>
        <v>0</v>
      </c>
      <c r="AI55" s="54">
        <f t="shared" si="1"/>
        <v>4245626.0720411669</v>
      </c>
      <c r="AJ55" s="54">
        <v>4245626.0720411669</v>
      </c>
      <c r="AK55" s="54">
        <f t="shared" si="20"/>
        <v>0</v>
      </c>
      <c r="AL55" s="54">
        <f t="shared" si="2"/>
        <v>4245626.0720411669</v>
      </c>
      <c r="AM55" s="206">
        <v>4920000</v>
      </c>
      <c r="AN55" s="206">
        <f t="shared" si="25"/>
        <v>0</v>
      </c>
      <c r="AO55" s="206">
        <f t="shared" si="26"/>
        <v>4920000</v>
      </c>
      <c r="AP55" s="219" t="s">
        <v>209</v>
      </c>
      <c r="AQ55" s="31" t="s">
        <v>165</v>
      </c>
      <c r="AR55" s="67" t="s">
        <v>222</v>
      </c>
      <c r="AS55" s="67" t="s">
        <v>222</v>
      </c>
      <c r="AT55" s="67" t="s">
        <v>223</v>
      </c>
      <c r="AU55" s="67" t="s">
        <v>224</v>
      </c>
      <c r="AV55" s="67" t="s">
        <v>222</v>
      </c>
      <c r="AW55" s="67" t="s">
        <v>224</v>
      </c>
      <c r="AX55" s="67" t="s">
        <v>226</v>
      </c>
      <c r="AY55" s="31"/>
      <c r="AZ55" s="11"/>
      <c r="BA55" s="11"/>
      <c r="BB55" s="10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220"/>
      <c r="EN55" s="220"/>
      <c r="EO55" s="220"/>
      <c r="EP55" s="220"/>
      <c r="EQ55" s="220"/>
      <c r="ER55" s="220"/>
      <c r="ES55" s="220"/>
    </row>
    <row r="56" spans="1:149" s="147" customFormat="1" ht="12.75" customHeight="1" x14ac:dyDescent="0.2">
      <c r="A56" s="34" t="s">
        <v>37</v>
      </c>
      <c r="B56" s="242" t="s">
        <v>170</v>
      </c>
      <c r="C56" s="242" t="s">
        <v>14</v>
      </c>
      <c r="D56" s="247" t="s">
        <v>183</v>
      </c>
      <c r="E56" s="168"/>
      <c r="F56" s="154"/>
      <c r="G56" s="154"/>
      <c r="H56" s="154"/>
      <c r="I56" s="154"/>
      <c r="J56" s="165"/>
      <c r="K56" s="154"/>
      <c r="L56" s="154"/>
      <c r="M56" s="165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54">
        <v>180000</v>
      </c>
      <c r="AB56" s="54">
        <f t="shared" si="15"/>
        <v>0</v>
      </c>
      <c r="AC56" s="54">
        <f t="shared" si="16"/>
        <v>180000</v>
      </c>
      <c r="AD56" s="54">
        <v>572000</v>
      </c>
      <c r="AE56" s="54">
        <f>CEILING((Z56*$BB$6/$BA$6),100)</f>
        <v>0</v>
      </c>
      <c r="AF56" s="54">
        <f t="shared" si="17"/>
        <v>572000</v>
      </c>
      <c r="AG56" s="54">
        <f t="shared" si="54"/>
        <v>637735.84905660385</v>
      </c>
      <c r="AH56" s="54">
        <f t="shared" si="33"/>
        <v>0</v>
      </c>
      <c r="AI56" s="54">
        <f t="shared" si="1"/>
        <v>637735.84905660385</v>
      </c>
      <c r="AJ56" s="54">
        <v>637735.84905660385</v>
      </c>
      <c r="AK56" s="54">
        <f t="shared" si="20"/>
        <v>0</v>
      </c>
      <c r="AL56" s="54">
        <f t="shared" si="2"/>
        <v>637735.84905660385</v>
      </c>
      <c r="AM56" s="206">
        <f t="shared" si="24"/>
        <v>677962.26415094349</v>
      </c>
      <c r="AN56" s="206">
        <f t="shared" si="25"/>
        <v>0</v>
      </c>
      <c r="AO56" s="206">
        <f t="shared" si="26"/>
        <v>677962.26415094349</v>
      </c>
      <c r="AP56" s="219" t="s">
        <v>186</v>
      </c>
      <c r="AQ56" s="31"/>
      <c r="AR56" s="67" t="s">
        <v>224</v>
      </c>
      <c r="AS56" s="67" t="s">
        <v>224</v>
      </c>
      <c r="AT56" s="67" t="s">
        <v>223</v>
      </c>
      <c r="AU56" s="67" t="s">
        <v>224</v>
      </c>
      <c r="AV56" s="67" t="s">
        <v>224</v>
      </c>
      <c r="AW56" s="67" t="s">
        <v>224</v>
      </c>
      <c r="AX56" s="67" t="s">
        <v>226</v>
      </c>
      <c r="AY56" s="3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220"/>
      <c r="EN56" s="220"/>
      <c r="EO56" s="220"/>
      <c r="EP56" s="220"/>
      <c r="EQ56" s="220"/>
      <c r="ER56" s="220"/>
      <c r="ES56" s="220"/>
    </row>
    <row r="57" spans="1:149" s="147" customFormat="1" ht="12.75" customHeight="1" x14ac:dyDescent="0.2">
      <c r="A57" s="34" t="s">
        <v>171</v>
      </c>
      <c r="B57" s="242"/>
      <c r="C57" s="242" t="s">
        <v>12</v>
      </c>
      <c r="D57" s="242" t="s">
        <v>172</v>
      </c>
      <c r="E57" s="168"/>
      <c r="F57" s="154"/>
      <c r="G57" s="154"/>
      <c r="H57" s="154"/>
      <c r="I57" s="154"/>
      <c r="J57" s="165"/>
      <c r="K57" s="154"/>
      <c r="L57" s="154"/>
      <c r="M57" s="165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54">
        <v>2122900</v>
      </c>
      <c r="AB57" s="54">
        <f t="shared" si="15"/>
        <v>0</v>
      </c>
      <c r="AC57" s="54">
        <f t="shared" si="16"/>
        <v>2122900</v>
      </c>
      <c r="AD57" s="54">
        <v>2550000</v>
      </c>
      <c r="AE57" s="54">
        <f>CEILING((Z57*$BB$6/$BA$6),100)</f>
        <v>0</v>
      </c>
      <c r="AF57" s="54">
        <f t="shared" si="17"/>
        <v>2550000</v>
      </c>
      <c r="AG57" s="54">
        <f t="shared" si="54"/>
        <v>2843053.1732418528</v>
      </c>
      <c r="AH57" s="54">
        <f t="shared" si="33"/>
        <v>0</v>
      </c>
      <c r="AI57" s="54">
        <f t="shared" si="1"/>
        <v>2843053.1732418528</v>
      </c>
      <c r="AJ57" s="54">
        <v>2843053.1732418528</v>
      </c>
      <c r="AK57" s="54">
        <f t="shared" si="20"/>
        <v>0</v>
      </c>
      <c r="AL57" s="54">
        <f t="shared" si="2"/>
        <v>2843053.1732418528</v>
      </c>
      <c r="AM57" s="206">
        <f t="shared" si="24"/>
        <v>3022384.2195540313</v>
      </c>
      <c r="AN57" s="206">
        <f t="shared" si="25"/>
        <v>0</v>
      </c>
      <c r="AO57" s="206">
        <f t="shared" si="26"/>
        <v>3022384.2195540313</v>
      </c>
      <c r="AP57" s="219" t="s">
        <v>186</v>
      </c>
      <c r="AQ57" s="31"/>
      <c r="AR57" s="67" t="s">
        <v>222</v>
      </c>
      <c r="AS57" s="67" t="s">
        <v>222</v>
      </c>
      <c r="AT57" s="67" t="s">
        <v>223</v>
      </c>
      <c r="AU57" s="67" t="s">
        <v>224</v>
      </c>
      <c r="AV57" s="67" t="s">
        <v>224</v>
      </c>
      <c r="AW57" s="67" t="s">
        <v>224</v>
      </c>
      <c r="AX57" s="67" t="s">
        <v>226</v>
      </c>
      <c r="AY57" s="3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220"/>
      <c r="EN57" s="220"/>
      <c r="EO57" s="220"/>
      <c r="EP57" s="220"/>
      <c r="EQ57" s="220"/>
      <c r="ER57" s="220"/>
      <c r="ES57" s="220"/>
    </row>
    <row r="58" spans="1:149" s="147" customFormat="1" ht="12.75" customHeight="1" x14ac:dyDescent="0.2">
      <c r="A58" s="34" t="s">
        <v>194</v>
      </c>
      <c r="B58" s="242"/>
      <c r="C58" s="242" t="s">
        <v>12</v>
      </c>
      <c r="D58" s="242" t="s">
        <v>195</v>
      </c>
      <c r="E58" s="168"/>
      <c r="F58" s="154"/>
      <c r="G58" s="154"/>
      <c r="H58" s="154"/>
      <c r="I58" s="154"/>
      <c r="J58" s="165"/>
      <c r="K58" s="154"/>
      <c r="L58" s="154"/>
      <c r="M58" s="165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54">
        <v>65000</v>
      </c>
      <c r="AB58" s="54">
        <f t="shared" si="15"/>
        <v>0</v>
      </c>
      <c r="AC58" s="54">
        <f t="shared" si="16"/>
        <v>65000</v>
      </c>
      <c r="AD58" s="54">
        <v>65000</v>
      </c>
      <c r="AE58" s="54">
        <f>CEILING((Z58*$BB$6/$BA$6),100)</f>
        <v>0</v>
      </c>
      <c r="AF58" s="54">
        <f t="shared" si="17"/>
        <v>65000</v>
      </c>
      <c r="AG58" s="54">
        <v>30000</v>
      </c>
      <c r="AH58" s="54">
        <f t="shared" si="33"/>
        <v>0</v>
      </c>
      <c r="AI58" s="54">
        <f t="shared" si="1"/>
        <v>30000</v>
      </c>
      <c r="AJ58" s="54">
        <v>145000</v>
      </c>
      <c r="AK58" s="54">
        <f t="shared" si="20"/>
        <v>0</v>
      </c>
      <c r="AL58" s="54">
        <f t="shared" si="2"/>
        <v>145000</v>
      </c>
      <c r="AM58" s="206">
        <f t="shared" si="24"/>
        <v>154146.15384615384</v>
      </c>
      <c r="AN58" s="206">
        <f t="shared" si="25"/>
        <v>0</v>
      </c>
      <c r="AO58" s="206">
        <f t="shared" si="26"/>
        <v>154146.15384615384</v>
      </c>
      <c r="AP58" s="96"/>
      <c r="AQ58" s="6"/>
      <c r="AR58" s="67" t="s">
        <v>224</v>
      </c>
      <c r="AS58" s="67" t="s">
        <v>224</v>
      </c>
      <c r="AT58" s="67" t="s">
        <v>223</v>
      </c>
      <c r="AU58" s="67" t="s">
        <v>224</v>
      </c>
      <c r="AV58" s="67" t="s">
        <v>222</v>
      </c>
      <c r="AW58" s="67" t="s">
        <v>224</v>
      </c>
      <c r="AX58" s="67" t="s">
        <v>226</v>
      </c>
      <c r="AY58" s="6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220"/>
      <c r="EN58" s="220"/>
      <c r="EO58" s="220"/>
      <c r="EP58" s="220"/>
      <c r="EQ58" s="220"/>
      <c r="ER58" s="220"/>
      <c r="ES58" s="220"/>
    </row>
    <row r="59" spans="1:149" s="200" customFormat="1" ht="12.75" customHeight="1" x14ac:dyDescent="0.2">
      <c r="A59" s="34" t="s">
        <v>196</v>
      </c>
      <c r="B59" s="242"/>
      <c r="C59" s="242" t="s">
        <v>15</v>
      </c>
      <c r="D59" s="242" t="s">
        <v>197</v>
      </c>
      <c r="E59" s="196"/>
      <c r="F59" s="197"/>
      <c r="G59" s="198"/>
      <c r="H59" s="198"/>
      <c r="I59" s="198"/>
      <c r="J59" s="199"/>
      <c r="K59" s="198"/>
      <c r="L59" s="198"/>
      <c r="M59" s="199"/>
      <c r="N59" s="198"/>
      <c r="O59" s="155"/>
      <c r="P59" s="198"/>
      <c r="Q59" s="198"/>
      <c r="R59" s="198"/>
      <c r="S59" s="198"/>
      <c r="T59" s="198"/>
      <c r="U59" s="198"/>
      <c r="V59" s="198"/>
      <c r="W59" s="155"/>
      <c r="X59" s="198"/>
      <c r="Y59" s="198"/>
      <c r="Z59" s="198"/>
      <c r="AA59" s="69"/>
      <c r="AB59" s="54"/>
      <c r="AC59" s="54"/>
      <c r="AD59" s="69"/>
      <c r="AE59" s="54"/>
      <c r="AF59" s="54"/>
      <c r="AG59" s="69"/>
      <c r="AH59" s="69"/>
      <c r="AI59" s="54"/>
      <c r="AJ59" s="69">
        <v>750000</v>
      </c>
      <c r="AK59" s="69">
        <v>50158.23</v>
      </c>
      <c r="AL59" s="54">
        <f t="shared" si="2"/>
        <v>800158.23</v>
      </c>
      <c r="AM59" s="206">
        <f t="shared" si="24"/>
        <v>797307.69230769225</v>
      </c>
      <c r="AN59" s="206">
        <f t="shared" si="25"/>
        <v>52017.407294952682</v>
      </c>
      <c r="AO59" s="206">
        <f t="shared" si="26"/>
        <v>849325.09960264491</v>
      </c>
      <c r="AP59" s="34"/>
      <c r="AQ59" s="6"/>
      <c r="AR59" s="67" t="s">
        <v>222</v>
      </c>
      <c r="AS59" s="67" t="s">
        <v>222</v>
      </c>
      <c r="AT59" s="67" t="s">
        <v>223</v>
      </c>
      <c r="AU59" s="67" t="s">
        <v>224</v>
      </c>
      <c r="AV59" s="67" t="s">
        <v>224</v>
      </c>
      <c r="AW59" s="67" t="s">
        <v>224</v>
      </c>
      <c r="AX59" s="67" t="s">
        <v>226</v>
      </c>
      <c r="AY59" s="6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</row>
    <row r="60" spans="1:149" s="200" customFormat="1" ht="12.75" customHeight="1" x14ac:dyDescent="0.2">
      <c r="A60" s="34" t="s">
        <v>32</v>
      </c>
      <c r="B60" s="242"/>
      <c r="C60" s="242" t="s">
        <v>17</v>
      </c>
      <c r="D60" s="242" t="s">
        <v>198</v>
      </c>
      <c r="E60" s="196"/>
      <c r="F60" s="197"/>
      <c r="G60" s="198"/>
      <c r="H60" s="198"/>
      <c r="I60" s="198"/>
      <c r="J60" s="199"/>
      <c r="K60" s="198"/>
      <c r="L60" s="198"/>
      <c r="M60" s="199"/>
      <c r="N60" s="198"/>
      <c r="O60" s="155"/>
      <c r="P60" s="198"/>
      <c r="Q60" s="198"/>
      <c r="R60" s="198"/>
      <c r="S60" s="198"/>
      <c r="T60" s="198"/>
      <c r="U60" s="198"/>
      <c r="V60" s="198"/>
      <c r="W60" s="155"/>
      <c r="X60" s="198"/>
      <c r="Y60" s="198"/>
      <c r="Z60" s="198"/>
      <c r="AA60" s="69"/>
      <c r="AB60" s="54"/>
      <c r="AC60" s="54"/>
      <c r="AD60" s="69"/>
      <c r="AE60" s="54"/>
      <c r="AF60" s="54"/>
      <c r="AG60" s="69"/>
      <c r="AH60" s="69"/>
      <c r="AI60" s="54"/>
      <c r="AJ60" s="69">
        <v>280000</v>
      </c>
      <c r="AK60" s="69">
        <v>0</v>
      </c>
      <c r="AL60" s="54">
        <f t="shared" si="2"/>
        <v>280000</v>
      </c>
      <c r="AM60" s="206">
        <f t="shared" si="24"/>
        <v>297661.53846153844</v>
      </c>
      <c r="AN60" s="206">
        <f t="shared" si="25"/>
        <v>0</v>
      </c>
      <c r="AO60" s="206">
        <f t="shared" si="26"/>
        <v>297661.53846153844</v>
      </c>
      <c r="AP60" s="6"/>
      <c r="AQ60" s="6"/>
      <c r="AR60" s="67" t="s">
        <v>224</v>
      </c>
      <c r="AS60" s="67" t="s">
        <v>222</v>
      </c>
      <c r="AT60" s="67" t="s">
        <v>223</v>
      </c>
      <c r="AU60" s="67" t="s">
        <v>224</v>
      </c>
      <c r="AV60" s="67" t="s">
        <v>222</v>
      </c>
      <c r="AW60" s="67" t="s">
        <v>224</v>
      </c>
      <c r="AX60" s="67" t="s">
        <v>226</v>
      </c>
      <c r="AY60" s="6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</row>
    <row r="61" spans="1:149" s="10" customFormat="1" ht="12.75" customHeight="1" x14ac:dyDescent="0.2">
      <c r="A61" s="6"/>
      <c r="B61" s="68"/>
      <c r="C61" s="68"/>
      <c r="D61" s="68"/>
      <c r="E61" s="87"/>
      <c r="F61" s="7"/>
      <c r="G61" s="69"/>
      <c r="H61" s="69"/>
      <c r="I61" s="69"/>
      <c r="J61" s="70"/>
      <c r="K61" s="69"/>
      <c r="L61" s="69"/>
      <c r="M61" s="70"/>
      <c r="N61" s="69"/>
      <c r="O61" s="54"/>
      <c r="P61" s="69"/>
      <c r="Q61" s="69"/>
      <c r="R61" s="69"/>
      <c r="S61" s="69"/>
      <c r="T61" s="69"/>
      <c r="U61" s="69"/>
      <c r="V61" s="69"/>
      <c r="W61" s="54" t="s">
        <v>165</v>
      </c>
      <c r="X61" s="69"/>
      <c r="Y61" s="69"/>
      <c r="Z61" s="69"/>
      <c r="AA61" s="69"/>
      <c r="AB61" s="54"/>
      <c r="AC61" s="54">
        <f t="shared" si="16"/>
        <v>0</v>
      </c>
      <c r="AD61" s="69"/>
      <c r="AE61" s="54"/>
      <c r="AF61" s="54">
        <f t="shared" si="17"/>
        <v>0</v>
      </c>
      <c r="AG61" s="69"/>
      <c r="AH61" s="69"/>
      <c r="AI61" s="54">
        <f t="shared" si="1"/>
        <v>0</v>
      </c>
      <c r="AJ61" s="69"/>
      <c r="AK61" s="69"/>
      <c r="AL61" s="54"/>
      <c r="AM61" s="208"/>
      <c r="AN61" s="208"/>
      <c r="AO61" s="208"/>
      <c r="AP61" s="203"/>
      <c r="AQ61" s="5"/>
      <c r="AR61" s="5"/>
      <c r="AS61" s="5"/>
      <c r="AT61" s="5"/>
      <c r="AU61" s="5"/>
      <c r="AV61" s="5"/>
      <c r="AW61" s="5"/>
      <c r="AX61" s="5"/>
      <c r="AY61" s="5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</row>
    <row r="62" spans="1:149" x14ac:dyDescent="0.2">
      <c r="A62" s="15"/>
      <c r="B62" s="15"/>
      <c r="C62" s="15"/>
      <c r="D62" s="15"/>
      <c r="E62" s="88"/>
      <c r="G62" s="65">
        <f t="shared" ref="G62:M62" si="59">SUM(G17:G52)</f>
        <v>34793989</v>
      </c>
      <c r="H62" s="65">
        <f t="shared" si="59"/>
        <v>35353178</v>
      </c>
      <c r="I62" s="65">
        <f t="shared" si="59"/>
        <v>36347292</v>
      </c>
      <c r="J62" s="66">
        <f t="shared" si="59"/>
        <v>4457051</v>
      </c>
      <c r="K62" s="65">
        <f t="shared" si="59"/>
        <v>39668727</v>
      </c>
      <c r="L62" s="65">
        <f t="shared" si="59"/>
        <v>2450500</v>
      </c>
      <c r="M62" s="66">
        <f t="shared" si="59"/>
        <v>62700</v>
      </c>
      <c r="N62" s="65">
        <f t="shared" ref="N62:S62" si="60">SUM(N17:N55)</f>
        <v>45187609</v>
      </c>
      <c r="O62" s="65">
        <f t="shared" si="60"/>
        <v>43960037</v>
      </c>
      <c r="P62" s="65">
        <f t="shared" si="60"/>
        <v>46263535</v>
      </c>
      <c r="Q62" s="65">
        <f t="shared" si="60"/>
        <v>47194041</v>
      </c>
      <c r="R62" s="65">
        <f t="shared" si="60"/>
        <v>49648133</v>
      </c>
      <c r="S62" s="140">
        <f t="shared" si="60"/>
        <v>52970595</v>
      </c>
      <c r="T62" s="65">
        <f>SUM(T17:T61)</f>
        <v>55866000</v>
      </c>
      <c r="U62" s="65"/>
      <c r="V62" s="140">
        <f>SUM(V17:V55)</f>
        <v>2647765</v>
      </c>
      <c r="W62" s="65">
        <f>SUM(W17:W55)</f>
        <v>2794000</v>
      </c>
      <c r="X62" s="65"/>
      <c r="Y62" s="140">
        <f>SUM(Y17:Y55)</f>
        <v>55618360</v>
      </c>
      <c r="Z62" s="65">
        <f>SUM(Z17:Z55)</f>
        <v>58660000</v>
      </c>
      <c r="AA62" s="42">
        <f>SUM(AA17:AA58)</f>
        <v>61287700</v>
      </c>
      <c r="AB62" s="54">
        <f>CEILING((W62*$BB$6/$BA$6),100)</f>
        <v>2947900</v>
      </c>
      <c r="AC62" s="54">
        <f t="shared" si="16"/>
        <v>64235600</v>
      </c>
      <c r="AD62" s="42">
        <f>SUM(AD17:AD58)</f>
        <v>69413175</v>
      </c>
      <c r="AE62" s="54">
        <f>SUM(AE17:AE58)</f>
        <v>2120330</v>
      </c>
      <c r="AF62" s="54">
        <f t="shared" si="17"/>
        <v>71533505</v>
      </c>
      <c r="AG62" s="193">
        <f>SUM(AG17:AG61)</f>
        <v>77347862.349914253</v>
      </c>
      <c r="AH62" s="193">
        <f>SUM(AH17:AH61)</f>
        <v>2422412.118278618</v>
      </c>
      <c r="AI62" s="194">
        <f>SUM(AI17:AI61)</f>
        <v>79770274.468192875</v>
      </c>
      <c r="AJ62" s="193">
        <f>SUM(AJ17:AJ61)</f>
        <v>78492862.349914253</v>
      </c>
      <c r="AK62" s="145">
        <f>SUM(AK17:AK60)</f>
        <v>2480236.2094124104</v>
      </c>
      <c r="AL62" s="194">
        <f>SUM(AL17:AL61)</f>
        <v>80973098.559326679</v>
      </c>
      <c r="AM62" s="207">
        <f>SUM(AM17:AM61)</f>
        <v>83850523.489246622</v>
      </c>
      <c r="AN62" s="207">
        <f>SUM(AN17:AN61)</f>
        <v>2572169.2550294329</v>
      </c>
      <c r="AO62" s="207">
        <f>SUM(AO17:AO61)</f>
        <v>86422692.744276062</v>
      </c>
      <c r="AP62" s="4"/>
      <c r="AQ62" s="4"/>
      <c r="AR62" s="4"/>
      <c r="AS62" s="4"/>
      <c r="AT62" s="4"/>
      <c r="AU62" s="4"/>
      <c r="AV62" s="4"/>
      <c r="AW62" s="4"/>
      <c r="AX62" s="4"/>
      <c r="AY62" s="44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</row>
    <row r="63" spans="1:149" x14ac:dyDescent="0.2">
      <c r="A63" s="5"/>
      <c r="B63" s="5"/>
      <c r="C63" s="5"/>
      <c r="D63" s="5"/>
      <c r="E63" s="89"/>
      <c r="F63" s="44"/>
      <c r="G63" s="42"/>
      <c r="H63" s="42"/>
      <c r="I63" s="42"/>
      <c r="J63" s="56"/>
      <c r="K63" s="42"/>
      <c r="L63" s="42"/>
      <c r="M63" s="56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54"/>
      <c r="AC63" s="54"/>
      <c r="AD63" s="42"/>
      <c r="AE63" s="54"/>
      <c r="AF63" s="54"/>
      <c r="AG63" s="69"/>
      <c r="AH63" s="69"/>
      <c r="AI63" s="54"/>
      <c r="AJ63" s="69"/>
      <c r="AK63" s="69"/>
      <c r="AL63" s="69"/>
      <c r="AM63" s="69"/>
      <c r="AN63" s="69"/>
      <c r="AO63" s="69"/>
      <c r="AP63" s="4"/>
      <c r="AQ63" s="4"/>
      <c r="AR63" s="4"/>
      <c r="AS63" s="4"/>
      <c r="AT63" s="4"/>
      <c r="AU63" s="4"/>
      <c r="AV63" s="4"/>
      <c r="AW63" s="4"/>
      <c r="AX63" s="4"/>
      <c r="AY63" s="44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</row>
    <row r="64" spans="1:149" s="10" customFormat="1" ht="12.75" customHeight="1" x14ac:dyDescent="0.2">
      <c r="A64" s="2" t="s">
        <v>7</v>
      </c>
      <c r="B64" s="8"/>
      <c r="C64" s="8"/>
      <c r="D64" s="8"/>
      <c r="E64" s="90"/>
      <c r="F64" s="9"/>
      <c r="G64" s="9"/>
      <c r="H64" s="36"/>
      <c r="I64" s="45"/>
      <c r="J64" s="55"/>
      <c r="K64" s="55"/>
      <c r="L64" s="9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176"/>
      <c r="AB64" s="54"/>
      <c r="AC64" s="54"/>
      <c r="AD64" s="176"/>
      <c r="AE64" s="54"/>
      <c r="AF64" s="54"/>
      <c r="AG64" s="191"/>
      <c r="AH64" s="191"/>
      <c r="AI64" s="192"/>
      <c r="AJ64" s="191"/>
      <c r="AK64" s="191"/>
      <c r="AL64" s="191"/>
      <c r="AM64" s="191"/>
      <c r="AN64" s="191"/>
      <c r="AO64" s="191"/>
      <c r="AY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</row>
    <row r="65" spans="1:149" s="5" customFormat="1" ht="12.75" customHeight="1" x14ac:dyDescent="0.2">
      <c r="A65" s="34" t="s">
        <v>23</v>
      </c>
      <c r="B65" s="34" t="s">
        <v>85</v>
      </c>
      <c r="C65" s="34" t="s">
        <v>12</v>
      </c>
      <c r="D65" s="34" t="s">
        <v>177</v>
      </c>
      <c r="E65" s="169" t="s">
        <v>120</v>
      </c>
      <c r="F65" s="154">
        <v>2597200</v>
      </c>
      <c r="G65" s="155">
        <f t="shared" ref="G65:G77" si="61">ROUND(F65/109.9*112,0)</f>
        <v>2646828</v>
      </c>
      <c r="H65" s="155">
        <f t="shared" ref="H65:H77" si="62">ROUND(G65/112*113.8,0)</f>
        <v>2689366</v>
      </c>
      <c r="I65" s="155">
        <f t="shared" ref="I65:I77" si="63">ROUND(H65/113.8*117,0)</f>
        <v>2764990</v>
      </c>
      <c r="J65" s="155"/>
      <c r="K65" s="155">
        <f t="shared" ref="K65:K77" si="64">ROUND((I65+J65)/117*118.7,0)</f>
        <v>2805165</v>
      </c>
      <c r="L65" s="154">
        <v>405200</v>
      </c>
      <c r="M65" s="155"/>
      <c r="N65" s="155">
        <f t="shared" ref="N65:N77" si="65">ROUND(K65/118.7*120.2,0)</f>
        <v>2840614</v>
      </c>
      <c r="O65" s="154">
        <v>3215000</v>
      </c>
      <c r="P65" s="155">
        <f t="shared" ref="P65:P77" si="66">ROUND(O65/121.5*122.4,0)</f>
        <v>3238815</v>
      </c>
      <c r="Q65" s="155">
        <f t="shared" ref="Q65:Q77" si="67">ROUND(P65/122.4*125,0)</f>
        <v>3307613</v>
      </c>
      <c r="R65" s="155">
        <f t="shared" ref="R65:R77" si="68">ROUND(Q65/125*131.5,0)</f>
        <v>3479609</v>
      </c>
      <c r="S65" s="155">
        <f t="shared" ref="S65:S77" si="69">ROUND(R65/131.5*140.3,0)</f>
        <v>3712465</v>
      </c>
      <c r="T65" s="173">
        <f t="shared" ref="T65:T77" si="70">CEILING((S65*$BB$4/$BA$4),100)</f>
        <v>3915300</v>
      </c>
      <c r="U65" s="173"/>
      <c r="V65" s="172">
        <f>458615+23000</f>
        <v>481615</v>
      </c>
      <c r="W65" s="173">
        <f t="shared" ref="W65:W77" si="71">CEILING((V65*$BB$6/$BA$6),100)</f>
        <v>508200</v>
      </c>
      <c r="X65" s="173"/>
      <c r="Y65" s="173">
        <f t="shared" ref="Y65:Y77" si="72">S65+V65</f>
        <v>4194080</v>
      </c>
      <c r="Z65" s="173">
        <f t="shared" ref="Z65:Z77" si="73">T65+W65</f>
        <v>4423500</v>
      </c>
      <c r="AA65" s="54">
        <f t="shared" ref="AA65:AA77" si="74">CEILING((T65*$BB$4/$BA$4),100)</f>
        <v>4129200</v>
      </c>
      <c r="AB65" s="54">
        <f t="shared" ref="AB65:AB77" si="75">CEILING((W65*$BB$6/$BA$6),100)</f>
        <v>536200</v>
      </c>
      <c r="AC65" s="54">
        <f t="shared" ref="AC65:AC79" si="76">AA65+AB65</f>
        <v>4665400</v>
      </c>
      <c r="AD65" s="54">
        <v>4455000</v>
      </c>
      <c r="AE65" s="54">
        <v>627124</v>
      </c>
      <c r="AF65" s="54">
        <f>AD65+AE65</f>
        <v>5082124</v>
      </c>
      <c r="AG65" s="54">
        <f t="shared" ref="AG65:AG66" si="77">130/116.6*AD65</f>
        <v>4966981.1320754718</v>
      </c>
      <c r="AH65" s="54">
        <f t="shared" ref="AH65:AH77" si="78">126.4/111.7*AE65</f>
        <v>709655.09042076988</v>
      </c>
      <c r="AI65" s="54">
        <f t="shared" si="1"/>
        <v>5676636.2224962413</v>
      </c>
      <c r="AJ65" s="54">
        <v>4966981.1320754718</v>
      </c>
      <c r="AK65" s="54">
        <f t="shared" ref="AK65:AK77" si="79">126.8/126.4*AH65</f>
        <v>711900.83437779767</v>
      </c>
      <c r="AL65" s="54">
        <f>AJ65+AK65</f>
        <v>5678881.9664532691</v>
      </c>
      <c r="AM65" s="206">
        <f>138.2/130*AJ65</f>
        <v>5280283.0188679248</v>
      </c>
      <c r="AN65" s="206">
        <f>131.5/126.8*AK65</f>
        <v>738288.32587287377</v>
      </c>
      <c r="AO65" s="54">
        <f>AM65+AN65</f>
        <v>6018571.3447407987</v>
      </c>
      <c r="AP65" s="67" t="s">
        <v>186</v>
      </c>
      <c r="AQ65" s="31"/>
      <c r="AR65" s="67" t="s">
        <v>222</v>
      </c>
      <c r="AS65" s="67" t="s">
        <v>222</v>
      </c>
      <c r="AT65" s="67" t="s">
        <v>223</v>
      </c>
      <c r="AU65" s="67" t="s">
        <v>224</v>
      </c>
      <c r="AV65" s="67" t="s">
        <v>224</v>
      </c>
      <c r="AW65" s="67" t="s">
        <v>224</v>
      </c>
      <c r="AX65" s="242" t="s">
        <v>226</v>
      </c>
      <c r="AY65" s="31"/>
    </row>
    <row r="66" spans="1:149" s="5" customFormat="1" ht="12.75" customHeight="1" x14ac:dyDescent="0.2">
      <c r="A66" s="34" t="s">
        <v>130</v>
      </c>
      <c r="B66" s="34" t="s">
        <v>131</v>
      </c>
      <c r="C66" s="34" t="s">
        <v>12</v>
      </c>
      <c r="D66" s="34" t="s">
        <v>181</v>
      </c>
      <c r="E66" s="169" t="s">
        <v>120</v>
      </c>
      <c r="F66" s="154">
        <v>1953600</v>
      </c>
      <c r="G66" s="155">
        <f t="shared" si="61"/>
        <v>1990930</v>
      </c>
      <c r="H66" s="155">
        <f t="shared" si="62"/>
        <v>2022927</v>
      </c>
      <c r="I66" s="155">
        <f t="shared" si="63"/>
        <v>2079811</v>
      </c>
      <c r="J66" s="155"/>
      <c r="K66" s="155">
        <f t="shared" si="64"/>
        <v>2110030</v>
      </c>
      <c r="L66" s="154">
        <v>321900</v>
      </c>
      <c r="M66" s="155"/>
      <c r="N66" s="155">
        <f t="shared" si="65"/>
        <v>2136694</v>
      </c>
      <c r="O66" s="155">
        <v>2353000</v>
      </c>
      <c r="P66" s="155">
        <f t="shared" si="66"/>
        <v>2370430</v>
      </c>
      <c r="Q66" s="155">
        <f t="shared" si="67"/>
        <v>2420782</v>
      </c>
      <c r="R66" s="155">
        <f t="shared" si="68"/>
        <v>2546663</v>
      </c>
      <c r="S66" s="155">
        <f t="shared" si="69"/>
        <v>2717086</v>
      </c>
      <c r="T66" s="173">
        <f t="shared" si="70"/>
        <v>2865600</v>
      </c>
      <c r="U66" s="173"/>
      <c r="V66" s="173">
        <f>376629+19000</f>
        <v>395629</v>
      </c>
      <c r="W66" s="173">
        <f t="shared" si="71"/>
        <v>417500</v>
      </c>
      <c r="X66" s="173"/>
      <c r="Y66" s="173">
        <f t="shared" si="72"/>
        <v>3112715</v>
      </c>
      <c r="Z66" s="173">
        <f t="shared" si="73"/>
        <v>3283100</v>
      </c>
      <c r="AA66" s="54">
        <f t="shared" si="74"/>
        <v>3022200</v>
      </c>
      <c r="AB66" s="54">
        <f t="shared" si="75"/>
        <v>440500</v>
      </c>
      <c r="AC66" s="54">
        <f t="shared" si="76"/>
        <v>3462700</v>
      </c>
      <c r="AD66" s="54">
        <v>12200000</v>
      </c>
      <c r="AE66" s="54">
        <v>883650</v>
      </c>
      <c r="AF66" s="54">
        <f>AD66+AE66</f>
        <v>13083650</v>
      </c>
      <c r="AG66" s="54">
        <f t="shared" si="77"/>
        <v>13602058.319039453</v>
      </c>
      <c r="AH66" s="54">
        <f t="shared" si="78"/>
        <v>999940.55505819153</v>
      </c>
      <c r="AI66" s="54">
        <f t="shared" si="1"/>
        <v>14601998.874097645</v>
      </c>
      <c r="AJ66" s="54">
        <v>13602058.319039453</v>
      </c>
      <c r="AK66" s="54">
        <f t="shared" si="79"/>
        <v>1003104.9239033124</v>
      </c>
      <c r="AL66" s="54">
        <f t="shared" ref="AL66:AL77" si="80">AJ66+AK66</f>
        <v>14605163.242942765</v>
      </c>
      <c r="AM66" s="206">
        <f t="shared" ref="AM66:AM77" si="81">138.2/130*AJ66</f>
        <v>14460034.305317326</v>
      </c>
      <c r="AN66" s="206">
        <f t="shared" ref="AN66:AN77" si="82">131.5/126.8*AK66</f>
        <v>1040286.2578334825</v>
      </c>
      <c r="AO66" s="206">
        <f t="shared" ref="AO66:AO77" si="83">AM66+AN66</f>
        <v>15500320.563150808</v>
      </c>
      <c r="AP66" s="67" t="s">
        <v>186</v>
      </c>
      <c r="AQ66" s="31"/>
      <c r="AR66" s="67" t="s">
        <v>222</v>
      </c>
      <c r="AS66" s="67" t="s">
        <v>222</v>
      </c>
      <c r="AT66" s="67" t="s">
        <v>223</v>
      </c>
      <c r="AU66" s="67" t="s">
        <v>224</v>
      </c>
      <c r="AV66" s="67" t="s">
        <v>224</v>
      </c>
      <c r="AW66" s="67" t="s">
        <v>224</v>
      </c>
      <c r="AX66" s="242" t="s">
        <v>226</v>
      </c>
      <c r="AY66" s="31"/>
    </row>
    <row r="67" spans="1:149" s="181" customFormat="1" ht="12.75" customHeight="1" x14ac:dyDescent="0.2">
      <c r="A67" s="34" t="s">
        <v>130</v>
      </c>
      <c r="B67" s="34" t="s">
        <v>131</v>
      </c>
      <c r="C67" s="34" t="s">
        <v>12</v>
      </c>
      <c r="D67" s="34" t="s">
        <v>76</v>
      </c>
      <c r="E67" s="169"/>
      <c r="F67" s="154"/>
      <c r="G67" s="155">
        <f t="shared" si="61"/>
        <v>0</v>
      </c>
      <c r="H67" s="155">
        <f t="shared" si="62"/>
        <v>0</v>
      </c>
      <c r="I67" s="155">
        <f t="shared" si="63"/>
        <v>0</v>
      </c>
      <c r="J67" s="155"/>
      <c r="K67" s="155">
        <f t="shared" si="64"/>
        <v>0</v>
      </c>
      <c r="L67" s="154">
        <v>4500</v>
      </c>
      <c r="M67" s="155"/>
      <c r="N67" s="155">
        <f t="shared" si="65"/>
        <v>0</v>
      </c>
      <c r="O67" s="155">
        <f>ROUND(N67/120.2*120.7,0)</f>
        <v>0</v>
      </c>
      <c r="P67" s="155">
        <f t="shared" si="66"/>
        <v>0</v>
      </c>
      <c r="Q67" s="155">
        <f t="shared" si="67"/>
        <v>0</v>
      </c>
      <c r="R67" s="155">
        <f t="shared" si="68"/>
        <v>0</v>
      </c>
      <c r="S67" s="155">
        <f t="shared" si="69"/>
        <v>0</v>
      </c>
      <c r="T67" s="155">
        <f t="shared" si="70"/>
        <v>0</v>
      </c>
      <c r="U67" s="155"/>
      <c r="V67" s="155">
        <f>L67+M67</f>
        <v>4500</v>
      </c>
      <c r="W67" s="155">
        <f t="shared" si="71"/>
        <v>4800</v>
      </c>
      <c r="X67" s="155"/>
      <c r="Y67" s="155">
        <f t="shared" si="72"/>
        <v>4500</v>
      </c>
      <c r="Z67" s="155">
        <f t="shared" si="73"/>
        <v>4800</v>
      </c>
      <c r="AA67" s="54">
        <f t="shared" si="74"/>
        <v>0</v>
      </c>
      <c r="AB67" s="54">
        <f t="shared" si="75"/>
        <v>5100</v>
      </c>
      <c r="AC67" s="54">
        <f t="shared" si="76"/>
        <v>5100</v>
      </c>
      <c r="AD67" s="54"/>
      <c r="AE67" s="54">
        <v>0</v>
      </c>
      <c r="AF67" s="54"/>
      <c r="AG67" s="54">
        <v>0</v>
      </c>
      <c r="AH67" s="54">
        <f t="shared" si="78"/>
        <v>0</v>
      </c>
      <c r="AI67" s="54">
        <f t="shared" si="1"/>
        <v>0</v>
      </c>
      <c r="AJ67" s="54">
        <v>0</v>
      </c>
      <c r="AK67" s="54">
        <f t="shared" si="79"/>
        <v>0</v>
      </c>
      <c r="AL67" s="54">
        <f t="shared" si="80"/>
        <v>0</v>
      </c>
      <c r="AM67" s="206">
        <f t="shared" si="81"/>
        <v>0</v>
      </c>
      <c r="AN67" s="206">
        <f t="shared" si="82"/>
        <v>0</v>
      </c>
      <c r="AO67" s="206">
        <f t="shared" si="83"/>
        <v>0</v>
      </c>
      <c r="AP67" s="5"/>
      <c r="AQ67" s="5"/>
      <c r="AR67" s="67" t="s">
        <v>222</v>
      </c>
      <c r="AS67" s="67" t="s">
        <v>222</v>
      </c>
      <c r="AT67" s="67" t="s">
        <v>223</v>
      </c>
      <c r="AU67" s="67" t="s">
        <v>224</v>
      </c>
      <c r="AV67" s="67" t="s">
        <v>224</v>
      </c>
      <c r="AW67" s="67" t="s">
        <v>224</v>
      </c>
      <c r="AX67" s="242" t="s">
        <v>226</v>
      </c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</row>
    <row r="68" spans="1:149" s="5" customFormat="1" ht="12.75" customHeight="1" x14ac:dyDescent="0.2">
      <c r="A68" s="34" t="s">
        <v>26</v>
      </c>
      <c r="B68" s="34" t="s">
        <v>100</v>
      </c>
      <c r="C68" s="34" t="s">
        <v>12</v>
      </c>
      <c r="D68" s="34" t="s">
        <v>77</v>
      </c>
      <c r="E68" s="169" t="s">
        <v>120</v>
      </c>
      <c r="F68" s="154">
        <v>2913400</v>
      </c>
      <c r="G68" s="155">
        <f t="shared" si="61"/>
        <v>2969070</v>
      </c>
      <c r="H68" s="155">
        <f t="shared" si="62"/>
        <v>3016787</v>
      </c>
      <c r="I68" s="155">
        <f t="shared" si="63"/>
        <v>3101618</v>
      </c>
      <c r="J68" s="155"/>
      <c r="K68" s="155">
        <f t="shared" si="64"/>
        <v>3146684</v>
      </c>
      <c r="L68" s="154">
        <v>321900</v>
      </c>
      <c r="M68" s="155"/>
      <c r="N68" s="155">
        <f t="shared" si="65"/>
        <v>3186448</v>
      </c>
      <c r="O68" s="155">
        <v>3924700</v>
      </c>
      <c r="P68" s="155">
        <f t="shared" si="66"/>
        <v>3953772</v>
      </c>
      <c r="Q68" s="155">
        <f t="shared" si="67"/>
        <v>4037757</v>
      </c>
      <c r="R68" s="155">
        <f t="shared" si="68"/>
        <v>4247720</v>
      </c>
      <c r="S68" s="155">
        <f t="shared" si="69"/>
        <v>4531978</v>
      </c>
      <c r="T68" s="173">
        <f t="shared" si="70"/>
        <v>4779600</v>
      </c>
      <c r="U68" s="173"/>
      <c r="V68" s="173">
        <v>413379</v>
      </c>
      <c r="W68" s="173">
        <f t="shared" si="71"/>
        <v>436200</v>
      </c>
      <c r="X68" s="173"/>
      <c r="Y68" s="173">
        <f t="shared" si="72"/>
        <v>4945357</v>
      </c>
      <c r="Z68" s="173">
        <f t="shared" si="73"/>
        <v>5215800</v>
      </c>
      <c r="AA68" s="54">
        <f t="shared" si="74"/>
        <v>5040800</v>
      </c>
      <c r="AB68" s="54">
        <f t="shared" si="75"/>
        <v>460300</v>
      </c>
      <c r="AC68" s="54">
        <f t="shared" si="76"/>
        <v>5501100</v>
      </c>
      <c r="AD68" s="54">
        <v>6409000</v>
      </c>
      <c r="AE68" s="54">
        <v>400734</v>
      </c>
      <c r="AF68" s="54">
        <f t="shared" ref="AF68:AF79" si="84">AD68+AE68</f>
        <v>6809734</v>
      </c>
      <c r="AG68" s="54">
        <f t="shared" ref="AG68:AG69" si="85">130/116.6*AD68</f>
        <v>7145540.3087478569</v>
      </c>
      <c r="AH68" s="54">
        <f t="shared" si="78"/>
        <v>453471.59892569378</v>
      </c>
      <c r="AI68" s="54">
        <f t="shared" si="1"/>
        <v>7599011.9076735508</v>
      </c>
      <c r="AJ68" s="54">
        <v>7145540.3087478569</v>
      </c>
      <c r="AK68" s="54">
        <f t="shared" si="79"/>
        <v>454906.63563115482</v>
      </c>
      <c r="AL68" s="54">
        <f t="shared" si="80"/>
        <v>7600446.9443790121</v>
      </c>
      <c r="AM68" s="206">
        <f t="shared" si="81"/>
        <v>7596259.0051457984</v>
      </c>
      <c r="AN68" s="206">
        <f t="shared" si="82"/>
        <v>471768.31692032225</v>
      </c>
      <c r="AO68" s="206">
        <f t="shared" si="83"/>
        <v>8068027.3220661208</v>
      </c>
      <c r="AP68" s="67" t="s">
        <v>186</v>
      </c>
      <c r="AQ68" s="31"/>
      <c r="AR68" s="67" t="s">
        <v>222</v>
      </c>
      <c r="AS68" s="67" t="s">
        <v>222</v>
      </c>
      <c r="AT68" s="67" t="s">
        <v>223</v>
      </c>
      <c r="AU68" s="67" t="s">
        <v>224</v>
      </c>
      <c r="AV68" s="67" t="s">
        <v>224</v>
      </c>
      <c r="AW68" s="67" t="s">
        <v>224</v>
      </c>
      <c r="AX68" s="242" t="s">
        <v>226</v>
      </c>
      <c r="AY68" s="31"/>
    </row>
    <row r="69" spans="1:149" s="190" customFormat="1" ht="12.75" customHeight="1" x14ac:dyDescent="0.2">
      <c r="A69" s="34" t="s">
        <v>21</v>
      </c>
      <c r="B69" s="34" t="s">
        <v>105</v>
      </c>
      <c r="C69" s="34" t="s">
        <v>12</v>
      </c>
      <c r="D69" s="34" t="s">
        <v>182</v>
      </c>
      <c r="E69" s="169" t="s">
        <v>120</v>
      </c>
      <c r="F69" s="154">
        <v>2292400</v>
      </c>
      <c r="G69" s="154">
        <f t="shared" si="61"/>
        <v>2336204</v>
      </c>
      <c r="H69" s="154">
        <f t="shared" si="62"/>
        <v>2373750</v>
      </c>
      <c r="I69" s="155">
        <f t="shared" si="63"/>
        <v>2440499</v>
      </c>
      <c r="J69" s="154"/>
      <c r="K69" s="155">
        <f t="shared" si="64"/>
        <v>2475959</v>
      </c>
      <c r="L69" s="170">
        <v>323600</v>
      </c>
      <c r="M69" s="171"/>
      <c r="N69" s="155">
        <f t="shared" si="65"/>
        <v>2507247</v>
      </c>
      <c r="O69" s="155">
        <v>2353000</v>
      </c>
      <c r="P69" s="155">
        <f t="shared" si="66"/>
        <v>2370430</v>
      </c>
      <c r="Q69" s="155">
        <f t="shared" si="67"/>
        <v>2420782</v>
      </c>
      <c r="R69" s="155">
        <f t="shared" si="68"/>
        <v>2546663</v>
      </c>
      <c r="S69" s="155">
        <f t="shared" si="69"/>
        <v>2717086</v>
      </c>
      <c r="T69" s="155">
        <f t="shared" si="70"/>
        <v>2865600</v>
      </c>
      <c r="U69" s="155"/>
      <c r="V69" s="155">
        <v>378168</v>
      </c>
      <c r="W69" s="155">
        <f t="shared" si="71"/>
        <v>399000</v>
      </c>
      <c r="X69" s="155"/>
      <c r="Y69" s="155">
        <f t="shared" si="72"/>
        <v>3095254</v>
      </c>
      <c r="Z69" s="155">
        <f t="shared" si="73"/>
        <v>3264600</v>
      </c>
      <c r="AA69" s="54">
        <f t="shared" si="74"/>
        <v>3022200</v>
      </c>
      <c r="AB69" s="54">
        <f t="shared" si="75"/>
        <v>421000</v>
      </c>
      <c r="AC69" s="54">
        <f t="shared" si="76"/>
        <v>3443200</v>
      </c>
      <c r="AD69" s="54">
        <v>3548000</v>
      </c>
      <c r="AE69" s="54">
        <v>0</v>
      </c>
      <c r="AF69" s="54">
        <f t="shared" si="84"/>
        <v>3548000</v>
      </c>
      <c r="AG69" s="54">
        <f t="shared" si="85"/>
        <v>3955746.1406518016</v>
      </c>
      <c r="AH69" s="54">
        <f t="shared" si="78"/>
        <v>0</v>
      </c>
      <c r="AI69" s="54">
        <f t="shared" si="1"/>
        <v>3955746.1406518016</v>
      </c>
      <c r="AJ69" s="54">
        <v>3955746.1406518016</v>
      </c>
      <c r="AK69" s="54">
        <f t="shared" si="79"/>
        <v>0</v>
      </c>
      <c r="AL69" s="54">
        <f t="shared" si="80"/>
        <v>3955746.1406518016</v>
      </c>
      <c r="AM69" s="206">
        <f t="shared" si="81"/>
        <v>4205262.4356775302</v>
      </c>
      <c r="AN69" s="206">
        <f t="shared" si="82"/>
        <v>0</v>
      </c>
      <c r="AO69" s="206">
        <f t="shared" si="83"/>
        <v>4205262.4356775302</v>
      </c>
      <c r="AP69" s="6" t="s">
        <v>187</v>
      </c>
      <c r="AQ69" s="6"/>
      <c r="AR69" s="242" t="s">
        <v>222</v>
      </c>
      <c r="AS69" s="242" t="s">
        <v>224</v>
      </c>
      <c r="AT69" s="242" t="s">
        <v>224</v>
      </c>
      <c r="AU69" s="67" t="s">
        <v>222</v>
      </c>
      <c r="AV69" s="67" t="s">
        <v>224</v>
      </c>
      <c r="AW69" s="67" t="s">
        <v>224</v>
      </c>
      <c r="AX69" s="242" t="s">
        <v>226</v>
      </c>
      <c r="AY69" s="6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</row>
    <row r="70" spans="1:149" s="5" customFormat="1" ht="12.75" customHeight="1" x14ac:dyDescent="0.2">
      <c r="A70" s="34" t="s">
        <v>158</v>
      </c>
      <c r="B70" s="34" t="s">
        <v>107</v>
      </c>
      <c r="C70" s="34" t="s">
        <v>12</v>
      </c>
      <c r="D70" s="34" t="s">
        <v>18</v>
      </c>
      <c r="E70" s="169" t="s">
        <v>120</v>
      </c>
      <c r="F70" s="154">
        <v>508300</v>
      </c>
      <c r="G70" s="155">
        <f t="shared" si="61"/>
        <v>518013</v>
      </c>
      <c r="H70" s="155">
        <f t="shared" si="62"/>
        <v>526338</v>
      </c>
      <c r="I70" s="155">
        <f t="shared" si="63"/>
        <v>541138</v>
      </c>
      <c r="J70" s="155"/>
      <c r="K70" s="155">
        <f t="shared" si="64"/>
        <v>549001</v>
      </c>
      <c r="L70" s="154">
        <v>50700</v>
      </c>
      <c r="M70" s="155"/>
      <c r="N70" s="155">
        <f t="shared" si="65"/>
        <v>555939</v>
      </c>
      <c r="O70" s="155">
        <v>725000</v>
      </c>
      <c r="P70" s="155">
        <f t="shared" si="66"/>
        <v>730370</v>
      </c>
      <c r="Q70" s="155">
        <f t="shared" si="67"/>
        <v>745884</v>
      </c>
      <c r="R70" s="155">
        <f t="shared" si="68"/>
        <v>784670</v>
      </c>
      <c r="S70" s="155">
        <f t="shared" si="69"/>
        <v>837180</v>
      </c>
      <c r="T70" s="155">
        <f t="shared" si="70"/>
        <v>883000</v>
      </c>
      <c r="U70" s="155"/>
      <c r="V70" s="155">
        <v>71400</v>
      </c>
      <c r="W70" s="155">
        <f t="shared" si="71"/>
        <v>75400</v>
      </c>
      <c r="X70" s="155"/>
      <c r="Y70" s="155">
        <f t="shared" si="72"/>
        <v>908580</v>
      </c>
      <c r="Z70" s="155">
        <f t="shared" si="73"/>
        <v>958400</v>
      </c>
      <c r="AA70" s="54">
        <f t="shared" si="74"/>
        <v>931300</v>
      </c>
      <c r="AB70" s="54">
        <f t="shared" si="75"/>
        <v>79600</v>
      </c>
      <c r="AC70" s="54">
        <f t="shared" si="76"/>
        <v>1010900</v>
      </c>
      <c r="AD70" s="54">
        <v>1015000</v>
      </c>
      <c r="AE70" s="54">
        <v>84200</v>
      </c>
      <c r="AF70" s="54">
        <f t="shared" si="84"/>
        <v>1099200</v>
      </c>
      <c r="AG70" s="54">
        <f t="shared" ref="AG70:AG77" si="86">130/116.6*AD70</f>
        <v>1131646.655231561</v>
      </c>
      <c r="AH70" s="54">
        <f t="shared" si="78"/>
        <v>95280.931065353623</v>
      </c>
      <c r="AI70" s="54">
        <f t="shared" si="1"/>
        <v>1226927.5862969146</v>
      </c>
      <c r="AJ70" s="54">
        <v>1131646.655231561</v>
      </c>
      <c r="AK70" s="54">
        <f t="shared" si="79"/>
        <v>95582.452999104746</v>
      </c>
      <c r="AL70" s="54">
        <f t="shared" si="80"/>
        <v>1227229.1082306658</v>
      </c>
      <c r="AM70" s="206">
        <f t="shared" si="81"/>
        <v>1203027.4442538596</v>
      </c>
      <c r="AN70" s="206">
        <f t="shared" si="82"/>
        <v>99125.335720680392</v>
      </c>
      <c r="AO70" s="206">
        <f t="shared" si="83"/>
        <v>1302152.77997454</v>
      </c>
      <c r="AP70" s="67" t="s">
        <v>186</v>
      </c>
      <c r="AQ70" s="31"/>
      <c r="AR70" s="67" t="s">
        <v>222</v>
      </c>
      <c r="AS70" s="67" t="s">
        <v>222</v>
      </c>
      <c r="AT70" s="67" t="s">
        <v>223</v>
      </c>
      <c r="AU70" s="67" t="s">
        <v>224</v>
      </c>
      <c r="AV70" s="67" t="s">
        <v>224</v>
      </c>
      <c r="AW70" s="67" t="s">
        <v>224</v>
      </c>
      <c r="AX70" s="242" t="s">
        <v>226</v>
      </c>
      <c r="AY70" s="31"/>
    </row>
    <row r="71" spans="1:149" s="5" customFormat="1" ht="12.75" customHeight="1" x14ac:dyDescent="0.2">
      <c r="A71" s="34" t="s">
        <v>115</v>
      </c>
      <c r="B71" s="34" t="s">
        <v>104</v>
      </c>
      <c r="C71" s="34" t="s">
        <v>16</v>
      </c>
      <c r="D71" s="34" t="s">
        <v>178</v>
      </c>
      <c r="E71" s="169" t="s">
        <v>120</v>
      </c>
      <c r="F71" s="154">
        <v>1626200</v>
      </c>
      <c r="G71" s="155">
        <f t="shared" si="61"/>
        <v>1657274</v>
      </c>
      <c r="H71" s="155">
        <f t="shared" si="62"/>
        <v>1683909</v>
      </c>
      <c r="I71" s="155">
        <f t="shared" si="63"/>
        <v>1731260</v>
      </c>
      <c r="J71" s="155"/>
      <c r="K71" s="155">
        <f t="shared" si="64"/>
        <v>1756415</v>
      </c>
      <c r="L71" s="154">
        <v>238500</v>
      </c>
      <c r="M71" s="155"/>
      <c r="N71" s="155">
        <f t="shared" si="65"/>
        <v>1778611</v>
      </c>
      <c r="O71" s="155">
        <v>2124000</v>
      </c>
      <c r="P71" s="155">
        <f t="shared" si="66"/>
        <v>2139733</v>
      </c>
      <c r="Q71" s="155">
        <f t="shared" si="67"/>
        <v>2185185</v>
      </c>
      <c r="R71" s="155">
        <f t="shared" si="68"/>
        <v>2298815</v>
      </c>
      <c r="S71" s="155">
        <f t="shared" si="69"/>
        <v>2452652</v>
      </c>
      <c r="T71" s="173">
        <f t="shared" si="70"/>
        <v>2586700</v>
      </c>
      <c r="U71" s="173"/>
      <c r="V71" s="173">
        <v>313968</v>
      </c>
      <c r="W71" s="173">
        <f t="shared" si="71"/>
        <v>331300</v>
      </c>
      <c r="X71" s="173"/>
      <c r="Y71" s="173">
        <f t="shared" si="72"/>
        <v>2766620</v>
      </c>
      <c r="Z71" s="173">
        <f t="shared" si="73"/>
        <v>2918000</v>
      </c>
      <c r="AA71" s="54">
        <f t="shared" si="74"/>
        <v>2728100</v>
      </c>
      <c r="AB71" s="54">
        <f t="shared" si="75"/>
        <v>349600</v>
      </c>
      <c r="AC71" s="54">
        <f t="shared" si="76"/>
        <v>3077700</v>
      </c>
      <c r="AD71" s="54">
        <v>3248700</v>
      </c>
      <c r="AE71" s="54">
        <v>396854</v>
      </c>
      <c r="AF71" s="54">
        <f t="shared" si="84"/>
        <v>3645554</v>
      </c>
      <c r="AG71" s="54">
        <f t="shared" si="86"/>
        <v>3622049.7427101205</v>
      </c>
      <c r="AH71" s="54">
        <f t="shared" si="78"/>
        <v>449080.98119964189</v>
      </c>
      <c r="AI71" s="54">
        <f t="shared" si="1"/>
        <v>4071130.7239097622</v>
      </c>
      <c r="AJ71" s="54">
        <v>3622049.7427101205</v>
      </c>
      <c r="AK71" s="54">
        <f t="shared" si="79"/>
        <v>450502.1235452104</v>
      </c>
      <c r="AL71" s="54">
        <f t="shared" si="80"/>
        <v>4072551.8662553309</v>
      </c>
      <c r="AM71" s="206">
        <f t="shared" si="81"/>
        <v>3850517.4957118356</v>
      </c>
      <c r="AN71" s="206">
        <f t="shared" si="82"/>
        <v>467200.54610564013</v>
      </c>
      <c r="AO71" s="206">
        <f t="shared" si="83"/>
        <v>4317718.041817476</v>
      </c>
      <c r="AP71" s="67" t="s">
        <v>186</v>
      </c>
      <c r="AQ71" s="31"/>
      <c r="AR71" s="67" t="s">
        <v>222</v>
      </c>
      <c r="AS71" s="67" t="s">
        <v>222</v>
      </c>
      <c r="AT71" s="67" t="s">
        <v>223</v>
      </c>
      <c r="AU71" s="67" t="s">
        <v>224</v>
      </c>
      <c r="AV71" s="67" t="s">
        <v>224</v>
      </c>
      <c r="AW71" s="67" t="s">
        <v>224</v>
      </c>
      <c r="AX71" s="242" t="s">
        <v>226</v>
      </c>
      <c r="AY71" s="31"/>
    </row>
    <row r="72" spans="1:149" s="5" customFormat="1" ht="12.75" customHeight="1" x14ac:dyDescent="0.2">
      <c r="A72" s="34" t="s">
        <v>20</v>
      </c>
      <c r="B72" s="34" t="s">
        <v>104</v>
      </c>
      <c r="C72" s="34" t="s">
        <v>16</v>
      </c>
      <c r="D72" s="34" t="s">
        <v>18</v>
      </c>
      <c r="E72" s="169" t="s">
        <v>120</v>
      </c>
      <c r="F72" s="154">
        <v>623400</v>
      </c>
      <c r="G72" s="155">
        <f t="shared" si="61"/>
        <v>635312</v>
      </c>
      <c r="H72" s="155">
        <f t="shared" si="62"/>
        <v>645522</v>
      </c>
      <c r="I72" s="155">
        <f t="shared" si="63"/>
        <v>663674</v>
      </c>
      <c r="J72" s="155"/>
      <c r="K72" s="155">
        <f t="shared" si="64"/>
        <v>673317</v>
      </c>
      <c r="L72" s="154">
        <v>46500</v>
      </c>
      <c r="M72" s="155"/>
      <c r="N72" s="155">
        <f t="shared" si="65"/>
        <v>681826</v>
      </c>
      <c r="O72" s="155">
        <v>825000</v>
      </c>
      <c r="P72" s="155">
        <f t="shared" si="66"/>
        <v>831111</v>
      </c>
      <c r="Q72" s="155">
        <f t="shared" si="67"/>
        <v>848765</v>
      </c>
      <c r="R72" s="155">
        <f t="shared" si="68"/>
        <v>892901</v>
      </c>
      <c r="S72" s="155">
        <f t="shared" si="69"/>
        <v>952654</v>
      </c>
      <c r="T72" s="155">
        <f t="shared" si="70"/>
        <v>1004700</v>
      </c>
      <c r="U72" s="155"/>
      <c r="V72" s="155">
        <v>71400</v>
      </c>
      <c r="W72" s="155">
        <f t="shared" si="71"/>
        <v>75400</v>
      </c>
      <c r="X72" s="155"/>
      <c r="Y72" s="155">
        <f t="shared" si="72"/>
        <v>1024054</v>
      </c>
      <c r="Z72" s="155">
        <f t="shared" si="73"/>
        <v>1080100</v>
      </c>
      <c r="AA72" s="54">
        <f t="shared" si="74"/>
        <v>1059600</v>
      </c>
      <c r="AB72" s="54">
        <f t="shared" si="75"/>
        <v>79600</v>
      </c>
      <c r="AC72" s="54">
        <f t="shared" si="76"/>
        <v>1139200</v>
      </c>
      <c r="AD72" s="54">
        <v>1155000</v>
      </c>
      <c r="AE72" s="54">
        <v>84200</v>
      </c>
      <c r="AF72" s="54">
        <f t="shared" si="84"/>
        <v>1239200</v>
      </c>
      <c r="AG72" s="54">
        <f t="shared" si="86"/>
        <v>1287735.8490566039</v>
      </c>
      <c r="AH72" s="54">
        <f t="shared" si="78"/>
        <v>95280.931065353623</v>
      </c>
      <c r="AI72" s="54">
        <f t="shared" si="1"/>
        <v>1383016.7801219574</v>
      </c>
      <c r="AJ72" s="54">
        <v>1287735.8490566039</v>
      </c>
      <c r="AK72" s="54">
        <f t="shared" si="79"/>
        <v>95582.452999104746</v>
      </c>
      <c r="AL72" s="54">
        <f t="shared" si="80"/>
        <v>1383318.3020557086</v>
      </c>
      <c r="AM72" s="206">
        <f t="shared" si="81"/>
        <v>1368962.2641509434</v>
      </c>
      <c r="AN72" s="206">
        <f t="shared" si="82"/>
        <v>99125.335720680392</v>
      </c>
      <c r="AO72" s="206">
        <f t="shared" si="83"/>
        <v>1468087.5998716238</v>
      </c>
      <c r="AP72" s="67" t="s">
        <v>186</v>
      </c>
      <c r="AQ72" s="31"/>
      <c r="AR72" s="67" t="s">
        <v>222</v>
      </c>
      <c r="AS72" s="67" t="s">
        <v>222</v>
      </c>
      <c r="AT72" s="67" t="s">
        <v>223</v>
      </c>
      <c r="AU72" s="67" t="s">
        <v>224</v>
      </c>
      <c r="AV72" s="67" t="s">
        <v>224</v>
      </c>
      <c r="AW72" s="67" t="s">
        <v>224</v>
      </c>
      <c r="AX72" s="242" t="s">
        <v>226</v>
      </c>
      <c r="AY72" s="31"/>
    </row>
    <row r="73" spans="1:149" s="5" customFormat="1" ht="12.75" customHeight="1" x14ac:dyDescent="0.2">
      <c r="A73" s="34" t="s">
        <v>78</v>
      </c>
      <c r="B73" s="34" t="s">
        <v>103</v>
      </c>
      <c r="C73" s="34" t="s">
        <v>15</v>
      </c>
      <c r="D73" s="34" t="s">
        <v>116</v>
      </c>
      <c r="E73" s="169" t="s">
        <v>120</v>
      </c>
      <c r="F73" s="154">
        <v>1908500</v>
      </c>
      <c r="G73" s="155">
        <f t="shared" si="61"/>
        <v>1944968</v>
      </c>
      <c r="H73" s="155">
        <f t="shared" si="62"/>
        <v>1976226</v>
      </c>
      <c r="I73" s="155">
        <f t="shared" si="63"/>
        <v>2031797</v>
      </c>
      <c r="J73" s="155"/>
      <c r="K73" s="155">
        <f t="shared" si="64"/>
        <v>2061319</v>
      </c>
      <c r="L73" s="154">
        <v>280200</v>
      </c>
      <c r="M73" s="155"/>
      <c r="N73" s="155">
        <f t="shared" si="65"/>
        <v>2087368</v>
      </c>
      <c r="O73" s="155">
        <v>2567250</v>
      </c>
      <c r="P73" s="155">
        <f t="shared" si="66"/>
        <v>2586267</v>
      </c>
      <c r="Q73" s="155">
        <f t="shared" si="67"/>
        <v>2641204</v>
      </c>
      <c r="R73" s="155">
        <f t="shared" si="68"/>
        <v>2778547</v>
      </c>
      <c r="S73" s="155">
        <f t="shared" si="69"/>
        <v>2964488</v>
      </c>
      <c r="T73" s="155">
        <f t="shared" si="70"/>
        <v>3126500</v>
      </c>
      <c r="U73" s="155"/>
      <c r="V73" s="155">
        <v>336373</v>
      </c>
      <c r="W73" s="155">
        <f t="shared" si="71"/>
        <v>354900</v>
      </c>
      <c r="X73" s="155"/>
      <c r="Y73" s="155">
        <f t="shared" si="72"/>
        <v>3300861</v>
      </c>
      <c r="Z73" s="155">
        <f t="shared" si="73"/>
        <v>3481400</v>
      </c>
      <c r="AA73" s="54">
        <f t="shared" si="74"/>
        <v>3297300</v>
      </c>
      <c r="AB73" s="54">
        <f t="shared" si="75"/>
        <v>374500</v>
      </c>
      <c r="AC73" s="54">
        <f t="shared" si="76"/>
        <v>3671800</v>
      </c>
      <c r="AD73" s="54">
        <v>3720000</v>
      </c>
      <c r="AE73" s="54">
        <v>366025</v>
      </c>
      <c r="AF73" s="54">
        <f t="shared" si="84"/>
        <v>4086025</v>
      </c>
      <c r="AG73" s="54">
        <f t="shared" si="86"/>
        <v>4147512.8644939968</v>
      </c>
      <c r="AH73" s="54">
        <f t="shared" si="78"/>
        <v>414194.80752014322</v>
      </c>
      <c r="AI73" s="54">
        <f t="shared" si="1"/>
        <v>4561707.6720141396</v>
      </c>
      <c r="AJ73" s="54">
        <v>4147512.8644939968</v>
      </c>
      <c r="AK73" s="54">
        <f t="shared" si="79"/>
        <v>415505.55058191583</v>
      </c>
      <c r="AL73" s="54">
        <f t="shared" si="80"/>
        <v>4563018.4150759131</v>
      </c>
      <c r="AM73" s="206">
        <f t="shared" si="81"/>
        <v>4409125.2144082338</v>
      </c>
      <c r="AN73" s="206">
        <f t="shared" si="82"/>
        <v>430906.78155774396</v>
      </c>
      <c r="AO73" s="206">
        <f t="shared" si="83"/>
        <v>4840031.9959659781</v>
      </c>
      <c r="AP73" s="67" t="s">
        <v>186</v>
      </c>
      <c r="AQ73" s="31"/>
      <c r="AR73" s="67" t="s">
        <v>222</v>
      </c>
      <c r="AS73" s="67" t="s">
        <v>222</v>
      </c>
      <c r="AT73" s="67" t="s">
        <v>223</v>
      </c>
      <c r="AU73" s="67" t="s">
        <v>224</v>
      </c>
      <c r="AV73" s="67" t="s">
        <v>224</v>
      </c>
      <c r="AW73" s="67" t="s">
        <v>224</v>
      </c>
      <c r="AX73" s="242" t="s">
        <v>226</v>
      </c>
      <c r="AY73" s="31"/>
    </row>
    <row r="74" spans="1:149" s="5" customFormat="1" ht="12.75" customHeight="1" x14ac:dyDescent="0.2">
      <c r="A74" s="34" t="s">
        <v>19</v>
      </c>
      <c r="B74" s="34" t="s">
        <v>103</v>
      </c>
      <c r="C74" s="34" t="s">
        <v>15</v>
      </c>
      <c r="D74" s="34" t="s">
        <v>18</v>
      </c>
      <c r="E74" s="169" t="s">
        <v>120</v>
      </c>
      <c r="F74" s="154">
        <v>565700</v>
      </c>
      <c r="G74" s="155">
        <f t="shared" si="61"/>
        <v>576510</v>
      </c>
      <c r="H74" s="155">
        <f t="shared" si="62"/>
        <v>585775</v>
      </c>
      <c r="I74" s="155">
        <f t="shared" si="63"/>
        <v>602247</v>
      </c>
      <c r="J74" s="155"/>
      <c r="K74" s="155">
        <f t="shared" si="64"/>
        <v>610998</v>
      </c>
      <c r="L74" s="154">
        <v>61200</v>
      </c>
      <c r="M74" s="155"/>
      <c r="N74" s="155">
        <f t="shared" si="65"/>
        <v>618719</v>
      </c>
      <c r="O74" s="155">
        <v>815000</v>
      </c>
      <c r="P74" s="155">
        <f t="shared" si="66"/>
        <v>821037</v>
      </c>
      <c r="Q74" s="155">
        <f t="shared" si="67"/>
        <v>838477</v>
      </c>
      <c r="R74" s="155">
        <f t="shared" si="68"/>
        <v>882078</v>
      </c>
      <c r="S74" s="155">
        <f t="shared" si="69"/>
        <v>941107</v>
      </c>
      <c r="T74" s="155">
        <f t="shared" si="70"/>
        <v>992600</v>
      </c>
      <c r="U74" s="155"/>
      <c r="V74" s="155">
        <v>71400</v>
      </c>
      <c r="W74" s="155">
        <f t="shared" si="71"/>
        <v>75400</v>
      </c>
      <c r="X74" s="155"/>
      <c r="Y74" s="155">
        <f t="shared" si="72"/>
        <v>1012507</v>
      </c>
      <c r="Z74" s="155">
        <f t="shared" si="73"/>
        <v>1068000</v>
      </c>
      <c r="AA74" s="54">
        <f t="shared" si="74"/>
        <v>1046900</v>
      </c>
      <c r="AB74" s="54">
        <f t="shared" si="75"/>
        <v>79600</v>
      </c>
      <c r="AC74" s="54">
        <f t="shared" si="76"/>
        <v>1126500</v>
      </c>
      <c r="AD74" s="54">
        <v>1140000</v>
      </c>
      <c r="AE74" s="54">
        <v>84200</v>
      </c>
      <c r="AF74" s="54">
        <f t="shared" si="84"/>
        <v>1224200</v>
      </c>
      <c r="AG74" s="54">
        <f t="shared" si="86"/>
        <v>1271012.0068610637</v>
      </c>
      <c r="AH74" s="54">
        <f t="shared" si="78"/>
        <v>95280.931065353623</v>
      </c>
      <c r="AI74" s="54">
        <f t="shared" si="1"/>
        <v>1366292.9379264172</v>
      </c>
      <c r="AJ74" s="54">
        <v>1271012.0068610637</v>
      </c>
      <c r="AK74" s="54">
        <f t="shared" si="79"/>
        <v>95582.452999104746</v>
      </c>
      <c r="AL74" s="54">
        <f t="shared" si="80"/>
        <v>1366594.4598601684</v>
      </c>
      <c r="AM74" s="206">
        <f t="shared" si="81"/>
        <v>1351183.5334476845</v>
      </c>
      <c r="AN74" s="206">
        <f t="shared" si="82"/>
        <v>99125.335720680392</v>
      </c>
      <c r="AO74" s="206">
        <f t="shared" si="83"/>
        <v>1450308.8691683649</v>
      </c>
      <c r="AP74" s="67" t="s">
        <v>186</v>
      </c>
      <c r="AQ74" s="31"/>
      <c r="AR74" s="67" t="s">
        <v>222</v>
      </c>
      <c r="AS74" s="67" t="s">
        <v>222</v>
      </c>
      <c r="AT74" s="67" t="s">
        <v>223</v>
      </c>
      <c r="AU74" s="67" t="s">
        <v>224</v>
      </c>
      <c r="AV74" s="67" t="s">
        <v>224</v>
      </c>
      <c r="AW74" s="67" t="s">
        <v>224</v>
      </c>
      <c r="AX74" s="242" t="s">
        <v>226</v>
      </c>
      <c r="AY74" s="31"/>
    </row>
    <row r="75" spans="1:149" s="5" customFormat="1" ht="12.75" customHeight="1" x14ac:dyDescent="0.2">
      <c r="A75" s="34" t="s">
        <v>159</v>
      </c>
      <c r="B75" s="34" t="s">
        <v>86</v>
      </c>
      <c r="C75" s="34" t="s">
        <v>17</v>
      </c>
      <c r="D75" s="34" t="s">
        <v>18</v>
      </c>
      <c r="E75" s="169" t="s">
        <v>120</v>
      </c>
      <c r="F75" s="154">
        <v>661900</v>
      </c>
      <c r="G75" s="155">
        <f t="shared" si="61"/>
        <v>674548</v>
      </c>
      <c r="H75" s="155">
        <f t="shared" si="62"/>
        <v>685389</v>
      </c>
      <c r="I75" s="155">
        <f t="shared" si="63"/>
        <v>704662</v>
      </c>
      <c r="J75" s="155"/>
      <c r="K75" s="155">
        <f t="shared" si="64"/>
        <v>714901</v>
      </c>
      <c r="L75" s="154">
        <v>46500</v>
      </c>
      <c r="M75" s="155"/>
      <c r="N75" s="155">
        <f t="shared" si="65"/>
        <v>723935</v>
      </c>
      <c r="O75" s="155">
        <v>850000</v>
      </c>
      <c r="P75" s="155">
        <f t="shared" si="66"/>
        <v>856296</v>
      </c>
      <c r="Q75" s="155">
        <f t="shared" si="67"/>
        <v>874485</v>
      </c>
      <c r="R75" s="155">
        <f t="shared" si="68"/>
        <v>919958</v>
      </c>
      <c r="S75" s="155">
        <f t="shared" si="69"/>
        <v>981522</v>
      </c>
      <c r="T75" s="155">
        <f t="shared" si="70"/>
        <v>1035200</v>
      </c>
      <c r="U75" s="155"/>
      <c r="V75" s="155">
        <v>71400</v>
      </c>
      <c r="W75" s="155">
        <f t="shared" si="71"/>
        <v>75400</v>
      </c>
      <c r="X75" s="155"/>
      <c r="Y75" s="155">
        <f t="shared" si="72"/>
        <v>1052922</v>
      </c>
      <c r="Z75" s="155">
        <f t="shared" si="73"/>
        <v>1110600</v>
      </c>
      <c r="AA75" s="54">
        <f t="shared" si="74"/>
        <v>1091800</v>
      </c>
      <c r="AB75" s="54">
        <f t="shared" si="75"/>
        <v>79600</v>
      </c>
      <c r="AC75" s="54">
        <f t="shared" si="76"/>
        <v>1171400</v>
      </c>
      <c r="AD75" s="54">
        <v>1200000</v>
      </c>
      <c r="AE75" s="54">
        <v>84200</v>
      </c>
      <c r="AF75" s="54">
        <f t="shared" si="84"/>
        <v>1284200</v>
      </c>
      <c r="AG75" s="54">
        <f t="shared" si="86"/>
        <v>1337907.3756432249</v>
      </c>
      <c r="AH75" s="54">
        <f t="shared" si="78"/>
        <v>95280.931065353623</v>
      </c>
      <c r="AI75" s="54">
        <f t="shared" si="1"/>
        <v>1433188.3067085785</v>
      </c>
      <c r="AJ75" s="54">
        <v>1337907.3756432249</v>
      </c>
      <c r="AK75" s="54">
        <f t="shared" si="79"/>
        <v>95582.452999104746</v>
      </c>
      <c r="AL75" s="54">
        <f t="shared" si="80"/>
        <v>1433489.8286423297</v>
      </c>
      <c r="AM75" s="206">
        <f t="shared" si="81"/>
        <v>1422298.4562607205</v>
      </c>
      <c r="AN75" s="206">
        <f t="shared" si="82"/>
        <v>99125.335720680392</v>
      </c>
      <c r="AO75" s="206">
        <f t="shared" si="83"/>
        <v>1521423.7919814009</v>
      </c>
      <c r="AP75" s="67" t="s">
        <v>186</v>
      </c>
      <c r="AQ75" s="31"/>
      <c r="AR75" s="67" t="s">
        <v>222</v>
      </c>
      <c r="AS75" s="67" t="s">
        <v>222</v>
      </c>
      <c r="AT75" s="67" t="s">
        <v>223</v>
      </c>
      <c r="AU75" s="67" t="s">
        <v>224</v>
      </c>
      <c r="AV75" s="67" t="s">
        <v>224</v>
      </c>
      <c r="AW75" s="67" t="s">
        <v>224</v>
      </c>
      <c r="AX75" s="242" t="s">
        <v>226</v>
      </c>
      <c r="AY75" s="31"/>
    </row>
    <row r="76" spans="1:149" s="5" customFormat="1" ht="12.75" customHeight="1" x14ac:dyDescent="0.2">
      <c r="A76" s="34" t="s">
        <v>22</v>
      </c>
      <c r="B76" s="34" t="s">
        <v>86</v>
      </c>
      <c r="C76" s="34" t="s">
        <v>17</v>
      </c>
      <c r="D76" s="34" t="s">
        <v>179</v>
      </c>
      <c r="E76" s="169" t="s">
        <v>120</v>
      </c>
      <c r="F76" s="154">
        <v>2710200</v>
      </c>
      <c r="G76" s="155">
        <f t="shared" si="61"/>
        <v>2761987</v>
      </c>
      <c r="H76" s="155">
        <f t="shared" si="62"/>
        <v>2806376</v>
      </c>
      <c r="I76" s="155">
        <f t="shared" si="63"/>
        <v>2885290</v>
      </c>
      <c r="J76" s="155"/>
      <c r="K76" s="155">
        <f t="shared" si="64"/>
        <v>2927213</v>
      </c>
      <c r="L76" s="154">
        <v>321900</v>
      </c>
      <c r="M76" s="155"/>
      <c r="N76" s="155">
        <f t="shared" si="65"/>
        <v>2964204</v>
      </c>
      <c r="O76" s="155">
        <v>3202200</v>
      </c>
      <c r="P76" s="155">
        <f t="shared" si="66"/>
        <v>3225920</v>
      </c>
      <c r="Q76" s="155">
        <f t="shared" si="67"/>
        <v>3294444</v>
      </c>
      <c r="R76" s="155">
        <f t="shared" si="68"/>
        <v>3465755</v>
      </c>
      <c r="S76" s="155">
        <f t="shared" si="69"/>
        <v>3697684</v>
      </c>
      <c r="T76" s="173">
        <f t="shared" si="70"/>
        <v>3899700</v>
      </c>
      <c r="U76" s="173"/>
      <c r="V76" s="173">
        <v>424035</v>
      </c>
      <c r="W76" s="173">
        <f t="shared" si="71"/>
        <v>447400</v>
      </c>
      <c r="X76" s="173"/>
      <c r="Y76" s="173">
        <f t="shared" si="72"/>
        <v>4121719</v>
      </c>
      <c r="Z76" s="173">
        <f t="shared" si="73"/>
        <v>4347100</v>
      </c>
      <c r="AA76" s="54">
        <f t="shared" si="74"/>
        <v>4112800</v>
      </c>
      <c r="AB76" s="54">
        <f t="shared" si="75"/>
        <v>472100</v>
      </c>
      <c r="AC76" s="54">
        <f t="shared" si="76"/>
        <v>4584900</v>
      </c>
      <c r="AD76" s="54">
        <v>4625400</v>
      </c>
      <c r="AE76" s="54">
        <v>523420</v>
      </c>
      <c r="AF76" s="54">
        <f t="shared" si="84"/>
        <v>5148820</v>
      </c>
      <c r="AG76" s="54">
        <f t="shared" si="86"/>
        <v>5156963.97941681</v>
      </c>
      <c r="AH76" s="54">
        <f t="shared" si="78"/>
        <v>592303.38406445831</v>
      </c>
      <c r="AI76" s="54">
        <f t="shared" si="1"/>
        <v>5749267.3634812683</v>
      </c>
      <c r="AJ76" s="54">
        <v>5156963.97941681</v>
      </c>
      <c r="AK76" s="54">
        <f t="shared" si="79"/>
        <v>594177.7618621306</v>
      </c>
      <c r="AL76" s="54">
        <f t="shared" si="80"/>
        <v>5751141.7412789408</v>
      </c>
      <c r="AM76" s="206">
        <f t="shared" si="81"/>
        <v>5482249.3996569468</v>
      </c>
      <c r="AN76" s="206">
        <f t="shared" si="82"/>
        <v>616201.70098478056</v>
      </c>
      <c r="AO76" s="206">
        <f t="shared" si="83"/>
        <v>6098451.1006417274</v>
      </c>
      <c r="AP76" s="67" t="s">
        <v>186</v>
      </c>
      <c r="AQ76" s="31"/>
      <c r="AR76" s="67" t="s">
        <v>222</v>
      </c>
      <c r="AS76" s="67" t="s">
        <v>222</v>
      </c>
      <c r="AT76" s="67" t="s">
        <v>223</v>
      </c>
      <c r="AU76" s="67" t="s">
        <v>224</v>
      </c>
      <c r="AV76" s="67" t="s">
        <v>224</v>
      </c>
      <c r="AW76" s="67" t="s">
        <v>224</v>
      </c>
      <c r="AX76" s="242" t="s">
        <v>226</v>
      </c>
      <c r="AY76" s="31"/>
    </row>
    <row r="77" spans="1:149" ht="12.75" customHeight="1" x14ac:dyDescent="0.2">
      <c r="A77" s="34" t="s">
        <v>27</v>
      </c>
      <c r="B77" s="34" t="s">
        <v>92</v>
      </c>
      <c r="C77" s="34" t="s">
        <v>14</v>
      </c>
      <c r="D77" s="34" t="s">
        <v>180</v>
      </c>
      <c r="E77" s="169" t="s">
        <v>120</v>
      </c>
      <c r="F77" s="154">
        <v>1332500</v>
      </c>
      <c r="G77" s="155">
        <f t="shared" si="61"/>
        <v>1357962</v>
      </c>
      <c r="H77" s="155">
        <f t="shared" si="62"/>
        <v>1379786</v>
      </c>
      <c r="I77" s="155">
        <f t="shared" si="63"/>
        <v>1418585</v>
      </c>
      <c r="J77" s="155"/>
      <c r="K77" s="155">
        <f t="shared" si="64"/>
        <v>1439197</v>
      </c>
      <c r="L77" s="154">
        <v>172100</v>
      </c>
      <c r="M77" s="155"/>
      <c r="N77" s="155">
        <f t="shared" si="65"/>
        <v>1457384</v>
      </c>
      <c r="O77" s="155">
        <v>1506250</v>
      </c>
      <c r="P77" s="155">
        <f t="shared" si="66"/>
        <v>1517407</v>
      </c>
      <c r="Q77" s="155">
        <f t="shared" si="67"/>
        <v>1549640</v>
      </c>
      <c r="R77" s="155">
        <f t="shared" si="68"/>
        <v>1630221</v>
      </c>
      <c r="S77" s="155">
        <f t="shared" si="69"/>
        <v>1739316</v>
      </c>
      <c r="T77" s="173">
        <f t="shared" si="70"/>
        <v>1834400</v>
      </c>
      <c r="U77" s="173"/>
      <c r="V77" s="173">
        <v>239213</v>
      </c>
      <c r="W77" s="173">
        <f t="shared" si="71"/>
        <v>252400</v>
      </c>
      <c r="X77" s="173"/>
      <c r="Y77" s="173">
        <f t="shared" si="72"/>
        <v>1978529</v>
      </c>
      <c r="Z77" s="173">
        <f t="shared" si="73"/>
        <v>2086800</v>
      </c>
      <c r="AA77" s="54">
        <f t="shared" si="74"/>
        <v>1934700</v>
      </c>
      <c r="AB77" s="54">
        <f t="shared" si="75"/>
        <v>266400</v>
      </c>
      <c r="AC77" s="54">
        <f t="shared" si="76"/>
        <v>2201100</v>
      </c>
      <c r="AD77" s="54">
        <v>1998000</v>
      </c>
      <c r="AE77" s="54">
        <v>234438</v>
      </c>
      <c r="AF77" s="54">
        <f t="shared" si="84"/>
        <v>2232438</v>
      </c>
      <c r="AG77" s="54">
        <f t="shared" si="86"/>
        <v>2227615.7804459692</v>
      </c>
      <c r="AH77" s="54">
        <f t="shared" si="78"/>
        <v>265290.62846911367</v>
      </c>
      <c r="AI77" s="54">
        <f t="shared" ref="AI77:AI82" si="87">AG77+AH77</f>
        <v>2492906.4089150829</v>
      </c>
      <c r="AJ77" s="54">
        <v>2227615.7804459692</v>
      </c>
      <c r="AK77" s="54">
        <f t="shared" si="79"/>
        <v>266130.15577439568</v>
      </c>
      <c r="AL77" s="54">
        <f t="shared" si="80"/>
        <v>2493745.9362203646</v>
      </c>
      <c r="AM77" s="206">
        <f t="shared" si="81"/>
        <v>2368126.9296740997</v>
      </c>
      <c r="AN77" s="206">
        <f t="shared" si="82"/>
        <v>275994.60161145922</v>
      </c>
      <c r="AO77" s="206">
        <f t="shared" si="83"/>
        <v>2644121.5312855588</v>
      </c>
      <c r="AP77" s="67" t="s">
        <v>186</v>
      </c>
      <c r="AQ77" s="31"/>
      <c r="AR77" s="67" t="s">
        <v>222</v>
      </c>
      <c r="AS77" s="67" t="s">
        <v>222</v>
      </c>
      <c r="AT77" s="67" t="s">
        <v>223</v>
      </c>
      <c r="AU77" s="67" t="s">
        <v>224</v>
      </c>
      <c r="AV77" s="67" t="s">
        <v>224</v>
      </c>
      <c r="AW77" s="67" t="s">
        <v>224</v>
      </c>
      <c r="AX77" s="242" t="s">
        <v>226</v>
      </c>
      <c r="AY77" s="31"/>
    </row>
    <row r="78" spans="1:149" ht="12.75" customHeight="1" x14ac:dyDescent="0.2">
      <c r="A78" s="96"/>
      <c r="B78" s="97"/>
      <c r="C78" s="97"/>
      <c r="D78" s="97"/>
      <c r="E78" s="98"/>
      <c r="F78" s="99"/>
      <c r="G78" s="69"/>
      <c r="H78" s="69"/>
      <c r="I78" s="69"/>
      <c r="J78" s="69"/>
      <c r="K78" s="69"/>
      <c r="L78" s="9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54"/>
      <c r="AC78" s="54">
        <f t="shared" si="76"/>
        <v>0</v>
      </c>
      <c r="AD78" s="69"/>
      <c r="AE78" s="54"/>
      <c r="AF78" s="54">
        <f t="shared" si="84"/>
        <v>0</v>
      </c>
      <c r="AG78" s="69"/>
      <c r="AH78" s="69"/>
      <c r="AI78" s="54">
        <f t="shared" si="87"/>
        <v>0</v>
      </c>
      <c r="AJ78" s="69"/>
      <c r="AK78" s="7"/>
      <c r="AL78" s="69"/>
      <c r="AM78" s="69"/>
      <c r="AN78" s="69"/>
      <c r="AO78" s="69"/>
      <c r="AP78" s="5"/>
      <c r="AQ78" s="5"/>
      <c r="AR78" s="5"/>
      <c r="AS78" s="5"/>
      <c r="AT78" s="5"/>
      <c r="AU78" s="5"/>
      <c r="AV78" s="5"/>
      <c r="AW78" s="5"/>
      <c r="AX78" s="5"/>
    </row>
    <row r="79" spans="1:149" ht="12.75" customHeight="1" x14ac:dyDescent="0.2">
      <c r="A79" s="2" t="s">
        <v>8</v>
      </c>
      <c r="B79" s="14"/>
      <c r="C79" s="14"/>
      <c r="D79" s="8"/>
      <c r="E79" s="90"/>
      <c r="F79" s="9">
        <f t="shared" ref="F79:T79" si="88">SUM(F65:F77)</f>
        <v>19693300</v>
      </c>
      <c r="G79" s="9">
        <f t="shared" si="88"/>
        <v>20069606</v>
      </c>
      <c r="H79" s="9">
        <f t="shared" si="88"/>
        <v>20392151</v>
      </c>
      <c r="I79" s="9">
        <f t="shared" si="88"/>
        <v>20965571</v>
      </c>
      <c r="J79" s="55">
        <f t="shared" si="88"/>
        <v>0</v>
      </c>
      <c r="K79" s="9">
        <f t="shared" si="88"/>
        <v>21270199</v>
      </c>
      <c r="L79" s="9">
        <f t="shared" si="88"/>
        <v>2594700</v>
      </c>
      <c r="M79" s="55">
        <f t="shared" si="88"/>
        <v>0</v>
      </c>
      <c r="N79" s="9">
        <f t="shared" si="88"/>
        <v>21538989</v>
      </c>
      <c r="O79" s="9">
        <f t="shared" si="88"/>
        <v>24460400</v>
      </c>
      <c r="P79" s="9">
        <f t="shared" si="88"/>
        <v>24641588</v>
      </c>
      <c r="Q79" s="9">
        <f t="shared" si="88"/>
        <v>25165018</v>
      </c>
      <c r="R79" s="9">
        <f t="shared" si="88"/>
        <v>26473600</v>
      </c>
      <c r="S79" s="137">
        <f t="shared" si="88"/>
        <v>28245218</v>
      </c>
      <c r="T79" s="9">
        <f t="shared" si="88"/>
        <v>29788900</v>
      </c>
      <c r="U79" s="9"/>
      <c r="V79" s="137">
        <f>SUM(V65:V77)</f>
        <v>3272480</v>
      </c>
      <c r="W79" s="9">
        <f>SUM(W65:W77)</f>
        <v>3453300</v>
      </c>
      <c r="X79" s="9"/>
      <c r="Y79" s="9">
        <f>SUM(Y65:Y77)</f>
        <v>31517698</v>
      </c>
      <c r="Z79" s="9">
        <f>SUM(Z65:Z77)</f>
        <v>33242200</v>
      </c>
      <c r="AA79" s="177">
        <f>SUM(AA65:AA77)</f>
        <v>31416900</v>
      </c>
      <c r="AB79" s="178">
        <f>CEILING((W79*$BB$6/$BA$6),100)</f>
        <v>3643500</v>
      </c>
      <c r="AC79" s="178">
        <f t="shared" si="76"/>
        <v>35060400</v>
      </c>
      <c r="AD79" s="177">
        <f>SUM(AD65:AD77)</f>
        <v>44714100</v>
      </c>
      <c r="AE79" s="178">
        <f>SUM(AE65:AE77)</f>
        <v>3769045</v>
      </c>
      <c r="AF79" s="178">
        <f t="shared" si="84"/>
        <v>48483145</v>
      </c>
      <c r="AG79" s="193">
        <f>SUM(AG65:AG78)</f>
        <v>49852770.154373921</v>
      </c>
      <c r="AH79" s="193">
        <f>SUM(AH65:AH78)</f>
        <v>4265060.7699194262</v>
      </c>
      <c r="AI79" s="194">
        <f>SUM(AI65:AI78)</f>
        <v>54117830.924293369</v>
      </c>
      <c r="AJ79" s="193">
        <f>SUM(AJ65:AJ78)</f>
        <v>49852770.154373921</v>
      </c>
      <c r="AK79" s="145">
        <f>SUM(AK65:AK78)</f>
        <v>4278557.7976723369</v>
      </c>
      <c r="AL79" s="194">
        <f>AJ79+AK79</f>
        <v>54131327.95204626</v>
      </c>
      <c r="AM79" s="207">
        <f>SUM(AM65:AM78)</f>
        <v>52997329.502572894</v>
      </c>
      <c r="AN79" s="207">
        <f>SUM(AN65:AN78)</f>
        <v>4437147.8737690235</v>
      </c>
      <c r="AO79" s="207">
        <f>SUM(AO65:AO78)</f>
        <v>57434477.376341932</v>
      </c>
      <c r="AP79" s="4"/>
      <c r="AQ79" s="4"/>
      <c r="AR79" s="4"/>
      <c r="AS79" s="4"/>
      <c r="AT79" s="4"/>
      <c r="AU79" s="4"/>
      <c r="AV79" s="4"/>
      <c r="AW79" s="4"/>
      <c r="AX79" s="4"/>
      <c r="AY79" s="44"/>
    </row>
    <row r="80" spans="1:149" s="5" customFormat="1" ht="12.75" customHeight="1" x14ac:dyDescent="0.2">
      <c r="A80" s="6"/>
      <c r="B80" s="6"/>
      <c r="C80" s="6"/>
      <c r="D80" s="11"/>
      <c r="E80" s="91"/>
      <c r="F80" s="12"/>
      <c r="G80" s="12"/>
      <c r="H80" s="37"/>
      <c r="I80" s="47"/>
      <c r="J80" s="58"/>
      <c r="K80" s="58"/>
      <c r="L80" s="12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12"/>
      <c r="Z80" s="12"/>
      <c r="AA80" s="12"/>
      <c r="AB80" s="54"/>
      <c r="AC80" s="54"/>
      <c r="AD80" s="12"/>
      <c r="AE80" s="54"/>
      <c r="AF80" s="54"/>
      <c r="AG80" s="7"/>
      <c r="AH80" s="7"/>
      <c r="AI80" s="204"/>
      <c r="AJ80" s="7"/>
      <c r="AK80" s="7"/>
      <c r="AL80" s="7"/>
      <c r="AM80" s="7"/>
      <c r="AN80" s="7"/>
      <c r="AO80" s="7"/>
    </row>
    <row r="81" spans="1:51" s="5" customFormat="1" ht="12.75" customHeight="1" thickBot="1" x14ac:dyDescent="0.25">
      <c r="A81" s="1"/>
      <c r="B81" s="11"/>
      <c r="C81" s="11"/>
      <c r="D81" s="16"/>
      <c r="E81" s="92"/>
      <c r="F81" s="7"/>
      <c r="G81" s="7"/>
      <c r="H81" s="38"/>
      <c r="I81" s="48"/>
      <c r="J81" s="59"/>
      <c r="K81" s="59"/>
      <c r="L81" s="7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12"/>
      <c r="Z81" s="12"/>
      <c r="AA81" s="12"/>
      <c r="AB81" s="54"/>
      <c r="AC81" s="54"/>
      <c r="AD81" s="12"/>
      <c r="AE81" s="54"/>
      <c r="AF81" s="54"/>
      <c r="AG81" s="7"/>
      <c r="AH81" s="7"/>
      <c r="AI81" s="186"/>
      <c r="AJ81" s="7"/>
      <c r="AK81" s="7"/>
      <c r="AL81" s="7"/>
      <c r="AM81" s="7"/>
      <c r="AN81" s="7"/>
      <c r="AO81" s="7"/>
    </row>
    <row r="82" spans="1:51" s="13" customFormat="1" ht="12.75" customHeight="1" thickBot="1" x14ac:dyDescent="0.25">
      <c r="A82" s="17" t="s">
        <v>1</v>
      </c>
      <c r="B82" s="18"/>
      <c r="C82" s="18"/>
      <c r="D82" s="19"/>
      <c r="E82" s="80"/>
      <c r="F82" s="20"/>
      <c r="G82" s="20"/>
      <c r="H82" s="39"/>
      <c r="I82" s="49"/>
      <c r="J82" s="60"/>
      <c r="K82" s="60"/>
      <c r="L82" s="20"/>
      <c r="M82" s="60"/>
      <c r="N82" s="60"/>
      <c r="O82" s="60"/>
      <c r="P82" s="60"/>
      <c r="Q82" s="20"/>
      <c r="R82" s="20">
        <f>SUM(R62+R79+R14)</f>
        <v>94819416</v>
      </c>
      <c r="S82" s="141">
        <f>SUM(S62+S79+S14)</f>
        <v>101164748</v>
      </c>
      <c r="T82" s="142">
        <f>T14+T62+T79</f>
        <v>106693700</v>
      </c>
      <c r="U82" s="142"/>
      <c r="V82" s="142">
        <f>SUM(V62+V79+V14)</f>
        <v>8170917</v>
      </c>
      <c r="W82" s="142">
        <f>SUM(W62+W79+W14)</f>
        <v>8622100</v>
      </c>
      <c r="X82" s="142"/>
      <c r="Y82" s="141">
        <f>SUM(Y62+Y79+Y14)</f>
        <v>109335665</v>
      </c>
      <c r="Z82" s="142">
        <f>SUM(Z62+Z79+Z14)</f>
        <v>115315800</v>
      </c>
      <c r="AA82" s="179">
        <f>AA14+AA62+AA79</f>
        <v>114892800</v>
      </c>
      <c r="AB82" s="178">
        <f>CEILING((W82*$BB$6/$BA$6),100)</f>
        <v>9097000</v>
      </c>
      <c r="AC82" s="178">
        <f>AA82+AB82</f>
        <v>123989800</v>
      </c>
      <c r="AD82" s="179">
        <f>AD14+AD62+AD79</f>
        <v>136920275</v>
      </c>
      <c r="AE82" s="179">
        <f>AE14+AE62+AE79</f>
        <v>8952649</v>
      </c>
      <c r="AF82" s="189">
        <f>AD82+AE82</f>
        <v>145872924</v>
      </c>
      <c r="AG82" s="195">
        <f>AG14+AG62+AG79</f>
        <v>152613068.18181819</v>
      </c>
      <c r="AH82" s="195">
        <f>AH14+AH62+AH79</f>
        <v>10153881.425351132</v>
      </c>
      <c r="AI82" s="201">
        <f t="shared" si="87"/>
        <v>162766949.60716933</v>
      </c>
      <c r="AJ82" s="195">
        <f>AJ14+AJ62+AJ79</f>
        <v>153758068.18181819</v>
      </c>
      <c r="AK82" s="202">
        <f>AK14+AK62+AK79</f>
        <v>10236172.191507308</v>
      </c>
      <c r="AL82" s="195">
        <f>AJ82+AK82</f>
        <v>163994240.3733255</v>
      </c>
      <c r="AM82" s="210">
        <f>AM14+AM62+AM79</f>
        <v>163863226.91977835</v>
      </c>
      <c r="AN82" s="210">
        <f>AN14+AN62+AN79</f>
        <v>10615588.668637309</v>
      </c>
      <c r="AO82" s="210">
        <f>AO14+AO62+AO79</f>
        <v>174478815.58841568</v>
      </c>
      <c r="AP82" s="12"/>
      <c r="AQ82" s="12"/>
      <c r="AR82" s="12"/>
      <c r="AS82" s="12"/>
      <c r="AT82" s="12"/>
      <c r="AU82" s="12"/>
      <c r="AV82" s="12"/>
      <c r="AW82" s="12"/>
      <c r="AX82" s="12"/>
      <c r="AY82" s="12"/>
    </row>
    <row r="83" spans="1:51" ht="12.75" customHeight="1" thickTop="1" thickBot="1" x14ac:dyDescent="0.25">
      <c r="A83" s="71"/>
      <c r="B83" s="21"/>
      <c r="C83" s="21"/>
      <c r="D83" s="21"/>
      <c r="E83" s="93"/>
      <c r="F83" s="22"/>
      <c r="G83" s="22"/>
      <c r="H83" s="40"/>
      <c r="I83" s="50"/>
      <c r="J83" s="61"/>
      <c r="K83" s="61"/>
      <c r="L83" s="22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22"/>
      <c r="Z83" s="22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</row>
    <row r="84" spans="1:51" s="5" customFormat="1" ht="13.5" customHeight="1" x14ac:dyDescent="0.2">
      <c r="A84" s="6"/>
      <c r="B84" s="6"/>
      <c r="C84" s="6"/>
      <c r="D84" s="6"/>
      <c r="E84" s="89"/>
      <c r="F84" s="7"/>
      <c r="G84" s="7"/>
      <c r="H84" s="38"/>
      <c r="I84" s="48"/>
      <c r="J84" s="59"/>
      <c r="K84" s="59"/>
      <c r="L84" s="7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7"/>
      <c r="Z84" s="7"/>
      <c r="AA84" s="7"/>
      <c r="AB84" s="7"/>
      <c r="AC84" s="182">
        <v>6000000</v>
      </c>
      <c r="AD84" s="182"/>
      <c r="AE84" s="182"/>
      <c r="AF84" s="182">
        <v>6000000</v>
      </c>
      <c r="AG84" s="182"/>
      <c r="AH84" s="182"/>
      <c r="AI84" s="182"/>
      <c r="AJ84" s="7"/>
      <c r="AK84" s="7"/>
      <c r="AL84" s="7"/>
      <c r="AM84" s="7"/>
      <c r="AN84" s="7"/>
      <c r="AO84" s="7"/>
      <c r="AP84" s="6"/>
      <c r="AQ84" s="6"/>
      <c r="AR84" s="6"/>
      <c r="AS84" s="6"/>
      <c r="AT84" s="6"/>
      <c r="AU84" s="6"/>
      <c r="AV84" s="6"/>
      <c r="AW84" s="6"/>
      <c r="AX84" s="6"/>
      <c r="AY84" s="6"/>
    </row>
    <row r="85" spans="1:51" x14ac:dyDescent="0.2">
      <c r="A85" s="30"/>
      <c r="B85" s="30"/>
      <c r="C85" s="30"/>
      <c r="D85" s="29"/>
      <c r="E85" s="94"/>
      <c r="Z85" s="146" t="s">
        <v>168</v>
      </c>
      <c r="AA85" s="146"/>
      <c r="AB85" s="146"/>
      <c r="AC85" s="183"/>
      <c r="AD85" s="183"/>
      <c r="AE85" s="183"/>
      <c r="AF85" s="183"/>
      <c r="AG85" s="183"/>
      <c r="AH85" s="183"/>
      <c r="AI85" s="183"/>
      <c r="AJ85" s="218"/>
      <c r="AK85" s="218"/>
      <c r="AL85" s="218"/>
      <c r="AM85" s="218"/>
      <c r="AN85" s="218"/>
      <c r="AO85" s="218"/>
    </row>
    <row r="86" spans="1:51" x14ac:dyDescent="0.2">
      <c r="A86" s="6" t="s">
        <v>133</v>
      </c>
      <c r="AC86" s="184">
        <f>AC82+AC84</f>
        <v>129989800</v>
      </c>
      <c r="AD86" s="184"/>
      <c r="AE86" s="184"/>
      <c r="AF86" s="184">
        <f>AF82+AF84</f>
        <v>151872924</v>
      </c>
      <c r="AG86" s="184"/>
      <c r="AH86" s="184"/>
      <c r="AI86" s="184"/>
      <c r="AJ86" s="44"/>
      <c r="AK86" s="44"/>
      <c r="AL86" s="44"/>
      <c r="AM86" s="44"/>
      <c r="AN86" s="44"/>
      <c r="AO86" s="44"/>
    </row>
    <row r="87" spans="1:51" x14ac:dyDescent="0.2">
      <c r="A87" s="5" t="s">
        <v>123</v>
      </c>
      <c r="AJ87" s="44"/>
      <c r="AK87" s="44"/>
      <c r="AL87" s="44"/>
      <c r="AM87" s="44"/>
      <c r="AN87" s="44"/>
      <c r="AO87" s="44"/>
    </row>
    <row r="88" spans="1:51" x14ac:dyDescent="0.2">
      <c r="A88" s="5" t="s">
        <v>122</v>
      </c>
    </row>
    <row r="89" spans="1:51" x14ac:dyDescent="0.2">
      <c r="A89" s="6" t="s">
        <v>141</v>
      </c>
      <c r="T89" s="103"/>
      <c r="U89" s="103"/>
    </row>
    <row r="90" spans="1:51" x14ac:dyDescent="0.2">
      <c r="A90" s="6" t="s">
        <v>142</v>
      </c>
      <c r="T90" s="103"/>
      <c r="U90" s="103"/>
    </row>
    <row r="91" spans="1:51" x14ac:dyDescent="0.2">
      <c r="T91" s="103"/>
      <c r="U91" s="103"/>
    </row>
    <row r="92" spans="1:51" x14ac:dyDescent="0.2">
      <c r="T92" s="103"/>
      <c r="U92" s="103"/>
    </row>
    <row r="93" spans="1:51" x14ac:dyDescent="0.2">
      <c r="T93" s="103" t="s">
        <v>165</v>
      </c>
      <c r="U93" s="103"/>
    </row>
    <row r="94" spans="1:51" x14ac:dyDescent="0.2">
      <c r="T94" s="103" t="s">
        <v>165</v>
      </c>
      <c r="U94" s="103"/>
    </row>
    <row r="95" spans="1:51" x14ac:dyDescent="0.2">
      <c r="T95" s="103" t="s">
        <v>165</v>
      </c>
      <c r="U95" s="103"/>
    </row>
    <row r="96" spans="1:51" x14ac:dyDescent="0.2">
      <c r="T96" s="103" t="s">
        <v>165</v>
      </c>
      <c r="U96" s="103"/>
    </row>
    <row r="97" spans="20:21" x14ac:dyDescent="0.2">
      <c r="T97" s="103"/>
      <c r="U97" s="103"/>
    </row>
    <row r="98" spans="20:21" x14ac:dyDescent="0.2">
      <c r="T98" s="103"/>
      <c r="U98" s="103"/>
    </row>
    <row r="99" spans="20:21" x14ac:dyDescent="0.2">
      <c r="T99" s="103"/>
      <c r="U99" s="103"/>
    </row>
    <row r="100" spans="20:21" x14ac:dyDescent="0.2">
      <c r="T100" s="103"/>
      <c r="U100" s="103"/>
    </row>
    <row r="101" spans="20:21" x14ac:dyDescent="0.2">
      <c r="T101" s="103"/>
      <c r="U101" s="103"/>
    </row>
    <row r="102" spans="20:21" x14ac:dyDescent="0.2">
      <c r="T102" s="103"/>
      <c r="U102" s="103"/>
    </row>
    <row r="103" spans="20:21" x14ac:dyDescent="0.2">
      <c r="T103" s="103"/>
      <c r="U103" s="103"/>
    </row>
  </sheetData>
  <autoFilter ref="A1:A103"/>
  <sortState ref="A95:X115">
    <sortCondition ref="C95:C115"/>
    <sortCondition ref="A95:A115"/>
  </sortState>
  <mergeCells count="1">
    <mergeCell ref="AR7:AT7"/>
  </mergeCells>
  <phoneticPr fontId="0" type="noConversion"/>
  <pageMargins left="0.39370078740157483" right="0.39370078740157483" top="1.7716535433070868" bottom="0.9055118110236221" header="1.3779527559055118" footer="0.70866141732283472"/>
  <pageSetup paperSize="8" scale="78" fitToHeight="0" orientation="landscape"/>
  <headerFooter>
    <oddFooter>&amp;L&amp;F &amp;A&amp;C&amp;P&amp;R&amp;D</oddFooter>
  </headerFooter>
  <rowBreaks count="1" manualBreakCount="1">
    <brk id="63" max="20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specificatie!Afdrukbereik</vt:lpstr>
      <vt:lpstr>specificatie!Afdruktitels</vt:lpstr>
    </vt:vector>
  </TitlesOfParts>
  <Company>Raetsheren Van Orden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Cornelisse</dc:creator>
  <cp:lastModifiedBy>John van der Woude</cp:lastModifiedBy>
  <cp:lastPrinted>2023-03-22T08:05:17Z</cp:lastPrinted>
  <dcterms:created xsi:type="dcterms:W3CDTF">2001-03-06T14:35:03Z</dcterms:created>
  <dcterms:modified xsi:type="dcterms:W3CDTF">2025-10-05T09:24:58Z</dcterms:modified>
</cp:coreProperties>
</file>