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Brand\Europese Aanbestedingen\Scholen\HAS\Publiceren\"/>
    </mc:Choice>
  </mc:AlternateContent>
  <xr:revisionPtr revIDLastSave="0" documentId="13_ncr:1_{1A47DEEA-3FC7-4D68-A201-6641C77E3807}" xr6:coauthVersionLast="47" xr6:coauthVersionMax="47" xr10:uidLastSave="{00000000-0000-0000-0000-000000000000}"/>
  <bookViews>
    <workbookView xWindow="-108" yWindow="-108" windowWidth="23256" windowHeight="13896" xr2:uid="{61735FB4-A4DE-42E1-9588-60CFD9B13F09}"/>
  </bookViews>
  <sheets>
    <sheet name="Specificatie" sheetId="1" r:id="rId1"/>
    <sheet name="Taxaties" sheetId="8" r:id="rId2"/>
    <sheet name="Mutaties" sheetId="7" r:id="rId3"/>
    <sheet name="Verrekening Pro Rata-CAD" sheetId="3" state="hidden" r:id="rId4"/>
    <sheet name="Data" sheetId="4" state="hidden" r:id="rId5"/>
  </sheets>
  <definedNames>
    <definedName name="_xlnm._FilterDatabase" localSheetId="0" hidden="1">Specificatie!$A$1:$T$28</definedName>
    <definedName name="_xlnm.Print_Area" localSheetId="0">Specificatie!$A$1:$T$31</definedName>
    <definedName name="Bouwaard">Data!$B$2:$B$6</definedName>
    <definedName name="CAD">Data!$C$2:$C$3</definedName>
    <definedName name="courtage">#REF!</definedName>
    <definedName name="Interest">Data!$A$2:$A$17</definedName>
    <definedName name="Taxatie">Data!$D$2:$D$4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G6" i="7" l="1"/>
  <c r="AF6" i="7"/>
  <c r="AA7" i="7"/>
  <c r="AA6" i="7"/>
  <c r="Z7" i="7"/>
  <c r="Z6" i="7"/>
  <c r="A15" i="7"/>
  <c r="A14" i="7"/>
  <c r="A13" i="7"/>
  <c r="A11" i="7"/>
  <c r="A10" i="7"/>
  <c r="A9" i="7"/>
  <c r="D15" i="7"/>
  <c r="D14" i="7"/>
  <c r="D13" i="7"/>
  <c r="D11" i="7"/>
  <c r="D10" i="7"/>
  <c r="D9" i="7"/>
  <c r="C14" i="7"/>
  <c r="F14" i="7"/>
  <c r="K14" i="7" s="1"/>
  <c r="L14" i="7" s="1"/>
  <c r="O14" i="7"/>
  <c r="S14" i="7" s="1" a="1"/>
  <c r="S14" i="7" s="1"/>
  <c r="W14" i="7"/>
  <c r="X14" i="7"/>
  <c r="Y14" i="7"/>
  <c r="Z14" i="7"/>
  <c r="AA14" i="7"/>
  <c r="AB14" i="7"/>
  <c r="T14" i="7" l="1" a="1"/>
  <c r="T14" i="7" s="1"/>
  <c r="R14" i="7"/>
  <c r="U14" i="7"/>
  <c r="V14" i="7" l="1"/>
  <c r="C9" i="7" l="1"/>
  <c r="C10" i="7"/>
  <c r="C11" i="7"/>
  <c r="C12" i="7"/>
  <c r="C13" i="7"/>
  <c r="C15" i="7"/>
  <c r="AB10" i="7"/>
  <c r="AA10" i="7"/>
  <c r="Z10" i="7"/>
  <c r="Y10" i="7"/>
  <c r="X10" i="7"/>
  <c r="W10" i="7"/>
  <c r="O10" i="7"/>
  <c r="U10" i="7" s="1"/>
  <c r="F10" i="7"/>
  <c r="K10" i="7" s="1"/>
  <c r="L10" i="7" s="1"/>
  <c r="S10" i="7" l="1" a="1"/>
  <c r="S10" i="7" s="1"/>
  <c r="T10" i="7" a="1"/>
  <c r="T10" i="7" s="1"/>
  <c r="R10" i="7"/>
  <c r="V10" i="7" l="1"/>
  <c r="R18" i="1" l="1"/>
  <c r="P18" i="1" s="1"/>
  <c r="F11" i="7"/>
  <c r="R28" i="1"/>
  <c r="P28" i="1" s="1"/>
  <c r="R13" i="1"/>
  <c r="P13" i="1" s="1"/>
  <c r="R20" i="1"/>
  <c r="P20" i="1" s="1"/>
  <c r="O18" i="1" l="1"/>
  <c r="O20" i="1"/>
  <c r="O28" i="1"/>
  <c r="O13" i="1"/>
  <c r="R26" i="1" l="1"/>
  <c r="P26" i="1" s="1"/>
  <c r="R25" i="1"/>
  <c r="P25" i="1" s="1"/>
  <c r="R24" i="1"/>
  <c r="P24" i="1" s="1"/>
  <c r="R23" i="1"/>
  <c r="P23" i="1" s="1"/>
  <c r="R22" i="1"/>
  <c r="P22" i="1" s="1"/>
  <c r="O22" i="1" l="1"/>
  <c r="O23" i="1"/>
  <c r="O24" i="1"/>
  <c r="O25" i="1"/>
  <c r="O26" i="1"/>
  <c r="A16" i="3"/>
  <c r="X13" i="7"/>
  <c r="Y13" i="7"/>
  <c r="Z13" i="7"/>
  <c r="AA13" i="7"/>
  <c r="AB13" i="7"/>
  <c r="X15" i="7"/>
  <c r="Y15" i="7"/>
  <c r="Z15" i="7"/>
  <c r="AA15" i="7"/>
  <c r="AB15" i="7"/>
  <c r="X9" i="7"/>
  <c r="Y9" i="7"/>
  <c r="Z9" i="7"/>
  <c r="AA9" i="7"/>
  <c r="AB9" i="7"/>
  <c r="X12" i="7"/>
  <c r="Y12" i="7"/>
  <c r="Z12" i="7"/>
  <c r="AA12" i="7"/>
  <c r="AB12" i="7"/>
  <c r="AB11" i="7"/>
  <c r="AA11" i="7"/>
  <c r="Z11" i="7"/>
  <c r="Y11" i="7"/>
  <c r="X11" i="7"/>
  <c r="W13" i="7"/>
  <c r="W15" i="7"/>
  <c r="W9" i="7"/>
  <c r="W12" i="7"/>
  <c r="W11" i="7"/>
  <c r="F13" i="7"/>
  <c r="F15" i="7"/>
  <c r="F9" i="7"/>
  <c r="F12" i="7"/>
  <c r="D12" i="7"/>
  <c r="A12" i="7"/>
  <c r="R16" i="1"/>
  <c r="R17" i="1"/>
  <c r="R19" i="1"/>
  <c r="R21" i="1"/>
  <c r="P21" i="1" s="1"/>
  <c r="C33" i="3"/>
  <c r="B33" i="3"/>
  <c r="A33" i="3"/>
  <c r="C31" i="3"/>
  <c r="B31" i="3"/>
  <c r="A31" i="3"/>
  <c r="C32" i="3"/>
  <c r="B32" i="3"/>
  <c r="A32" i="3"/>
  <c r="C30" i="3"/>
  <c r="B30" i="3"/>
  <c r="A30" i="3"/>
  <c r="C29" i="3"/>
  <c r="B29" i="3"/>
  <c r="A29" i="3"/>
  <c r="C28" i="3"/>
  <c r="B28" i="3"/>
  <c r="A28" i="3"/>
  <c r="O21" i="1" l="1"/>
  <c r="C34" i="3"/>
  <c r="C18" i="3"/>
  <c r="C16" i="3"/>
  <c r="C17" i="3"/>
  <c r="C15" i="3"/>
  <c r="C14" i="3"/>
  <c r="C13" i="3"/>
  <c r="B13" i="3"/>
  <c r="B14" i="3"/>
  <c r="B15" i="3"/>
  <c r="B17" i="3"/>
  <c r="B16" i="3"/>
  <c r="B18" i="3"/>
  <c r="A18" i="3"/>
  <c r="A17" i="3"/>
  <c r="A15" i="3"/>
  <c r="A14" i="3"/>
  <c r="A13" i="3"/>
  <c r="S31" i="1"/>
  <c r="N31" i="1"/>
  <c r="J16" i="7"/>
  <c r="I16" i="7"/>
  <c r="H16" i="7"/>
  <c r="G16" i="7"/>
  <c r="O12" i="7"/>
  <c r="U12" i="7" s="1"/>
  <c r="AD6" i="7"/>
  <c r="AE6" i="7"/>
  <c r="AH6" i="7"/>
  <c r="AC6" i="7"/>
  <c r="X6" i="7"/>
  <c r="Y6" i="7"/>
  <c r="AB6" i="7"/>
  <c r="W6" i="7"/>
  <c r="W7" i="7"/>
  <c r="X7" i="7"/>
  <c r="Y7" i="7"/>
  <c r="AB7" i="7"/>
  <c r="AE10" i="7" l="1"/>
  <c r="AE14" i="7"/>
  <c r="AG10" i="7"/>
  <c r="AG14" i="7"/>
  <c r="AF10" i="7"/>
  <c r="AF14" i="7"/>
  <c r="AD10" i="7"/>
  <c r="AD14" i="7"/>
  <c r="AC10" i="7"/>
  <c r="AC14" i="7"/>
  <c r="AH10" i="7"/>
  <c r="AH14" i="7"/>
  <c r="S12" i="7" a="1"/>
  <c r="S12" i="7" s="1"/>
  <c r="T12" i="7" a="1"/>
  <c r="T12" i="7" s="1"/>
  <c r="R12" i="7"/>
  <c r="A4" i="7"/>
  <c r="A3" i="7"/>
  <c r="A2" i="7"/>
  <c r="A4" i="3"/>
  <c r="A3" i="3"/>
  <c r="A2" i="3"/>
  <c r="B4" i="7"/>
  <c r="B3" i="7"/>
  <c r="B2" i="7"/>
  <c r="O9" i="7"/>
  <c r="S9" i="7" s="1" a="1"/>
  <c r="S9" i="7" s="1"/>
  <c r="O15" i="7"/>
  <c r="S15" i="7" s="1" a="1"/>
  <c r="S15" i="7" s="1"/>
  <c r="O13" i="7"/>
  <c r="S13" i="7" s="1" a="1"/>
  <c r="S13" i="7" s="1"/>
  <c r="O11" i="7"/>
  <c r="AI10" i="7" l="1"/>
  <c r="AJ10" i="7" s="1" a="1"/>
  <c r="AJ10" i="7" s="1"/>
  <c r="AI14" i="7"/>
  <c r="AJ14" i="7" s="1" a="1"/>
  <c r="AJ14" i="7" s="1"/>
  <c r="V12" i="7"/>
  <c r="AG12" i="7" s="1"/>
  <c r="C19" i="3"/>
  <c r="K13" i="7"/>
  <c r="L13" i="7" s="1"/>
  <c r="K12" i="7"/>
  <c r="L12" i="7" s="1"/>
  <c r="K15" i="7"/>
  <c r="L15" i="7" s="1"/>
  <c r="R29" i="1" s="1"/>
  <c r="P29" i="1" s="1"/>
  <c r="K9" i="7"/>
  <c r="L9" i="7" s="1"/>
  <c r="R11" i="7"/>
  <c r="S11" i="7" a="1"/>
  <c r="S11" i="7" s="1"/>
  <c r="U11" i="7"/>
  <c r="U9" i="7"/>
  <c r="U15" i="7"/>
  <c r="U13" i="7"/>
  <c r="T11" i="7" a="1"/>
  <c r="T11" i="7" s="1"/>
  <c r="T9" i="7" a="1"/>
  <c r="T9" i="7" s="1"/>
  <c r="T15" i="7" a="1"/>
  <c r="T15" i="7" s="1"/>
  <c r="T13" i="7" a="1"/>
  <c r="T13" i="7" s="1"/>
  <c r="R9" i="7"/>
  <c r="R15" i="7"/>
  <c r="R13" i="7"/>
  <c r="O29" i="1" l="1"/>
  <c r="R30" i="1"/>
  <c r="P30" i="1" s="1"/>
  <c r="AF12" i="7"/>
  <c r="AC12" i="7"/>
  <c r="AE12" i="7"/>
  <c r="AH12" i="7"/>
  <c r="AD12" i="7"/>
  <c r="R14" i="1"/>
  <c r="P14" i="1" s="1"/>
  <c r="R12" i="1"/>
  <c r="P12" i="1" s="1"/>
  <c r="U16" i="7"/>
  <c r="S16" i="7"/>
  <c r="T16" i="7"/>
  <c r="R16" i="7"/>
  <c r="K11" i="7"/>
  <c r="K16" i="7" s="1"/>
  <c r="F16" i="7"/>
  <c r="V9" i="7"/>
  <c r="AH9" i="7" s="1"/>
  <c r="V11" i="7"/>
  <c r="V15" i="7"/>
  <c r="V13" i="7"/>
  <c r="O30" i="1" l="1"/>
  <c r="AI12" i="7"/>
  <c r="AJ12" i="7" s="1" a="1"/>
  <c r="AJ12" i="7" s="1"/>
  <c r="O12" i="1"/>
  <c r="O14" i="1"/>
  <c r="V16" i="7"/>
  <c r="AC9" i="7"/>
  <c r="AE9" i="7"/>
  <c r="AF9" i="7"/>
  <c r="AG9" i="7"/>
  <c r="AD9" i="7"/>
  <c r="AD13" i="7"/>
  <c r="AF13" i="7"/>
  <c r="AE13" i="7"/>
  <c r="AH13" i="7"/>
  <c r="AG13" i="7"/>
  <c r="AC13" i="7"/>
  <c r="AE15" i="7"/>
  <c r="AG15" i="7"/>
  <c r="AF15" i="7"/>
  <c r="AH15" i="7"/>
  <c r="AD15" i="7"/>
  <c r="AC15" i="7"/>
  <c r="AI15" i="7" l="1"/>
  <c r="AJ15" i="7" s="1" a="1"/>
  <c r="AJ15" i="7" s="1"/>
  <c r="AI9" i="7"/>
  <c r="AJ9" i="7" s="1" a="1"/>
  <c r="AJ9" i="7" s="1"/>
  <c r="AI13" i="7"/>
  <c r="AJ13" i="7" s="1" a="1"/>
  <c r="AJ13" i="7" s="1"/>
  <c r="AD11" i="7"/>
  <c r="AE11" i="7"/>
  <c r="AF11" i="7"/>
  <c r="AC11" i="7"/>
  <c r="P19" i="1"/>
  <c r="P17" i="1"/>
  <c r="P16" i="1"/>
  <c r="AG11" i="7"/>
  <c r="AH11" i="7"/>
  <c r="O17" i="1" l="1"/>
  <c r="O16" i="1"/>
  <c r="O19" i="1"/>
  <c r="D18" i="3"/>
  <c r="D33" i="3"/>
  <c r="D16" i="3"/>
  <c r="D31" i="3"/>
  <c r="D17" i="3"/>
  <c r="D32" i="3"/>
  <c r="D15" i="3"/>
  <c r="D30" i="3"/>
  <c r="D14" i="3"/>
  <c r="D29" i="3"/>
  <c r="D13" i="3"/>
  <c r="D28" i="3"/>
  <c r="AC16" i="7"/>
  <c r="AG16" i="7"/>
  <c r="AF16" i="7"/>
  <c r="AE16" i="7"/>
  <c r="AD16" i="7"/>
  <c r="AH16" i="7"/>
  <c r="AI11" i="7"/>
  <c r="AI16" i="7" s="1"/>
  <c r="D34" i="3" l="1"/>
  <c r="D19" i="3"/>
  <c r="L11" i="7"/>
  <c r="AJ11" i="7" a="1"/>
  <c r="AJ11" i="7" s="1"/>
  <c r="R15" i="1" l="1"/>
  <c r="P15" i="1" s="1"/>
  <c r="R27" i="1"/>
  <c r="P27" i="1" s="1"/>
  <c r="R11" i="1"/>
  <c r="P11" i="1" s="1"/>
  <c r="L16" i="7"/>
  <c r="O11" i="1" l="1"/>
  <c r="O27" i="1"/>
  <c r="O15" i="1"/>
  <c r="P31" i="1"/>
  <c r="R31" i="1"/>
  <c r="O31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<sst xmlns="http://schemas.openxmlformats.org/spreadsheetml/2006/main" count="342" uniqueCount="140">
  <si>
    <t>Van</t>
  </si>
  <si>
    <t>Tot</t>
  </si>
  <si>
    <t>-</t>
  </si>
  <si>
    <t>Mutaties</t>
  </si>
  <si>
    <t>Situatie voorgaande polis</t>
  </si>
  <si>
    <t>Verzekerde</t>
  </si>
  <si>
    <t>Certificaat</t>
  </si>
  <si>
    <t>Sub</t>
  </si>
  <si>
    <t>Verzekerde interest</t>
  </si>
  <si>
    <t>Bestemming</t>
  </si>
  <si>
    <t>Omschrijving</t>
  </si>
  <si>
    <t>Schadevergoedingstermijn</t>
  </si>
  <si>
    <t>Bouwaard</t>
  </si>
  <si>
    <t>Getaxeerd?</t>
  </si>
  <si>
    <t>Adres</t>
  </si>
  <si>
    <t>Postcode</t>
  </si>
  <si>
    <t>Plaats</t>
  </si>
  <si>
    <t>Land</t>
  </si>
  <si>
    <t>Vorkbedrag</t>
  </si>
  <si>
    <t>Verzekerde waarde</t>
  </si>
  <si>
    <t>Index nieuw</t>
  </si>
  <si>
    <t>Verz. Waarde Oud:</t>
  </si>
  <si>
    <t>Index oud</t>
  </si>
  <si>
    <t>Verzekeraar 1</t>
  </si>
  <si>
    <t>Verzekeraar 2</t>
  </si>
  <si>
    <t>Verzekeraar 3</t>
  </si>
  <si>
    <t>Verzekeraar 4</t>
  </si>
  <si>
    <t>Verzekeraar 5</t>
  </si>
  <si>
    <t>Verzekeraar 6</t>
  </si>
  <si>
    <t>Ja/Nee</t>
  </si>
  <si>
    <t>inclusief mutaties</t>
  </si>
  <si>
    <t>Getaxeerd</t>
  </si>
  <si>
    <t>Verzekerde Waarde</t>
  </si>
  <si>
    <t>Total</t>
  </si>
  <si>
    <t>Getaxeerde objecten</t>
  </si>
  <si>
    <t>Soort interest</t>
  </si>
  <si>
    <t>Taxateur</t>
  </si>
  <si>
    <t>Taxatiedatum</t>
  </si>
  <si>
    <t>Rapportnummer</t>
  </si>
  <si>
    <t>Vervalt op</t>
  </si>
  <si>
    <t>Mutatielijst</t>
  </si>
  <si>
    <t>Klant</t>
  </si>
  <si>
    <t>Omschrijving mutatie:</t>
  </si>
  <si>
    <t>Verzekerd bedrag</t>
  </si>
  <si>
    <t>Mutatiedatum</t>
  </si>
  <si>
    <t>Vervaldatum</t>
  </si>
  <si>
    <t>Dagen</t>
  </si>
  <si>
    <t>Dagen per jaar</t>
  </si>
  <si>
    <t>Sprake van CAD?</t>
  </si>
  <si>
    <t>Verrekeningen</t>
  </si>
  <si>
    <t>Aandelen</t>
  </si>
  <si>
    <t>Premieverrekening</t>
  </si>
  <si>
    <t>Totaal</t>
  </si>
  <si>
    <t>Omschrijving mutatie</t>
  </si>
  <si>
    <t>Subnummer</t>
  </si>
  <si>
    <t>Oud</t>
  </si>
  <si>
    <t>Investering Nieuw</t>
  </si>
  <si>
    <t>Investering bestaand</t>
  </si>
  <si>
    <t>Verlaging</t>
  </si>
  <si>
    <t>Afvoer</t>
  </si>
  <si>
    <t>Inclusief mutatie</t>
  </si>
  <si>
    <t>Som mutaties</t>
  </si>
  <si>
    <t>Investering nieuw2</t>
  </si>
  <si>
    <t>Investering bestaand2</t>
  </si>
  <si>
    <t>Verlaging2</t>
  </si>
  <si>
    <t>Afvoer2</t>
  </si>
  <si>
    <t>Verzekeraar 12</t>
  </si>
  <si>
    <t>Verzekeraar 23</t>
  </si>
  <si>
    <t>Verzekeraar 34</t>
  </si>
  <si>
    <t>Verzekeraar 45</t>
  </si>
  <si>
    <t>Verzekeraar 56</t>
  </si>
  <si>
    <t>Verzekeraar 67</t>
  </si>
  <si>
    <t>Totaal2</t>
  </si>
  <si>
    <t>Boeking</t>
  </si>
  <si>
    <t>Nee</t>
  </si>
  <si>
    <t xml:space="preserve">Termijn: </t>
  </si>
  <si>
    <t>Datum</t>
  </si>
  <si>
    <t>Verzekeraar</t>
  </si>
  <si>
    <t>Relatienummer</t>
  </si>
  <si>
    <t>Aandeel</t>
  </si>
  <si>
    <t>Verrekening Mutaties</t>
  </si>
  <si>
    <t>Boeking/restitutie</t>
  </si>
  <si>
    <t>Interest</t>
  </si>
  <si>
    <t>CAD</t>
  </si>
  <si>
    <t>Taxatie</t>
  </si>
  <si>
    <t>Ja</t>
  </si>
  <si>
    <t>Bedrijfsschade</t>
  </si>
  <si>
    <t>Hout, harde dekking</t>
  </si>
  <si>
    <t>Bedrijfsuitrusting</t>
  </si>
  <si>
    <t>Hout, rieten dekking</t>
  </si>
  <si>
    <t>Bedrijfsuitrusting (ongetaxeerd)</t>
  </si>
  <si>
    <t>Steen, harde dekking</t>
  </si>
  <si>
    <t>Bijzondere kosten</t>
  </si>
  <si>
    <t>Steen, rieten dekking</t>
  </si>
  <si>
    <t>Exploitatiekosten</t>
  </si>
  <si>
    <t>Gebouwen</t>
  </si>
  <si>
    <t>Gebouwen (ongetaxeerd)</t>
  </si>
  <si>
    <t>Goederen</t>
  </si>
  <si>
    <t>Goederen van derden</t>
  </si>
  <si>
    <t>Huurdersbelang</t>
  </si>
  <si>
    <t>Huurderving</t>
  </si>
  <si>
    <t>Opruimingskosten</t>
  </si>
  <si>
    <t>Overig</t>
  </si>
  <si>
    <t>Extra kosten</t>
  </si>
  <si>
    <t>School Gebouw</t>
  </si>
  <si>
    <t>5223DE</t>
  </si>
  <si>
    <t>s Hertogenbosch</t>
  </si>
  <si>
    <t>Venlo</t>
  </si>
  <si>
    <t>Sint-Oedenrode</t>
  </si>
  <si>
    <t>Herwijnen</t>
  </si>
  <si>
    <t>Empel / 's Hertogenbosch</t>
  </si>
  <si>
    <t>Spoorstraat 62</t>
  </si>
  <si>
    <t>Houtsestraat 26</t>
  </si>
  <si>
    <t>Zandsteeg 3</t>
  </si>
  <si>
    <t>Insectenlab verplaatsbare unit</t>
  </si>
  <si>
    <t>(kassen, kantoor, kantine, laboratorium, lokaal, koelcellen, etc)</t>
  </si>
  <si>
    <t>Empelsehoefweg 12</t>
  </si>
  <si>
    <t>5911KJ</t>
  </si>
  <si>
    <t>5492 TM</t>
  </si>
  <si>
    <t>4171 BH</t>
  </si>
  <si>
    <t>5236 BW</t>
  </si>
  <si>
    <t>alle adressen</t>
  </si>
  <si>
    <t>bibliotheekboeken, tijdschriften, cd's, dvd's, abonnementen</t>
  </si>
  <si>
    <t>uitleenapparatuur</t>
  </si>
  <si>
    <t>multifunctionals lease</t>
  </si>
  <si>
    <t xml:space="preserve">niet op vaste taxatie </t>
  </si>
  <si>
    <t>Leslokaal sensoren</t>
  </si>
  <si>
    <t>Inventaris inc. comput. app/ huurdersbelang</t>
  </si>
  <si>
    <t>Vervangende polis 3</t>
  </si>
  <si>
    <t>NLD</t>
  </si>
  <si>
    <t>Indexverschil</t>
  </si>
  <si>
    <t>Onderwijsboulevard 221</t>
  </si>
  <si>
    <t>Onderwijsboulevard 219-221</t>
  </si>
  <si>
    <t>Reconstructiekosten</t>
  </si>
  <si>
    <t>Troostwijk Taxaties B.V.</t>
  </si>
  <si>
    <t>235301-02-0</t>
  </si>
  <si>
    <t>adres</t>
  </si>
  <si>
    <t>Afvoeren locatie</t>
  </si>
  <si>
    <t>Westertoren</t>
  </si>
  <si>
    <t>HAS green academy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</si>
</sst>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164" formatCode="00"/>
    <numFmt numFmtId="165" formatCode="0.000\ \‰"/>
    <numFmt numFmtId="166" formatCode="_-* #,##0.00_-;\-* #,##0.00_-;_-* &quot;-&quot;??_-;_-@_-"/>
    <numFmt numFmtId="167" formatCode="_-[$€-2]* #,##0.00_-;\-[$€-2]* #,##0.00_-;_-[$€-2]* &quot;-&quot;??_-"/>
    <numFmt numFmtId="168" formatCode="0.0%"/>
  </numFmts>
  <fonts count="19" x14ac:knownFonts="1">
    <font>
      <sz val="11"/>
      <color theme="1"/>
      <name val="Calibri"/>
      <family val="2"/>
      <scheme val="minor"/>
    </font>
    <font>
      <sz val="10"/>
      <color theme="1"/>
      <name val="Century"/>
      <family val="1"/>
    </font>
    <font>
      <sz val="11"/>
      <color theme="1"/>
      <name val="Calibri"/>
      <family val="2"/>
      <scheme val="minor"/>
    </font>
    <font>
      <b/>
      <i/>
      <sz val="11"/>
      <color theme="1"/>
      <name val="Arial"/>
      <family val="2"/>
    </font>
    <font>
      <sz val="10"/>
      <color rgb="FF000000"/>
      <name val="Times New Roman"/>
      <family val="1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Verdana Pro Cond"/>
      <family val="2"/>
    </font>
    <font>
      <sz val="11"/>
      <color theme="1"/>
      <name val="Verdana Pro Cond"/>
      <family val="2"/>
    </font>
    <font>
      <sz val="10"/>
      <name val="Arial"/>
      <family val="2"/>
    </font>
    <font>
      <b/>
      <i/>
      <sz val="10"/>
      <color theme="1"/>
      <name val="Verdana Pro Cond"/>
      <family val="2"/>
    </font>
    <font>
      <i/>
      <sz val="11"/>
      <color theme="1"/>
      <name val="Calibri"/>
      <family val="2"/>
      <scheme val="minor"/>
    </font>
    <font>
      <b/>
      <i/>
      <sz val="12"/>
      <color theme="1"/>
      <name val="Verdana Pro Cond"/>
      <family val="2"/>
    </font>
    <font>
      <sz val="10"/>
      <color theme="1"/>
      <name val="Verdana Pro Cond"/>
      <family val="2"/>
    </font>
    <font>
      <i/>
      <sz val="12"/>
      <color theme="1"/>
      <name val="Verdana Pro Cond"/>
      <family val="2"/>
    </font>
    <font>
      <sz val="11"/>
      <color rgb="FFFF0000"/>
      <name val="Calibri"/>
      <family val="2"/>
      <scheme val="minor"/>
    </font>
    <font>
      <sz val="10"/>
      <name val="Verdana Pro Cond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7" tint="0.39997558519241921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  <xf numFmtId="0" fontId="2" fillId="0" borderId="0"/>
    <xf numFmtId="0" fontId="11" fillId="0" borderId="0"/>
    <xf numFmtId="166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205">
    <xf numFmtId="0" fontId="0" fillId="0" borderId="0" xfId="0"/>
    <xf numFmtId="0" fontId="6" fillId="0" borderId="0" xfId="0" applyFont="1"/>
    <xf numFmtId="0" fontId="3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3" fillId="0" borderId="1" xfId="0" applyFont="1" applyBorder="1" applyAlignment="1">
      <alignment vertical="top"/>
    </xf>
    <xf numFmtId="0" fontId="10" fillId="7" borderId="9" xfId="0" applyFont="1" applyFill="1" applyBorder="1" applyAlignment="1">
      <alignment horizontal="left" vertical="top"/>
    </xf>
    <xf numFmtId="0" fontId="14" fillId="2" borderId="0" xfId="0" applyFont="1" applyFill="1" applyAlignment="1">
      <alignment vertical="top"/>
    </xf>
    <xf numFmtId="0" fontId="14" fillId="2" borderId="10" xfId="0" applyFont="1" applyFill="1" applyBorder="1" applyAlignment="1">
      <alignment vertical="top"/>
    </xf>
    <xf numFmtId="0" fontId="14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12" fillId="0" borderId="0" xfId="0" applyFont="1" applyAlignment="1">
      <alignment vertical="top"/>
    </xf>
    <xf numFmtId="0" fontId="12" fillId="4" borderId="3" xfId="0" applyFont="1" applyFill="1" applyBorder="1" applyAlignment="1">
      <alignment vertical="top"/>
    </xf>
    <xf numFmtId="0" fontId="12" fillId="4" borderId="3" xfId="0" applyFont="1" applyFill="1" applyBorder="1" applyAlignment="1">
      <alignment vertical="top" wrapText="1"/>
    </xf>
    <xf numFmtId="0" fontId="12" fillId="3" borderId="17" xfId="0" applyFont="1" applyFill="1" applyBorder="1" applyAlignment="1">
      <alignment vertical="top"/>
    </xf>
    <xf numFmtId="0" fontId="15" fillId="0" borderId="0" xfId="0" applyFont="1" applyAlignment="1">
      <alignment vertical="top" wrapText="1"/>
    </xf>
    <xf numFmtId="0" fontId="15" fillId="0" borderId="0" xfId="0" applyFont="1" applyAlignment="1">
      <alignment horizontal="center" vertical="top"/>
    </xf>
    <xf numFmtId="0" fontId="14" fillId="2" borderId="9" xfId="0" applyFont="1" applyFill="1" applyBorder="1"/>
    <xf numFmtId="0" fontId="14" fillId="2" borderId="0" xfId="0" applyFont="1" applyFill="1"/>
    <xf numFmtId="0" fontId="14" fillId="2" borderId="11" xfId="0" applyFont="1" applyFill="1" applyBorder="1"/>
    <xf numFmtId="0" fontId="14" fillId="2" borderId="12" xfId="0" applyFont="1" applyFill="1" applyBorder="1"/>
    <xf numFmtId="0" fontId="14" fillId="2" borderId="12" xfId="0" applyFont="1" applyFill="1" applyBorder="1" applyAlignment="1">
      <alignment vertical="top"/>
    </xf>
    <xf numFmtId="0" fontId="14" fillId="2" borderId="13" xfId="0" applyFont="1" applyFill="1" applyBorder="1" applyAlignment="1">
      <alignment vertical="top"/>
    </xf>
    <xf numFmtId="0" fontId="14" fillId="2" borderId="11" xfId="0" applyFont="1" applyFill="1" applyBorder="1" applyAlignment="1">
      <alignment vertical="top"/>
    </xf>
    <xf numFmtId="0" fontId="12" fillId="3" borderId="9" xfId="0" applyFont="1" applyFill="1" applyBorder="1" applyAlignment="1">
      <alignment vertical="top"/>
    </xf>
    <xf numFmtId="0" fontId="0" fillId="0" borderId="0" xfId="0" quotePrefix="1"/>
    <xf numFmtId="14" fontId="3" fillId="0" borderId="0" xfId="0" applyNumberFormat="1" applyFont="1" applyAlignment="1">
      <alignment vertical="top"/>
    </xf>
    <xf numFmtId="0" fontId="7" fillId="0" borderId="1" xfId="0" applyFont="1" applyBorder="1" applyAlignment="1">
      <alignment vertical="top"/>
    </xf>
    <xf numFmtId="14" fontId="8" fillId="0" borderId="1" xfId="0" applyNumberFormat="1" applyFont="1" applyBorder="1" applyAlignment="1">
      <alignment vertical="top"/>
    </xf>
    <xf numFmtId="0" fontId="12" fillId="4" borderId="16" xfId="0" applyFont="1" applyFill="1" applyBorder="1" applyAlignment="1" applyProtection="1">
      <alignment vertical="top"/>
      <protection locked="0"/>
    </xf>
    <xf numFmtId="0" fontId="14" fillId="2" borderId="9" xfId="0" applyFont="1" applyFill="1" applyBorder="1" applyAlignment="1" applyProtection="1">
      <alignment vertical="top"/>
      <protection locked="0"/>
    </xf>
    <xf numFmtId="0" fontId="12" fillId="4" borderId="24" xfId="0" applyFont="1" applyFill="1" applyBorder="1" applyAlignment="1" applyProtection="1">
      <alignment vertical="top"/>
      <protection locked="0"/>
    </xf>
    <xf numFmtId="0" fontId="9" fillId="7" borderId="11" xfId="0" applyFont="1" applyFill="1" applyBorder="1" applyAlignment="1">
      <alignment horizontal="left" vertical="top"/>
    </xf>
    <xf numFmtId="0" fontId="9" fillId="7" borderId="12" xfId="0" applyFont="1" applyFill="1" applyBorder="1" applyAlignment="1">
      <alignment horizontal="left" vertical="top"/>
    </xf>
    <xf numFmtId="0" fontId="10" fillId="7" borderId="12" xfId="0" applyFont="1" applyFill="1" applyBorder="1" applyAlignment="1">
      <alignment horizontal="left" vertical="top"/>
    </xf>
    <xf numFmtId="0" fontId="10" fillId="7" borderId="0" xfId="0" applyFont="1" applyFill="1" applyAlignment="1">
      <alignment horizontal="left" vertical="top"/>
    </xf>
    <xf numFmtId="0" fontId="0" fillId="7" borderId="0" xfId="0" applyFill="1" applyAlignment="1">
      <alignment horizontal="left" vertical="top"/>
    </xf>
    <xf numFmtId="0" fontId="0" fillId="0" borderId="0" xfId="0" applyAlignment="1">
      <alignment horizontal="left" vertical="top"/>
    </xf>
    <xf numFmtId="0" fontId="9" fillId="9" borderId="30" xfId="0" applyFont="1" applyFill="1" applyBorder="1" applyAlignment="1">
      <alignment horizontal="left" vertical="top"/>
    </xf>
    <xf numFmtId="0" fontId="12" fillId="8" borderId="31" xfId="5" applyFont="1" applyFill="1" applyBorder="1" applyAlignment="1">
      <alignment horizontal="left" vertical="top"/>
    </xf>
    <xf numFmtId="0" fontId="6" fillId="9" borderId="31" xfId="0" applyFont="1" applyFill="1" applyBorder="1" applyAlignment="1">
      <alignment horizontal="left" vertical="top"/>
    </xf>
    <xf numFmtId="0" fontId="9" fillId="5" borderId="18" xfId="0" applyFont="1" applyFill="1" applyBorder="1" applyAlignment="1">
      <alignment horizontal="left" vertical="top"/>
    </xf>
    <xf numFmtId="0" fontId="12" fillId="5" borderId="4" xfId="5" applyFont="1" applyFill="1" applyBorder="1" applyAlignment="1">
      <alignment horizontal="left" vertical="top"/>
    </xf>
    <xf numFmtId="0" fontId="9" fillId="5" borderId="4" xfId="0" applyFont="1" applyFill="1" applyBorder="1" applyAlignment="1">
      <alignment horizontal="center" vertical="top"/>
    </xf>
    <xf numFmtId="0" fontId="6" fillId="5" borderId="4" xfId="0" applyFont="1" applyFill="1" applyBorder="1" applyAlignment="1">
      <alignment horizontal="left" vertical="top"/>
    </xf>
    <xf numFmtId="0" fontId="6" fillId="5" borderId="4" xfId="0" applyFont="1" applyFill="1" applyBorder="1" applyAlignment="1">
      <alignment horizontal="center" vertical="top"/>
    </xf>
    <xf numFmtId="0" fontId="6" fillId="5" borderId="22" xfId="0" applyFont="1" applyFill="1" applyBorder="1" applyAlignment="1">
      <alignment horizontal="center" vertical="top"/>
    </xf>
    <xf numFmtId="0" fontId="6" fillId="5" borderId="18" xfId="0" applyFont="1" applyFill="1" applyBorder="1" applyAlignment="1">
      <alignment horizontal="center" vertical="top"/>
    </xf>
    <xf numFmtId="0" fontId="6" fillId="5" borderId="19" xfId="0" applyFont="1" applyFill="1" applyBorder="1" applyAlignment="1">
      <alignment horizontal="center" vertical="top"/>
    </xf>
    <xf numFmtId="0" fontId="6" fillId="5" borderId="25" xfId="0" applyFont="1" applyFill="1" applyBorder="1" applyAlignment="1">
      <alignment horizontal="center" vertical="top"/>
    </xf>
    <xf numFmtId="0" fontId="0" fillId="5" borderId="7" xfId="0" applyFill="1" applyBorder="1" applyAlignment="1">
      <alignment horizontal="left" vertical="top"/>
    </xf>
    <xf numFmtId="0" fontId="10" fillId="5" borderId="1" xfId="0" applyFont="1" applyFill="1" applyBorder="1" applyAlignment="1">
      <alignment horizontal="left" vertical="top"/>
    </xf>
    <xf numFmtId="0" fontId="10" fillId="5" borderId="1" xfId="0" applyFont="1" applyFill="1" applyBorder="1" applyAlignment="1">
      <alignment horizontal="left" vertical="top" wrapText="1"/>
    </xf>
    <xf numFmtId="0" fontId="0" fillId="5" borderId="1" xfId="0" applyFill="1" applyBorder="1" applyAlignment="1">
      <alignment horizontal="left" vertical="top"/>
    </xf>
    <xf numFmtId="0" fontId="6" fillId="5" borderId="5" xfId="0" applyFont="1" applyFill="1" applyBorder="1" applyAlignment="1">
      <alignment horizontal="left" vertical="top"/>
    </xf>
    <xf numFmtId="10" fontId="0" fillId="5" borderId="7" xfId="0" applyNumberFormat="1" applyFill="1" applyBorder="1" applyAlignment="1">
      <alignment horizontal="center" vertical="top"/>
    </xf>
    <xf numFmtId="10" fontId="0" fillId="5" borderId="1" xfId="0" applyNumberFormat="1" applyFill="1" applyBorder="1" applyAlignment="1">
      <alignment horizontal="center" vertical="top"/>
    </xf>
    <xf numFmtId="10" fontId="0" fillId="5" borderId="8" xfId="0" applyNumberFormat="1" applyFill="1" applyBorder="1" applyAlignment="1">
      <alignment horizontal="center" vertical="top"/>
    </xf>
    <xf numFmtId="0" fontId="0" fillId="5" borderId="6" xfId="0" applyFill="1" applyBorder="1" applyAlignment="1">
      <alignment horizontal="left" vertical="top"/>
    </xf>
    <xf numFmtId="0" fontId="0" fillId="5" borderId="8" xfId="0" applyFill="1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10" fillId="0" borderId="21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left" vertical="top"/>
    </xf>
    <xf numFmtId="0" fontId="10" fillId="0" borderId="21" xfId="0" applyFont="1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6" fillId="0" borderId="21" xfId="0" applyFont="1" applyBorder="1" applyAlignment="1">
      <alignment horizontal="left" vertical="top"/>
    </xf>
    <xf numFmtId="0" fontId="0" fillId="0" borderId="9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17" xfId="0" applyBorder="1" applyAlignment="1">
      <alignment horizontal="left" vertical="top"/>
    </xf>
    <xf numFmtId="44" fontId="0" fillId="0" borderId="27" xfId="0" applyNumberFormat="1" applyBorder="1" applyAlignment="1">
      <alignment horizontal="left" vertical="top"/>
    </xf>
    <xf numFmtId="44" fontId="0" fillId="0" borderId="28" xfId="0" applyNumberFormat="1" applyBorder="1" applyAlignment="1">
      <alignment horizontal="left" vertical="top"/>
    </xf>
    <xf numFmtId="0" fontId="17" fillId="0" borderId="0" xfId="0" applyFont="1" applyAlignment="1">
      <alignment horizontal="left" vertical="top"/>
    </xf>
    <xf numFmtId="0" fontId="14" fillId="2" borderId="13" xfId="0" applyFont="1" applyFill="1" applyBorder="1" applyAlignment="1">
      <alignment horizontal="center" vertical="top"/>
    </xf>
    <xf numFmtId="0" fontId="14" fillId="2" borderId="10" xfId="0" applyFont="1" applyFill="1" applyBorder="1" applyAlignment="1">
      <alignment horizontal="center" vertical="top"/>
    </xf>
    <xf numFmtId="0" fontId="16" fillId="2" borderId="9" xfId="0" applyFont="1" applyFill="1" applyBorder="1" applyAlignment="1">
      <alignment vertical="top"/>
    </xf>
    <xf numFmtId="0" fontId="14" fillId="2" borderId="32" xfId="0" applyFont="1" applyFill="1" applyBorder="1" applyAlignment="1">
      <alignment vertical="top"/>
    </xf>
    <xf numFmtId="0" fontId="14" fillId="2" borderId="35" xfId="0" applyFont="1" applyFill="1" applyBorder="1" applyAlignment="1">
      <alignment vertical="top"/>
    </xf>
    <xf numFmtId="0" fontId="8" fillId="0" borderId="1" xfId="0" applyFont="1" applyBorder="1" applyAlignment="1">
      <alignment vertical="top"/>
    </xf>
    <xf numFmtId="0" fontId="8" fillId="0" borderId="6" xfId="0" applyFont="1" applyBorder="1" applyAlignment="1">
      <alignment vertical="top"/>
    </xf>
    <xf numFmtId="44" fontId="8" fillId="0" borderId="5" xfId="2" applyFont="1" applyFill="1" applyBorder="1" applyAlignment="1">
      <alignment vertical="top"/>
    </xf>
    <xf numFmtId="0" fontId="7" fillId="0" borderId="25" xfId="0" applyFont="1" applyBorder="1" applyAlignment="1">
      <alignment vertical="top"/>
    </xf>
    <xf numFmtId="0" fontId="7" fillId="0" borderId="4" xfId="0" applyFont="1" applyBorder="1" applyAlignment="1">
      <alignment vertical="top"/>
    </xf>
    <xf numFmtId="0" fontId="7" fillId="0" borderId="22" xfId="0" applyFont="1" applyBorder="1" applyAlignment="1">
      <alignment vertical="top"/>
    </xf>
    <xf numFmtId="0" fontId="15" fillId="3" borderId="9" xfId="0" applyFont="1" applyFill="1" applyBorder="1" applyAlignment="1">
      <alignment vertical="top"/>
    </xf>
    <xf numFmtId="0" fontId="15" fillId="3" borderId="17" xfId="0" applyFont="1" applyFill="1" applyBorder="1" applyAlignment="1">
      <alignment vertical="top"/>
    </xf>
    <xf numFmtId="0" fontId="12" fillId="0" borderId="24" xfId="0" applyFont="1" applyBorder="1" applyAlignment="1" applyProtection="1">
      <alignment vertical="top"/>
      <protection locked="0"/>
    </xf>
    <xf numFmtId="0" fontId="12" fillId="0" borderId="3" xfId="0" applyFont="1" applyBorder="1" applyAlignment="1">
      <alignment vertical="top"/>
    </xf>
    <xf numFmtId="0" fontId="12" fillId="0" borderId="3" xfId="0" applyFont="1" applyBorder="1" applyAlignment="1">
      <alignment vertical="top" wrapText="1"/>
    </xf>
    <xf numFmtId="0" fontId="12" fillId="0" borderId="16" xfId="0" applyFont="1" applyBorder="1" applyAlignment="1">
      <alignment vertical="top"/>
    </xf>
    <xf numFmtId="0" fontId="12" fillId="0" borderId="17" xfId="0" applyFont="1" applyBorder="1" applyAlignment="1">
      <alignment vertical="top"/>
    </xf>
    <xf numFmtId="0" fontId="12" fillId="0" borderId="24" xfId="0" applyFont="1" applyBorder="1" applyAlignment="1">
      <alignment vertical="top"/>
    </xf>
    <xf numFmtId="0" fontId="15" fillId="0" borderId="9" xfId="0" applyFont="1" applyBorder="1" applyAlignment="1">
      <alignment vertical="top"/>
    </xf>
    <xf numFmtId="0" fontId="12" fillId="0" borderId="9" xfId="0" applyFont="1" applyBorder="1" applyAlignment="1">
      <alignment vertical="top"/>
    </xf>
    <xf numFmtId="0" fontId="9" fillId="5" borderId="22" xfId="0" applyFont="1" applyFill="1" applyBorder="1" applyAlignment="1">
      <alignment horizontal="center" vertical="top"/>
    </xf>
    <xf numFmtId="0" fontId="10" fillId="5" borderId="5" xfId="0" applyFont="1" applyFill="1" applyBorder="1" applyAlignment="1">
      <alignment horizontal="left" vertical="top"/>
    </xf>
    <xf numFmtId="0" fontId="10" fillId="5" borderId="6" xfId="0" applyFont="1" applyFill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6" fillId="9" borderId="30" xfId="0" applyFont="1" applyFill="1" applyBorder="1" applyAlignment="1">
      <alignment horizontal="left" vertical="top"/>
    </xf>
    <xf numFmtId="0" fontId="6" fillId="9" borderId="26" xfId="0" applyFont="1" applyFill="1" applyBorder="1" applyAlignment="1">
      <alignment horizontal="left" vertical="top"/>
    </xf>
    <xf numFmtId="0" fontId="6" fillId="5" borderId="18" xfId="0" applyFont="1" applyFill="1" applyBorder="1" applyAlignment="1">
      <alignment horizontal="left" vertical="top"/>
    </xf>
    <xf numFmtId="0" fontId="6" fillId="5" borderId="19" xfId="0" applyFont="1" applyFill="1" applyBorder="1" applyAlignment="1">
      <alignment horizontal="left" vertical="top"/>
    </xf>
    <xf numFmtId="168" fontId="8" fillId="0" borderId="1" xfId="1" applyNumberFormat="1" applyFont="1" applyFill="1" applyBorder="1" applyAlignment="1">
      <alignment vertical="top"/>
    </xf>
    <xf numFmtId="0" fontId="7" fillId="0" borderId="23" xfId="0" applyFont="1" applyBorder="1" applyAlignment="1">
      <alignment vertical="top"/>
    </xf>
    <xf numFmtId="0" fontId="7" fillId="0" borderId="2" xfId="0" applyFont="1" applyBorder="1" applyAlignment="1">
      <alignment vertical="top"/>
    </xf>
    <xf numFmtId="44" fontId="7" fillId="0" borderId="20" xfId="0" applyNumberFormat="1" applyFont="1" applyBorder="1" applyAlignment="1">
      <alignment vertical="top"/>
    </xf>
    <xf numFmtId="168" fontId="7" fillId="0" borderId="2" xfId="0" applyNumberFormat="1" applyFont="1" applyBorder="1" applyAlignment="1">
      <alignment vertical="top"/>
    </xf>
    <xf numFmtId="0" fontId="12" fillId="4" borderId="34" xfId="0" applyFont="1" applyFill="1" applyBorder="1" applyAlignment="1">
      <alignment vertical="top"/>
    </xf>
    <xf numFmtId="0" fontId="15" fillId="0" borderId="1" xfId="0" applyFont="1" applyBorder="1" applyAlignment="1" applyProtection="1">
      <alignment vertical="top"/>
      <protection locked="0"/>
    </xf>
    <xf numFmtId="164" fontId="15" fillId="0" borderId="1" xfId="0" quotePrefix="1" applyNumberFormat="1" applyFont="1" applyBorder="1" applyAlignment="1" applyProtection="1">
      <alignment horizontal="center" vertical="top"/>
      <protection locked="0"/>
    </xf>
    <xf numFmtId="0" fontId="15" fillId="0" borderId="1" xfId="0" applyFont="1" applyBorder="1" applyAlignment="1" applyProtection="1">
      <alignment vertical="top" wrapText="1"/>
      <protection locked="0"/>
    </xf>
    <xf numFmtId="44" fontId="15" fillId="0" borderId="1" xfId="2" applyFont="1" applyFill="1" applyBorder="1" applyAlignment="1" applyProtection="1">
      <alignment vertical="top"/>
      <protection locked="0"/>
    </xf>
    <xf numFmtId="44" fontId="15" fillId="0" borderId="1" xfId="2" applyFont="1" applyFill="1" applyBorder="1" applyAlignment="1">
      <alignment vertical="top"/>
    </xf>
    <xf numFmtId="164" fontId="0" fillId="0" borderId="0" xfId="0" applyNumberFormat="1"/>
    <xf numFmtId="14" fontId="0" fillId="0" borderId="0" xfId="0" applyNumberFormat="1"/>
    <xf numFmtId="0" fontId="10" fillId="0" borderId="20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44" fontId="0" fillId="0" borderId="1" xfId="2" applyFont="1" applyFill="1" applyBorder="1" applyAlignment="1" applyProtection="1">
      <alignment horizontal="left" vertical="top"/>
    </xf>
    <xf numFmtId="14" fontId="0" fillId="0" borderId="1" xfId="0" applyNumberFormat="1" applyBorder="1" applyAlignment="1">
      <alignment horizontal="left" vertical="top"/>
    </xf>
    <xf numFmtId="165" fontId="1" fillId="0" borderId="1" xfId="0" applyNumberFormat="1" applyFont="1" applyBorder="1" applyAlignment="1">
      <alignment horizontal="center" vertical="top"/>
    </xf>
    <xf numFmtId="44" fontId="0" fillId="0" borderId="37" xfId="2" applyFont="1" applyFill="1" applyBorder="1" applyAlignment="1" applyProtection="1">
      <alignment horizontal="left" vertical="top"/>
    </xf>
    <xf numFmtId="0" fontId="0" fillId="0" borderId="8" xfId="0" applyBorder="1" applyAlignment="1">
      <alignment horizontal="left" vertical="top"/>
    </xf>
    <xf numFmtId="164" fontId="0" fillId="0" borderId="5" xfId="0" applyNumberFormat="1" applyBorder="1" applyAlignment="1">
      <alignment horizontal="left" vertical="top"/>
    </xf>
    <xf numFmtId="44" fontId="0" fillId="0" borderId="36" xfId="2" applyFont="1" applyFill="1" applyBorder="1" applyAlignment="1" applyProtection="1">
      <alignment horizontal="left" vertical="top"/>
    </xf>
    <xf numFmtId="44" fontId="13" fillId="0" borderId="38" xfId="2" applyFont="1" applyFill="1" applyBorder="1" applyAlignment="1" applyProtection="1">
      <alignment horizontal="left" vertical="top"/>
    </xf>
    <xf numFmtId="44" fontId="0" fillId="0" borderId="7" xfId="2" applyFont="1" applyFill="1" applyBorder="1" applyAlignment="1" applyProtection="1">
      <alignment horizontal="left" vertical="top"/>
    </xf>
    <xf numFmtId="44" fontId="13" fillId="0" borderId="8" xfId="2" applyFont="1" applyFill="1" applyBorder="1" applyAlignment="1" applyProtection="1">
      <alignment horizontal="left" vertical="top"/>
    </xf>
    <xf numFmtId="14" fontId="0" fillId="0" borderId="7" xfId="0" applyNumberFormat="1" applyBorder="1" applyAlignment="1">
      <alignment horizontal="left" vertical="top"/>
    </xf>
    <xf numFmtId="44" fontId="0" fillId="0" borderId="36" xfId="0" applyNumberFormat="1" applyBorder="1" applyAlignment="1">
      <alignment horizontal="left" vertical="top"/>
    </xf>
    <xf numFmtId="44" fontId="13" fillId="0" borderId="38" xfId="0" applyNumberFormat="1" applyFont="1" applyBorder="1" applyAlignment="1">
      <alignment horizontal="left" vertical="top"/>
    </xf>
    <xf numFmtId="44" fontId="0" fillId="0" borderId="7" xfId="0" applyNumberFormat="1" applyBorder="1" applyAlignment="1">
      <alignment horizontal="left" vertical="top"/>
    </xf>
    <xf numFmtId="44" fontId="13" fillId="0" borderId="8" xfId="0" applyNumberFormat="1" applyFont="1" applyBorder="1" applyAlignment="1">
      <alignment horizontal="left" vertical="top"/>
    </xf>
    <xf numFmtId="44" fontId="0" fillId="0" borderId="40" xfId="2" applyFont="1" applyFill="1" applyBorder="1" applyAlignment="1" applyProtection="1">
      <alignment horizontal="left" vertical="top"/>
    </xf>
    <xf numFmtId="44" fontId="0" fillId="0" borderId="6" xfId="2" applyFont="1" applyFill="1" applyBorder="1" applyAlignment="1" applyProtection="1">
      <alignment horizontal="left" vertical="top"/>
    </xf>
    <xf numFmtId="165" fontId="1" fillId="0" borderId="7" xfId="0" applyNumberFormat="1" applyFont="1" applyBorder="1" applyAlignment="1">
      <alignment horizontal="center" vertical="top"/>
    </xf>
    <xf numFmtId="165" fontId="1" fillId="0" borderId="8" xfId="0" applyNumberFormat="1" applyFont="1" applyBorder="1" applyAlignment="1">
      <alignment horizontal="center" vertical="top"/>
    </xf>
    <xf numFmtId="14" fontId="14" fillId="2" borderId="0" xfId="0" applyNumberFormat="1" applyFont="1" applyFill="1"/>
    <xf numFmtId="14" fontId="14" fillId="2" borderId="0" xfId="0" applyNumberFormat="1" applyFont="1" applyFill="1" applyAlignment="1">
      <alignment vertical="top"/>
    </xf>
    <xf numFmtId="0" fontId="12" fillId="4" borderId="33" xfId="0" applyFont="1" applyFill="1" applyBorder="1" applyAlignment="1" applyProtection="1">
      <alignment vertical="top"/>
      <protection locked="0"/>
    </xf>
    <xf numFmtId="0" fontId="12" fillId="4" borderId="41" xfId="0" applyFont="1" applyFill="1" applyBorder="1" applyAlignment="1" applyProtection="1">
      <alignment vertical="top"/>
      <protection locked="0"/>
    </xf>
    <xf numFmtId="0" fontId="12" fillId="4" borderId="34" xfId="0" applyFont="1" applyFill="1" applyBorder="1" applyAlignment="1">
      <alignment vertical="top" wrapText="1"/>
    </xf>
    <xf numFmtId="0" fontId="12" fillId="3" borderId="11" xfId="0" applyFont="1" applyFill="1" applyBorder="1" applyAlignment="1">
      <alignment vertical="top"/>
    </xf>
    <xf numFmtId="0" fontId="12" fillId="3" borderId="29" xfId="0" applyFont="1" applyFill="1" applyBorder="1" applyAlignment="1">
      <alignment vertical="top"/>
    </xf>
    <xf numFmtId="0" fontId="12" fillId="0" borderId="16" xfId="0" applyFont="1" applyBorder="1" applyAlignment="1" applyProtection="1">
      <alignment vertical="top"/>
      <protection locked="0"/>
    </xf>
    <xf numFmtId="164" fontId="15" fillId="0" borderId="7" xfId="0" applyNumberFormat="1" applyFont="1" applyBorder="1" applyAlignment="1" applyProtection="1">
      <alignment vertical="top"/>
      <protection locked="0"/>
    </xf>
    <xf numFmtId="44" fontId="15" fillId="0" borderId="42" xfId="0" applyNumberFormat="1" applyFont="1" applyBorder="1" applyAlignment="1" applyProtection="1">
      <alignment vertical="top"/>
      <protection locked="0"/>
    </xf>
    <xf numFmtId="44" fontId="15" fillId="0" borderId="27" xfId="0" applyNumberFormat="1" applyFont="1" applyBorder="1" applyAlignment="1">
      <alignment vertical="top"/>
    </xf>
    <xf numFmtId="0" fontId="18" fillId="0" borderId="1" xfId="0" applyFont="1" applyBorder="1" applyAlignment="1">
      <alignment horizontal="left" vertical="top"/>
    </xf>
    <xf numFmtId="0" fontId="18" fillId="0" borderId="1" xfId="0" applyFont="1" applyBorder="1"/>
    <xf numFmtId="0" fontId="18" fillId="0" borderId="1" xfId="0" applyFont="1" applyBorder="1" applyAlignment="1">
      <alignment vertical="top" wrapText="1"/>
    </xf>
    <xf numFmtId="0" fontId="18" fillId="0" borderId="1" xfId="0" applyFont="1" applyBorder="1" applyAlignment="1">
      <alignment horizontal="left"/>
    </xf>
    <xf numFmtId="0" fontId="0" fillId="0" borderId="27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1" fillId="0" borderId="27" xfId="0" applyFont="1" applyBorder="1" applyAlignment="1">
      <alignment horizontal="center" vertical="top"/>
    </xf>
    <xf numFmtId="0" fontId="1" fillId="0" borderId="14" xfId="0" applyFont="1" applyBorder="1" applyAlignment="1">
      <alignment horizontal="center" vertical="top"/>
    </xf>
    <xf numFmtId="0" fontId="1" fillId="0" borderId="15" xfId="0" applyFont="1" applyBorder="1" applyAlignment="1">
      <alignment horizontal="center" vertical="top"/>
    </xf>
    <xf numFmtId="0" fontId="0" fillId="0" borderId="15" xfId="0" applyBorder="1" applyAlignment="1">
      <alignment horizontal="left" vertical="top"/>
    </xf>
    <xf numFmtId="0" fontId="12" fillId="10" borderId="17" xfId="0" applyFont="1" applyFill="1" applyBorder="1" applyAlignment="1">
      <alignment vertical="top"/>
    </xf>
    <xf numFmtId="0" fontId="12" fillId="10" borderId="24" xfId="0" applyFont="1" applyFill="1" applyBorder="1" applyAlignment="1">
      <alignment vertical="top"/>
    </xf>
    <xf numFmtId="0" fontId="0" fillId="0" borderId="37" xfId="0" applyBorder="1" applyAlignment="1">
      <alignment horizontal="left" vertical="top"/>
    </xf>
    <xf numFmtId="14" fontId="0" fillId="0" borderId="37" xfId="0" applyNumberFormat="1" applyBorder="1" applyAlignment="1">
      <alignment horizontal="left" vertical="top"/>
    </xf>
    <xf numFmtId="165" fontId="1" fillId="0" borderId="37" xfId="0" applyNumberFormat="1" applyFont="1" applyBorder="1" applyAlignment="1">
      <alignment horizontal="center" vertical="top"/>
    </xf>
    <xf numFmtId="0" fontId="0" fillId="0" borderId="38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164" fontId="0" fillId="0" borderId="39" xfId="0" applyNumberFormat="1" applyBorder="1" applyAlignment="1">
      <alignment horizontal="left" vertical="top"/>
    </xf>
    <xf numFmtId="14" fontId="0" fillId="0" borderId="36" xfId="0" applyNumberFormat="1" applyBorder="1" applyAlignment="1">
      <alignment horizontal="left" vertical="top"/>
    </xf>
    <xf numFmtId="165" fontId="1" fillId="0" borderId="36" xfId="0" applyNumberFormat="1" applyFont="1" applyBorder="1" applyAlignment="1">
      <alignment horizontal="center" vertical="top"/>
    </xf>
    <xf numFmtId="165" fontId="1" fillId="0" borderId="38" xfId="0" applyNumberFormat="1" applyFont="1" applyBorder="1" applyAlignment="1">
      <alignment horizontal="center" vertical="top"/>
    </xf>
    <xf numFmtId="0" fontId="12" fillId="10" borderId="29" xfId="0" applyFont="1" applyFill="1" applyBorder="1" applyAlignment="1">
      <alignment vertical="top"/>
    </xf>
    <xf numFmtId="0" fontId="12" fillId="10" borderId="41" xfId="0" applyFont="1" applyFill="1" applyBorder="1" applyAlignment="1">
      <alignment vertical="top"/>
    </xf>
    <xf numFmtId="0" fontId="15" fillId="0" borderId="42" xfId="0" applyFont="1" applyBorder="1" applyAlignment="1" applyProtection="1">
      <alignment vertical="top"/>
      <protection locked="0"/>
    </xf>
    <xf numFmtId="0" fontId="15" fillId="0" borderId="43" xfId="0" applyFont="1" applyBorder="1" applyAlignment="1" applyProtection="1">
      <alignment vertical="top"/>
      <protection locked="0"/>
    </xf>
    <xf numFmtId="0" fontId="15" fillId="0" borderId="44" xfId="0" applyFont="1" applyBorder="1" applyAlignment="1" applyProtection="1">
      <alignment horizontal="center" vertical="top"/>
      <protection locked="0"/>
    </xf>
    <xf numFmtId="0" fontId="15" fillId="0" borderId="44" xfId="0" applyFont="1" applyBorder="1" applyAlignment="1" applyProtection="1">
      <alignment vertical="top"/>
      <protection locked="0"/>
    </xf>
    <xf numFmtId="0" fontId="15" fillId="0" borderId="44" xfId="0" applyFont="1" applyBorder="1" applyAlignment="1" applyProtection="1">
      <alignment vertical="top" wrapText="1"/>
      <protection locked="0"/>
    </xf>
    <xf numFmtId="0" fontId="15" fillId="0" borderId="28" xfId="0" applyFont="1" applyBorder="1" applyAlignment="1" applyProtection="1">
      <alignment vertical="top"/>
      <protection locked="0"/>
    </xf>
    <xf numFmtId="0" fontId="15" fillId="0" borderId="15" xfId="0" applyFont="1" applyBorder="1" applyAlignment="1" applyProtection="1">
      <alignment vertical="top"/>
      <protection locked="0"/>
    </xf>
    <xf numFmtId="0" fontId="12" fillId="10" borderId="12" xfId="0" applyFont="1" applyFill="1" applyBorder="1" applyAlignment="1">
      <alignment vertical="top"/>
    </xf>
    <xf numFmtId="0" fontId="12" fillId="10" borderId="0" xfId="0" applyFont="1" applyFill="1" applyAlignment="1">
      <alignment vertical="top"/>
    </xf>
    <xf numFmtId="0" fontId="12" fillId="10" borderId="11" xfId="0" applyFont="1" applyFill="1" applyBorder="1" applyAlignment="1">
      <alignment vertical="top"/>
    </xf>
    <xf numFmtId="0" fontId="12" fillId="10" borderId="9" xfId="0" applyFont="1" applyFill="1" applyBorder="1" applyAlignment="1">
      <alignment vertical="top"/>
    </xf>
    <xf numFmtId="0" fontId="15" fillId="10" borderId="27" xfId="0" applyFont="1" applyFill="1" applyBorder="1" applyAlignment="1">
      <alignment vertical="top"/>
    </xf>
    <xf numFmtId="0" fontId="15" fillId="10" borderId="28" xfId="0" applyFont="1" applyFill="1" applyBorder="1" applyAlignment="1">
      <alignment vertical="top"/>
    </xf>
    <xf numFmtId="0" fontId="15" fillId="10" borderId="43" xfId="0" applyFont="1" applyFill="1" applyBorder="1" applyAlignment="1">
      <alignment vertical="top"/>
    </xf>
    <xf numFmtId="0" fontId="15" fillId="10" borderId="15" xfId="0" applyFont="1" applyFill="1" applyBorder="1" applyAlignment="1">
      <alignment vertical="top"/>
    </xf>
    <xf numFmtId="0" fontId="0" fillId="0" borderId="37" xfId="0" applyBorder="1" applyAlignment="1">
      <alignment horizontal="left" vertical="top" wrapText="1"/>
    </xf>
    <xf numFmtId="164" fontId="15" fillId="0" borderId="1" xfId="0" applyNumberFormat="1" applyFont="1" applyBorder="1" applyAlignment="1" applyProtection="1">
      <alignment vertical="top"/>
      <protection locked="0"/>
    </xf>
    <xf numFmtId="164" fontId="0" fillId="0" borderId="1" xfId="0" applyNumberFormat="1" applyBorder="1" applyAlignment="1">
      <alignment horizontal="left" vertical="top"/>
    </xf>
    <xf numFmtId="0" fontId="14" fillId="2" borderId="0" xfId="0" applyFont="1" applyFill="1" applyAlignment="1">
      <alignment horizontal="left" vertical="top"/>
    </xf>
    <xf numFmtId="14" fontId="14" fillId="2" borderId="0" xfId="0" applyNumberFormat="1" applyFont="1" applyFill="1" applyAlignment="1">
      <alignment horizontal="left" vertical="top"/>
    </xf>
    <xf numFmtId="0" fontId="12" fillId="4" borderId="13" xfId="0" applyFont="1" applyFill="1" applyBorder="1" applyAlignment="1">
      <alignment vertical="top"/>
    </xf>
    <xf numFmtId="0" fontId="12" fillId="4" borderId="10" xfId="0" applyFont="1" applyFill="1" applyBorder="1" applyAlignment="1">
      <alignment vertical="top"/>
    </xf>
    <xf numFmtId="0" fontId="15" fillId="4" borderId="42" xfId="0" applyFont="1" applyFill="1" applyBorder="1" applyAlignment="1" applyProtection="1">
      <alignment vertical="top"/>
      <protection locked="0"/>
    </xf>
    <xf numFmtId="0" fontId="15" fillId="4" borderId="43" xfId="0" applyFont="1" applyFill="1" applyBorder="1" applyAlignment="1" applyProtection="1">
      <alignment vertical="top"/>
      <protection locked="0"/>
    </xf>
    <xf numFmtId="0" fontId="15" fillId="4" borderId="44" xfId="0" applyFont="1" applyFill="1" applyBorder="1" applyAlignment="1">
      <alignment vertical="top"/>
    </xf>
    <xf numFmtId="0" fontId="15" fillId="4" borderId="44" xfId="0" applyFont="1" applyFill="1" applyBorder="1" applyAlignment="1">
      <alignment vertical="top" wrapText="1"/>
    </xf>
    <xf numFmtId="0" fontId="15" fillId="4" borderId="45" xfId="0" applyFont="1" applyFill="1" applyBorder="1" applyAlignment="1">
      <alignment vertical="top"/>
    </xf>
    <xf numFmtId="0" fontId="9" fillId="9" borderId="31" xfId="0" applyFont="1" applyFill="1" applyBorder="1" applyAlignment="1">
      <alignment horizontal="center" vertical="top"/>
    </xf>
    <xf numFmtId="0" fontId="6" fillId="9" borderId="30" xfId="0" applyFont="1" applyFill="1" applyBorder="1" applyAlignment="1">
      <alignment horizontal="center" vertical="top"/>
    </xf>
    <xf numFmtId="0" fontId="6" fillId="9" borderId="31" xfId="0" applyFont="1" applyFill="1" applyBorder="1" applyAlignment="1">
      <alignment horizontal="center" vertical="top"/>
    </xf>
    <xf numFmtId="0" fontId="6" fillId="9" borderId="26" xfId="0" applyFont="1" applyFill="1" applyBorder="1" applyAlignment="1">
      <alignment horizontal="center" vertical="top"/>
    </xf>
    <xf numFmtId="0" fontId="6" fillId="6" borderId="31" xfId="0" applyFont="1" applyFill="1" applyBorder="1" applyAlignment="1">
      <alignment horizontal="center" vertical="top"/>
    </xf>
    <xf numFmtId="0" fontId="6" fillId="6" borderId="26" xfId="0" applyFont="1" applyFill="1" applyBorder="1" applyAlignment="1">
      <alignment horizontal="center" vertical="top"/>
    </xf>
    <xf numFmtId="0" fontId="6" fillId="10" borderId="31" xfId="0" applyFont="1" applyFill="1" applyBorder="1" applyAlignment="1">
      <alignment horizontal="center" vertical="top"/>
    </xf>
    <xf numFmtId="0" fontId="6" fillId="10" borderId="26" xfId="0" applyFont="1" applyFill="1" applyBorder="1" applyAlignment="1">
      <alignment horizontal="center" vertical="top"/>
    </xf>
  </cellXfs>
  <cellStyles count="11">
    <cellStyle name="Comma 2" xfId="6" xr:uid="{0C31A5CA-2788-47F5-8595-86AF3D8D6340}"/>
    <cellStyle name="Currency 2" xfId="10" xr:uid="{A46B7DE7-540D-4934-843E-D9570508940C}"/>
    <cellStyle name="Euro" xfId="7" xr:uid="{FA1A5A95-47BA-426C-8BF7-4A2E768BBCC7}"/>
    <cellStyle name="Normal 2" xfId="3" xr:uid="{042D0CC4-8D3C-4DBD-B577-B57DA9BD067E}"/>
    <cellStyle name="Normal 3" xfId="5" xr:uid="{2CCB5DFE-C7B7-4BFF-AF96-2AC76775BF9A}"/>
    <cellStyle name="Normal 6" xfId="4" xr:uid="{C724D0DD-173B-44D7-8963-C379B248AB9A}"/>
    <cellStyle name="Percent 2" xfId="8" xr:uid="{79192040-C87C-4346-9B53-9BACCE0E6A89}"/>
    <cellStyle name="Procent" xfId="1" builtinId="5"/>
    <cellStyle name="Procent 2" xfId="9" xr:uid="{1489CFF9-A365-4C1F-8D3B-F1F5EF5090E9}"/>
    <cellStyle name="Standaard" xfId="0" builtinId="0"/>
    <cellStyle name="Valuta" xfId="2" builtinId="4"/>
  </cellStyles>
  <dxfs count="146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4" formatCode="_ &quot;€&quot;\ * #,##0.00_ ;_ &quot;€&quot;\ * \-#,##0.00_ ;_ &quot;€&quot;\ * &quot;-&quot;??_ ;_ @_ 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8" formatCode="0.0%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8" formatCode="0.0%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font>
        <b/>
      </font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4" formatCode="_ &quot;€&quot;\ * #,##0.00_ ;_ &quot;€&quot;\ * \-#,##0.00_ ;_ &quot;€&quot;\ * &quot;-&quot;??_ ;_ @_ 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8" formatCode="0.0%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8" formatCode="0.0%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font>
        <b/>
      </font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numFmt numFmtId="34" formatCode="_ &quot;€&quot;\ * #,##0.00_ ;_ &quot;€&quot;\ * \-#,##0.00_ ;_ &quot;€&quot;\ * &quot;-&quot;??_ ;_ @_ "/>
      <alignment horizontal="left" vertical="top" textRotation="0" wrapText="0" indent="0" justifyLastLine="0" shrinkToFit="0" readingOrder="0"/>
      <border diagonalUp="0" diagonalDown="0" outline="0">
        <left/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 &quot;€&quot;\ * #,##0.00_ ;_ &quot;€&quot;\ * \-#,##0.00_ ;_ &quot;€&quot;\ * &quot;-&quot;??_ ;_ @_ 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numFmt numFmtId="34" formatCode="_ &quot;€&quot;\ * #,##0.00_ ;_ &quot;€&quot;\ * \-#,##0.00_ ;_ &quot;€&quot;\ * &quot;-&quot;??_ ;_ @_ "/>
      <alignment horizontal="left" vertical="top" textRotation="0" wrapText="0" indent="0" justifyLastLine="0" shrinkToFit="0" readingOrder="0"/>
      <border diagonalUp="0" diagonalDown="0" outline="0">
        <left/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 &quot;€&quot;\ * #,##0.00_ ;_ &quot;€&quot;\ * \-#,##0.00_ ;_ &quot;€&quot;\ * &quot;-&quot;??_ ;_ @_ 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numFmt numFmtId="34" formatCode="_ &quot;€&quot;\ * #,##0.00_ ;_ &quot;€&quot;\ * \-#,##0.00_ ;_ &quot;€&quot;\ * &quot;-&quot;??_ ;_ @_ "/>
      <alignment horizontal="left" vertical="top" textRotation="0" wrapText="0" indent="0" justifyLastLine="0" shrinkToFit="0" readingOrder="0"/>
      <border diagonalUp="0" diagonalDown="0" outline="0">
        <left/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 &quot;€&quot;\ * #,##0.00_ ;_ &quot;€&quot;\ * \-#,##0.00_ ;_ &quot;€&quot;\ * &quot;-&quot;??_ ;_ @_ 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numFmt numFmtId="34" formatCode="_ &quot;€&quot;\ * #,##0.00_ ;_ &quot;€&quot;\ * \-#,##0.00_ ;_ &quot;€&quot;\ * &quot;-&quot;??_ ;_ @_ "/>
      <alignment horizontal="left" vertical="top" textRotation="0" wrapText="0" indent="0" justifyLastLine="0" shrinkToFit="0" readingOrder="0"/>
      <border diagonalUp="0" diagonalDown="0" outline="0">
        <left/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 &quot;€&quot;\ * #,##0.00_ ;_ &quot;€&quot;\ * \-#,##0.00_ ;_ &quot;€&quot;\ * &quot;-&quot;??_ ;_ @_ 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numFmt numFmtId="34" formatCode="_ &quot;€&quot;\ * #,##0.00_ ;_ &quot;€&quot;\ * \-#,##0.00_ ;_ &quot;€&quot;\ * &quot;-&quot;??_ ;_ @_ "/>
      <alignment horizontal="left" vertical="top" textRotation="0" wrapText="0" indent="0" justifyLastLine="0" shrinkToFit="0" readingOrder="0"/>
      <border diagonalUp="0" diagonalDown="0" outline="0">
        <left/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 &quot;€&quot;\ * #,##0.00_ ;_ &quot;€&quot;\ * \-#,##0.00_ ;_ &quot;€&quot;\ * &quot;-&quot;??_ ;_ @_ 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numFmt numFmtId="34" formatCode="_ &quot;€&quot;\ * #,##0.00_ ;_ &quot;€&quot;\ * \-#,##0.00_ ;_ &quot;€&quot;\ * &quot;-&quot;??_ ;_ @_ "/>
      <alignment horizontal="left" vertical="top" textRotation="0" wrapText="0" indent="0" justifyLastLine="0" shrinkToFit="0" readingOrder="0"/>
      <border diagonalUp="0" diagonalDown="0" outline="0">
        <left/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 &quot;€&quot;\ * #,##0.00_ ;_ &quot;€&quot;\ * \-#,##0.00_ ;_ &quot;€&quot;\ * &quot;-&quot;??_ ;_ @_ 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numFmt numFmtId="34" formatCode="_ &quot;€&quot;\ * #,##0.00_ ;_ &quot;€&quot;\ * \-#,##0.00_ ;_ &quot;€&quot;\ * &quot;-&quot;??_ ;_ @_ "/>
      <alignment horizontal="left" vertical="top" textRotation="0" wrapText="0" indent="0" justifyLastLine="0" shrinkToFit="0" readingOrder="0"/>
      <border diagonalUp="0" diagonalDown="0" outline="0">
        <left/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 &quot;€&quot;\ * #,##0.00_ ;_ &quot;€&quot;\ * \-#,##0.00_ ;_ &quot;€&quot;\ * &quot;-&quot;??_ ;_ @_ 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entury"/>
        <family val="1"/>
        <scheme val="none"/>
      </font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entury"/>
        <family val="1"/>
        <scheme val="none"/>
      </font>
      <numFmt numFmtId="165" formatCode="0.000\ \‰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entury"/>
        <family val="1"/>
        <scheme val="none"/>
      </font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entury"/>
        <family val="1"/>
        <scheme val="none"/>
      </font>
      <numFmt numFmtId="165" formatCode="0.000\ \‰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entury"/>
        <family val="1"/>
        <scheme val="none"/>
      </font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entury"/>
        <family val="1"/>
        <scheme val="none"/>
      </font>
      <numFmt numFmtId="165" formatCode="0.000\ \‰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entury"/>
        <family val="1"/>
        <scheme val="none"/>
      </font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entury"/>
        <family val="1"/>
        <scheme val="none"/>
      </font>
      <numFmt numFmtId="165" formatCode="0.000\ \‰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entury"/>
        <family val="1"/>
        <scheme val="none"/>
      </font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entury"/>
        <family val="1"/>
        <scheme val="none"/>
      </font>
      <numFmt numFmtId="165" formatCode="0.000\ \‰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entury"/>
        <family val="1"/>
        <scheme val="none"/>
      </font>
      <alignment horizontal="center" vertical="top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entury"/>
        <family val="1"/>
        <scheme val="none"/>
      </font>
      <numFmt numFmtId="165" formatCode="0.000\ \‰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numFmt numFmtId="34" formatCode="_ &quot;€&quot;\ * #,##0.00_ ;_ &quot;€&quot;\ * \-#,##0.00_ ;_ &quot;€&quot;\ * &quot;-&quot;??_ ;_ @_ "/>
      <alignment horizontal="left" vertical="top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 style="medium">
          <color indexed="64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 &quot;€&quot;\ * #,##0.00_ ;_ &quot;€&quot;\ * \-#,##0.00_ ;_ &quot;€&quot;\ * &quot;-&quot;??_ ;_ @_ 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numFmt numFmtId="34" formatCode="_ &quot;€&quot;\ * #,##0.00_ ;_ &quot;€&quot;\ * \-#,##0.00_ ;_ &quot;€&quot;\ * &quot;-&quot;??_ ;_ @_ "/>
      <alignment horizontal="left" vertical="top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 &quot;€&quot;\ * #,##0.00_ ;_ &quot;€&quot;\ * \-#,##0.00_ ;_ &quot;€&quot;\ * &quot;-&quot;??_ ;_ @_ 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numFmt numFmtId="34" formatCode="_ &quot;€&quot;\ * #,##0.00_ ;_ &quot;€&quot;\ * \-#,##0.00_ ;_ &quot;€&quot;\ * &quot;-&quot;??_ ;_ @_ "/>
      <alignment horizontal="left" vertical="top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 &quot;€&quot;\ * #,##0.00_ ;_ &quot;€&quot;\ * \-#,##0.00_ ;_ &quot;€&quot;\ * &quot;-&quot;??_ ;_ @_ 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numFmt numFmtId="34" formatCode="_ &quot;€&quot;\ * #,##0.00_ ;_ &quot;€&quot;\ * \-#,##0.00_ ;_ &quot;€&quot;\ * &quot;-&quot;??_ ;_ @_ "/>
      <alignment horizontal="left" vertical="top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 &quot;€&quot;\ * #,##0.00_ ;_ &quot;€&quot;\ * \-#,##0.00_ ;_ &quot;€&quot;\ * &quot;-&quot;??_ ;_ @_ 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numFmt numFmtId="34" formatCode="_ &quot;€&quot;\ * #,##0.00_ ;_ &quot;€&quot;\ * \-#,##0.00_ ;_ &quot;€&quot;\ * &quot;-&quot;??_ ;_ @_ "/>
      <alignment horizontal="left" vertical="top" textRotation="0" wrapText="0" indent="0" justifyLastLine="0" shrinkToFit="0" readingOrder="0"/>
      <border diagonalUp="0" diagonalDown="0" outline="0">
        <left/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 &quot;€&quot;\ * #,##0.00_ ;_ &quot;€&quot;\ * \-#,##0.00_ ;_ &quot;€&quot;\ * &quot;-&quot;??_ ;_ @_ 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9" formatCode="d/m/yyyy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alignment horizontal="left" vertical="top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9" formatCode="d/m/yyyy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numFmt numFmtId="34" formatCode="_ &quot;€&quot;\ * #,##0.00_ ;_ &quot;€&quot;\ * \-#,##0.00_ ;_ &quot;€&quot;\ * &quot;-&quot;??_ ;_ @_ "/>
      <alignment horizontal="left" vertical="top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 style="medium">
          <color indexed="64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 &quot;€&quot;\ * #,##0.00_ ;_ &quot;€&quot;\ * \-#,##0.00_ ;_ &quot;€&quot;\ * &quot;-&quot;??_ ;_ @_ 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numFmt numFmtId="34" formatCode="_ &quot;€&quot;\ * #,##0.00_ ;_ &quot;€&quot;\ * \-#,##0.00_ ;_ &quot;€&quot;\ * &quot;-&quot;??_ ;_ @_ "/>
      <alignment horizontal="left" vertical="top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 &quot;€&quot;\ * #,##0.00_ ;_ &quot;€&quot;\ * \-#,##0.00_ ;_ &quot;€&quot;\ * &quot;-&quot;??_ ;_ @_ 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numFmt numFmtId="34" formatCode="_ &quot;€&quot;\ * #,##0.00_ ;_ &quot;€&quot;\ * \-#,##0.00_ ;_ &quot;€&quot;\ * &quot;-&quot;??_ ;_ @_ "/>
      <alignment horizontal="left" vertical="top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 &quot;€&quot;\ * #,##0.00_ ;_ &quot;€&quot;\ * \-#,##0.00_ ;_ &quot;€&quot;\ * &quot;-&quot;??_ ;_ @_ 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numFmt numFmtId="34" formatCode="_ &quot;€&quot;\ * #,##0.00_ ;_ &quot;€&quot;\ * \-#,##0.00_ ;_ &quot;€&quot;\ * &quot;-&quot;??_ ;_ @_ "/>
      <alignment horizontal="left" vertical="top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 &quot;€&quot;\ * #,##0.00_ ;_ &quot;€&quot;\ * \-#,##0.00_ ;_ &quot;€&quot;\ * &quot;-&quot;??_ ;_ @_ 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numFmt numFmtId="34" formatCode="_ &quot;€&quot;\ * #,##0.00_ ;_ &quot;€&quot;\ * \-#,##0.00_ ;_ &quot;€&quot;\ * &quot;-&quot;??_ ;_ @_ "/>
      <alignment horizontal="left" vertical="top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 &quot;€&quot;\ * #,##0.00_ ;_ &quot;€&quot;\ * \-#,##0.00_ ;_ &quot;€&quot;\ * &quot;-&quot;??_ ;_ @_ 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numFmt numFmtId="34" formatCode="_ &quot;€&quot;\ * #,##0.00_ ;_ &quot;€&quot;\ * \-#,##0.00_ ;_ &quot;€&quot;\ * &quot;-&quot;??_ ;_ @_ "/>
      <alignment horizontal="left" vertical="top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 &quot;€&quot;\ * #,##0.00_ ;_ &quot;€&quot;\ * \-#,##0.00_ ;_ &quot;€&quot;\ * &quot;-&quot;??_ ;_ @_ 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numFmt numFmtId="34" formatCode="_ &quot;€&quot;\ * #,##0.00_ ;_ &quot;€&quot;\ * \-#,##0.00_ ;_ &quot;€&quot;\ * &quot;-&quot;??_ ;_ @_ "/>
      <alignment horizontal="left" vertical="top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 &quot;€&quot;\ * #,##0.00_ ;_ &quot;€&quot;\ * \-#,##0.00_ ;_ &quot;€&quot;\ * &quot;-&quot;??_ ;_ @_ 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0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alignment horizontal="left" vertical="top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 style="medium">
          <color indexed="64"/>
        </bottom>
      </border>
    </dxf>
    <dxf>
      <font>
        <b val="0"/>
      </font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top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 style="medium">
          <color indexed="64"/>
        </bottom>
      </border>
    </dxf>
    <dxf>
      <numFmt numFmtId="0" formatCode="General"/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left" vertical="top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alignment horizontal="left" vertical="top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protection locked="1" hidden="0"/>
    </dxf>
    <dxf>
      <border outline="0">
        <left style="medium">
          <color indexed="64"/>
        </left>
        <right style="medium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protection locked="1" hidden="0"/>
    </dxf>
    <dxf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protection locked="1" hidden="0"/>
    </dxf>
    <dxf>
      <numFmt numFmtId="164" formatCode="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/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numFmt numFmtId="34" formatCode="_ &quot;€&quot;\ * #,##0.00_ ;_ &quot;€&quot;\ * \-#,##0.00_ ;_ &quot;€&quot;\ * &quot;-&quot;??_ ;_ @_ "/>
      <alignment horizontal="general" vertical="top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/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numFmt numFmtId="34" formatCode="_ &quot;€&quot;\ * #,##0.00_ ;_ &quot;€&quot;\ * \-#,##0.00_ ;_ &quot;€&quot;\ * &quot;-&quot;??_ ;_ @_ "/>
      <alignment horizontal="general" vertical="top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/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numFmt numFmtId="34" formatCode="_ &quot;€&quot;\ * #,##0.00_ ;_ &quot;€&quot;\ * \-#,##0.00_ ;_ &quot;€&quot;\ * &quot;-&quot;??_ ;_ @_ "/>
      <alignment horizontal="general" vertical="top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/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numFmt numFmtId="34" formatCode="_ &quot;€&quot;\ * #,##0.00_ ;_ &quot;€&quot;\ * \-#,##0.00_ ;_ &quot;€&quot;\ * &quot;-&quot;??_ ;_ @_ "/>
      <alignment horizontal="general" vertical="top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/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numFmt numFmtId="34" formatCode="_ &quot;€&quot;\ * #,##0.00_ ;_ &quot;€&quot;\ * \-#,##0.00_ ;_ &quot;€&quot;\ * &quot;-&quot;??_ ;_ @_ "/>
      <alignment horizontal="general" vertical="top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/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alignment horizontal="general" vertical="top" textRotation="0" wrapText="0" indent="0" justifyLastLine="0" shrinkToFit="0" readingOrder="0"/>
      <border diagonalUp="0" diagonalDown="0" outline="0">
        <left/>
        <right/>
        <top/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numFmt numFmtId="164" formatCode="00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alignment horizontal="general" vertical="top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numFmt numFmtId="0" formatCode="General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alignment horizontal="general" vertical="top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/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numFmt numFmtId="164" formatCode="00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/>
        <i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</dxfs>
  <tableStyles count="0" defaultTableStyle="TableStyleMedium2" defaultPivotStyle="PivotStyleLight16"/>
  <colors>
    <mruColors>
      <color rgb="FF00CCFF"/>
      <color rgb="FFCCFFFF"/>
      <color rgb="FFBB9DDB"/>
      <color rgb="FF0066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Relationship Id="rId14" Type="http://schemas.openxmlformats.org/officeDocument/2006/relationships/customXml" Target="../customXml/item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AF08A8D-44F3-42E9-86BB-A1C00B8314DE}" name="Table3" displayName="Table3" ref="A10:T31" totalsRowCount="1" headerRowDxfId="145" dataDxfId="144" tableBorderDxfId="143">
  <autoFilter ref="A10:T30" xr:uid="{6AF08A8D-44F3-42E9-86BB-A1C00B8314DE}"/>
  <sortState xmlns:xlrd2="http://schemas.microsoft.com/office/spreadsheetml/2017/richdata2" ref="A11:T28">
    <sortCondition ref="C10:C28"/>
  </sortState>
  <tableColumns count="20">
    <tableColumn id="1" xr3:uid="{5DA535AD-6ED3-4B58-8975-8C5347AA9B78}" name="Verzekerde" totalsRowLabel="Total" dataDxfId="142" totalsRowDxfId="141"/>
    <tableColumn id="35" xr3:uid="{3D66882E-214F-4E51-B263-D2DDB4FF2D3B}" name="Certificaat" dataDxfId="140" totalsRowDxfId="139"/>
    <tableColumn id="3" xr3:uid="{46AEA6C0-3771-4B9F-84B0-D1E6E51ED86B}" name="Sub" dataDxfId="138" totalsRowDxfId="137"/>
    <tableColumn id="4" xr3:uid="{9A2B1A2F-6CEB-4F18-A492-54E11736E5C9}" name="Verzekerde interest" dataDxfId="136" totalsRowDxfId="135"/>
    <tableColumn id="5" xr3:uid="{9D760F86-9046-48BB-BD35-80C0CB1AAC94}" name="Bestemming" dataDxfId="134" totalsRowDxfId="133"/>
    <tableColumn id="6" xr3:uid="{AEF7AB71-63FB-4DF7-B373-C23684BDD59F}" name="Omschrijving" dataDxfId="132" totalsRowDxfId="131"/>
    <tableColumn id="2" xr3:uid="{C3F0919A-0C23-4F94-A553-C9326C2AE775}" name="Schadevergoedingstermijn" dataDxfId="130" totalsRowDxfId="129"/>
    <tableColumn id="7" xr3:uid="{80DF863E-C676-467C-9B7F-AEA9BF31EF53}" name="Bouwaard" dataDxfId="128" totalsRowDxfId="127"/>
    <tableColumn id="8" xr3:uid="{A5E447C2-3EF1-4784-8BC8-25520EDB2C61}" name="Getaxeerd" dataDxfId="126" totalsRowDxfId="125"/>
    <tableColumn id="11" xr3:uid="{C537EE58-8FE5-4DC9-B6BF-0D07D6D61AD7}" name="Adres" dataDxfId="124" totalsRowDxfId="123"/>
    <tableColumn id="12" xr3:uid="{339D09B0-2AF5-4303-A5A6-02DD7DB5395D}" name="Postcode" dataDxfId="122" totalsRowDxfId="121"/>
    <tableColumn id="13" xr3:uid="{2B053CF8-65C3-49C4-9661-3DB2CB0CC34A}" name="Plaats" dataDxfId="120" totalsRowDxfId="119"/>
    <tableColumn id="27" xr3:uid="{A0A1AC25-82A1-4637-B86F-C639D75A706C}" name="Land" dataDxfId="118" totalsRowDxfId="117"/>
    <tableColumn id="14" xr3:uid="{6CE5D940-A92A-4A0C-8BD6-B0E3A0EE3390}" name="Vorkbedrag" totalsRowFunction="sum" dataDxfId="116" totalsRowDxfId="115"/>
    <tableColumn id="9" xr3:uid="{C3BE95BF-EC9B-4145-892A-D9AF5F8A31A6}" name="Indexverschil" totalsRowFunction="sum" dataDxfId="114" totalsRowDxfId="113">
      <calculatedColumnFormula>Table3[[#This Row],[Verzekerde Waarde]]-Table3[[#This Row],[Mutaties]]</calculatedColumnFormula>
    </tableColumn>
    <tableColumn id="16" xr3:uid="{25E13C69-EE0B-496F-B0A6-615909375448}" name="Verzekerde Waarde" totalsRowFunction="sum" dataDxfId="112" totalsRowDxfId="111"/>
    <tableColumn id="17" xr3:uid="{04C7BDE1-9D3C-4EC4-ADBC-51DCF266AA22}" name="Index nieuw" dataDxfId="110" totalsRowDxfId="109"/>
    <tableColumn id="18" xr3:uid="{448DB753-00BC-43DE-A940-D7A40A6DC875}" name="Mutaties" totalsRowFunction="sum" dataDxfId="108" totalsRowDxfId="107">
      <calculatedColumnFormula>S11+SUMIF(Table4[Subnummer],Table3[[#This Row],[Sub]],Table4[Som mutaties])</calculatedColumnFormula>
    </tableColumn>
    <tableColumn id="19" xr3:uid="{E2C7CD13-246E-4279-9E08-71DF2DD4543D}" name="Verz. Waarde Oud:" totalsRowFunction="sum" dataDxfId="106" totalsRowDxfId="105"/>
    <tableColumn id="20" xr3:uid="{127805A0-511B-445D-9C56-BF76B0B74610}" name="Index oud" dataDxfId="104" totalsRowDxfId="103"/>
  </tableColumns>
  <tableStyleInfo name="TableStyleMedium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8E8E302D-FAA8-4860-A74C-9E0E501060A6}" name="Table8" displayName="Table8" ref="A2:F5" totalsRowShown="0">
  <autoFilter ref="A2:F5" xr:uid="{8E8E302D-FAA8-4860-A74C-9E0E501060A6}"/>
  <sortState xmlns:xlrd2="http://schemas.microsoft.com/office/spreadsheetml/2017/richdata2" ref="A3:F5">
    <sortCondition ref="A2:A5"/>
  </sortState>
  <tableColumns count="6">
    <tableColumn id="1" xr3:uid="{425C3F9B-888C-41F2-B864-EC8453BCECCD}" name="Sub" dataDxfId="102"/>
    <tableColumn id="2" xr3:uid="{C808CC8C-B930-4060-8A04-348D8D6F41AE}" name="Soort interest"/>
    <tableColumn id="3" xr3:uid="{32421018-A694-46BE-AEAB-E4E993B915A5}" name="Taxateur"/>
    <tableColumn id="4" xr3:uid="{7D8C23E6-A111-4604-BE71-E81D202A5BD4}" name="Taxatiedatum"/>
    <tableColumn id="5" xr3:uid="{551951F5-8AC9-4CCF-BECF-1E59AB37760E}" name="Rapportnummer"/>
    <tableColumn id="6" xr3:uid="{9D13D5A9-22FF-40A4-9A6D-107489957FAC}" name="Vervalt op"/>
  </tableColumns>
  <tableStyleInfo name="TableStyleMedium20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7009779-FE40-4487-BE84-03FE442C5B8A}" name="Table4" displayName="Table4" ref="A8:AJ16" totalsRowCount="1" headerRowDxfId="101" dataDxfId="100" totalsRowDxfId="98" tableBorderDxfId="99">
  <autoFilter ref="A8:AJ15" xr:uid="{07009779-FE40-4487-BE84-03FE442C5B8A}"/>
  <sortState xmlns:xlrd2="http://schemas.microsoft.com/office/spreadsheetml/2017/richdata2" ref="A9:AJ15">
    <sortCondition ref="E8:E15"/>
  </sortState>
  <tableColumns count="36">
    <tableColumn id="1" xr3:uid="{E829BB11-9544-46D3-83B7-C7220D3E6274}" name="Klant" totalsRowLabel="Totaal" dataDxfId="97" totalsRowDxfId="96">
      <calculatedColumnFormula>IFERROR(_xlfn.XLOOKUP(E9,Table3[Sub],Table3[Verzekerde]),"-")</calculatedColumnFormula>
    </tableColumn>
    <tableColumn id="2" xr3:uid="{667AAFC8-65C7-42B2-919F-E6B1E47706EF}" name="Omschrijving mutatie" dataDxfId="95" totalsRowDxfId="94"/>
    <tableColumn id="36" xr3:uid="{8A203ECC-046B-48E5-8CB7-E999E0EA915E}" name="adres" dataDxfId="93" totalsRowDxfId="92">
      <calculatedColumnFormula>_xlfn.XLOOKUP(Table4[[#This Row],[Subnummer]],Table3[Sub],Table3[Adres])</calculatedColumnFormula>
    </tableColumn>
    <tableColumn id="35" xr3:uid="{4AEE5333-4894-4B06-8579-37FFCF2525CB}" name="Certificaat" dataDxfId="91" totalsRowDxfId="90">
      <calculatedColumnFormula>IFERROR(_xlfn.XLOOKUP(Table4[[#This Row],[Subnummer]],Table3[Sub],Table3[Certificaat]),"-")</calculatedColumnFormula>
    </tableColumn>
    <tableColumn id="3" xr3:uid="{CF592FF5-35F6-4356-9CD5-06E54941D0B1}" name="Subnummer" dataDxfId="89" totalsRowDxfId="88"/>
    <tableColumn id="4" xr3:uid="{64034314-8866-41BA-99E8-4FF01689406B}" name="Oud" totalsRowFunction="sum" dataDxfId="87" totalsRowDxfId="86">
      <calculatedColumnFormula>IFERROR(_xlfn.XLOOKUP(Table4[[#This Row],[Subnummer]],Table3[Sub],Table3[Verz. Waarde Oud:]),0)</calculatedColumnFormula>
    </tableColumn>
    <tableColumn id="5" xr3:uid="{620AEE7D-66A2-4F1D-A607-E56478BDE8EB}" name="Investering Nieuw" totalsRowFunction="sum" dataDxfId="85" totalsRowDxfId="84"/>
    <tableColumn id="6" xr3:uid="{DE0DE46B-0DDE-437C-8E25-36B068E01C2B}" name="Investering bestaand" totalsRowFunction="sum" dataDxfId="83" totalsRowDxfId="82"/>
    <tableColumn id="7" xr3:uid="{9B36F1F2-A439-4500-896A-6E8BF6F81E51}" name="Verlaging" totalsRowFunction="sum" dataDxfId="81" totalsRowDxfId="80"/>
    <tableColumn id="8" xr3:uid="{FF81AF7B-0259-4E66-B5D9-ECFA30432652}" name="Afvoer" totalsRowFunction="sum" dataDxfId="79" totalsRowDxfId="78"/>
    <tableColumn id="9" xr3:uid="{B6BD1092-5404-4869-8C59-FC9AA463ED6A}" name="Inclusief mutatie" totalsRowFunction="sum" dataDxfId="77" totalsRowDxfId="76">
      <calculatedColumnFormula>F9+G9+H9-I9-J9</calculatedColumnFormula>
    </tableColumn>
    <tableColumn id="10" xr3:uid="{BD8E3966-13F7-42D4-993C-92FE1C430FF3}" name="Som mutaties" totalsRowFunction="sum" dataDxfId="75" totalsRowDxfId="74">
      <calculatedColumnFormula>K9-F9</calculatedColumnFormula>
    </tableColumn>
    <tableColumn id="11" xr3:uid="{20DEF141-CD88-4342-A537-AFDFB517EFA9}" name="Mutatiedatum" dataDxfId="73" totalsRowDxfId="72"/>
    <tableColumn id="12" xr3:uid="{AFB3C57F-C39F-4FD8-8562-9140F30501DB}" name="Vervaldatum" dataDxfId="71" totalsRowDxfId="70"/>
    <tableColumn id="13" xr3:uid="{A6204F43-A2A4-49F5-A101-26FA0846855E}" name="Dagen" dataDxfId="69" totalsRowDxfId="68">
      <calculatedColumnFormula>N9-M9</calculatedColumnFormula>
    </tableColumn>
    <tableColumn id="14" xr3:uid="{AC67BCCF-5297-4253-8212-7F5222B981DA}" name="Dagen per jaar" dataDxfId="67" totalsRowDxfId="66"/>
    <tableColumn id="15" xr3:uid="{A023D2D9-17D1-4E91-B3E7-8153A91C72EF}" name="Sprake van CAD?" dataDxfId="65" totalsRowDxfId="64"/>
    <tableColumn id="16" xr3:uid="{34FCD074-1758-40AA-B151-374A81777B00}" name="Investering nieuw2" totalsRowFunction="sum" dataDxfId="63" totalsRowDxfId="62">
      <calculatedColumnFormula>G9*O9/P9</calculatedColumnFormula>
    </tableColumn>
    <tableColumn id="17" xr3:uid="{361D6950-84B1-4A04-B31D-B79182F444F0}" name="Investering bestaand2" totalsRowFunction="sum" dataDxfId="61" totalsRowDxfId="60">
      <calculatedColumnFormula array="1">_xlfn.IFS($Q9="Nee",H9*$O9/$P9,$Q9="Ja",H9*0.5)</calculatedColumnFormula>
    </tableColumn>
    <tableColumn id="18" xr3:uid="{B89A019B-B2E3-40D5-A639-F666B76F86C3}" name="Verlaging2" totalsRowFunction="sum" dataDxfId="59" totalsRowDxfId="58">
      <calculatedColumnFormula array="1">_xlfn.IFS($Q9="Nee",-(I9*$O9/$P9),$Q9="Ja",-(I9*0.5))</calculatedColumnFormula>
    </tableColumn>
    <tableColumn id="19" xr3:uid="{E4087D8E-E10F-4D15-919A-7A90DFB337AD}" name="Afvoer2" totalsRowFunction="sum" dataDxfId="57" totalsRowDxfId="56">
      <calculatedColumnFormula>-J9*O9/P9</calculatedColumnFormula>
    </tableColumn>
    <tableColumn id="20" xr3:uid="{3A456E59-DB29-45F8-81D9-9E1D98E2BAFE}" name="Totaal" totalsRowFunction="sum" dataDxfId="55" totalsRowDxfId="54">
      <calculatedColumnFormula>SUM(R9:U9)</calculatedColumnFormula>
    </tableColumn>
    <tableColumn id="21" xr3:uid="{7985DB21-C10E-4622-89F3-C390A05E27FF}" name="Verzekeraar 1" dataDxfId="53" totalsRowDxfId="52">
      <calculatedColumnFormula>IFERROR(_xlfn.XLOOKUP(Table4[[#This Row],[Subnummer]],Table3[Sub],#REF!),0)</calculatedColumnFormula>
    </tableColumn>
    <tableColumn id="22" xr3:uid="{05A8830E-ECFB-490D-83CC-9E0D537045D6}" name="Verzekeraar 2" dataDxfId="51" totalsRowDxfId="50">
      <calculatedColumnFormula>IFERROR(_xlfn.XLOOKUP(Table4[[#This Row],[Subnummer]],Table3[Sub],#REF!),0)</calculatedColumnFormula>
    </tableColumn>
    <tableColumn id="23" xr3:uid="{2FFCB2FC-7E25-43DF-BC62-0857348CB470}" name="Verzekeraar 3" dataDxfId="49" totalsRowDxfId="48">
      <calculatedColumnFormula>IFERROR(_xlfn.XLOOKUP(Table4[[#This Row],[Subnummer]],Table3[Sub],#REF!),0)</calculatedColumnFormula>
    </tableColumn>
    <tableColumn id="24" xr3:uid="{28E84FF0-4518-44A0-8D2D-C5F9DE199B45}" name="Verzekeraar 4" dataDxfId="47" totalsRowDxfId="46">
      <calculatedColumnFormula>IFERROR(_xlfn.XLOOKUP(Table4[[#This Row],[Subnummer]],Table3[Sub],#REF!),0)</calculatedColumnFormula>
    </tableColumn>
    <tableColumn id="25" xr3:uid="{8D037CE0-4B03-4CB3-B8BC-834256A6993F}" name="Verzekeraar 5" dataDxfId="45" totalsRowDxfId="44">
      <calculatedColumnFormula>IFERROR(_xlfn.XLOOKUP(Table4[[#This Row],[Subnummer]],Table3[Sub],#REF!),0)</calculatedColumnFormula>
    </tableColumn>
    <tableColumn id="26" xr3:uid="{73E032A1-8980-4F25-A9B0-121CEE22B23D}" name="Verzekeraar 6" dataDxfId="43" totalsRowDxfId="42">
      <calculatedColumnFormula>IFERROR(_xlfn.XLOOKUP(Table4[[#This Row],[Subnummer]],Table3[Sub],#REF!),0)</calculatedColumnFormula>
    </tableColumn>
    <tableColumn id="27" xr3:uid="{0A88460A-2961-435D-8B9A-0BEE7B410665}" name="Verzekeraar 12" totalsRowFunction="sum" dataDxfId="41" totalsRowDxfId="40">
      <calculatedColumnFormula>$V9*W9/1000*W$7</calculatedColumnFormula>
    </tableColumn>
    <tableColumn id="28" xr3:uid="{4922E15F-6C50-4161-971E-F0C725675187}" name="Verzekeraar 23" totalsRowFunction="sum" dataDxfId="39" totalsRowDxfId="38">
      <calculatedColumnFormula>$V9*X9/1000*X$7</calculatedColumnFormula>
    </tableColumn>
    <tableColumn id="29" xr3:uid="{44CE37B2-6A08-41A4-AAA4-E5C016E56FB3}" name="Verzekeraar 34" totalsRowFunction="sum" dataDxfId="37" totalsRowDxfId="36">
      <calculatedColumnFormula>$V9*Y9/1000*Y$7</calculatedColumnFormula>
    </tableColumn>
    <tableColumn id="30" xr3:uid="{142651A9-E231-44F4-9914-7C2A2ADC1DC5}" name="Verzekeraar 45" totalsRowFunction="sum" dataDxfId="35" totalsRowDxfId="34">
      <calculatedColumnFormula>$V9*Z9/1000*Z$7</calculatedColumnFormula>
    </tableColumn>
    <tableColumn id="31" xr3:uid="{DAB9E7ED-07E1-4A01-BAAE-5A4FBAAA378C}" name="Verzekeraar 56" totalsRowFunction="sum" dataDxfId="33" totalsRowDxfId="32">
      <calculatedColumnFormula>$V9*AA9/1000*AA$7</calculatedColumnFormula>
    </tableColumn>
    <tableColumn id="32" xr3:uid="{5AC6F62A-D522-4341-A3ED-81D0BDEA18B9}" name="Verzekeraar 67" totalsRowFunction="sum" dataDxfId="31" totalsRowDxfId="30">
      <calculatedColumnFormula>$V9*AB9/1000*AB$7</calculatedColumnFormula>
    </tableColumn>
    <tableColumn id="33" xr3:uid="{CD88B151-89E6-41D2-8A73-08D6256ACBAF}" name="Totaal2" totalsRowFunction="sum" dataDxfId="29" totalsRowDxfId="28">
      <calculatedColumnFormula>SUM(AC9:AH9)</calculatedColumnFormula>
    </tableColumn>
    <tableColumn id="34" xr3:uid="{E305A1B7-216A-4818-A0F4-60DA1A3E3DCB}" name="Boeking" dataDxfId="27" totalsRowDxfId="26">
      <calculatedColumnFormula array="1">_xlfn.IFS(AI9=0,"Nihil",AI9&gt;0,"Suppletie",AI9&lt;0,"Restitutie")</calculatedColumnFormula>
    </tableColumn>
  </tableColumns>
  <tableStyleInfo name="TableStyleMedium1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6E40922-C02C-4F7D-92D7-106DDAF09DB4}" name="Table2" displayName="Table2" ref="A12:D19" totalsRowCount="1" headerRowDxfId="25" totalsRowDxfId="22" headerRowBorderDxfId="24" tableBorderDxfId="23" totalsRowBorderDxfId="21">
  <autoFilter ref="A12:D18" xr:uid="{A6E40922-C02C-4F7D-92D7-106DDAF09DB4}"/>
  <tableColumns count="4">
    <tableColumn id="1" xr3:uid="{1C2BDB45-46C6-4EEA-9AF3-34A4B3E43C0D}" name="Verzekeraar" totalsRowLabel="Total" dataDxfId="20" totalsRowDxfId="19"/>
    <tableColumn id="2" xr3:uid="{C9624625-27B1-4242-B58D-CD75E5449BFE}" name="Relatienummer" dataDxfId="18" totalsRowDxfId="17"/>
    <tableColumn id="3" xr3:uid="{A5E01D99-FB8F-4A17-8650-9A8A9486AAD1}" name="Aandeel" totalsRowFunction="sum" dataDxfId="16" totalsRowDxfId="15"/>
    <tableColumn id="4" xr3:uid="{A79BE9DE-9508-4B1D-BC2C-3FF3652F5C55}" name="Boeking/restitutie" totalsRowFunction="sum" dataDxfId="14" totalsRowDxfId="13">
      <calculatedColumnFormula>SUMIFS(Table4[Verzekeraar 12],Table4[Mutatiedatum],$B8,Table4[Certificaat],$B11)</calculatedColumnFormula>
    </tableColumn>
  </tableColumns>
  <tableStyleInfo name="TableStyleMedium2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F22EE3EB-8442-4BE8-A1EA-F6166E34C12D}" name="Table211" displayName="Table211" ref="A27:D34" totalsRowCount="1" headerRowDxfId="12" totalsRowDxfId="9" headerRowBorderDxfId="11" tableBorderDxfId="10" totalsRowBorderDxfId="8">
  <autoFilter ref="A27:D33" xr:uid="{F22EE3EB-8442-4BE8-A1EA-F6166E34C12D}"/>
  <tableColumns count="4">
    <tableColumn id="1" xr3:uid="{49096581-0925-48FB-B2E7-2081C64FC17F}" name="Verzekeraar" totalsRowLabel="Total" dataDxfId="7" totalsRowDxfId="6"/>
    <tableColumn id="2" xr3:uid="{D8F7E1A0-28FD-4372-BE13-76D2024706CB}" name="Relatienummer" dataDxfId="5" totalsRowDxfId="4"/>
    <tableColumn id="3" xr3:uid="{700881C3-5381-46A4-996C-BD67511DB557}" name="Aandeel" totalsRowFunction="sum" dataDxfId="3" totalsRowDxfId="2"/>
    <tableColumn id="4" xr3:uid="{856F1FAC-87FD-4164-BCF5-26FF0593FB40}" name="Boeking/restitutie" totalsRowFunction="sum" dataDxfId="1" totalsRowDxfId="0">
      <calculatedColumnFormula>SUMIFS(Table4[Verzekeraar 12],Table4[Mutatiedatum],$B23,Table4[Certificaat],$B26)</calculatedColumnFormula>
    </tableColumn>
  </tableColumns>
  <tableStyleInfo name="TableStyleMedium21" showFirstColumn="0" showLastColumn="0" showRowStripes="1" showColumnStripes="0"/>
</table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EB097-44BC-46C9-9D12-97A11A00B2C3}">
  <dimension ref="A1:T31"/>
  <sheetViews>
    <sheetView showGridLines="0" tabSelected="1" zoomScale="85" zoomScaleNormal="85" workbookViewId="0">
      <selection activeCell="F34" sqref="F34"/>
    </sheetView>
  </sheetViews>
  <sheetFormatPr defaultColWidth="16" defaultRowHeight="12.6" x14ac:dyDescent="0.3"/>
  <cols>
    <col min="1" max="1" width="18.5546875" style="9" customWidth="1"/>
    <col min="2" max="2" width="13.33203125" style="9" hidden="1" customWidth="1"/>
    <col min="3" max="3" width="7.5546875" style="14" bestFit="1" customWidth="1"/>
    <col min="4" max="4" width="22.33203125" style="14" customWidth="1"/>
    <col min="5" max="5" width="37.88671875" style="14" bestFit="1" customWidth="1"/>
    <col min="6" max="6" width="23" style="14" bestFit="1" customWidth="1"/>
    <col min="7" max="7" width="27.5546875" style="14" hidden="1" customWidth="1"/>
    <col min="8" max="8" width="13.109375" style="14" hidden="1" customWidth="1"/>
    <col min="9" max="9" width="13.33203125" style="14" bestFit="1" customWidth="1"/>
    <col min="10" max="10" width="27.6640625" style="9" customWidth="1"/>
    <col min="11" max="11" width="13.88671875" style="9" bestFit="1" customWidth="1"/>
    <col min="12" max="12" width="21.88671875" style="9" bestFit="1" customWidth="1"/>
    <col min="13" max="13" width="8.44140625" style="9" bestFit="1" customWidth="1"/>
    <col min="14" max="14" width="14.33203125" style="9" hidden="1" customWidth="1"/>
    <col min="15" max="15" width="16" style="9" bestFit="1" customWidth="1"/>
    <col min="16" max="16" width="21.33203125" style="9" bestFit="1" customWidth="1"/>
    <col min="17" max="17" width="15" style="9" bestFit="1" customWidth="1"/>
    <col min="18" max="18" width="18.5546875" style="9" hidden="1" customWidth="1"/>
    <col min="19" max="19" width="30.33203125" style="9" hidden="1" customWidth="1"/>
    <col min="20" max="20" width="12.88671875" style="15" hidden="1" customWidth="1"/>
    <col min="21" max="21" width="15.6640625" style="9" bestFit="1" customWidth="1"/>
    <col min="22" max="22" width="20.88671875" style="9" bestFit="1" customWidth="1"/>
    <col min="23" max="16384" width="16" style="9"/>
  </cols>
  <sheetData>
    <row r="1" spans="1:20" s="8" customFormat="1" ht="16.2" x14ac:dyDescent="0.3">
      <c r="A1" s="18"/>
      <c r="B1" s="19"/>
      <c r="C1" s="19"/>
      <c r="D1" s="19"/>
      <c r="E1" s="19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1"/>
      <c r="R1" s="76" t="s">
        <v>3</v>
      </c>
      <c r="S1" s="22" t="s">
        <v>4</v>
      </c>
      <c r="T1" s="73"/>
    </row>
    <row r="2" spans="1:20" s="8" customFormat="1" ht="16.2" x14ac:dyDescent="0.3">
      <c r="A2" s="16"/>
      <c r="B2" s="17"/>
      <c r="C2" s="6"/>
      <c r="D2" s="17"/>
      <c r="E2" s="6"/>
      <c r="F2" s="6"/>
      <c r="G2" s="6"/>
      <c r="H2" s="6"/>
      <c r="I2" s="6"/>
      <c r="J2" s="188"/>
      <c r="K2" s="188"/>
      <c r="L2" s="188"/>
      <c r="M2" s="6"/>
      <c r="N2" s="6"/>
      <c r="O2" s="6"/>
      <c r="P2" s="6"/>
      <c r="Q2" s="7"/>
      <c r="R2" s="77"/>
      <c r="S2" s="29" t="s">
        <v>128</v>
      </c>
      <c r="T2" s="74"/>
    </row>
    <row r="3" spans="1:20" s="8" customFormat="1" ht="16.2" x14ac:dyDescent="0.3">
      <c r="A3" s="16"/>
      <c r="B3" s="17"/>
      <c r="C3" s="6"/>
      <c r="D3" s="17"/>
      <c r="E3" s="6"/>
      <c r="F3" s="6"/>
      <c r="G3" s="6"/>
      <c r="H3" s="6"/>
      <c r="I3" s="6"/>
      <c r="J3" s="188"/>
      <c r="K3" s="188"/>
      <c r="L3" s="188"/>
      <c r="M3" s="6"/>
      <c r="N3" s="6"/>
      <c r="O3" s="6"/>
      <c r="P3" s="6"/>
      <c r="Q3" s="7"/>
      <c r="R3" s="77"/>
      <c r="S3" s="75"/>
      <c r="T3" s="74"/>
    </row>
    <row r="4" spans="1:20" s="8" customFormat="1" ht="16.2" x14ac:dyDescent="0.3">
      <c r="A4" s="16"/>
      <c r="B4" s="17"/>
      <c r="C4" s="6"/>
      <c r="D4" s="17"/>
      <c r="E4" s="6"/>
      <c r="F4" s="6"/>
      <c r="G4" s="6"/>
      <c r="H4" s="6"/>
      <c r="I4" s="6"/>
      <c r="J4" s="188"/>
      <c r="K4" s="188"/>
      <c r="L4" s="188"/>
      <c r="M4" s="6"/>
      <c r="N4" s="6"/>
      <c r="O4" s="6"/>
      <c r="P4" s="6"/>
      <c r="Q4" s="7"/>
      <c r="R4" s="77"/>
      <c r="S4" s="75"/>
      <c r="T4" s="74"/>
    </row>
    <row r="5" spans="1:20" s="8" customFormat="1" ht="16.8" thickBot="1" x14ac:dyDescent="0.35">
      <c r="A5" s="16"/>
      <c r="B5" s="136"/>
      <c r="C5" s="137"/>
      <c r="D5" s="136"/>
      <c r="E5" s="137"/>
      <c r="F5" s="137"/>
      <c r="G5" s="137"/>
      <c r="H5" s="137"/>
      <c r="I5" s="6"/>
      <c r="J5" s="189"/>
      <c r="K5" s="189"/>
      <c r="L5" s="189"/>
      <c r="M5" s="6"/>
      <c r="N5" s="6"/>
      <c r="O5" s="6"/>
      <c r="P5" s="6"/>
      <c r="Q5" s="7"/>
      <c r="R5" s="77"/>
      <c r="S5" s="75"/>
      <c r="T5" s="74"/>
    </row>
    <row r="6" spans="1:20" s="10" customFormat="1" x14ac:dyDescent="0.3">
      <c r="A6" s="138" t="s">
        <v>5</v>
      </c>
      <c r="B6" s="139" t="s">
        <v>6</v>
      </c>
      <c r="C6" s="107" t="s">
        <v>7</v>
      </c>
      <c r="D6" s="107" t="s">
        <v>8</v>
      </c>
      <c r="E6" s="107" t="s">
        <v>9</v>
      </c>
      <c r="F6" s="140" t="s">
        <v>10</v>
      </c>
      <c r="G6" s="140" t="s">
        <v>11</v>
      </c>
      <c r="H6" s="140" t="s">
        <v>12</v>
      </c>
      <c r="I6" s="140" t="s">
        <v>13</v>
      </c>
      <c r="J6" s="140" t="s">
        <v>14</v>
      </c>
      <c r="K6" s="107" t="s">
        <v>15</v>
      </c>
      <c r="L6" s="107" t="s">
        <v>16</v>
      </c>
      <c r="M6" s="190" t="s">
        <v>17</v>
      </c>
      <c r="N6" s="179" t="s">
        <v>18</v>
      </c>
      <c r="O6" s="177" t="s">
        <v>130</v>
      </c>
      <c r="P6" s="169" t="s">
        <v>19</v>
      </c>
      <c r="Q6" s="168" t="s">
        <v>20</v>
      </c>
      <c r="R6" s="141" t="s">
        <v>19</v>
      </c>
      <c r="S6" s="141" t="s">
        <v>21</v>
      </c>
      <c r="T6" s="142" t="s">
        <v>22</v>
      </c>
    </row>
    <row r="7" spans="1:20" s="10" customFormat="1" x14ac:dyDescent="0.3">
      <c r="A7" s="28"/>
      <c r="B7" s="30"/>
      <c r="C7" s="11"/>
      <c r="D7" s="11"/>
      <c r="E7" s="11"/>
      <c r="F7" s="12"/>
      <c r="G7" s="12"/>
      <c r="H7" s="12"/>
      <c r="I7" s="12" t="s">
        <v>29</v>
      </c>
      <c r="J7" s="12"/>
      <c r="K7" s="11"/>
      <c r="L7" s="11"/>
      <c r="M7" s="191"/>
      <c r="N7" s="180"/>
      <c r="O7" s="178"/>
      <c r="P7" s="158"/>
      <c r="Q7" s="157"/>
      <c r="R7" s="23" t="s">
        <v>30</v>
      </c>
      <c r="S7" s="23"/>
      <c r="T7" s="13"/>
    </row>
    <row r="8" spans="1:20" s="10" customFormat="1" x14ac:dyDescent="0.3">
      <c r="A8" s="28"/>
      <c r="B8" s="30"/>
      <c r="C8" s="11"/>
      <c r="D8" s="11"/>
      <c r="E8" s="11"/>
      <c r="F8" s="12"/>
      <c r="G8" s="12"/>
      <c r="H8" s="12"/>
      <c r="I8" s="12"/>
      <c r="J8" s="12"/>
      <c r="K8" s="11"/>
      <c r="L8" s="11"/>
      <c r="M8" s="191"/>
      <c r="N8" s="180"/>
      <c r="O8" s="178"/>
      <c r="P8" s="158"/>
      <c r="Q8" s="157"/>
      <c r="R8" s="23"/>
      <c r="S8" s="23"/>
      <c r="T8" s="13"/>
    </row>
    <row r="9" spans="1:20" ht="13.2" thickBot="1" x14ac:dyDescent="0.35">
      <c r="A9" s="192"/>
      <c r="B9" s="193"/>
      <c r="C9" s="194"/>
      <c r="D9" s="194"/>
      <c r="E9" s="194"/>
      <c r="F9" s="195"/>
      <c r="G9" s="195"/>
      <c r="H9" s="195"/>
      <c r="I9" s="195"/>
      <c r="J9" s="195"/>
      <c r="K9" s="194"/>
      <c r="L9" s="194"/>
      <c r="M9" s="196"/>
      <c r="N9" s="181"/>
      <c r="O9" s="182"/>
      <c r="P9" s="183"/>
      <c r="Q9" s="184"/>
      <c r="R9" s="84"/>
      <c r="S9" s="84"/>
      <c r="T9" s="85"/>
    </row>
    <row r="10" spans="1:20" x14ac:dyDescent="0.3">
      <c r="A10" s="143" t="s">
        <v>5</v>
      </c>
      <c r="B10" s="86" t="s">
        <v>6</v>
      </c>
      <c r="C10" s="87" t="s">
        <v>7</v>
      </c>
      <c r="D10" s="87" t="s">
        <v>8</v>
      </c>
      <c r="E10" s="87" t="s">
        <v>9</v>
      </c>
      <c r="F10" s="88" t="s">
        <v>10</v>
      </c>
      <c r="G10" s="88" t="s">
        <v>11</v>
      </c>
      <c r="H10" s="88" t="s">
        <v>12</v>
      </c>
      <c r="I10" s="88" t="s">
        <v>31</v>
      </c>
      <c r="J10" s="88" t="s">
        <v>14</v>
      </c>
      <c r="K10" s="87" t="s">
        <v>15</v>
      </c>
      <c r="L10" s="87" t="s">
        <v>16</v>
      </c>
      <c r="M10" s="10" t="s">
        <v>17</v>
      </c>
      <c r="N10" s="89" t="s">
        <v>18</v>
      </c>
      <c r="O10" s="10" t="s">
        <v>130</v>
      </c>
      <c r="P10" s="91" t="s">
        <v>32</v>
      </c>
      <c r="Q10" s="90" t="s">
        <v>20</v>
      </c>
      <c r="R10" s="92" t="s">
        <v>3</v>
      </c>
      <c r="S10" s="93" t="s">
        <v>21</v>
      </c>
      <c r="T10" s="90" t="s">
        <v>22</v>
      </c>
    </row>
    <row r="11" spans="1:20" x14ac:dyDescent="0.3">
      <c r="A11" s="144" t="s">
        <v>139</v>
      </c>
      <c r="B11" s="108">
        <v>0</v>
      </c>
      <c r="C11" s="109">
        <v>1</v>
      </c>
      <c r="D11" s="108" t="s">
        <v>95</v>
      </c>
      <c r="E11" s="108" t="s">
        <v>104</v>
      </c>
      <c r="F11" s="110"/>
      <c r="G11" s="110"/>
      <c r="H11" s="110" t="s">
        <v>2</v>
      </c>
      <c r="I11" s="110" t="s">
        <v>74</v>
      </c>
      <c r="J11" s="110" t="s">
        <v>131</v>
      </c>
      <c r="K11" s="108" t="s">
        <v>105</v>
      </c>
      <c r="L11" s="108" t="s">
        <v>106</v>
      </c>
      <c r="M11" s="108" t="s">
        <v>129</v>
      </c>
      <c r="N11" s="111">
        <v>0</v>
      </c>
      <c r="O11" s="112">
        <f>Table3[[#This Row],[Verzekerde Waarde]]-Table3[[#This Row],[Mutaties]]</f>
        <v>2201000</v>
      </c>
      <c r="P11" s="112">
        <f t="shared" ref="P11:P28" si="0">IF(Q11=T11,R11,ROUNDUP(R11/T11*Q11,-3))</f>
        <v>58711000</v>
      </c>
      <c r="Q11" s="108">
        <v>133.4</v>
      </c>
      <c r="R11" s="112">
        <f>S11+SUMIF(Table4[Subnummer],Table3[[#This Row],[Sub]],Table4[Som mutaties])</f>
        <v>56510000</v>
      </c>
      <c r="S11" s="112">
        <v>56510000</v>
      </c>
      <c r="T11" s="108">
        <v>128.4</v>
      </c>
    </row>
    <row r="12" spans="1:20" ht="37.799999999999997" x14ac:dyDescent="0.3">
      <c r="A12" s="144" t="s">
        <v>139</v>
      </c>
      <c r="B12" s="108">
        <v>0</v>
      </c>
      <c r="C12" s="109">
        <v>2</v>
      </c>
      <c r="D12" s="108" t="s">
        <v>95</v>
      </c>
      <c r="E12" s="108" t="s">
        <v>114</v>
      </c>
      <c r="F12" s="110" t="s">
        <v>115</v>
      </c>
      <c r="G12" s="110"/>
      <c r="H12" s="110" t="s">
        <v>2</v>
      </c>
      <c r="I12" s="110" t="s">
        <v>74</v>
      </c>
      <c r="J12" s="110" t="s">
        <v>131</v>
      </c>
      <c r="K12" s="108" t="s">
        <v>105</v>
      </c>
      <c r="L12" s="108" t="s">
        <v>106</v>
      </c>
      <c r="M12" s="108" t="s">
        <v>129</v>
      </c>
      <c r="N12" s="111">
        <v>0</v>
      </c>
      <c r="O12" s="112">
        <f>Table3[[#This Row],[Verzekerde Waarde]]-Table3[[#This Row],[Mutaties]]</f>
        <v>122000</v>
      </c>
      <c r="P12" s="112">
        <f t="shared" si="0"/>
        <v>3242000</v>
      </c>
      <c r="Q12" s="108">
        <v>133.4</v>
      </c>
      <c r="R12" s="112">
        <f>S12+SUMIF(Table4[Subnummer],Table3[[#This Row],[Sub]],Table4[Som mutaties])</f>
        <v>3120000</v>
      </c>
      <c r="S12" s="112">
        <v>3120000</v>
      </c>
      <c r="T12" s="108">
        <v>128.4</v>
      </c>
    </row>
    <row r="13" spans="1:20" ht="37.799999999999997" x14ac:dyDescent="0.3">
      <c r="A13" s="144" t="s">
        <v>139</v>
      </c>
      <c r="B13" s="108">
        <v>0</v>
      </c>
      <c r="C13" s="109">
        <v>3</v>
      </c>
      <c r="D13" s="108" t="s">
        <v>88</v>
      </c>
      <c r="E13" s="108" t="s">
        <v>114</v>
      </c>
      <c r="F13" s="110" t="s">
        <v>115</v>
      </c>
      <c r="G13" s="110"/>
      <c r="H13" s="110" t="s">
        <v>2</v>
      </c>
      <c r="I13" s="110" t="s">
        <v>74</v>
      </c>
      <c r="J13" s="110" t="s">
        <v>131</v>
      </c>
      <c r="K13" s="108" t="s">
        <v>105</v>
      </c>
      <c r="L13" s="108" t="s">
        <v>106</v>
      </c>
      <c r="M13" s="108" t="s">
        <v>129</v>
      </c>
      <c r="N13" s="111">
        <v>0</v>
      </c>
      <c r="O13" s="112">
        <f>Table3[[#This Row],[Verzekerde Waarde]]-Table3[[#This Row],[Mutaties]]</f>
        <v>166000</v>
      </c>
      <c r="P13" s="112">
        <f t="shared" si="0"/>
        <v>4135000</v>
      </c>
      <c r="Q13" s="108">
        <v>129.6</v>
      </c>
      <c r="R13" s="112">
        <f>S13+SUMIF(Table4[Subnummer],Table3[[#This Row],[Sub]],Table4[Som mutaties])</f>
        <v>3969000</v>
      </c>
      <c r="S13" s="112">
        <v>3969000</v>
      </c>
      <c r="T13" s="108">
        <v>124.4</v>
      </c>
    </row>
    <row r="14" spans="1:20" x14ac:dyDescent="0.3">
      <c r="A14" s="144" t="s">
        <v>139</v>
      </c>
      <c r="B14" s="108">
        <v>0</v>
      </c>
      <c r="C14" s="109">
        <v>4</v>
      </c>
      <c r="D14" s="108" t="s">
        <v>99</v>
      </c>
      <c r="E14" s="108"/>
      <c r="F14" s="110"/>
      <c r="G14" s="110"/>
      <c r="H14" s="110" t="s">
        <v>2</v>
      </c>
      <c r="I14" s="110" t="s">
        <v>2</v>
      </c>
      <c r="J14" s="110" t="s">
        <v>132</v>
      </c>
      <c r="K14" s="108" t="s">
        <v>105</v>
      </c>
      <c r="L14" s="108" t="s">
        <v>106</v>
      </c>
      <c r="M14" s="108" t="s">
        <v>129</v>
      </c>
      <c r="N14" s="111">
        <v>0</v>
      </c>
      <c r="O14" s="112">
        <f>Table3[[#This Row],[Verzekerde Waarde]]-Table3[[#This Row],[Mutaties]]</f>
        <v>7000</v>
      </c>
      <c r="P14" s="112">
        <f t="shared" si="0"/>
        <v>172000</v>
      </c>
      <c r="Q14" s="108">
        <v>133.4</v>
      </c>
      <c r="R14" s="112">
        <f>S14+SUMIF(Table4[Subnummer],Table3[[#This Row],[Sub]],Table4[Som mutaties])</f>
        <v>165000</v>
      </c>
      <c r="S14" s="112">
        <v>165000</v>
      </c>
      <c r="T14" s="108">
        <v>128.4</v>
      </c>
    </row>
    <row r="15" spans="1:20" x14ac:dyDescent="0.3">
      <c r="A15" s="144" t="s">
        <v>139</v>
      </c>
      <c r="B15" s="108">
        <v>0</v>
      </c>
      <c r="C15" s="109">
        <v>5</v>
      </c>
      <c r="D15" s="108" t="s">
        <v>88</v>
      </c>
      <c r="E15" s="108"/>
      <c r="F15" s="110"/>
      <c r="G15" s="110"/>
      <c r="H15" s="110" t="s">
        <v>2</v>
      </c>
      <c r="I15" s="110" t="s">
        <v>85</v>
      </c>
      <c r="J15" s="110" t="s">
        <v>131</v>
      </c>
      <c r="K15" s="108" t="s">
        <v>105</v>
      </c>
      <c r="L15" s="108" t="s">
        <v>106</v>
      </c>
      <c r="M15" s="108" t="s">
        <v>129</v>
      </c>
      <c r="N15" s="111">
        <v>0</v>
      </c>
      <c r="O15" s="112">
        <f>Table3[[#This Row],[Verzekerde Waarde]]-Table3[[#This Row],[Mutaties]]</f>
        <v>678000</v>
      </c>
      <c r="P15" s="112">
        <f t="shared" si="0"/>
        <v>16876000</v>
      </c>
      <c r="Q15" s="108">
        <v>129.6</v>
      </c>
      <c r="R15" s="112">
        <f>S15+SUMIF(Table4[Subnummer],Table3[[#This Row],[Sub]],Table4[Som mutaties])</f>
        <v>16198000</v>
      </c>
      <c r="S15" s="112">
        <v>16198000</v>
      </c>
      <c r="T15" s="108">
        <v>124.4</v>
      </c>
    </row>
    <row r="16" spans="1:20" x14ac:dyDescent="0.3">
      <c r="A16" s="144" t="s">
        <v>139</v>
      </c>
      <c r="B16" s="108">
        <v>0</v>
      </c>
      <c r="C16" s="109">
        <v>8</v>
      </c>
      <c r="D16" s="108" t="s">
        <v>88</v>
      </c>
      <c r="E16" s="108" t="s">
        <v>127</v>
      </c>
      <c r="F16" s="110"/>
      <c r="G16" s="110"/>
      <c r="H16" s="110" t="s">
        <v>2</v>
      </c>
      <c r="I16" s="110" t="s">
        <v>2</v>
      </c>
      <c r="J16" s="110" t="s">
        <v>132</v>
      </c>
      <c r="K16" s="108" t="s">
        <v>105</v>
      </c>
      <c r="L16" s="108" t="s">
        <v>106</v>
      </c>
      <c r="M16" s="108" t="s">
        <v>129</v>
      </c>
      <c r="N16" s="111">
        <v>0</v>
      </c>
      <c r="O16" s="112">
        <f>Table3[[#This Row],[Verzekerde Waarde]]-Table3[[#This Row],[Mutaties]]</f>
        <v>203000</v>
      </c>
      <c r="P16" s="112">
        <f t="shared" si="0"/>
        <v>5058000</v>
      </c>
      <c r="Q16" s="108">
        <v>129.6</v>
      </c>
      <c r="R16" s="112">
        <f>S16+SUMIF(Table4[Subnummer],Table3[[#This Row],[Sub]],Table4[Som mutaties])</f>
        <v>4855000</v>
      </c>
      <c r="S16" s="112">
        <v>4855000</v>
      </c>
      <c r="T16" s="108">
        <v>124.4</v>
      </c>
    </row>
    <row r="17" spans="1:20" x14ac:dyDescent="0.3">
      <c r="A17" s="144" t="s">
        <v>139</v>
      </c>
      <c r="B17" s="108">
        <v>0</v>
      </c>
      <c r="C17" s="109">
        <v>9</v>
      </c>
      <c r="D17" s="108" t="s">
        <v>88</v>
      </c>
      <c r="E17" s="108" t="s">
        <v>127</v>
      </c>
      <c r="F17" s="110"/>
      <c r="G17" s="110"/>
      <c r="H17" s="110" t="s">
        <v>2</v>
      </c>
      <c r="I17" s="110" t="s">
        <v>2</v>
      </c>
      <c r="J17" s="110" t="s">
        <v>111</v>
      </c>
      <c r="K17" s="147" t="s">
        <v>117</v>
      </c>
      <c r="L17" s="108" t="s">
        <v>107</v>
      </c>
      <c r="M17" s="108" t="s">
        <v>129</v>
      </c>
      <c r="N17" s="111">
        <v>0</v>
      </c>
      <c r="O17" s="112">
        <f>Table3[[#This Row],[Verzekerde Waarde]]-Table3[[#This Row],[Mutaties]]</f>
        <v>92000</v>
      </c>
      <c r="P17" s="112">
        <f t="shared" si="0"/>
        <v>2276000</v>
      </c>
      <c r="Q17" s="108">
        <v>129.6</v>
      </c>
      <c r="R17" s="112">
        <f>S17+SUMIF(Table4[Subnummer],Table3[[#This Row],[Sub]],Table4[Som mutaties])</f>
        <v>2184000</v>
      </c>
      <c r="S17" s="112">
        <v>2184000</v>
      </c>
      <c r="T17" s="108">
        <v>124.4</v>
      </c>
    </row>
    <row r="18" spans="1:20" x14ac:dyDescent="0.3">
      <c r="A18" s="144" t="s">
        <v>139</v>
      </c>
      <c r="B18" s="108">
        <v>0</v>
      </c>
      <c r="C18" s="109">
        <v>10</v>
      </c>
      <c r="D18" s="108" t="s">
        <v>99</v>
      </c>
      <c r="E18" s="108"/>
      <c r="F18" s="110"/>
      <c r="G18" s="110"/>
      <c r="H18" s="110" t="s">
        <v>2</v>
      </c>
      <c r="I18" s="110" t="s">
        <v>2</v>
      </c>
      <c r="J18" s="110" t="s">
        <v>112</v>
      </c>
      <c r="K18" s="147" t="s">
        <v>118</v>
      </c>
      <c r="L18" s="108" t="s">
        <v>108</v>
      </c>
      <c r="M18" s="108" t="s">
        <v>129</v>
      </c>
      <c r="N18" s="111">
        <v>0</v>
      </c>
      <c r="O18" s="112">
        <f>Table3[[#This Row],[Verzekerde Waarde]]-Table3[[#This Row],[Mutaties]]</f>
        <v>1000</v>
      </c>
      <c r="P18" s="112">
        <f t="shared" si="0"/>
        <v>6000</v>
      </c>
      <c r="Q18" s="108">
        <v>133.4</v>
      </c>
      <c r="R18" s="112">
        <f>S18+SUMIF(Table4[Subnummer],Table3[[#This Row],[Sub]],Table4[Som mutaties])</f>
        <v>5000</v>
      </c>
      <c r="S18" s="112">
        <v>5000</v>
      </c>
      <c r="T18" s="108">
        <v>128.4</v>
      </c>
    </row>
    <row r="19" spans="1:20" x14ac:dyDescent="0.3">
      <c r="A19" s="144" t="s">
        <v>139</v>
      </c>
      <c r="B19" s="108">
        <v>0</v>
      </c>
      <c r="C19" s="109">
        <v>11</v>
      </c>
      <c r="D19" s="108" t="s">
        <v>88</v>
      </c>
      <c r="E19" s="108"/>
      <c r="F19" s="110"/>
      <c r="G19" s="110"/>
      <c r="H19" s="110" t="s">
        <v>2</v>
      </c>
      <c r="I19" s="110" t="s">
        <v>2</v>
      </c>
      <c r="J19" s="110" t="s">
        <v>112</v>
      </c>
      <c r="K19" s="147" t="s">
        <v>118</v>
      </c>
      <c r="L19" s="108" t="s">
        <v>108</v>
      </c>
      <c r="M19" s="108" t="s">
        <v>129</v>
      </c>
      <c r="N19" s="111">
        <v>0</v>
      </c>
      <c r="O19" s="112">
        <f>Table3[[#This Row],[Verzekerde Waarde]]-Table3[[#This Row],[Mutaties]]</f>
        <v>1000</v>
      </c>
      <c r="P19" s="112">
        <f t="shared" si="0"/>
        <v>8000</v>
      </c>
      <c r="Q19" s="108">
        <v>129.6</v>
      </c>
      <c r="R19" s="112">
        <f>S19+SUMIF(Table4[Subnummer],Table3[[#This Row],[Sub]],Table4[Som mutaties])</f>
        <v>7000</v>
      </c>
      <c r="S19" s="112">
        <v>7000</v>
      </c>
      <c r="T19" s="108">
        <v>124.4</v>
      </c>
    </row>
    <row r="20" spans="1:20" x14ac:dyDescent="0.2">
      <c r="A20" s="144" t="s">
        <v>139</v>
      </c>
      <c r="B20" s="108">
        <v>0</v>
      </c>
      <c r="C20" s="109">
        <v>12</v>
      </c>
      <c r="D20" s="108" t="s">
        <v>99</v>
      </c>
      <c r="E20" s="108"/>
      <c r="F20" s="110"/>
      <c r="G20" s="110"/>
      <c r="H20" s="110" t="s">
        <v>2</v>
      </c>
      <c r="I20" s="110" t="s">
        <v>2</v>
      </c>
      <c r="J20" s="110" t="s">
        <v>113</v>
      </c>
      <c r="K20" s="148" t="s">
        <v>119</v>
      </c>
      <c r="L20" s="108" t="s">
        <v>109</v>
      </c>
      <c r="M20" s="108" t="s">
        <v>129</v>
      </c>
      <c r="N20" s="111">
        <v>0</v>
      </c>
      <c r="O20" s="112">
        <f>Table3[[#This Row],[Verzekerde Waarde]]-Table3[[#This Row],[Mutaties]]</f>
        <v>4000</v>
      </c>
      <c r="P20" s="112">
        <f t="shared" si="0"/>
        <v>98000</v>
      </c>
      <c r="Q20" s="108">
        <v>133.4</v>
      </c>
      <c r="R20" s="112">
        <f>S20+SUMIF(Table4[Subnummer],Table3[[#This Row],[Sub]],Table4[Som mutaties])</f>
        <v>94000</v>
      </c>
      <c r="S20" s="112">
        <v>94000</v>
      </c>
      <c r="T20" s="108">
        <v>128.4</v>
      </c>
    </row>
    <row r="21" spans="1:20" x14ac:dyDescent="0.2">
      <c r="A21" s="144" t="s">
        <v>139</v>
      </c>
      <c r="B21" s="108">
        <v>0</v>
      </c>
      <c r="C21" s="109">
        <v>13</v>
      </c>
      <c r="D21" s="108" t="s">
        <v>88</v>
      </c>
      <c r="E21" s="108"/>
      <c r="F21" s="110"/>
      <c r="G21" s="110"/>
      <c r="H21" s="110" t="s">
        <v>2</v>
      </c>
      <c r="I21" s="110" t="s">
        <v>2</v>
      </c>
      <c r="J21" s="110" t="s">
        <v>113</v>
      </c>
      <c r="K21" s="148" t="s">
        <v>119</v>
      </c>
      <c r="L21" s="108" t="s">
        <v>109</v>
      </c>
      <c r="M21" s="108" t="s">
        <v>129</v>
      </c>
      <c r="N21" s="111">
        <v>0</v>
      </c>
      <c r="O21" s="112">
        <f>Table3[[#This Row],[Verzekerde Waarde]]-Table3[[#This Row],[Mutaties]]</f>
        <v>4000</v>
      </c>
      <c r="P21" s="112">
        <f t="shared" si="0"/>
        <v>88000</v>
      </c>
      <c r="Q21" s="108">
        <v>129.6</v>
      </c>
      <c r="R21" s="112">
        <f>S21+SUMIF(Table4[Subnummer],Table3[[#This Row],[Sub]],Table4[Som mutaties])</f>
        <v>84000</v>
      </c>
      <c r="S21" s="112">
        <v>84000</v>
      </c>
      <c r="T21" s="108">
        <v>124.4</v>
      </c>
    </row>
    <row r="22" spans="1:20" x14ac:dyDescent="0.2">
      <c r="A22" s="144" t="s">
        <v>139</v>
      </c>
      <c r="B22" s="108">
        <v>0</v>
      </c>
      <c r="C22" s="109">
        <v>14</v>
      </c>
      <c r="D22" s="108" t="s">
        <v>99</v>
      </c>
      <c r="E22" s="108" t="s">
        <v>126</v>
      </c>
      <c r="F22" s="110"/>
      <c r="G22" s="110"/>
      <c r="H22" s="110" t="s">
        <v>2</v>
      </c>
      <c r="I22" s="110" t="s">
        <v>2</v>
      </c>
      <c r="J22" s="110" t="s">
        <v>116</v>
      </c>
      <c r="K22" s="148" t="s">
        <v>120</v>
      </c>
      <c r="L22" s="108" t="s">
        <v>110</v>
      </c>
      <c r="M22" s="108" t="s">
        <v>129</v>
      </c>
      <c r="N22" s="111">
        <v>0</v>
      </c>
      <c r="O22" s="112">
        <f>Table3[[#This Row],[Verzekerde Waarde]]-Table3[[#This Row],[Mutaties]]</f>
        <v>1000</v>
      </c>
      <c r="P22" s="112">
        <f t="shared" si="0"/>
        <v>19000</v>
      </c>
      <c r="Q22" s="108">
        <v>133.4</v>
      </c>
      <c r="R22" s="112">
        <f>S22+SUMIF(Table4[Subnummer],Table3[[#This Row],[Sub]],Table4[Som mutaties])</f>
        <v>18000</v>
      </c>
      <c r="S22" s="112">
        <v>18000</v>
      </c>
      <c r="T22" s="108">
        <v>128.4</v>
      </c>
    </row>
    <row r="23" spans="1:20" ht="25.2" x14ac:dyDescent="0.3">
      <c r="A23" s="144" t="s">
        <v>139</v>
      </c>
      <c r="B23" s="108">
        <v>0</v>
      </c>
      <c r="C23" s="109">
        <v>15</v>
      </c>
      <c r="D23" s="108" t="s">
        <v>88</v>
      </c>
      <c r="E23" s="149" t="s">
        <v>122</v>
      </c>
      <c r="F23" s="110"/>
      <c r="G23" s="110"/>
      <c r="H23" s="110" t="s">
        <v>2</v>
      </c>
      <c r="I23" s="110" t="s">
        <v>2</v>
      </c>
      <c r="J23" s="110" t="s">
        <v>121</v>
      </c>
      <c r="K23" s="108"/>
      <c r="L23" s="108"/>
      <c r="M23" s="108" t="s">
        <v>129</v>
      </c>
      <c r="N23" s="111">
        <v>0</v>
      </c>
      <c r="O23" s="112">
        <f>Table3[[#This Row],[Verzekerde Waarde]]-Table3[[#This Row],[Mutaties]]</f>
        <v>35000</v>
      </c>
      <c r="P23" s="112">
        <f t="shared" si="0"/>
        <v>849000</v>
      </c>
      <c r="Q23" s="108">
        <v>129.6</v>
      </c>
      <c r="R23" s="112">
        <f>S23+SUMIF(Table4[Subnummer],Table3[[#This Row],[Sub]],Table4[Som mutaties])</f>
        <v>814000</v>
      </c>
      <c r="S23" s="112">
        <v>814000</v>
      </c>
      <c r="T23" s="108">
        <v>124.4</v>
      </c>
    </row>
    <row r="24" spans="1:20" x14ac:dyDescent="0.2">
      <c r="A24" s="144" t="s">
        <v>139</v>
      </c>
      <c r="B24" s="108">
        <v>0</v>
      </c>
      <c r="C24" s="109">
        <v>16</v>
      </c>
      <c r="D24" s="108" t="s">
        <v>88</v>
      </c>
      <c r="E24" s="148" t="s">
        <v>123</v>
      </c>
      <c r="F24" s="110"/>
      <c r="G24" s="110"/>
      <c r="H24" s="110" t="s">
        <v>2</v>
      </c>
      <c r="I24" s="110" t="s">
        <v>2</v>
      </c>
      <c r="J24" s="110" t="s">
        <v>121</v>
      </c>
      <c r="K24" s="108"/>
      <c r="L24" s="108"/>
      <c r="M24" s="108" t="s">
        <v>129</v>
      </c>
      <c r="N24" s="111">
        <v>0</v>
      </c>
      <c r="O24" s="112">
        <f>Table3[[#This Row],[Verzekerde Waarde]]-Table3[[#This Row],[Mutaties]]</f>
        <v>4000</v>
      </c>
      <c r="P24" s="112">
        <f t="shared" si="0"/>
        <v>84000</v>
      </c>
      <c r="Q24" s="108">
        <v>129.6</v>
      </c>
      <c r="R24" s="112">
        <f>S24+SUMIF(Table4[Subnummer],Table3[[#This Row],[Sub]],Table4[Som mutaties])</f>
        <v>80000</v>
      </c>
      <c r="S24" s="112">
        <v>80000</v>
      </c>
      <c r="T24" s="108">
        <v>124.4</v>
      </c>
    </row>
    <row r="25" spans="1:20" x14ac:dyDescent="0.3">
      <c r="A25" s="144" t="s">
        <v>139</v>
      </c>
      <c r="B25" s="108">
        <v>0</v>
      </c>
      <c r="C25" s="109">
        <v>17</v>
      </c>
      <c r="D25" s="108" t="s">
        <v>88</v>
      </c>
      <c r="E25" s="149" t="s">
        <v>124</v>
      </c>
      <c r="F25" s="110"/>
      <c r="G25" s="110"/>
      <c r="H25" s="110" t="s">
        <v>2</v>
      </c>
      <c r="I25" s="110" t="s">
        <v>2</v>
      </c>
      <c r="J25" s="110" t="s">
        <v>121</v>
      </c>
      <c r="K25" s="108"/>
      <c r="L25" s="108"/>
      <c r="M25" s="108" t="s">
        <v>129</v>
      </c>
      <c r="N25" s="111">
        <v>0</v>
      </c>
      <c r="O25" s="112">
        <f>Table3[[#This Row],[Verzekerde Waarde]]-Table3[[#This Row],[Mutaties]]</f>
        <v>12000</v>
      </c>
      <c r="P25" s="112">
        <f t="shared" si="0"/>
        <v>292000</v>
      </c>
      <c r="Q25" s="108">
        <v>129.6</v>
      </c>
      <c r="R25" s="112">
        <f>S25+SUMIF(Table4[Subnummer],Table3[[#This Row],[Sub]],Table4[Som mutaties])</f>
        <v>280000</v>
      </c>
      <c r="S25" s="112">
        <v>280000</v>
      </c>
      <c r="T25" s="108">
        <v>124.4</v>
      </c>
    </row>
    <row r="26" spans="1:20" x14ac:dyDescent="0.2">
      <c r="A26" s="144" t="s">
        <v>139</v>
      </c>
      <c r="B26" s="108">
        <v>0</v>
      </c>
      <c r="C26" s="109">
        <v>18</v>
      </c>
      <c r="D26" s="108" t="s">
        <v>88</v>
      </c>
      <c r="E26" s="148" t="s">
        <v>125</v>
      </c>
      <c r="F26" s="110"/>
      <c r="G26" s="110"/>
      <c r="H26" s="110" t="s">
        <v>2</v>
      </c>
      <c r="I26" s="110" t="s">
        <v>2</v>
      </c>
      <c r="J26" s="110" t="s">
        <v>121</v>
      </c>
      <c r="K26" s="108"/>
      <c r="L26" s="108"/>
      <c r="M26" s="108" t="s">
        <v>129</v>
      </c>
      <c r="N26" s="111">
        <v>0</v>
      </c>
      <c r="O26" s="112">
        <f>Table3[[#This Row],[Verzekerde Waarde]]-Table3[[#This Row],[Mutaties]]</f>
        <v>91000</v>
      </c>
      <c r="P26" s="112">
        <f t="shared" si="0"/>
        <v>2265000</v>
      </c>
      <c r="Q26" s="108">
        <v>129.6</v>
      </c>
      <c r="R26" s="112">
        <f>S26+SUMIF(Table4[Subnummer],Table3[[#This Row],[Sub]],Table4[Som mutaties])</f>
        <v>2174000</v>
      </c>
      <c r="S26" s="112">
        <v>2174000</v>
      </c>
      <c r="T26" s="108">
        <v>124.4</v>
      </c>
    </row>
    <row r="27" spans="1:20" x14ac:dyDescent="0.2">
      <c r="A27" s="144" t="s">
        <v>139</v>
      </c>
      <c r="B27" s="108">
        <v>0</v>
      </c>
      <c r="C27" s="109">
        <v>19</v>
      </c>
      <c r="D27" s="108" t="s">
        <v>88</v>
      </c>
      <c r="E27" s="150" t="s">
        <v>124</v>
      </c>
      <c r="F27" s="110"/>
      <c r="G27" s="110"/>
      <c r="H27" s="110" t="s">
        <v>2</v>
      </c>
      <c r="I27" s="110" t="s">
        <v>2</v>
      </c>
      <c r="J27" s="110" t="s">
        <v>121</v>
      </c>
      <c r="K27" s="108"/>
      <c r="L27" s="108"/>
      <c r="M27" s="108" t="s">
        <v>129</v>
      </c>
      <c r="N27" s="111">
        <v>0</v>
      </c>
      <c r="O27" s="112">
        <f>Table3[[#This Row],[Verzekerde Waarde]]-Table3[[#This Row],[Mutaties]]</f>
        <v>3000</v>
      </c>
      <c r="P27" s="112">
        <f t="shared" si="0"/>
        <v>71000</v>
      </c>
      <c r="Q27" s="108">
        <v>129.6</v>
      </c>
      <c r="R27" s="112">
        <f>S27+SUMIF(Table4[Subnummer],Table3[[#This Row],[Sub]],Table4[Som mutaties])</f>
        <v>68000</v>
      </c>
      <c r="S27" s="112">
        <v>68000</v>
      </c>
      <c r="T27" s="108">
        <v>124.4</v>
      </c>
    </row>
    <row r="28" spans="1:20" x14ac:dyDescent="0.3">
      <c r="A28" s="144" t="s">
        <v>139</v>
      </c>
      <c r="B28" s="108">
        <v>0</v>
      </c>
      <c r="C28" s="109">
        <v>20</v>
      </c>
      <c r="D28" s="108" t="s">
        <v>99</v>
      </c>
      <c r="E28" s="108"/>
      <c r="F28" s="110"/>
      <c r="G28" s="110"/>
      <c r="H28" s="110" t="s">
        <v>2</v>
      </c>
      <c r="I28" s="110" t="s">
        <v>2</v>
      </c>
      <c r="J28" s="110" t="s">
        <v>111</v>
      </c>
      <c r="K28" s="147" t="s">
        <v>117</v>
      </c>
      <c r="L28" s="108" t="s">
        <v>107</v>
      </c>
      <c r="M28" s="108" t="s">
        <v>129</v>
      </c>
      <c r="N28" s="111">
        <v>0</v>
      </c>
      <c r="O28" s="112">
        <f>Table3[[#This Row],[Verzekerde Waarde]]-Table3[[#This Row],[Mutaties]]</f>
        <v>8000</v>
      </c>
      <c r="P28" s="112">
        <f t="shared" si="0"/>
        <v>191000</v>
      </c>
      <c r="Q28" s="108">
        <v>133.4</v>
      </c>
      <c r="R28" s="112">
        <f>S28+SUMIF(Table4[Subnummer],Table3[[#This Row],[Sub]],Table4[Som mutaties])</f>
        <v>183000</v>
      </c>
      <c r="S28" s="112">
        <v>183000</v>
      </c>
      <c r="T28" s="108">
        <v>128.4</v>
      </c>
    </row>
    <row r="29" spans="1:20" x14ac:dyDescent="0.3">
      <c r="A29" s="186" t="s">
        <v>139</v>
      </c>
      <c r="B29" s="108">
        <v>0</v>
      </c>
      <c r="C29" s="109">
        <v>21</v>
      </c>
      <c r="D29" s="108" t="s">
        <v>88</v>
      </c>
      <c r="E29" s="108"/>
      <c r="F29" s="110" t="s">
        <v>138</v>
      </c>
      <c r="G29" s="110"/>
      <c r="H29" s="110"/>
      <c r="I29" s="110" t="s">
        <v>85</v>
      </c>
      <c r="J29" s="110" t="s">
        <v>132</v>
      </c>
      <c r="K29" s="108" t="s">
        <v>105</v>
      </c>
      <c r="L29" s="108" t="s">
        <v>106</v>
      </c>
      <c r="M29" s="108" t="s">
        <v>129</v>
      </c>
      <c r="N29" s="111"/>
      <c r="O29" s="112">
        <f>Table3[[#This Row],[Verzekerde Waarde]]-Table3[[#This Row],[Mutaties]]</f>
        <v>2000</v>
      </c>
      <c r="P29" s="112">
        <f t="shared" ref="P29:P30" si="1">IF(Q29=T29,R29,ROUNDUP(R29/T29*Q29,-3))</f>
        <v>37000</v>
      </c>
      <c r="Q29" s="108">
        <v>129.6</v>
      </c>
      <c r="R29" s="112">
        <f>S29+SUMIF(Table4[Subnummer],Table3[[#This Row],[Sub]],Table4[Som mutaties])</f>
        <v>35000</v>
      </c>
      <c r="S29" s="111">
        <v>35000</v>
      </c>
      <c r="T29" s="108">
        <v>124.4</v>
      </c>
    </row>
    <row r="30" spans="1:20" x14ac:dyDescent="0.3">
      <c r="A30" s="186" t="s">
        <v>139</v>
      </c>
      <c r="B30" s="108">
        <v>0</v>
      </c>
      <c r="C30" s="109">
        <v>22</v>
      </c>
      <c r="D30" s="108" t="s">
        <v>99</v>
      </c>
      <c r="E30" s="108"/>
      <c r="F30" s="110" t="s">
        <v>138</v>
      </c>
      <c r="G30" s="110"/>
      <c r="H30" s="110"/>
      <c r="I30" s="110" t="s">
        <v>85</v>
      </c>
      <c r="J30" s="110" t="s">
        <v>132</v>
      </c>
      <c r="K30" s="108" t="s">
        <v>105</v>
      </c>
      <c r="L30" s="108" t="s">
        <v>106</v>
      </c>
      <c r="M30" s="108" t="s">
        <v>129</v>
      </c>
      <c r="N30" s="111"/>
      <c r="O30" s="112">
        <f>Table3[[#This Row],[Verzekerde Waarde]]-Table3[[#This Row],[Mutaties]]</f>
        <v>22000</v>
      </c>
      <c r="P30" s="112">
        <f t="shared" si="1"/>
        <v>575000</v>
      </c>
      <c r="Q30" s="108">
        <v>133.4</v>
      </c>
      <c r="R30" s="112">
        <f>S30+SUMIF(Table4[Subnummer],Table3[[#This Row],[Sub]],Table4[Som mutaties])</f>
        <v>553000</v>
      </c>
      <c r="S30" s="111">
        <v>553000</v>
      </c>
      <c r="T30" s="108">
        <v>128.4</v>
      </c>
    </row>
    <row r="31" spans="1:20" ht="13.2" thickBot="1" x14ac:dyDescent="0.35">
      <c r="A31" s="170" t="s">
        <v>33</v>
      </c>
      <c r="B31" s="171"/>
      <c r="C31" s="172"/>
      <c r="D31" s="173"/>
      <c r="E31" s="173"/>
      <c r="F31" s="174"/>
      <c r="G31" s="174"/>
      <c r="H31" s="174"/>
      <c r="I31" s="174"/>
      <c r="J31" s="174"/>
      <c r="K31" s="173"/>
      <c r="L31" s="173"/>
      <c r="M31" s="175"/>
      <c r="N31" s="145">
        <f>SUBTOTAL(109,Table3[Vorkbedrag])</f>
        <v>0</v>
      </c>
      <c r="O31" s="145">
        <f>SUBTOTAL(109,Table3[Indexverschil])</f>
        <v>3657000</v>
      </c>
      <c r="P31" s="145">
        <f>SUBTOTAL(109,Table3[Verzekerde Waarde])</f>
        <v>95053000</v>
      </c>
      <c r="Q31" s="176"/>
      <c r="R31" s="146">
        <f>SUBTOTAL(109,Table3[Mutaties])</f>
        <v>91396000</v>
      </c>
      <c r="S31" s="145">
        <f>SUBTOTAL(109,Table3[Verz. Waarde Oud:])</f>
        <v>91396000</v>
      </c>
      <c r="T31" s="176"/>
    </row>
  </sheetData>
  <sheetProtection formatCells="0" formatRows="0" insertRows="0" deleteRows="0"/>
  <phoneticPr fontId="5" type="noConversion"/>
  <dataValidations count="3">
    <dataValidation type="list" allowBlank="1" showInputMessage="1" showErrorMessage="1" sqref="D11:D30" xr:uid="{01120292-CFD5-4024-9285-AB3464112197}">
      <formula1>Interest</formula1>
    </dataValidation>
    <dataValidation type="list" allowBlank="1" showInputMessage="1" showErrorMessage="1" sqref="H11:H30" xr:uid="{A46D4949-E34B-4AC6-B17A-C4158B4C1F1F}">
      <formula1>Bouwaard</formula1>
    </dataValidation>
    <dataValidation type="list" allowBlank="1" showInputMessage="1" showErrorMessage="1" sqref="I11:I30" xr:uid="{A2AA30C1-EDD4-4BB8-9B89-7DAD80FA1F1F}">
      <formula1>Taxatie</formula1>
    </dataValidation>
  </dataValidations>
  <pageMargins left="0.70866141732283472" right="0.70866141732283472" top="0.74803149606299213" bottom="0.74803149606299213" header="0.31496062992125984" footer="0.31496062992125984"/>
  <pageSetup scale="52" orientation="landscape" horizontalDpi="1200" verticalDpi="1200" r:id="rId1"/>
  <headerFooter>
    <oddFooter>&amp;L&amp;F
Uniek nr e-ABS XXXXXXXXXXXXXXXXXXX</oddFooter>
  </headerFooter>
  <colBreaks count="2" manualBreakCount="2">
    <brk id="8" max="20" man="1"/>
    <brk id="17" max="20" man="1"/>
  </colBreak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5A77B-CA43-41E5-8C27-BBC72617EFE7}">
  <dimension ref="A1:F5"/>
  <sheetViews>
    <sheetView showGridLines="0" workbookViewId="0"/>
  </sheetViews>
  <sheetFormatPr defaultRowHeight="14.4" x14ac:dyDescent="0.3"/>
  <cols>
    <col min="1" max="1" width="8.5546875" customWidth="1"/>
    <col min="2" max="2" width="16.5546875" bestFit="1" customWidth="1"/>
    <col min="3" max="3" width="22.44140625" bestFit="1" customWidth="1"/>
    <col min="4" max="4" width="15.5546875" bestFit="1" customWidth="1"/>
    <col min="5" max="5" width="18" bestFit="1" customWidth="1"/>
    <col min="6" max="6" width="12.44140625" bestFit="1" customWidth="1"/>
  </cols>
  <sheetData>
    <row r="1" spans="1:6" x14ac:dyDescent="0.3">
      <c r="A1" t="s">
        <v>34</v>
      </c>
    </row>
    <row r="2" spans="1:6" x14ac:dyDescent="0.3">
      <c r="A2" t="s">
        <v>7</v>
      </c>
      <c r="B2" t="s">
        <v>35</v>
      </c>
      <c r="C2" t="s">
        <v>36</v>
      </c>
      <c r="D2" t="s">
        <v>37</v>
      </c>
      <c r="E2" t="s">
        <v>38</v>
      </c>
      <c r="F2" t="s">
        <v>39</v>
      </c>
    </row>
    <row r="3" spans="1:6" x14ac:dyDescent="0.3">
      <c r="A3" s="113">
        <v>5</v>
      </c>
      <c r="B3" t="s">
        <v>88</v>
      </c>
      <c r="C3" t="s">
        <v>134</v>
      </c>
      <c r="D3" s="114">
        <v>44649</v>
      </c>
      <c r="E3" t="s">
        <v>135</v>
      </c>
      <c r="F3" s="114">
        <v>45745</v>
      </c>
    </row>
    <row r="4" spans="1:6" x14ac:dyDescent="0.3">
      <c r="A4" s="113">
        <v>21</v>
      </c>
      <c r="B4" t="s">
        <v>88</v>
      </c>
      <c r="C4" t="s">
        <v>134</v>
      </c>
      <c r="D4" s="114">
        <v>44649</v>
      </c>
      <c r="E4" t="s">
        <v>135</v>
      </c>
      <c r="F4" s="114">
        <v>45745</v>
      </c>
    </row>
    <row r="5" spans="1:6" x14ac:dyDescent="0.3">
      <c r="A5" s="113">
        <v>22</v>
      </c>
      <c r="B5" t="s">
        <v>99</v>
      </c>
      <c r="C5" t="s">
        <v>134</v>
      </c>
      <c r="D5" s="114">
        <v>44649</v>
      </c>
      <c r="E5" t="s">
        <v>135</v>
      </c>
      <c r="F5" s="114">
        <v>45745</v>
      </c>
    </row>
  </sheetData>
  <phoneticPr fontId="5" type="noConversion"/>
  <dataValidations count="1">
    <dataValidation type="list" allowBlank="1" showInputMessage="1" showErrorMessage="1" sqref="B3:B5" xr:uid="{35E0CAF5-70B5-4885-AD2B-3E90160A17FD}">
      <formula1>Interest</formula1>
    </dataValidation>
  </dataValidation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9570-CFC6-457E-96CC-23459DF77E6F}">
  <dimension ref="A1:AJ19"/>
  <sheetViews>
    <sheetView showGridLines="0" zoomScale="85" zoomScaleNormal="85" workbookViewId="0"/>
  </sheetViews>
  <sheetFormatPr defaultColWidth="9.109375" defaultRowHeight="14.4" x14ac:dyDescent="0.3"/>
  <cols>
    <col min="1" max="1" width="19.33203125" style="36" bestFit="1" customWidth="1"/>
    <col min="2" max="2" width="25" style="36" bestFit="1" customWidth="1"/>
    <col min="3" max="3" width="14.6640625" style="36" bestFit="1" customWidth="1"/>
    <col min="4" max="4" width="13.33203125" style="36" bestFit="1" customWidth="1"/>
    <col min="5" max="5" width="15.88671875" style="36" bestFit="1" customWidth="1"/>
    <col min="6" max="6" width="16.44140625" style="36" bestFit="1" customWidth="1"/>
    <col min="7" max="7" width="15.44140625" style="36" hidden="1" customWidth="1"/>
    <col min="8" max="8" width="14.88671875" style="36" hidden="1" customWidth="1"/>
    <col min="9" max="9" width="14.44140625" style="36" hidden="1" customWidth="1"/>
    <col min="10" max="10" width="12.6640625" style="36" bestFit="1" customWidth="1"/>
    <col min="11" max="11" width="16.44140625" style="36" hidden="1" customWidth="1"/>
    <col min="12" max="12" width="15.88671875" style="36" customWidth="1"/>
    <col min="13" max="13" width="14" style="36" bestFit="1" customWidth="1"/>
    <col min="14" max="14" width="12.44140625" style="36" bestFit="1" customWidth="1"/>
    <col min="15" max="15" width="12" style="36" customWidth="1"/>
    <col min="16" max="16" width="13.88671875" style="36" bestFit="1" customWidth="1"/>
    <col min="17" max="17" width="15.88671875" style="36" bestFit="1" customWidth="1"/>
    <col min="18" max="21" width="20.109375" style="36" hidden="1" customWidth="1"/>
    <col min="22" max="22" width="20.109375" hidden="1" customWidth="1"/>
    <col min="23" max="24" width="13.33203125" hidden="1" customWidth="1"/>
    <col min="25" max="34" width="13.33203125" style="36" hidden="1" customWidth="1"/>
    <col min="35" max="36" width="12" style="36" hidden="1" customWidth="1"/>
    <col min="37" max="16384" width="9.109375" style="36"/>
  </cols>
  <sheetData>
    <row r="1" spans="1:36" x14ac:dyDescent="0.3">
      <c r="A1" s="31" t="s">
        <v>40</v>
      </c>
      <c r="B1" s="32"/>
      <c r="C1" s="32"/>
      <c r="D1" s="32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2"/>
      <c r="W1" s="32"/>
      <c r="X1" s="32"/>
      <c r="Y1" s="32"/>
      <c r="Z1" s="32"/>
      <c r="AA1" s="32"/>
      <c r="AB1" s="33"/>
      <c r="AC1" s="33"/>
      <c r="AD1" s="33"/>
      <c r="AE1" s="33"/>
      <c r="AF1" s="33"/>
      <c r="AG1" s="33"/>
      <c r="AH1" s="33"/>
      <c r="AI1" s="34"/>
      <c r="AJ1" s="35"/>
    </row>
    <row r="2" spans="1:36" x14ac:dyDescent="0.3">
      <c r="A2" s="5" t="e">
        <f>#REF!</f>
        <v>#REF!</v>
      </c>
      <c r="B2" s="34" t="e">
        <f>#REF!</f>
        <v>#REF!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5"/>
    </row>
    <row r="3" spans="1:36" x14ac:dyDescent="0.3">
      <c r="A3" s="5" t="e">
        <f>#REF!</f>
        <v>#REF!</v>
      </c>
      <c r="B3" s="34" t="e">
        <f>#REF!</f>
        <v>#REF!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5"/>
    </row>
    <row r="4" spans="1:36" ht="15" thickBot="1" x14ac:dyDescent="0.35">
      <c r="A4" s="5" t="e">
        <f>#REF!</f>
        <v>#REF!</v>
      </c>
      <c r="B4" s="34" t="e">
        <f>#REF!</f>
        <v>#REF!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5"/>
    </row>
    <row r="5" spans="1:36" ht="15" thickBot="1" x14ac:dyDescent="0.35">
      <c r="A5" s="37" t="s">
        <v>41</v>
      </c>
      <c r="B5" s="38" t="s">
        <v>42</v>
      </c>
      <c r="C5" s="38"/>
      <c r="D5" s="38" t="s">
        <v>6</v>
      </c>
      <c r="E5" s="38" t="s">
        <v>7</v>
      </c>
      <c r="F5" s="197" t="s">
        <v>43</v>
      </c>
      <c r="G5" s="197"/>
      <c r="H5" s="197"/>
      <c r="I5" s="197"/>
      <c r="J5" s="197"/>
      <c r="K5" s="197"/>
      <c r="L5" s="197"/>
      <c r="M5" s="98" t="s">
        <v>44</v>
      </c>
      <c r="N5" s="39" t="s">
        <v>45</v>
      </c>
      <c r="O5" s="39" t="s">
        <v>46</v>
      </c>
      <c r="P5" s="39" t="s">
        <v>47</v>
      </c>
      <c r="Q5" s="99" t="s">
        <v>48</v>
      </c>
      <c r="R5" s="198" t="s">
        <v>49</v>
      </c>
      <c r="S5" s="199"/>
      <c r="T5" s="199"/>
      <c r="U5" s="199"/>
      <c r="V5" s="200"/>
      <c r="W5" s="201" t="s">
        <v>50</v>
      </c>
      <c r="X5" s="201"/>
      <c r="Y5" s="201"/>
      <c r="Z5" s="201"/>
      <c r="AA5" s="201"/>
      <c r="AB5" s="202"/>
      <c r="AC5" s="203" t="s">
        <v>51</v>
      </c>
      <c r="AD5" s="203"/>
      <c r="AE5" s="203"/>
      <c r="AF5" s="203"/>
      <c r="AG5" s="203"/>
      <c r="AH5" s="203"/>
      <c r="AI5" s="203"/>
      <c r="AJ5" s="204"/>
    </row>
    <row r="6" spans="1:36" x14ac:dyDescent="0.3">
      <c r="A6" s="40"/>
      <c r="B6" s="41"/>
      <c r="C6" s="41"/>
      <c r="D6" s="41"/>
      <c r="E6" s="41"/>
      <c r="F6" s="42"/>
      <c r="G6" s="42"/>
      <c r="H6" s="42"/>
      <c r="I6" s="42"/>
      <c r="J6" s="42"/>
      <c r="K6" s="42"/>
      <c r="L6" s="94"/>
      <c r="M6" s="100"/>
      <c r="N6" s="43"/>
      <c r="O6" s="43"/>
      <c r="P6" s="43"/>
      <c r="Q6" s="101"/>
      <c r="R6" s="48"/>
      <c r="S6" s="44"/>
      <c r="T6" s="44"/>
      <c r="U6" s="44"/>
      <c r="V6" s="45"/>
      <c r="W6" s="46" t="e">
        <f>Specificatie!#REF!</f>
        <v>#REF!</v>
      </c>
      <c r="X6" s="44" t="e">
        <f>Specificatie!#REF!</f>
        <v>#REF!</v>
      </c>
      <c r="Y6" s="44" t="e">
        <f>Specificatie!#REF!</f>
        <v>#REF!</v>
      </c>
      <c r="Z6" s="44" t="e">
        <f>Specificatie!#REF!</f>
        <v>#REF!</v>
      </c>
      <c r="AA6" s="44" t="e">
        <f>Specificatie!#REF!</f>
        <v>#REF!</v>
      </c>
      <c r="AB6" s="47" t="e">
        <f>Specificatie!#REF!</f>
        <v>#REF!</v>
      </c>
      <c r="AC6" s="48" t="e">
        <f>Specificatie!#REF!</f>
        <v>#REF!</v>
      </c>
      <c r="AD6" s="44" t="e">
        <f>Specificatie!#REF!</f>
        <v>#REF!</v>
      </c>
      <c r="AE6" s="44" t="e">
        <f>Specificatie!#REF!</f>
        <v>#REF!</v>
      </c>
      <c r="AF6" s="44" t="e">
        <f>Specificatie!#REF!</f>
        <v>#REF!</v>
      </c>
      <c r="AG6" s="44" t="e">
        <f>Specificatie!#REF!</f>
        <v>#REF!</v>
      </c>
      <c r="AH6" s="44" t="e">
        <f>Specificatie!#REF!</f>
        <v>#REF!</v>
      </c>
      <c r="AI6" s="44"/>
      <c r="AJ6" s="47"/>
    </row>
    <row r="7" spans="1:36" x14ac:dyDescent="0.3">
      <c r="A7" s="49"/>
      <c r="B7" s="50"/>
      <c r="C7" s="50"/>
      <c r="D7" s="50"/>
      <c r="E7" s="51"/>
      <c r="F7" s="50"/>
      <c r="G7" s="51"/>
      <c r="H7" s="51"/>
      <c r="I7" s="51"/>
      <c r="J7" s="51"/>
      <c r="K7" s="50"/>
      <c r="L7" s="95"/>
      <c r="M7" s="49"/>
      <c r="N7" s="52"/>
      <c r="O7" s="52"/>
      <c r="P7" s="52"/>
      <c r="Q7" s="58"/>
      <c r="R7" s="96"/>
      <c r="S7" s="51"/>
      <c r="T7" s="51"/>
      <c r="U7" s="51"/>
      <c r="V7" s="53"/>
      <c r="W7" s="54" t="e">
        <f>Specificatie!#REF!</f>
        <v>#REF!</v>
      </c>
      <c r="X7" s="55" t="e">
        <f>Specificatie!#REF!</f>
        <v>#REF!</v>
      </c>
      <c r="Y7" s="55" t="e">
        <f>Specificatie!#REF!</f>
        <v>#REF!</v>
      </c>
      <c r="Z7" s="55" t="e">
        <f>Specificatie!#REF!</f>
        <v>#REF!</v>
      </c>
      <c r="AA7" s="55" t="e">
        <f>Specificatie!#REF!</f>
        <v>#REF!</v>
      </c>
      <c r="AB7" s="56" t="e">
        <f>Specificatie!#REF!</f>
        <v>#REF!</v>
      </c>
      <c r="AC7" s="57"/>
      <c r="AD7" s="52"/>
      <c r="AE7" s="52"/>
      <c r="AF7" s="52"/>
      <c r="AG7" s="52"/>
      <c r="AH7" s="52"/>
      <c r="AI7" s="52" t="s">
        <v>52</v>
      </c>
      <c r="AJ7" s="58"/>
    </row>
    <row r="8" spans="1:36" ht="28.2" thickBot="1" x14ac:dyDescent="0.35">
      <c r="A8" s="59" t="s">
        <v>41</v>
      </c>
      <c r="B8" s="115" t="s">
        <v>53</v>
      </c>
      <c r="C8" s="115" t="s">
        <v>136</v>
      </c>
      <c r="D8" s="115" t="s">
        <v>6</v>
      </c>
      <c r="E8" s="60" t="s">
        <v>54</v>
      </c>
      <c r="F8" s="61" t="s">
        <v>55</v>
      </c>
      <c r="G8" s="60" t="s">
        <v>56</v>
      </c>
      <c r="H8" s="60" t="s">
        <v>57</v>
      </c>
      <c r="I8" s="60" t="s">
        <v>58</v>
      </c>
      <c r="J8" s="60" t="s">
        <v>59</v>
      </c>
      <c r="K8" s="60" t="s">
        <v>60</v>
      </c>
      <c r="L8" s="62" t="s">
        <v>61</v>
      </c>
      <c r="M8" s="59" t="s">
        <v>44</v>
      </c>
      <c r="N8" s="63" t="s">
        <v>45</v>
      </c>
      <c r="O8" s="63" t="s">
        <v>46</v>
      </c>
      <c r="P8" s="63" t="s">
        <v>47</v>
      </c>
      <c r="Q8" s="69" t="s">
        <v>48</v>
      </c>
      <c r="R8" s="97" t="s">
        <v>62</v>
      </c>
      <c r="S8" s="60" t="s">
        <v>63</v>
      </c>
      <c r="T8" s="60" t="s">
        <v>64</v>
      </c>
      <c r="U8" s="60" t="s">
        <v>65</v>
      </c>
      <c r="V8" s="64" t="s">
        <v>52</v>
      </c>
      <c r="W8" s="65" t="s">
        <v>23</v>
      </c>
      <c r="X8" s="66" t="s">
        <v>24</v>
      </c>
      <c r="Y8" s="66" t="s">
        <v>25</v>
      </c>
      <c r="Z8" s="66" t="s">
        <v>26</v>
      </c>
      <c r="AA8" s="66" t="s">
        <v>27</v>
      </c>
      <c r="AB8" s="67" t="s">
        <v>28</v>
      </c>
      <c r="AC8" s="68" t="s">
        <v>66</v>
      </c>
      <c r="AD8" s="66" t="s">
        <v>67</v>
      </c>
      <c r="AE8" s="66" t="s">
        <v>68</v>
      </c>
      <c r="AF8" s="66" t="s">
        <v>69</v>
      </c>
      <c r="AG8" s="66" t="s">
        <v>70</v>
      </c>
      <c r="AH8" s="66" t="s">
        <v>71</v>
      </c>
      <c r="AI8" s="63" t="s">
        <v>72</v>
      </c>
      <c r="AJ8" s="69" t="s">
        <v>73</v>
      </c>
    </row>
    <row r="9" spans="1:36" x14ac:dyDescent="0.3">
      <c r="A9" s="163" t="str">
        <f>IFERROR(_xlfn.XLOOKUP(E9,Table3[Sub],Table3[Verzekerde]),"-")</f>
        <v>-</v>
      </c>
      <c r="B9" s="185" t="s">
        <v>137</v>
      </c>
      <c r="C9" s="185" t="e">
        <f>_xlfn.XLOOKUP(Table4[[#This Row],[Subnummer]],Table3[Sub],Table3[Adres])</f>
        <v>#N/A</v>
      </c>
      <c r="D9" s="116" t="str">
        <f>IFERROR(_xlfn.XLOOKUP(Table4[[#This Row],[Subnummer]],Table3[Sub],Table3[Certificaat]),"-")</f>
        <v>-</v>
      </c>
      <c r="E9" s="164">
        <v>6</v>
      </c>
      <c r="F9" s="123">
        <f>IFERROR(_xlfn.XLOOKUP(Table4[[#This Row],[Subnummer]],Table3[Sub],Table3[Verz. Waarde Oud:]),0)</f>
        <v>0</v>
      </c>
      <c r="G9" s="120">
        <v>0</v>
      </c>
      <c r="H9" s="120">
        <v>0</v>
      </c>
      <c r="I9" s="120">
        <v>0</v>
      </c>
      <c r="J9" s="120">
        <v>460000</v>
      </c>
      <c r="K9" s="120">
        <f t="shared" ref="K9:K15" si="0">F9+G9+H9-I9-J9</f>
        <v>-460000</v>
      </c>
      <c r="L9" s="124">
        <f t="shared" ref="L9:L15" si="1">K9-F9</f>
        <v>-460000</v>
      </c>
      <c r="M9" s="165">
        <v>45535</v>
      </c>
      <c r="N9" s="160">
        <v>45658</v>
      </c>
      <c r="O9" s="159">
        <f t="shared" ref="O9:O15" si="2">N9-M9</f>
        <v>123</v>
      </c>
      <c r="P9" s="159">
        <v>365</v>
      </c>
      <c r="Q9" s="162" t="s">
        <v>85</v>
      </c>
      <c r="R9" s="128">
        <f t="shared" ref="R9:R15" si="3">G9*O9/P9</f>
        <v>0</v>
      </c>
      <c r="S9" s="120" cm="1">
        <f t="array" ref="S9">_xlfn.IFS($Q9="Nee",H9*$O9/$P9,$Q9="Ja",H9*0.5)</f>
        <v>0</v>
      </c>
      <c r="T9" s="120" cm="1">
        <f t="array" ref="T9">_xlfn.IFS($Q9="Nee",-(I9*$O9/$P9),$Q9="Ja",-(I9*0.5))</f>
        <v>0</v>
      </c>
      <c r="U9" s="120">
        <f t="shared" ref="U9:U15" si="4">-J9*O9/P9</f>
        <v>-155013.69863013699</v>
      </c>
      <c r="V9" s="129">
        <f t="shared" ref="V9:V15" si="5">SUM(R9:U9)</f>
        <v>-155013.69863013699</v>
      </c>
      <c r="W9" s="166">
        <f>IFERROR(_xlfn.XLOOKUP(Table4[[#This Row],[Subnummer]],Table3[Sub],#REF!),0)</f>
        <v>0</v>
      </c>
      <c r="X9" s="161">
        <f>IFERROR(_xlfn.XLOOKUP(Table4[[#This Row],[Subnummer]],Table3[Sub],#REF!),0)</f>
        <v>0</v>
      </c>
      <c r="Y9" s="161">
        <f>IFERROR(_xlfn.XLOOKUP(Table4[[#This Row],[Subnummer]],Table3[Sub],#REF!),0)</f>
        <v>0</v>
      </c>
      <c r="Z9" s="161">
        <f>IFERROR(_xlfn.XLOOKUP(Table4[[#This Row],[Subnummer]],Table3[Sub],#REF!),0)</f>
        <v>0</v>
      </c>
      <c r="AA9" s="161">
        <f>IFERROR(_xlfn.XLOOKUP(Table4[[#This Row],[Subnummer]],Table3[Sub],#REF!),0)</f>
        <v>0</v>
      </c>
      <c r="AB9" s="167">
        <f>IFERROR(_xlfn.XLOOKUP(Table4[[#This Row],[Subnummer]],Table3[Sub],#REF!),0)</f>
        <v>0</v>
      </c>
      <c r="AC9" s="132" t="e">
        <f t="shared" ref="AC9:AH15" si="6">$V9*W9/1000*W$7</f>
        <v>#REF!</v>
      </c>
      <c r="AD9" s="120" t="e">
        <f t="shared" si="6"/>
        <v>#REF!</v>
      </c>
      <c r="AE9" s="120" t="e">
        <f t="shared" si="6"/>
        <v>#REF!</v>
      </c>
      <c r="AF9" s="120" t="e">
        <f t="shared" si="6"/>
        <v>#REF!</v>
      </c>
      <c r="AG9" s="120" t="e">
        <f t="shared" si="6"/>
        <v>#REF!</v>
      </c>
      <c r="AH9" s="120" t="e">
        <f t="shared" si="6"/>
        <v>#REF!</v>
      </c>
      <c r="AI9" s="120" t="e">
        <f t="shared" ref="AI9:AI15" si="7">SUM(AC9:AH9)</f>
        <v>#REF!</v>
      </c>
      <c r="AJ9" s="162" t="e" cm="1">
        <f t="array" ref="AJ9">_xlfn.IFS(AI9=0,"Nihil",AI9&gt;0,"Suppletie",AI9&lt;0,"Restitutie")</f>
        <v>#REF!</v>
      </c>
    </row>
    <row r="10" spans="1:36" x14ac:dyDescent="0.3">
      <c r="A10" s="163" t="str">
        <f>IFERROR(_xlfn.XLOOKUP(E10,Table3[Sub],Table3[Verzekerde]),"-")</f>
        <v>-</v>
      </c>
      <c r="B10" s="116" t="s">
        <v>137</v>
      </c>
      <c r="C10" s="116" t="e">
        <f>_xlfn.XLOOKUP(Table4[[#This Row],[Subnummer]],Table3[Sub],Table3[Adres])</f>
        <v>#N/A</v>
      </c>
      <c r="D10" s="116" t="str">
        <f>IFERROR(_xlfn.XLOOKUP(Table4[[#This Row],[Subnummer]],Table3[Sub],Table3[Certificaat]),"-")</f>
        <v>-</v>
      </c>
      <c r="E10" s="122">
        <v>7</v>
      </c>
      <c r="F10" s="125">
        <f>IFERROR(_xlfn.XLOOKUP(Table4[[#This Row],[Subnummer]],Table3[Sub],Table3[Verz. Waarde Oud:]),0)</f>
        <v>0</v>
      </c>
      <c r="G10" s="117">
        <v>0</v>
      </c>
      <c r="H10" s="117">
        <v>0</v>
      </c>
      <c r="I10" s="117">
        <v>0</v>
      </c>
      <c r="J10" s="117">
        <v>100000</v>
      </c>
      <c r="K10" s="117">
        <f t="shared" si="0"/>
        <v>-100000</v>
      </c>
      <c r="L10" s="126">
        <f t="shared" si="1"/>
        <v>-100000</v>
      </c>
      <c r="M10" s="127">
        <v>45535</v>
      </c>
      <c r="N10" s="118">
        <v>45658</v>
      </c>
      <c r="O10" s="116">
        <f t="shared" si="2"/>
        <v>123</v>
      </c>
      <c r="P10" s="116">
        <v>365</v>
      </c>
      <c r="Q10" s="121" t="s">
        <v>85</v>
      </c>
      <c r="R10" s="130">
        <f t="shared" si="3"/>
        <v>0</v>
      </c>
      <c r="S10" s="117" cm="1">
        <f t="array" ref="S10">_xlfn.IFS($Q10="Nee",H10*$O10/$P10,$Q10="Ja",H10*0.5)</f>
        <v>0</v>
      </c>
      <c r="T10" s="117" cm="1">
        <f t="array" ref="T10">_xlfn.IFS($Q10="Nee",-(I10*$O10/$P10),$Q10="Ja",-(I10*0.5))</f>
        <v>0</v>
      </c>
      <c r="U10" s="117">
        <f t="shared" si="4"/>
        <v>-33698.630136986299</v>
      </c>
      <c r="V10" s="131">
        <f t="shared" si="5"/>
        <v>-33698.630136986299</v>
      </c>
      <c r="W10" s="134">
        <f>IFERROR(_xlfn.XLOOKUP(Table4[[#This Row],[Subnummer]],Table3[Sub],#REF!),0)</f>
        <v>0</v>
      </c>
      <c r="X10" s="119">
        <f>IFERROR(_xlfn.XLOOKUP(Table4[[#This Row],[Subnummer]],Table3[Sub],#REF!),0)</f>
        <v>0</v>
      </c>
      <c r="Y10" s="119">
        <f>IFERROR(_xlfn.XLOOKUP(Table4[[#This Row],[Subnummer]],Table3[Sub],#REF!),0)</f>
        <v>0</v>
      </c>
      <c r="Z10" s="119">
        <f>IFERROR(_xlfn.XLOOKUP(Table4[[#This Row],[Subnummer]],Table3[Sub],#REF!),0)</f>
        <v>0</v>
      </c>
      <c r="AA10" s="119">
        <f>IFERROR(_xlfn.XLOOKUP(Table4[[#This Row],[Subnummer]],Table3[Sub],#REF!),0)</f>
        <v>0</v>
      </c>
      <c r="AB10" s="135">
        <f>IFERROR(_xlfn.XLOOKUP(Table4[[#This Row],[Subnummer]],Table3[Sub],#REF!),0)</f>
        <v>0</v>
      </c>
      <c r="AC10" s="133" t="e">
        <f t="shared" si="6"/>
        <v>#REF!</v>
      </c>
      <c r="AD10" s="117" t="e">
        <f t="shared" si="6"/>
        <v>#REF!</v>
      </c>
      <c r="AE10" s="117" t="e">
        <f t="shared" si="6"/>
        <v>#REF!</v>
      </c>
      <c r="AF10" s="117" t="e">
        <f t="shared" si="6"/>
        <v>#REF!</v>
      </c>
      <c r="AG10" s="117" t="e">
        <f t="shared" si="6"/>
        <v>#REF!</v>
      </c>
      <c r="AH10" s="117" t="e">
        <f t="shared" si="6"/>
        <v>#REF!</v>
      </c>
      <c r="AI10" s="117" t="e">
        <f t="shared" si="7"/>
        <v>#REF!</v>
      </c>
      <c r="AJ10" s="121" t="e" cm="1">
        <f t="array" ref="AJ10">_xlfn.IFS(AI10=0,"Nihil",AI10&gt;0,"Suppletie",AI10&lt;0,"Restitutie")</f>
        <v>#REF!</v>
      </c>
    </row>
    <row r="11" spans="1:36" hidden="1" x14ac:dyDescent="0.3">
      <c r="A11" s="163" t="str">
        <f>IFERROR(_xlfn.XLOOKUP(E11,Table3[Sub],Table3[Verzekerde]),"-")</f>
        <v>-</v>
      </c>
      <c r="B11" s="116" t="s">
        <v>137</v>
      </c>
      <c r="C11" s="116" t="e">
        <f>_xlfn.XLOOKUP(Table4[[#This Row],[Subnummer]],Table3[Sub],Table3[Adres])</f>
        <v>#N/A</v>
      </c>
      <c r="D11" s="116" t="str">
        <f>IFERROR(_xlfn.XLOOKUP(Table4[[#This Row],[Subnummer]],Table3[Sub],Table3[Certificaat]),"-")</f>
        <v>-</v>
      </c>
      <c r="E11" s="122">
        <v>0</v>
      </c>
      <c r="F11" s="125">
        <f>IFERROR(_xlfn.XLOOKUP(Table4[[#This Row],[Subnummer]],Table3[Sub],Table3[Verz. Waarde Oud:]),0)</f>
        <v>0</v>
      </c>
      <c r="G11" s="117">
        <v>0</v>
      </c>
      <c r="H11" s="117">
        <v>0</v>
      </c>
      <c r="I11" s="117">
        <v>0</v>
      </c>
      <c r="J11" s="117">
        <v>0</v>
      </c>
      <c r="K11" s="117">
        <f t="shared" si="0"/>
        <v>0</v>
      </c>
      <c r="L11" s="126">
        <f t="shared" si="1"/>
        <v>0</v>
      </c>
      <c r="M11" s="127">
        <v>45535</v>
      </c>
      <c r="N11" s="118">
        <v>45658</v>
      </c>
      <c r="O11" s="116">
        <f t="shared" si="2"/>
        <v>123</v>
      </c>
      <c r="P11" s="116">
        <v>365</v>
      </c>
      <c r="Q11" s="121" t="s">
        <v>74</v>
      </c>
      <c r="R11" s="130">
        <f t="shared" si="3"/>
        <v>0</v>
      </c>
      <c r="S11" s="117" cm="1">
        <f t="array" ref="S11">_xlfn.IFS($Q11="Nee",H11*$O11/$P11,$Q11="Ja",H11*0.5)</f>
        <v>0</v>
      </c>
      <c r="T11" s="117" cm="1">
        <f t="array" ref="T11">_xlfn.IFS($Q11="Nee",-(I11*$O11/$P11),$Q11="Ja",-(I11*0.5))</f>
        <v>0</v>
      </c>
      <c r="U11" s="117">
        <f t="shared" si="4"/>
        <v>0</v>
      </c>
      <c r="V11" s="131">
        <f t="shared" si="5"/>
        <v>0</v>
      </c>
      <c r="W11" s="134">
        <f>IFERROR(_xlfn.XLOOKUP(Table4[[#This Row],[Subnummer]],Table3[Sub],#REF!),0)</f>
        <v>0</v>
      </c>
      <c r="X11" s="119">
        <f>IFERROR(_xlfn.XLOOKUP(Table4[[#This Row],[Subnummer]],Table3[Sub],#REF!),0)</f>
        <v>0</v>
      </c>
      <c r="Y11" s="119">
        <f>IFERROR(_xlfn.XLOOKUP(Table4[[#This Row],[Subnummer]],Table3[Sub],#REF!),0)</f>
        <v>0</v>
      </c>
      <c r="Z11" s="119">
        <f>IFERROR(_xlfn.XLOOKUP(Table4[[#This Row],[Subnummer]],Table3[Sub],#REF!),0)</f>
        <v>0</v>
      </c>
      <c r="AA11" s="119">
        <f>IFERROR(_xlfn.XLOOKUP(Table4[[#This Row],[Subnummer]],Table3[Sub],#REF!),0)</f>
        <v>0</v>
      </c>
      <c r="AB11" s="135">
        <f>IFERROR(_xlfn.XLOOKUP(Table4[[#This Row],[Subnummer]],Table3[Sub],#REF!),0)</f>
        <v>0</v>
      </c>
      <c r="AC11" s="133" t="e">
        <f t="shared" si="6"/>
        <v>#REF!</v>
      </c>
      <c r="AD11" s="117" t="e">
        <f t="shared" si="6"/>
        <v>#REF!</v>
      </c>
      <c r="AE11" s="117" t="e">
        <f t="shared" si="6"/>
        <v>#REF!</v>
      </c>
      <c r="AF11" s="117" t="e">
        <f t="shared" si="6"/>
        <v>#REF!</v>
      </c>
      <c r="AG11" s="117" t="e">
        <f t="shared" si="6"/>
        <v>#REF!</v>
      </c>
      <c r="AH11" s="117" t="e">
        <f t="shared" si="6"/>
        <v>#REF!</v>
      </c>
      <c r="AI11" s="117" t="e">
        <f t="shared" si="7"/>
        <v>#REF!</v>
      </c>
      <c r="AJ11" s="121" t="e" cm="1">
        <f t="array" ref="AJ11">_xlfn.IFS(AI11=0,"Nihil",AI11&gt;0,"Suppletie",AI11&lt;0,"Restitutie")</f>
        <v>#REF!</v>
      </c>
    </row>
    <row r="12" spans="1:36" hidden="1" x14ac:dyDescent="0.3">
      <c r="A12" s="163" t="str">
        <f>IFERROR(_xlfn.XLOOKUP(E12,Table3[Sub],Table3[Verzekerde]),"-")</f>
        <v>-</v>
      </c>
      <c r="B12" s="116" t="s">
        <v>137</v>
      </c>
      <c r="C12" s="116" t="e">
        <f>_xlfn.XLOOKUP(Table4[[#This Row],[Subnummer]],Table3[Sub],Table3[Adres])</f>
        <v>#N/A</v>
      </c>
      <c r="D12" s="116" t="str">
        <f>IFERROR(_xlfn.XLOOKUP(Table4[[#This Row],[Subnummer]],Table3[Sub],Table3[Certificaat]),"-")</f>
        <v>-</v>
      </c>
      <c r="E12" s="122">
        <v>0</v>
      </c>
      <c r="F12" s="125">
        <f>IFERROR(_xlfn.XLOOKUP(Table4[[#This Row],[Subnummer]],Table3[Sub],Table3[Verz. Waarde Oud:]),0)</f>
        <v>0</v>
      </c>
      <c r="G12" s="117">
        <v>0</v>
      </c>
      <c r="H12" s="117">
        <v>0</v>
      </c>
      <c r="I12" s="117">
        <v>0</v>
      </c>
      <c r="J12" s="117">
        <v>0</v>
      </c>
      <c r="K12" s="117">
        <f t="shared" si="0"/>
        <v>0</v>
      </c>
      <c r="L12" s="126">
        <f t="shared" si="1"/>
        <v>0</v>
      </c>
      <c r="M12" s="127">
        <v>45535</v>
      </c>
      <c r="N12" s="118">
        <v>45658</v>
      </c>
      <c r="O12" s="116">
        <f t="shared" si="2"/>
        <v>123</v>
      </c>
      <c r="P12" s="116">
        <v>365</v>
      </c>
      <c r="Q12" s="121" t="s">
        <v>74</v>
      </c>
      <c r="R12" s="130">
        <f t="shared" si="3"/>
        <v>0</v>
      </c>
      <c r="S12" s="117" cm="1">
        <f t="array" ref="S12">_xlfn.IFS($Q12="Nee",H12*$O12/$P12,$Q12="Ja",H12*0.5)</f>
        <v>0</v>
      </c>
      <c r="T12" s="117" cm="1">
        <f t="array" ref="T12">_xlfn.IFS($Q12="Nee",-(I12*$O12/$P12),$Q12="Ja",-(I12*0.5))</f>
        <v>0</v>
      </c>
      <c r="U12" s="117">
        <f t="shared" si="4"/>
        <v>0</v>
      </c>
      <c r="V12" s="131">
        <f t="shared" si="5"/>
        <v>0</v>
      </c>
      <c r="W12" s="134">
        <f>IFERROR(_xlfn.XLOOKUP(Table4[[#This Row],[Subnummer]],Table3[Sub],#REF!),0)</f>
        <v>0</v>
      </c>
      <c r="X12" s="119">
        <f>IFERROR(_xlfn.XLOOKUP(Table4[[#This Row],[Subnummer]],Table3[Sub],#REF!),0)</f>
        <v>0</v>
      </c>
      <c r="Y12" s="119">
        <f>IFERROR(_xlfn.XLOOKUP(Table4[[#This Row],[Subnummer]],Table3[Sub],#REF!),0)</f>
        <v>0</v>
      </c>
      <c r="Z12" s="119">
        <f>IFERROR(_xlfn.XLOOKUP(Table4[[#This Row],[Subnummer]],Table3[Sub],#REF!),0)</f>
        <v>0</v>
      </c>
      <c r="AA12" s="119">
        <f>IFERROR(_xlfn.XLOOKUP(Table4[[#This Row],[Subnummer]],Table3[Sub],#REF!),0)</f>
        <v>0</v>
      </c>
      <c r="AB12" s="135">
        <f>IFERROR(_xlfn.XLOOKUP(Table4[[#This Row],[Subnummer]],Table3[Sub],#REF!),0)</f>
        <v>0</v>
      </c>
      <c r="AC12" s="133" t="e">
        <f t="shared" si="6"/>
        <v>#REF!</v>
      </c>
      <c r="AD12" s="117" t="e">
        <f t="shared" si="6"/>
        <v>#REF!</v>
      </c>
      <c r="AE12" s="117" t="e">
        <f t="shared" si="6"/>
        <v>#REF!</v>
      </c>
      <c r="AF12" s="117" t="e">
        <f t="shared" si="6"/>
        <v>#REF!</v>
      </c>
      <c r="AG12" s="117" t="e">
        <f t="shared" si="6"/>
        <v>#REF!</v>
      </c>
      <c r="AH12" s="117" t="e">
        <f t="shared" si="6"/>
        <v>#REF!</v>
      </c>
      <c r="AI12" s="117" t="e">
        <f t="shared" si="7"/>
        <v>#REF!</v>
      </c>
      <c r="AJ12" s="121" t="e" cm="1">
        <f t="array" ref="AJ12">_xlfn.IFS(AI12=0,"Nihil",AI12&gt;0,"Suppletie",AI12&lt;0,"Restitutie")</f>
        <v>#REF!</v>
      </c>
    </row>
    <row r="13" spans="1:36" hidden="1" x14ac:dyDescent="0.3">
      <c r="A13" s="163" t="str">
        <f>IFERROR(_xlfn.XLOOKUP(E13,Table3[Sub],Table3[Verzekerde]),"-")</f>
        <v>-</v>
      </c>
      <c r="B13" s="116" t="s">
        <v>137</v>
      </c>
      <c r="C13" s="116" t="e">
        <f>_xlfn.XLOOKUP(Table4[[#This Row],[Subnummer]],Table3[Sub],Table3[Adres])</f>
        <v>#N/A</v>
      </c>
      <c r="D13" s="116" t="str">
        <f>IFERROR(_xlfn.XLOOKUP(Table4[[#This Row],[Subnummer]],Table3[Sub],Table3[Certificaat]),"-")</f>
        <v>-</v>
      </c>
      <c r="E13" s="122">
        <v>0</v>
      </c>
      <c r="F13" s="125">
        <f>IFERROR(_xlfn.XLOOKUP(Table4[[#This Row],[Subnummer]],Table3[Sub],Table3[Verz. Waarde Oud:]),0)</f>
        <v>0</v>
      </c>
      <c r="G13" s="117">
        <v>0</v>
      </c>
      <c r="H13" s="117">
        <v>0</v>
      </c>
      <c r="I13" s="117">
        <v>0</v>
      </c>
      <c r="J13" s="117">
        <v>0</v>
      </c>
      <c r="K13" s="117">
        <f t="shared" si="0"/>
        <v>0</v>
      </c>
      <c r="L13" s="126">
        <f t="shared" si="1"/>
        <v>0</v>
      </c>
      <c r="M13" s="127">
        <v>45535</v>
      </c>
      <c r="N13" s="118">
        <v>45658</v>
      </c>
      <c r="O13" s="116">
        <f t="shared" si="2"/>
        <v>123</v>
      </c>
      <c r="P13" s="116">
        <v>365</v>
      </c>
      <c r="Q13" s="121" t="s">
        <v>74</v>
      </c>
      <c r="R13" s="130">
        <f t="shared" si="3"/>
        <v>0</v>
      </c>
      <c r="S13" s="117" cm="1">
        <f t="array" ref="S13">_xlfn.IFS($Q13="Nee",H13*$O13/$P13,$Q13="Ja",H13*0.5)</f>
        <v>0</v>
      </c>
      <c r="T13" s="117" cm="1">
        <f t="array" ref="T13">_xlfn.IFS($Q13="Nee",-(I13*$O13/$P13),$Q13="Ja",-(I13*0.5))</f>
        <v>0</v>
      </c>
      <c r="U13" s="117">
        <f t="shared" si="4"/>
        <v>0</v>
      </c>
      <c r="V13" s="131">
        <f t="shared" si="5"/>
        <v>0</v>
      </c>
      <c r="W13" s="134">
        <f>IFERROR(_xlfn.XLOOKUP(Table4[[#This Row],[Subnummer]],Table3[Sub],#REF!),0)</f>
        <v>0</v>
      </c>
      <c r="X13" s="119">
        <f>IFERROR(_xlfn.XLOOKUP(Table4[[#This Row],[Subnummer]],Table3[Sub],#REF!),0)</f>
        <v>0</v>
      </c>
      <c r="Y13" s="119">
        <f>IFERROR(_xlfn.XLOOKUP(Table4[[#This Row],[Subnummer]],Table3[Sub],#REF!),0)</f>
        <v>0</v>
      </c>
      <c r="Z13" s="119">
        <f>IFERROR(_xlfn.XLOOKUP(Table4[[#This Row],[Subnummer]],Table3[Sub],#REF!),0)</f>
        <v>0</v>
      </c>
      <c r="AA13" s="119">
        <f>IFERROR(_xlfn.XLOOKUP(Table4[[#This Row],[Subnummer]],Table3[Sub],#REF!),0)</f>
        <v>0</v>
      </c>
      <c r="AB13" s="135">
        <f>IFERROR(_xlfn.XLOOKUP(Table4[[#This Row],[Subnummer]],Table3[Sub],#REF!),0)</f>
        <v>0</v>
      </c>
      <c r="AC13" s="133" t="e">
        <f t="shared" si="6"/>
        <v>#REF!</v>
      </c>
      <c r="AD13" s="117" t="e">
        <f t="shared" si="6"/>
        <v>#REF!</v>
      </c>
      <c r="AE13" s="117" t="e">
        <f t="shared" si="6"/>
        <v>#REF!</v>
      </c>
      <c r="AF13" s="117" t="e">
        <f t="shared" si="6"/>
        <v>#REF!</v>
      </c>
      <c r="AG13" s="117" t="e">
        <f t="shared" si="6"/>
        <v>#REF!</v>
      </c>
      <c r="AH13" s="117" t="e">
        <f t="shared" si="6"/>
        <v>#REF!</v>
      </c>
      <c r="AI13" s="117" t="e">
        <f t="shared" si="7"/>
        <v>#REF!</v>
      </c>
      <c r="AJ13" s="121" t="e" cm="1">
        <f t="array" ref="AJ13">_xlfn.IFS(AI13=0,"Nihil",AI13&gt;0,"Suppletie",AI13&lt;0,"Restitutie")</f>
        <v>#REF!</v>
      </c>
    </row>
    <row r="14" spans="1:36" hidden="1" x14ac:dyDescent="0.3">
      <c r="A14" s="163" t="str">
        <f>IFERROR(_xlfn.XLOOKUP(E14,Table3[Sub],Table3[Verzekerde]),"-")</f>
        <v>-</v>
      </c>
      <c r="B14" s="116" t="s">
        <v>137</v>
      </c>
      <c r="C14" s="116" t="e">
        <f>_xlfn.XLOOKUP(Table4[[#This Row],[Subnummer]],Table3[Sub],Table3[Adres])</f>
        <v>#N/A</v>
      </c>
      <c r="D14" s="116" t="str">
        <f>IFERROR(_xlfn.XLOOKUP(Table4[[#This Row],[Subnummer]],Table3[Sub],Table3[Certificaat]),"-")</f>
        <v>-</v>
      </c>
      <c r="E14" s="187">
        <v>0</v>
      </c>
      <c r="F14" s="125">
        <f>IFERROR(_xlfn.XLOOKUP(Table4[[#This Row],[Subnummer]],Table3[Sub],Table3[Verz. Waarde Oud:]),0)</f>
        <v>0</v>
      </c>
      <c r="G14" s="117">
        <v>0</v>
      </c>
      <c r="H14" s="117">
        <v>0</v>
      </c>
      <c r="I14" s="117">
        <v>0</v>
      </c>
      <c r="J14" s="117">
        <v>0</v>
      </c>
      <c r="K14" s="117">
        <f>F14+G14+H14-I14-J14</f>
        <v>0</v>
      </c>
      <c r="L14" s="126">
        <f>K14-F14</f>
        <v>0</v>
      </c>
      <c r="M14" s="127">
        <v>45535</v>
      </c>
      <c r="N14" s="118">
        <v>45658</v>
      </c>
      <c r="O14" s="116">
        <f>N14-M14</f>
        <v>123</v>
      </c>
      <c r="P14" s="116">
        <v>365</v>
      </c>
      <c r="Q14" s="121" t="s">
        <v>74</v>
      </c>
      <c r="R14" s="130">
        <f>G14*O14/P14</f>
        <v>0</v>
      </c>
      <c r="S14" s="117" cm="1">
        <f t="array" ref="S14">_xlfn.IFS($Q14="Nee",H14*$O14/$P14,$Q14="Ja",H14*0.5)</f>
        <v>0</v>
      </c>
      <c r="T14" s="117" cm="1">
        <f t="array" ref="T14">_xlfn.IFS($Q14="Nee",-(I14*$O14/$P14),$Q14="Ja",-(I14*0.5))</f>
        <v>0</v>
      </c>
      <c r="U14" s="117">
        <f>-J14*O14/P14</f>
        <v>0</v>
      </c>
      <c r="V14" s="131">
        <f>SUM(R14:U14)</f>
        <v>0</v>
      </c>
      <c r="W14" s="134">
        <f>IFERROR(_xlfn.XLOOKUP(Table4[[#This Row],[Subnummer]],Table3[Sub],#REF!),0)</f>
        <v>0</v>
      </c>
      <c r="X14" s="119">
        <f>IFERROR(_xlfn.XLOOKUP(Table4[[#This Row],[Subnummer]],Table3[Sub],#REF!),0)</f>
        <v>0</v>
      </c>
      <c r="Y14" s="119">
        <f>IFERROR(_xlfn.XLOOKUP(Table4[[#This Row],[Subnummer]],Table3[Sub],#REF!),0)</f>
        <v>0</v>
      </c>
      <c r="Z14" s="119">
        <f>IFERROR(_xlfn.XLOOKUP(Table4[[#This Row],[Subnummer]],Table3[Sub],#REF!),0)</f>
        <v>0</v>
      </c>
      <c r="AA14" s="119">
        <f>IFERROR(_xlfn.XLOOKUP(Table4[[#This Row],[Subnummer]],Table3[Sub],#REF!),0)</f>
        <v>0</v>
      </c>
      <c r="AB14" s="135">
        <f>IFERROR(_xlfn.XLOOKUP(Table4[[#This Row],[Subnummer]],Table3[Sub],#REF!),0)</f>
        <v>0</v>
      </c>
      <c r="AC14" s="117" t="e">
        <f t="shared" ref="AC14:AH14" si="8">$V14*W14/1000*W$7</f>
        <v>#REF!</v>
      </c>
      <c r="AD14" s="117" t="e">
        <f t="shared" si="8"/>
        <v>#REF!</v>
      </c>
      <c r="AE14" s="117" t="e">
        <f t="shared" si="8"/>
        <v>#REF!</v>
      </c>
      <c r="AF14" s="117" t="e">
        <f t="shared" si="8"/>
        <v>#REF!</v>
      </c>
      <c r="AG14" s="117" t="e">
        <f t="shared" si="8"/>
        <v>#REF!</v>
      </c>
      <c r="AH14" s="117" t="e">
        <f t="shared" si="8"/>
        <v>#REF!</v>
      </c>
      <c r="AI14" s="117" t="e">
        <f>SUM(AC14:AH14)</f>
        <v>#REF!</v>
      </c>
      <c r="AJ14" s="121" t="e" cm="1">
        <f t="array" ref="AJ14">_xlfn.IFS(AI14=0,"Nihil",AI14&gt;0,"Suppletie",AI14&lt;0,"Restitutie")</f>
        <v>#REF!</v>
      </c>
    </row>
    <row r="15" spans="1:36" hidden="1" x14ac:dyDescent="0.3">
      <c r="A15" s="163" t="str">
        <f>IFERROR(_xlfn.XLOOKUP(E15,Table3[Sub],Table3[Verzekerde]),"-")</f>
        <v>-</v>
      </c>
      <c r="B15" s="116" t="s">
        <v>137</v>
      </c>
      <c r="C15" s="116" t="e">
        <f>_xlfn.XLOOKUP(Table4[[#This Row],[Subnummer]],Table3[Sub],Table3[Adres])</f>
        <v>#N/A</v>
      </c>
      <c r="D15" s="116" t="str">
        <f>IFERROR(_xlfn.XLOOKUP(Table4[[#This Row],[Subnummer]],Table3[Sub],Table3[Certificaat]),"-")</f>
        <v>-</v>
      </c>
      <c r="E15" s="122">
        <v>0</v>
      </c>
      <c r="F15" s="125">
        <f>IFERROR(_xlfn.XLOOKUP(Table4[[#This Row],[Subnummer]],Table3[Sub],Table3[Verz. Waarde Oud:]),0)</f>
        <v>0</v>
      </c>
      <c r="G15" s="117">
        <v>0</v>
      </c>
      <c r="H15" s="117">
        <v>0</v>
      </c>
      <c r="I15" s="117">
        <v>0</v>
      </c>
      <c r="J15" s="117">
        <v>0</v>
      </c>
      <c r="K15" s="117">
        <f t="shared" si="0"/>
        <v>0</v>
      </c>
      <c r="L15" s="126">
        <f t="shared" si="1"/>
        <v>0</v>
      </c>
      <c r="M15" s="127">
        <v>45535</v>
      </c>
      <c r="N15" s="118">
        <v>45658</v>
      </c>
      <c r="O15" s="116">
        <f t="shared" si="2"/>
        <v>123</v>
      </c>
      <c r="P15" s="116">
        <v>365</v>
      </c>
      <c r="Q15" s="121" t="s">
        <v>74</v>
      </c>
      <c r="R15" s="130">
        <f t="shared" si="3"/>
        <v>0</v>
      </c>
      <c r="S15" s="117" cm="1">
        <f t="array" ref="S15">_xlfn.IFS($Q15="Nee",H15*$O15/$P15,$Q15="Ja",H15*0.5)</f>
        <v>0</v>
      </c>
      <c r="T15" s="117" cm="1">
        <f t="array" ref="T15">_xlfn.IFS($Q15="Nee",-(I15*$O15/$P15),$Q15="Ja",-(I15*0.5))</f>
        <v>0</v>
      </c>
      <c r="U15" s="117">
        <f t="shared" si="4"/>
        <v>0</v>
      </c>
      <c r="V15" s="131">
        <f t="shared" si="5"/>
        <v>0</v>
      </c>
      <c r="W15" s="134">
        <f>IFERROR(_xlfn.XLOOKUP(Table4[[#This Row],[Subnummer]],Table3[Sub],#REF!),0)</f>
        <v>0</v>
      </c>
      <c r="X15" s="119">
        <f>IFERROR(_xlfn.XLOOKUP(Table4[[#This Row],[Subnummer]],Table3[Sub],#REF!),0)</f>
        <v>0</v>
      </c>
      <c r="Y15" s="119">
        <f>IFERROR(_xlfn.XLOOKUP(Table4[[#This Row],[Subnummer]],Table3[Sub],#REF!),0)</f>
        <v>0</v>
      </c>
      <c r="Z15" s="119">
        <f>IFERROR(_xlfn.XLOOKUP(Table4[[#This Row],[Subnummer]],Table3[Sub],#REF!),0)</f>
        <v>0</v>
      </c>
      <c r="AA15" s="119">
        <f>IFERROR(_xlfn.XLOOKUP(Table4[[#This Row],[Subnummer]],Table3[Sub],#REF!),0)</f>
        <v>0</v>
      </c>
      <c r="AB15" s="135">
        <f>IFERROR(_xlfn.XLOOKUP(Table4[[#This Row],[Subnummer]],Table3[Sub],#REF!),0)</f>
        <v>0</v>
      </c>
      <c r="AC15" s="133" t="e">
        <f t="shared" si="6"/>
        <v>#REF!</v>
      </c>
      <c r="AD15" s="117" t="e">
        <f t="shared" si="6"/>
        <v>#REF!</v>
      </c>
      <c r="AE15" s="117" t="e">
        <f t="shared" si="6"/>
        <v>#REF!</v>
      </c>
      <c r="AF15" s="117" t="e">
        <f t="shared" si="6"/>
        <v>#REF!</v>
      </c>
      <c r="AG15" s="117" t="e">
        <f t="shared" si="6"/>
        <v>#REF!</v>
      </c>
      <c r="AH15" s="117" t="e">
        <f t="shared" si="6"/>
        <v>#REF!</v>
      </c>
      <c r="AI15" s="117" t="e">
        <f t="shared" si="7"/>
        <v>#REF!</v>
      </c>
      <c r="AJ15" s="121" t="e" cm="1">
        <f t="array" ref="AJ15">_xlfn.IFS(AI15=0,"Nihil",AI15&gt;0,"Suppletie",AI15&lt;0,"Restitutie")</f>
        <v>#REF!</v>
      </c>
    </row>
    <row r="16" spans="1:36" ht="15" thickBot="1" x14ac:dyDescent="0.35">
      <c r="A16" s="151" t="s">
        <v>52</v>
      </c>
      <c r="B16" s="151"/>
      <c r="C16" s="151"/>
      <c r="D16" s="151"/>
      <c r="E16" s="152"/>
      <c r="F16" s="70">
        <f>SUBTOTAL(109,Table4[Oud])</f>
        <v>0</v>
      </c>
      <c r="G16" s="70">
        <f>SUBTOTAL(109,Table4[Investering Nieuw])</f>
        <v>0</v>
      </c>
      <c r="H16" s="70">
        <f>SUBTOTAL(109,Table4[Investering bestaand])</f>
        <v>0</v>
      </c>
      <c r="I16" s="70">
        <f>SUBTOTAL(109,Table4[Verlaging])</f>
        <v>0</v>
      </c>
      <c r="J16" s="70">
        <f>SUBTOTAL(109,Table4[Afvoer])</f>
        <v>560000</v>
      </c>
      <c r="K16" s="70">
        <f>SUBTOTAL(109,Table4[Inclusief mutatie])</f>
        <v>-560000</v>
      </c>
      <c r="L16" s="70">
        <f>SUBTOTAL(109,Table4[Som mutaties])</f>
        <v>-560000</v>
      </c>
      <c r="M16" s="151"/>
      <c r="N16" s="152"/>
      <c r="O16" s="152"/>
      <c r="P16" s="152"/>
      <c r="Q16" s="156"/>
      <c r="R16" s="71">
        <f>SUBTOTAL(109,Table4[Investering nieuw2])</f>
        <v>0</v>
      </c>
      <c r="S16" s="70">
        <f>SUBTOTAL(109,Table4[Investering bestaand2])</f>
        <v>0</v>
      </c>
      <c r="T16" s="70">
        <f>SUBTOTAL(109,Table4[Verlaging2])</f>
        <v>0</v>
      </c>
      <c r="U16" s="70">
        <f>SUBTOTAL(109,Table4[Afvoer2])</f>
        <v>-188712.32876712328</v>
      </c>
      <c r="V16" s="70">
        <f>SUBTOTAL(109,Table4[Totaal])</f>
        <v>-188712.32876712328</v>
      </c>
      <c r="W16" s="153"/>
      <c r="X16" s="154"/>
      <c r="Y16" s="154"/>
      <c r="Z16" s="154"/>
      <c r="AA16" s="154"/>
      <c r="AB16" s="155"/>
      <c r="AC16" s="71" t="e">
        <f>SUBTOTAL(109,Table4[Verzekeraar 12])</f>
        <v>#REF!</v>
      </c>
      <c r="AD16" s="71" t="e">
        <f>SUBTOTAL(109,Table4[Verzekeraar 23])</f>
        <v>#REF!</v>
      </c>
      <c r="AE16" s="71" t="e">
        <f>SUBTOTAL(109,Table4[Verzekeraar 34])</f>
        <v>#REF!</v>
      </c>
      <c r="AF16" s="71" t="e">
        <f>SUBTOTAL(109,Table4[Verzekeraar 45])</f>
        <v>#REF!</v>
      </c>
      <c r="AG16" s="71" t="e">
        <f>SUBTOTAL(109,Table4[Verzekeraar 56])</f>
        <v>#REF!</v>
      </c>
      <c r="AH16" s="71" t="e">
        <f>SUBTOTAL(109,Table4[Verzekeraar 67])</f>
        <v>#REF!</v>
      </c>
      <c r="AI16" s="71" t="e">
        <f>SUBTOTAL(109,Table4[Totaal2])</f>
        <v>#REF!</v>
      </c>
      <c r="AJ16" s="156"/>
    </row>
    <row r="18" spans="5:5" x14ac:dyDescent="0.3">
      <c r="E18" s="72"/>
    </row>
    <row r="19" spans="5:5" x14ac:dyDescent="0.3">
      <c r="E19" s="72"/>
    </row>
  </sheetData>
  <sheetProtection formatColumns="0" insertRows="0" deleteRows="0"/>
  <mergeCells count="4">
    <mergeCell ref="F5:L5"/>
    <mergeCell ref="R5:V5"/>
    <mergeCell ref="W5:AB5"/>
    <mergeCell ref="AC5:AJ5"/>
  </mergeCells>
  <phoneticPr fontId="5" type="noConversion"/>
  <dataValidations count="1">
    <dataValidation type="list" allowBlank="1" showInputMessage="1" showErrorMessage="1" sqref="Q9:Q15" xr:uid="{64D9E925-208A-4155-956D-CBEDFFFC7C3A}">
      <formula1>CAD</formula1>
    </dataValidation>
  </dataValidations>
  <pageMargins left="0.70866141732283472" right="0.70866141732283472" top="0.74803149606299213" bottom="0.74803149606299213" header="0.31496062992125984" footer="0.31496062992125984"/>
  <pageSetup paperSize="9" scale="65" orientation="landscape" horizontalDpi="1200" verticalDpi="1200" r:id="rId1"/>
  <headerFooter>
    <oddFooter>&amp;L&amp;F
Uniek nr e-ABS XXXXXXXXXXXXXXXXXXX</oddFooter>
  </headerFooter>
  <colBreaks count="2" manualBreakCount="2">
    <brk id="10" max="1048575" man="1"/>
    <brk id="22" max="1048575" man="1"/>
  </colBreaks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46BBD-BDCB-4C13-829A-532461D6730A}">
  <dimension ref="A1:D34"/>
  <sheetViews>
    <sheetView showGridLines="0" zoomScaleNormal="100" workbookViewId="0"/>
  </sheetViews>
  <sheetFormatPr defaultColWidth="23.109375" defaultRowHeight="13.8" x14ac:dyDescent="0.3"/>
  <cols>
    <col min="1" max="1" width="28" style="3" bestFit="1" customWidth="1"/>
    <col min="2" max="2" width="18.44140625" style="3" customWidth="1"/>
    <col min="3" max="3" width="17.33203125" style="3" bestFit="1" customWidth="1"/>
    <col min="4" max="4" width="21.33203125" style="3" customWidth="1"/>
    <col min="5" max="5" width="18.6640625" style="3" customWidth="1"/>
    <col min="6" max="16384" width="23.109375" style="3"/>
  </cols>
  <sheetData>
    <row r="1" spans="1:4" s="2" customFormat="1" x14ac:dyDescent="0.3">
      <c r="A1" s="2" t="s">
        <v>80</v>
      </c>
    </row>
    <row r="2" spans="1:4" s="2" customFormat="1" x14ac:dyDescent="0.3">
      <c r="A2" s="2" t="e">
        <f>#REF!</f>
        <v>#REF!</v>
      </c>
    </row>
    <row r="3" spans="1:4" s="2" customFormat="1" x14ac:dyDescent="0.3">
      <c r="A3" s="2" t="e">
        <f>#REF!</f>
        <v>#REF!</v>
      </c>
    </row>
    <row r="4" spans="1:4" x14ac:dyDescent="0.3">
      <c r="A4" s="2" t="e">
        <f>#REF!</f>
        <v>#REF!</v>
      </c>
      <c r="B4" s="2"/>
    </row>
    <row r="5" spans="1:4" x14ac:dyDescent="0.3">
      <c r="A5" s="2"/>
      <c r="B5" s="2"/>
    </row>
    <row r="7" spans="1:4" x14ac:dyDescent="0.3">
      <c r="A7" s="4" t="s">
        <v>75</v>
      </c>
      <c r="B7" s="4" t="s">
        <v>76</v>
      </c>
      <c r="C7" s="25"/>
      <c r="D7" s="25"/>
    </row>
    <row r="8" spans="1:4" x14ac:dyDescent="0.3">
      <c r="A8" s="26" t="s">
        <v>0</v>
      </c>
      <c r="B8" s="27">
        <v>44562</v>
      </c>
    </row>
    <row r="9" spans="1:4" x14ac:dyDescent="0.3">
      <c r="A9" s="26" t="s">
        <v>1</v>
      </c>
      <c r="B9" s="27">
        <v>45216</v>
      </c>
    </row>
    <row r="11" spans="1:4" x14ac:dyDescent="0.3">
      <c r="A11" s="3" t="s">
        <v>6</v>
      </c>
      <c r="B11" s="3">
        <v>0</v>
      </c>
    </row>
    <row r="12" spans="1:4" x14ac:dyDescent="0.3">
      <c r="A12" s="81" t="s">
        <v>77</v>
      </c>
      <c r="B12" s="82" t="s">
        <v>78</v>
      </c>
      <c r="C12" s="82" t="s">
        <v>79</v>
      </c>
      <c r="D12" s="83" t="s">
        <v>81</v>
      </c>
    </row>
    <row r="13" spans="1:4" x14ac:dyDescent="0.3">
      <c r="A13" s="79" t="e">
        <f>Specificatie!#REF!</f>
        <v>#REF!</v>
      </c>
      <c r="B13" s="78" t="e">
        <f>Specificatie!#REF!</f>
        <v>#REF!</v>
      </c>
      <c r="C13" s="102" t="e">
        <f>Specificatie!#REF!</f>
        <v>#REF!</v>
      </c>
      <c r="D13" s="80">
        <f>SUMIFS(Table4[Verzekeraar 12],Table4[Mutatiedatum],$B8,Table4[Certificaat],$B11)</f>
        <v>0</v>
      </c>
    </row>
    <row r="14" spans="1:4" x14ac:dyDescent="0.3">
      <c r="A14" s="79" t="e">
        <f>Specificatie!#REF!</f>
        <v>#REF!</v>
      </c>
      <c r="B14" s="78" t="e">
        <f>Specificatie!#REF!</f>
        <v>#REF!</v>
      </c>
      <c r="C14" s="102" t="e">
        <f>Specificatie!#REF!</f>
        <v>#REF!</v>
      </c>
      <c r="D14" s="80">
        <f>SUMIFS(Table4[Verzekeraar 23],Table4[Mutatiedatum],$B8,Table4[Certificaat],$B11)</f>
        <v>0</v>
      </c>
    </row>
    <row r="15" spans="1:4" x14ac:dyDescent="0.3">
      <c r="A15" s="79" t="e">
        <f>Specificatie!#REF!</f>
        <v>#REF!</v>
      </c>
      <c r="B15" s="78" t="e">
        <f>Specificatie!#REF!</f>
        <v>#REF!</v>
      </c>
      <c r="C15" s="102" t="e">
        <f>Specificatie!#REF!</f>
        <v>#REF!</v>
      </c>
      <c r="D15" s="80">
        <f>SUMIFS(Table4[Verzekeraar 34],Table4[Mutatiedatum],$B8,Table4[Certificaat],$B11)</f>
        <v>0</v>
      </c>
    </row>
    <row r="16" spans="1:4" x14ac:dyDescent="0.3">
      <c r="A16" s="79" t="e">
        <f>Specificatie!#REF!</f>
        <v>#REF!</v>
      </c>
      <c r="B16" s="78" t="e">
        <f>Specificatie!#REF!</f>
        <v>#REF!</v>
      </c>
      <c r="C16" s="102" t="e">
        <f>Specificatie!#REF!</f>
        <v>#REF!</v>
      </c>
      <c r="D16" s="80">
        <f>SUMIFS(Table4[Verzekeraar 56],Table4[Mutatiedatum],$B8,Table4[Certificaat],$B11)</f>
        <v>0</v>
      </c>
    </row>
    <row r="17" spans="1:4" x14ac:dyDescent="0.3">
      <c r="A17" s="79" t="e">
        <f>Specificatie!#REF!</f>
        <v>#REF!</v>
      </c>
      <c r="B17" s="78" t="e">
        <f>Specificatie!#REF!</f>
        <v>#REF!</v>
      </c>
      <c r="C17" s="102" t="e">
        <f>Specificatie!#REF!</f>
        <v>#REF!</v>
      </c>
      <c r="D17" s="80">
        <f>SUMIFS(Table4[Verzekeraar 45],Table4[Mutatiedatum],$B8,Table4[Certificaat],$B11)</f>
        <v>0</v>
      </c>
    </row>
    <row r="18" spans="1:4" x14ac:dyDescent="0.3">
      <c r="A18" s="79" t="e">
        <f>Specificatie!#REF!</f>
        <v>#REF!</v>
      </c>
      <c r="B18" s="78" t="e">
        <f>Specificatie!#REF!</f>
        <v>#REF!</v>
      </c>
      <c r="C18" s="102" t="e">
        <f>Specificatie!#REF!</f>
        <v>#REF!</v>
      </c>
      <c r="D18" s="80">
        <f>SUMIFS(Table4[Verzekeraar 67],Table4[Mutatiedatum],$B8,Table4[Certificaat],$B11)</f>
        <v>0</v>
      </c>
    </row>
    <row r="19" spans="1:4" x14ac:dyDescent="0.3">
      <c r="A19" s="103" t="s">
        <v>33</v>
      </c>
      <c r="B19" s="104"/>
      <c r="C19" s="106" t="e">
        <f>SUBTOTAL(109,Table2[Aandeel])</f>
        <v>#REF!</v>
      </c>
      <c r="D19" s="105">
        <f>SUBTOTAL(109,Table2[Boeking/restitutie])</f>
        <v>0</v>
      </c>
    </row>
    <row r="22" spans="1:4" x14ac:dyDescent="0.3">
      <c r="A22" s="4" t="s">
        <v>75</v>
      </c>
      <c r="B22" s="4" t="s">
        <v>76</v>
      </c>
      <c r="C22" s="25"/>
      <c r="D22" s="25"/>
    </row>
    <row r="23" spans="1:4" x14ac:dyDescent="0.3">
      <c r="A23" s="26" t="s">
        <v>0</v>
      </c>
      <c r="B23" s="27">
        <v>44562</v>
      </c>
    </row>
    <row r="24" spans="1:4" x14ac:dyDescent="0.3">
      <c r="A24" s="26" t="s">
        <v>1</v>
      </c>
      <c r="B24" s="27">
        <v>44927</v>
      </c>
    </row>
    <row r="26" spans="1:4" x14ac:dyDescent="0.3">
      <c r="A26" s="3" t="s">
        <v>6</v>
      </c>
      <c r="B26" s="3">
        <v>1</v>
      </c>
    </row>
    <row r="27" spans="1:4" x14ac:dyDescent="0.3">
      <c r="A27" s="81" t="s">
        <v>77</v>
      </c>
      <c r="B27" s="82" t="s">
        <v>78</v>
      </c>
      <c r="C27" s="82" t="s">
        <v>79</v>
      </c>
      <c r="D27" s="83" t="s">
        <v>81</v>
      </c>
    </row>
    <row r="28" spans="1:4" x14ac:dyDescent="0.3">
      <c r="A28" s="79" t="e">
        <f>Specificatie!#REF!</f>
        <v>#REF!</v>
      </c>
      <c r="B28" s="78" t="e">
        <f>Specificatie!#REF!</f>
        <v>#REF!</v>
      </c>
      <c r="C28" s="102" t="e">
        <f>Specificatie!#REF!</f>
        <v>#REF!</v>
      </c>
      <c r="D28" s="80">
        <f>SUMIFS(Table4[Verzekeraar 12],Table4[Mutatiedatum],$B23,Table4[Certificaat],$B26)</f>
        <v>0</v>
      </c>
    </row>
    <row r="29" spans="1:4" x14ac:dyDescent="0.3">
      <c r="A29" s="79" t="e">
        <f>Specificatie!#REF!</f>
        <v>#REF!</v>
      </c>
      <c r="B29" s="78" t="e">
        <f>Specificatie!#REF!</f>
        <v>#REF!</v>
      </c>
      <c r="C29" s="102" t="e">
        <f>Specificatie!#REF!</f>
        <v>#REF!</v>
      </c>
      <c r="D29" s="80">
        <f>SUMIFS(Table4[Verzekeraar 23],Table4[Mutatiedatum],$B23,Table4[Certificaat],$B26)</f>
        <v>0</v>
      </c>
    </row>
    <row r="30" spans="1:4" x14ac:dyDescent="0.3">
      <c r="A30" s="79" t="e">
        <f>Specificatie!#REF!</f>
        <v>#REF!</v>
      </c>
      <c r="B30" s="78" t="e">
        <f>Specificatie!#REF!</f>
        <v>#REF!</v>
      </c>
      <c r="C30" s="102" t="e">
        <f>Specificatie!#REF!</f>
        <v>#REF!</v>
      </c>
      <c r="D30" s="80">
        <f>SUMIFS(Table4[Verzekeraar 34],Table4[Mutatiedatum],$B23,Table4[Certificaat],$B26)</f>
        <v>0</v>
      </c>
    </row>
    <row r="31" spans="1:4" x14ac:dyDescent="0.3">
      <c r="A31" s="79" t="e">
        <f>Specificatie!#REF!</f>
        <v>#REF!</v>
      </c>
      <c r="B31" s="78" t="e">
        <f>Specificatie!#REF!</f>
        <v>#REF!</v>
      </c>
      <c r="C31" s="102" t="e">
        <f>Specificatie!#REF!</f>
        <v>#REF!</v>
      </c>
      <c r="D31" s="80">
        <f>SUMIFS(Table4[Verzekeraar 56],Table4[Mutatiedatum],$B23,Table4[Certificaat],$B26)</f>
        <v>0</v>
      </c>
    </row>
    <row r="32" spans="1:4" x14ac:dyDescent="0.3">
      <c r="A32" s="79" t="e">
        <f>Specificatie!#REF!</f>
        <v>#REF!</v>
      </c>
      <c r="B32" s="78" t="e">
        <f>Specificatie!#REF!</f>
        <v>#REF!</v>
      </c>
      <c r="C32" s="102" t="e">
        <f>Specificatie!#REF!</f>
        <v>#REF!</v>
      </c>
      <c r="D32" s="80">
        <f>SUMIFS(Table4[Verzekeraar 45],Table4[Mutatiedatum],$B23,Table4[Certificaat],$B26)</f>
        <v>0</v>
      </c>
    </row>
    <row r="33" spans="1:4" x14ac:dyDescent="0.3">
      <c r="A33" s="79" t="e">
        <f>Specificatie!#REF!</f>
        <v>#REF!</v>
      </c>
      <c r="B33" s="78" t="e">
        <f>Specificatie!#REF!</f>
        <v>#REF!</v>
      </c>
      <c r="C33" s="102" t="e">
        <f>Specificatie!#REF!</f>
        <v>#REF!</v>
      </c>
      <c r="D33" s="80">
        <f>SUMIFS(Table4[Verzekeraar 67],Table4[Mutatiedatum],$B23,Table4[Certificaat],$B26)</f>
        <v>0</v>
      </c>
    </row>
    <row r="34" spans="1:4" x14ac:dyDescent="0.3">
      <c r="A34" s="103" t="s">
        <v>33</v>
      </c>
      <c r="B34" s="104"/>
      <c r="C34" s="106" t="e">
        <f>SUBTOTAL(109,Table211[Aandeel])</f>
        <v>#REF!</v>
      </c>
      <c r="D34" s="105">
        <f>SUBTOTAL(109,Table211[Boeking/restitutie])</f>
        <v>0</v>
      </c>
    </row>
  </sheetData>
  <printOptions horizontalCentered="1"/>
  <pageMargins left="0" right="0.11811023622047245" top="0.74803149606299213" bottom="0.74803149606299213" header="0.31496062992125984" footer="0.31496062992125984"/>
  <pageSetup scale="65" orientation="landscape" horizontalDpi="1200" verticalDpi="1200" r:id="rId1"/>
  <headerFooter>
    <oddFooter>&amp;L&amp;F
Uniek nr e-ABS XXXXXXXXXXXXXXXXXXX</oddFooter>
  </headerFooter>
  <ignoredErrors>
    <ignoredError sqref="D17 D14:D15 D18" calculatedColumn="1"/>
  </ignoredErrors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A4A44-A812-4F49-957D-CE376EF762B5}">
  <dimension ref="A1:D17"/>
  <sheetViews>
    <sheetView workbookViewId="0">
      <selection activeCell="A18" sqref="A18"/>
    </sheetView>
  </sheetViews>
  <sheetFormatPr defaultRowHeight="14.4" x14ac:dyDescent="0.3"/>
  <cols>
    <col min="1" max="1" width="30.33203125" customWidth="1"/>
    <col min="2" max="2" width="20.33203125" bestFit="1" customWidth="1"/>
  </cols>
  <sheetData>
    <row r="1" spans="1:4" x14ac:dyDescent="0.3">
      <c r="A1" s="1" t="s">
        <v>82</v>
      </c>
      <c r="B1" s="1" t="s">
        <v>12</v>
      </c>
      <c r="C1" s="1" t="s">
        <v>83</v>
      </c>
      <c r="D1" s="1" t="s">
        <v>84</v>
      </c>
    </row>
    <row r="2" spans="1:4" x14ac:dyDescent="0.3">
      <c r="A2" s="24" t="s">
        <v>2</v>
      </c>
      <c r="B2" s="24" t="s">
        <v>2</v>
      </c>
      <c r="C2" t="s">
        <v>85</v>
      </c>
      <c r="D2" s="24" t="s">
        <v>2</v>
      </c>
    </row>
    <row r="3" spans="1:4" x14ac:dyDescent="0.3">
      <c r="A3" t="s">
        <v>86</v>
      </c>
      <c r="B3" t="s">
        <v>87</v>
      </c>
      <c r="C3" t="s">
        <v>74</v>
      </c>
      <c r="D3" t="s">
        <v>85</v>
      </c>
    </row>
    <row r="4" spans="1:4" x14ac:dyDescent="0.3">
      <c r="A4" t="s">
        <v>88</v>
      </c>
      <c r="B4" t="s">
        <v>89</v>
      </c>
      <c r="D4" t="s">
        <v>74</v>
      </c>
    </row>
    <row r="5" spans="1:4" x14ac:dyDescent="0.3">
      <c r="A5" t="s">
        <v>90</v>
      </c>
      <c r="B5" t="s">
        <v>91</v>
      </c>
    </row>
    <row r="6" spans="1:4" x14ac:dyDescent="0.3">
      <c r="A6" t="s">
        <v>92</v>
      </c>
      <c r="B6" t="s">
        <v>93</v>
      </c>
    </row>
    <row r="7" spans="1:4" x14ac:dyDescent="0.3">
      <c r="A7" t="s">
        <v>94</v>
      </c>
    </row>
    <row r="8" spans="1:4" x14ac:dyDescent="0.3">
      <c r="A8" t="s">
        <v>103</v>
      </c>
    </row>
    <row r="9" spans="1:4" x14ac:dyDescent="0.3">
      <c r="A9" t="s">
        <v>95</v>
      </c>
    </row>
    <row r="10" spans="1:4" x14ac:dyDescent="0.3">
      <c r="A10" t="s">
        <v>96</v>
      </c>
    </row>
    <row r="11" spans="1:4" x14ac:dyDescent="0.3">
      <c r="A11" t="s">
        <v>97</v>
      </c>
    </row>
    <row r="12" spans="1:4" x14ac:dyDescent="0.3">
      <c r="A12" t="s">
        <v>98</v>
      </c>
    </row>
    <row r="13" spans="1:4" x14ac:dyDescent="0.3">
      <c r="A13" t="s">
        <v>99</v>
      </c>
    </row>
    <row r="14" spans="1:4" x14ac:dyDescent="0.3">
      <c r="A14" t="s">
        <v>100</v>
      </c>
    </row>
    <row r="15" spans="1:4" x14ac:dyDescent="0.3">
      <c r="A15" t="s">
        <v>101</v>
      </c>
    </row>
    <row r="16" spans="1:4" x14ac:dyDescent="0.3">
      <c r="A16" t="s">
        <v>102</v>
      </c>
    </row>
    <row r="17" spans="1:1" x14ac:dyDescent="0.3">
      <c r="A17" t="s">
        <v>133</v>
      </c>
    </row>
  </sheetData>
  <sortState xmlns:xlrd2="http://schemas.microsoft.com/office/spreadsheetml/2017/richdata2" ref="A3:A17">
    <sortCondition ref="A17"/>
  </sortState>
  <pageMargins left="0.7" right="0.7" top="0.75" bottom="0.75" header="0.3" footer="0.3"/>
  <pageSetup paperSize="9" orientation="portrait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304d66-90c6-4335-b1c9-5b3984399988">
      <Terms xmlns="http://schemas.microsoft.com/office/infopath/2007/PartnerControls"/>
    </lcf76f155ced4ddcb4097134ff3c332f>
    <TaxCatchAll xmlns="41d8d177-be5a-477d-be00-e01547a293a3" xsi:nil="true"/>
  </documentManagement>
</p:properties>
</file>

<file path=customXml/item2.xml><?xml version="1.0" encoding="utf-8"?>
<titus xmlns="http://schemas.titus.com/TitusProperties/">
  <TitusGUID xmlns="">944ddaa8-d93b-4452-bcab-1bb3aea3ab0f</TitusGUID>
  <TitusMetadata xmlns="">eyJucyI6Imh0dHA6XC9cL3d3dy50aXR1cy5jb21cL25zXC9BT04iLCJwcm9wcyI6W3sibiI6IkFvbkNsYXNzaWZpY2F0aW9uIiwidmFscyI6W3sidmFsdWUiOiJBRENfY2xhc3NfMjAwIn1dfSx7Im4iOiJBb25SZXN0cmljdGVkIiwidmFscyI6W119LHsibiI6IkFvblZpc3VhbE1hcmtpbmdzIiwidmFscyI6W119XX0=</TitusMetadata>
</titu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2362D23840384AA44F195D95F9E0FB" ma:contentTypeVersion="10" ma:contentTypeDescription="Create a new document." ma:contentTypeScope="" ma:versionID="d313bd36494f7e7115fce37fb728cbb0">
  <xsd:schema xmlns:xsd="http://www.w3.org/2001/XMLSchema" xmlns:xs="http://www.w3.org/2001/XMLSchema" xmlns:p="http://schemas.microsoft.com/office/2006/metadata/properties" xmlns:ns2="38304d66-90c6-4335-b1c9-5b3984399988" xmlns:ns3="41d8d177-be5a-477d-be00-e01547a293a3" targetNamespace="http://schemas.microsoft.com/office/2006/metadata/properties" ma:root="true" ma:fieldsID="4d5efe2d74536367d40b5617b8f09945" ns2:_="" ns3:_="">
    <xsd:import namespace="38304d66-90c6-4335-b1c9-5b3984399988"/>
    <xsd:import namespace="41d8d177-be5a-477d-be00-e01547a293a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304d66-90c6-4335-b1c9-5b39843999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1fdf30fe-1347-464b-aacb-c31a0be721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d8d177-be5a-477d-be00-e01547a293a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e941151a-63b3-4332-b62e-f2b7c2e016f0}" ma:internalName="TaxCatchAll" ma:showField="CatchAllData" ma:web="41d8d177-be5a-477d-be00-e01547a293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A3C7FDF-D4C7-40F7-8F63-C8D7D6EC81B0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41d8d177-be5a-477d-be00-e01547a293a3"/>
    <ds:schemaRef ds:uri="38304d66-90c6-4335-b1c9-5b3984399988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E8E6256-2486-4CF2-B9B3-1E3221C965EF}">
  <ds:schemaRefs>
    <ds:schemaRef ds:uri="http://schemas.titus.com/TitusProperties/"/>
    <ds:schemaRef ds:uri=""/>
  </ds:schemaRefs>
</ds:datastoreItem>
</file>

<file path=customXml/itemProps3.xml><?xml version="1.0" encoding="utf-8"?>
<ds:datastoreItem xmlns:ds="http://schemas.openxmlformats.org/officeDocument/2006/customXml" ds:itemID="{AF696BB9-AB99-4C23-8D5C-9E6D16F961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304d66-90c6-4335-b1c9-5b3984399988"/>
    <ds:schemaRef ds:uri="41d8d177-be5a-477d-be00-e01547a293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54E56B9C-DAB9-4075-8DE6-12EF5B4A860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5</vt:i4>
      </vt:variant>
    </vt:vector>
  </HeadingPairs>
  <TitlesOfParts>
    <vt:vector size="10" baseType="lpstr">
      <vt:lpstr>Specificatie</vt:lpstr>
      <vt:lpstr>Taxaties</vt:lpstr>
      <vt:lpstr>Mutaties</vt:lpstr>
      <vt:lpstr>Verrekening Pro Rata-CAD</vt:lpstr>
      <vt:lpstr>Data</vt:lpstr>
      <vt:lpstr>Specificatie!Afdrukbereik</vt:lpstr>
      <vt:lpstr>Bouwaard</vt:lpstr>
      <vt:lpstr>CAD</vt:lpstr>
      <vt:lpstr>Interest</vt:lpstr>
      <vt:lpstr>Taxatie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Charles van Doornewaard</dc:creator>
  <cp:keywords/>
  <dc:description/>
  <cp:lastModifiedBy>Kimberley Kole-Dijkstra</cp:lastModifiedBy>
  <cp:revision/>
  <cp:lastPrinted>2024-06-13T13:47:11Z</cp:lastPrinted>
  <dcterms:created xsi:type="dcterms:W3CDTF">2019-07-21T11:45:44Z</dcterms:created>
  <dcterms:modified xsi:type="dcterms:W3CDTF">2025-09-23T09:12:22Z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0x010100072362D23840384AA44F195D95F9E0FB</vt:lpwstr>
  </property>
  <property fmtid="{D5CDD505-2E9C-101B-9397-08002B2CF9AE}" pid="3" name="TitusGUID">
    <vt:lpwstr>944ddaa8-d93b-4452-bcab-1bb3aea3ab0f</vt:lpwstr>
  </property>
  <property fmtid="{D5CDD505-2E9C-101B-9397-08002B2CF9AE}" pid="4" name="AonClassification">
    <vt:lpwstr>ADC_class_200</vt:lpwstr>
  </property>
  <property fmtid="{D5CDD505-2E9C-101B-9397-08002B2CF9AE}" pid="5" name="MediaServiceImageTags">
    <vt:lpwstr/>
  </property>
  <property fmtid="{D5CDD505-2E9C-101B-9397-08002B2CF9AE}" pid="6" name="MSIP_Label_9043f10a-881e-4653-a55e-02ca2cc829dc_Enabled">
    <vt:lpwstr>true</vt:lpwstr>
  </property>
  <property fmtid="{D5CDD505-2E9C-101B-9397-08002B2CF9AE}" pid="7" name="MSIP_Label_9043f10a-881e-4653-a55e-02ca2cc829dc_SetDate">
    <vt:lpwstr>2024-05-15T07:59:46Z</vt:lpwstr>
  </property>
  <property fmtid="{D5CDD505-2E9C-101B-9397-08002B2CF9AE}" pid="8" name="MSIP_Label_9043f10a-881e-4653-a55e-02ca2cc829dc_Method">
    <vt:lpwstr>Standard</vt:lpwstr>
  </property>
  <property fmtid="{D5CDD505-2E9C-101B-9397-08002B2CF9AE}" pid="9" name="MSIP_Label_9043f10a-881e-4653-a55e-02ca2cc829dc_Name">
    <vt:lpwstr>ADC_class_200</vt:lpwstr>
  </property>
  <property fmtid="{D5CDD505-2E9C-101B-9397-08002B2CF9AE}" pid="10" name="MSIP_Label_9043f10a-881e-4653-a55e-02ca2cc829dc_SiteId">
    <vt:lpwstr>94cfddbc-0627-494a-ad7a-29aea3aea832</vt:lpwstr>
  </property>
  <property fmtid="{D5CDD505-2E9C-101B-9397-08002B2CF9AE}" pid="11" name="MSIP_Label_9043f10a-881e-4653-a55e-02ca2cc829dc_ActionId">
    <vt:lpwstr>c9f65742-9a78-418e-b4d6-f989469661d6</vt:lpwstr>
  </property>
  <property fmtid="{D5CDD505-2E9C-101B-9397-08002B2CF9AE}" pid="12" name="MSIP_Label_9043f10a-881e-4653-a55e-02ca2cc829dc_ContentBits">
    <vt:lpwstr>0</vt:lpwstr>
  </property>
</Properties>
</file>