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codeName="ThisWorkbook"/>
  <mc:AlternateContent xmlns:mc="http://schemas.openxmlformats.org/markup-compatibility/2006">
    <mc:Choice Requires="x15">
      <x15ac:absPath xmlns:x15ac="http://schemas.microsoft.com/office/spreadsheetml/2010/11/ac" url="https://aabnl.sharepoint.com/sites/257100-RVO/Gedeelde documenten/257100.001-Maatr. energiebesp. GTB/004 Rapportage/"/>
    </mc:Choice>
  </mc:AlternateContent>
  <xr:revisionPtr revIDLastSave="144" documentId="8_{442233A4-F209-4103-8915-D56F9F10DAA1}" xr6:coauthVersionLast="47" xr6:coauthVersionMax="47" xr10:uidLastSave="{F903E9B5-59E4-4C1A-9B21-480BCB446768}"/>
  <bookViews>
    <workbookView xWindow="3885" yWindow="1995" windowWidth="21600" windowHeight="11295" xr2:uid="{00000000-000D-0000-FFFF-FFFF00000000}"/>
  </bookViews>
  <sheets>
    <sheet name="Energieprijzen" sheetId="1" r:id="rId1"/>
    <sheet name="EBM's" sheetId="3" r:id="rId2"/>
    <sheet name="PT1" sheetId="7" r:id="rId3"/>
    <sheet name="PT2" sheetId="25" r:id="rId4"/>
    <sheet name="PT2a" sheetId="2" r:id="rId5"/>
    <sheet name="PT2b" sheetId="17" r:id="rId6"/>
    <sheet name="PT2c" sheetId="18" r:id="rId7"/>
    <sheet name="PT3" sheetId="6" r:id="rId8"/>
    <sheet name="PT4" sheetId="24" r:id="rId9"/>
    <sheet name="PT4a" sheetId="8" r:id="rId10"/>
    <sheet name="PT4b" sheetId="19" r:id="rId11"/>
    <sheet name="PT5" sheetId="14" r:id="rId12"/>
    <sheet name="PT6" sheetId="13" r:id="rId13"/>
    <sheet name="PT7" sheetId="10" r:id="rId14"/>
    <sheet name="PT8" sheetId="11" r:id="rId15"/>
    <sheet name="PT9" sheetId="15" r:id="rId16"/>
    <sheet name="PT10a" sheetId="12" r:id="rId17"/>
    <sheet name="PT10b" sheetId="20" r:id="rId18"/>
    <sheet name="PT10c" sheetId="21" r:id="rId19"/>
    <sheet name="PT11" sheetId="23" r:id="rId20"/>
    <sheet name="PT12" sheetId="22" r:id="rId21"/>
    <sheet name="PT13" sheetId="16" r:id="rId22"/>
    <sheet name="PT14" sheetId="9" r:id="rId2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55" i="6" l="1"/>
  <c r="C21" i="13"/>
  <c r="C41" i="10" l="1"/>
  <c r="C58" i="10"/>
  <c r="C21" i="10"/>
  <c r="D49" i="6"/>
  <c r="D48" i="6"/>
  <c r="D47" i="6"/>
  <c r="C57" i="7"/>
  <c r="C55" i="7"/>
  <c r="C52" i="7"/>
  <c r="C12" i="16" l="1"/>
  <c r="C54" i="6"/>
  <c r="C21" i="6" s="1"/>
  <c r="C21" i="7"/>
  <c r="I5" i="7"/>
  <c r="I4" i="7"/>
  <c r="C51" i="25"/>
  <c r="C50" i="25"/>
  <c r="C49" i="25"/>
  <c r="C48" i="25"/>
  <c r="C42" i="25"/>
  <c r="C43" i="25" s="1"/>
  <c r="C53" i="25" s="1"/>
  <c r="C59" i="25" s="1"/>
  <c r="C41" i="25"/>
  <c r="I12" i="25"/>
  <c r="C8" i="25"/>
  <c r="I5" i="25"/>
  <c r="I4" i="25"/>
  <c r="C4" i="25"/>
  <c r="L1" i="25" a="1"/>
  <c r="L1" i="25" s="1"/>
  <c r="G7" i="3"/>
  <c r="C54" i="25" l="1"/>
  <c r="C60" i="25" s="1"/>
  <c r="C55" i="25"/>
  <c r="C57" i="25" s="1"/>
  <c r="C52" i="25"/>
  <c r="C58" i="25" s="1"/>
  <c r="C35" i="25" s="1"/>
  <c r="C21" i="25" l="1"/>
  <c r="C28" i="25" s="1"/>
  <c r="I10" i="25" s="1"/>
  <c r="I13" i="25" s="1"/>
  <c r="I14" i="25" s="1"/>
  <c r="I19" i="25" s="1"/>
  <c r="I7" i="3" a="1"/>
  <c r="I18" i="25" l="1"/>
  <c r="I7" i="3"/>
  <c r="H7" i="3" a="1"/>
  <c r="H7" i="3" l="1"/>
  <c r="G8" i="3"/>
  <c r="G9" i="3"/>
  <c r="G10" i="3"/>
  <c r="G11" i="3"/>
  <c r="G12" i="3"/>
  <c r="G13" i="3"/>
  <c r="G14" i="3"/>
  <c r="G15" i="3"/>
  <c r="G16" i="3"/>
  <c r="G17" i="3"/>
  <c r="G18" i="3"/>
  <c r="G19" i="3"/>
  <c r="G20" i="3"/>
  <c r="G21" i="3"/>
  <c r="G22" i="3"/>
  <c r="G23" i="3"/>
  <c r="G24" i="3"/>
  <c r="G6" i="3"/>
  <c r="C4" i="10"/>
  <c r="C4" i="11"/>
  <c r="C4" i="15"/>
  <c r="C4" i="12"/>
  <c r="C4" i="20"/>
  <c r="C4" i="21"/>
  <c r="C4" i="23"/>
  <c r="C4" i="22"/>
  <c r="C4" i="16"/>
  <c r="C4" i="9"/>
  <c r="C4" i="13"/>
  <c r="C4" i="14"/>
  <c r="C4" i="6"/>
  <c r="C4" i="24"/>
  <c r="I4" i="13"/>
  <c r="I5" i="13"/>
  <c r="I4" i="10"/>
  <c r="I5" i="10"/>
  <c r="I4" i="11"/>
  <c r="I5" i="11"/>
  <c r="I4" i="15"/>
  <c r="I5" i="15"/>
  <c r="I4" i="12"/>
  <c r="I5" i="12"/>
  <c r="I4" i="20"/>
  <c r="I5" i="20"/>
  <c r="I4" i="21"/>
  <c r="I5" i="21"/>
  <c r="I4" i="23"/>
  <c r="I5" i="23"/>
  <c r="I4" i="22"/>
  <c r="I5" i="22"/>
  <c r="I4" i="16"/>
  <c r="I5" i="16"/>
  <c r="I4" i="9"/>
  <c r="I5" i="9"/>
  <c r="I4" i="14"/>
  <c r="I5" i="14"/>
  <c r="I4" i="18"/>
  <c r="I5" i="18"/>
  <c r="I4" i="17"/>
  <c r="I5" i="17"/>
  <c r="I4" i="2"/>
  <c r="I5" i="2"/>
  <c r="C4" i="18"/>
  <c r="C4" i="17"/>
  <c r="C4" i="2"/>
  <c r="C4" i="7"/>
  <c r="C54" i="11"/>
  <c r="I14" i="11"/>
  <c r="C32" i="11"/>
  <c r="C18" i="11"/>
  <c r="C52" i="24"/>
  <c r="C51" i="24"/>
  <c r="C57" i="24" s="1"/>
  <c r="C50" i="24"/>
  <c r="C56" i="24" s="1"/>
  <c r="C18" i="24"/>
  <c r="C21" i="24" s="1"/>
  <c r="I13" i="24"/>
  <c r="C8" i="24"/>
  <c r="I5" i="24"/>
  <c r="I4" i="24"/>
  <c r="C57" i="8"/>
  <c r="C56" i="8"/>
  <c r="C55" i="8"/>
  <c r="C51" i="8"/>
  <c r="C52" i="8"/>
  <c r="C50" i="8"/>
  <c r="C18" i="15"/>
  <c r="C25" i="15"/>
  <c r="C27" i="15"/>
  <c r="C51" i="15"/>
  <c r="C50" i="15"/>
  <c r="C28" i="24" l="1"/>
  <c r="I9" i="24" s="1"/>
  <c r="I12" i="24" s="1"/>
  <c r="I14" i="24" s="1"/>
  <c r="I19" i="24" s="1"/>
  <c r="C55" i="24"/>
  <c r="C35" i="24" l="1"/>
  <c r="I18" i="24"/>
  <c r="C51" i="2" l="1"/>
  <c r="C50" i="2"/>
  <c r="C49" i="2"/>
  <c r="C48" i="2"/>
  <c r="C42" i="2"/>
  <c r="C41" i="2"/>
  <c r="C43" i="2" l="1"/>
  <c r="C52" i="2" s="1"/>
  <c r="C58" i="2" s="1"/>
  <c r="C53" i="2" l="1"/>
  <c r="C59" i="2" s="1"/>
  <c r="C55" i="2"/>
  <c r="C57" i="2" s="1"/>
  <c r="C54" i="2"/>
  <c r="C60" i="2" s="1"/>
  <c r="I5" i="8" l="1"/>
  <c r="C41" i="7"/>
  <c r="C41" i="18"/>
  <c r="C41" i="17"/>
  <c r="C42" i="13"/>
  <c r="C43" i="13" s="1"/>
  <c r="C35" i="13"/>
  <c r="C65" i="21"/>
  <c r="C65" i="20"/>
  <c r="C67" i="12"/>
  <c r="I44" i="19"/>
  <c r="I44" i="8"/>
  <c r="C21" i="8"/>
  <c r="C28" i="8"/>
  <c r="C68" i="18"/>
  <c r="C68" i="17"/>
  <c r="C69" i="2"/>
  <c r="C65" i="23"/>
  <c r="C70" i="11"/>
  <c r="C74" i="15"/>
  <c r="C71" i="15"/>
  <c r="C64" i="11"/>
  <c r="C57" i="14"/>
  <c r="C58" i="14" s="1"/>
  <c r="C56" i="14"/>
  <c r="C8" i="22"/>
  <c r="C8" i="23"/>
  <c r="C43" i="22"/>
  <c r="C43" i="23"/>
  <c r="C21" i="23"/>
  <c r="C28" i="23" s="1"/>
  <c r="C12" i="23"/>
  <c r="I12" i="23"/>
  <c r="C21" i="22"/>
  <c r="C12" i="22"/>
  <c r="I12" i="22"/>
  <c r="C29" i="21"/>
  <c r="C28" i="21"/>
  <c r="I10" i="21" s="1"/>
  <c r="I13" i="21" s="1"/>
  <c r="C40" i="21"/>
  <c r="O33" i="21"/>
  <c r="O34" i="21"/>
  <c r="O35" i="21"/>
  <c r="C21" i="21"/>
  <c r="C9" i="21"/>
  <c r="I9" i="21"/>
  <c r="I12" i="21" s="1"/>
  <c r="C29" i="20"/>
  <c r="I9" i="20" s="1"/>
  <c r="I12" i="20" s="1"/>
  <c r="C28" i="20"/>
  <c r="I10" i="20" s="1"/>
  <c r="I13" i="20" s="1"/>
  <c r="C40" i="20"/>
  <c r="O33" i="20"/>
  <c r="O34" i="20"/>
  <c r="C35" i="20"/>
  <c r="O35" i="20"/>
  <c r="C21" i="20"/>
  <c r="C9" i="20"/>
  <c r="C40" i="12"/>
  <c r="C29" i="12"/>
  <c r="C9" i="12"/>
  <c r="C28" i="12"/>
  <c r="C21" i="12"/>
  <c r="O35" i="12"/>
  <c r="O34" i="12"/>
  <c r="O33" i="12"/>
  <c r="C52" i="10"/>
  <c r="C45" i="10"/>
  <c r="C28" i="10" s="1"/>
  <c r="C49" i="7"/>
  <c r="C48" i="7"/>
  <c r="C42" i="7"/>
  <c r="C43" i="7"/>
  <c r="C8" i="7"/>
  <c r="C51" i="6"/>
  <c r="C18" i="19"/>
  <c r="C21" i="19" s="1"/>
  <c r="C28" i="19" s="1"/>
  <c r="I13" i="19"/>
  <c r="C8" i="19"/>
  <c r="I5" i="19"/>
  <c r="I4" i="19"/>
  <c r="C51" i="18"/>
  <c r="C50" i="18"/>
  <c r="C49" i="18"/>
  <c r="C48" i="18"/>
  <c r="C42" i="18"/>
  <c r="C43" i="18"/>
  <c r="M39" i="18"/>
  <c r="L39" i="18"/>
  <c r="K39" i="18"/>
  <c r="J39" i="18"/>
  <c r="H39" i="18"/>
  <c r="H40" i="18" s="1"/>
  <c r="M38" i="18"/>
  <c r="L38" i="18"/>
  <c r="L40" i="18" s="1"/>
  <c r="L44" i="18" s="1"/>
  <c r="K38" i="18"/>
  <c r="H38" i="18"/>
  <c r="I12" i="18"/>
  <c r="C8" i="18"/>
  <c r="L1" i="18" a="1"/>
  <c r="L1" i="18" s="1"/>
  <c r="C51" i="17"/>
  <c r="C50" i="17"/>
  <c r="C49" i="17"/>
  <c r="C48" i="17"/>
  <c r="C42" i="17"/>
  <c r="C43" i="17"/>
  <c r="M39" i="17"/>
  <c r="L39" i="17"/>
  <c r="K39" i="17"/>
  <c r="J39" i="17"/>
  <c r="H39" i="17"/>
  <c r="H40" i="17" s="1"/>
  <c r="M38" i="17"/>
  <c r="L38" i="17"/>
  <c r="L40" i="17" s="1"/>
  <c r="L44" i="17" s="1"/>
  <c r="K38" i="17"/>
  <c r="H38" i="17"/>
  <c r="I12" i="17"/>
  <c r="C8" i="17"/>
  <c r="L1" i="17" a="1"/>
  <c r="L1" i="17" s="1"/>
  <c r="M39" i="2"/>
  <c r="L39" i="2"/>
  <c r="K39" i="2"/>
  <c r="J39" i="2"/>
  <c r="M38" i="2"/>
  <c r="L38" i="2"/>
  <c r="K38" i="2"/>
  <c r="H38" i="2"/>
  <c r="H39" i="2"/>
  <c r="C35" i="10" l="1"/>
  <c r="I10" i="10"/>
  <c r="I13" i="10" s="1"/>
  <c r="C28" i="13"/>
  <c r="C29" i="13" s="1"/>
  <c r="I14" i="13" s="1"/>
  <c r="C58" i="7"/>
  <c r="C35" i="23"/>
  <c r="I10" i="23"/>
  <c r="I13" i="23" s="1"/>
  <c r="I14" i="23" s="1"/>
  <c r="I19" i="23" s="1"/>
  <c r="C28" i="22"/>
  <c r="I10" i="22" s="1"/>
  <c r="I13" i="22" s="1"/>
  <c r="I14" i="22" s="1"/>
  <c r="I18" i="22" s="1"/>
  <c r="C35" i="21"/>
  <c r="I14" i="21"/>
  <c r="I19" i="21" s="1"/>
  <c r="I14" i="20"/>
  <c r="I18" i="20" s="1"/>
  <c r="I9" i="19"/>
  <c r="I12" i="19" s="1"/>
  <c r="I14" i="19" s="1"/>
  <c r="I19" i="19" s="1"/>
  <c r="C55" i="18"/>
  <c r="C57" i="18" s="1"/>
  <c r="C21" i="18" s="1"/>
  <c r="C52" i="18"/>
  <c r="C58" i="18" s="1"/>
  <c r="I40" i="18"/>
  <c r="I44" i="18" s="1"/>
  <c r="M40" i="18"/>
  <c r="M44" i="18" s="1"/>
  <c r="J40" i="18"/>
  <c r="J44" i="18" s="1"/>
  <c r="K40" i="18"/>
  <c r="K44" i="18" s="1"/>
  <c r="C53" i="18"/>
  <c r="C59" i="18" s="1"/>
  <c r="C54" i="18"/>
  <c r="C60" i="18" s="1"/>
  <c r="C35" i="18" s="1"/>
  <c r="C63" i="18" s="1"/>
  <c r="C70" i="18" s="1"/>
  <c r="C53" i="17"/>
  <c r="C59" i="17" s="1"/>
  <c r="C35" i="17" s="1"/>
  <c r="C52" i="17"/>
  <c r="C58" i="17" s="1"/>
  <c r="I40" i="17"/>
  <c r="I44" i="17" s="1"/>
  <c r="K40" i="17"/>
  <c r="K44" i="17" s="1"/>
  <c r="J40" i="17"/>
  <c r="J44" i="17" s="1"/>
  <c r="M40" i="17"/>
  <c r="M44" i="17" s="1"/>
  <c r="C54" i="17"/>
  <c r="C60" i="17" s="1"/>
  <c r="C55" i="17"/>
  <c r="C57" i="17" s="1"/>
  <c r="C21" i="17" s="1"/>
  <c r="H40" i="2"/>
  <c r="I40" i="2"/>
  <c r="C35" i="7" l="1"/>
  <c r="C28" i="7" s="1"/>
  <c r="C28" i="18"/>
  <c r="I10" i="18" s="1"/>
  <c r="I13" i="18" s="1"/>
  <c r="I14" i="18" s="1"/>
  <c r="C28" i="17"/>
  <c r="I10" i="17" s="1"/>
  <c r="I13" i="17" s="1"/>
  <c r="I14" i="17" s="1"/>
  <c r="I18" i="17" s="1"/>
  <c r="C63" i="17"/>
  <c r="C70" i="17" s="1"/>
  <c r="I18" i="23"/>
  <c r="C35" i="22"/>
  <c r="I19" i="22"/>
  <c r="I18" i="21"/>
  <c r="I19" i="20"/>
  <c r="C35" i="19"/>
  <c r="I18" i="19"/>
  <c r="L40" i="2"/>
  <c r="M40" i="2"/>
  <c r="K40" i="2"/>
  <c r="J40" i="2"/>
  <c r="H9" i="3" a="1"/>
  <c r="I19" i="17" l="1"/>
  <c r="H9" i="3"/>
  <c r="I18" i="18"/>
  <c r="I19" i="18"/>
  <c r="C51" i="10"/>
  <c r="C18" i="14"/>
  <c r="H10" i="3" a="1"/>
  <c r="I9" i="3" a="1"/>
  <c r="I10" i="3" a="1"/>
  <c r="C53" i="10" l="1"/>
  <c r="C55" i="10" s="1"/>
  <c r="I9" i="3"/>
  <c r="H10" i="3"/>
  <c r="I10" i="3"/>
  <c r="C49" i="6"/>
  <c r="C48" i="6"/>
  <c r="C19" i="14" l="1"/>
  <c r="C21" i="14" s="1"/>
  <c r="C35" i="14" s="1"/>
  <c r="C32" i="14"/>
  <c r="C43" i="14"/>
  <c r="C47" i="14" s="1"/>
  <c r="C41" i="14"/>
  <c r="C42" i="14"/>
  <c r="C18" i="8"/>
  <c r="C21" i="16"/>
  <c r="C28" i="16" s="1"/>
  <c r="L1" i="2" a="1"/>
  <c r="L1" i="2" s="1"/>
  <c r="C44" i="13"/>
  <c r="I22" i="3" a="1"/>
  <c r="H22" i="3" a="1"/>
  <c r="I21" i="3" a="1"/>
  <c r="H21" i="3" a="1"/>
  <c r="C53" i="14" l="1"/>
  <c r="C44" i="14"/>
  <c r="C52" i="14"/>
  <c r="C28" i="14"/>
  <c r="I22" i="3"/>
  <c r="I21" i="3"/>
  <c r="H22" i="3"/>
  <c r="H21" i="3"/>
  <c r="C45" i="13"/>
  <c r="C46" i="13" s="1"/>
  <c r="C48" i="13" s="1"/>
  <c r="I12" i="16" l="1"/>
  <c r="I10" i="16" l="1"/>
  <c r="I13" i="16" s="1"/>
  <c r="I14" i="16" s="1"/>
  <c r="C44" i="11"/>
  <c r="C34" i="11"/>
  <c r="C20" i="11"/>
  <c r="C21" i="11" s="1"/>
  <c r="C28" i="15"/>
  <c r="C29" i="15" s="1"/>
  <c r="I10" i="15" s="1"/>
  <c r="C41" i="11" l="1"/>
  <c r="I18" i="16"/>
  <c r="I19" i="16"/>
  <c r="C35" i="16"/>
  <c r="I23" i="3" a="1"/>
  <c r="H23" i="3" a="1"/>
  <c r="I23" i="3" l="1"/>
  <c r="H23" i="3"/>
  <c r="C45" i="15" l="1"/>
  <c r="C21" i="15"/>
  <c r="C35" i="15" s="1"/>
  <c r="C63" i="15" s="1"/>
  <c r="I13" i="15"/>
  <c r="C8" i="15"/>
  <c r="C66" i="15" l="1"/>
  <c r="C72" i="15"/>
  <c r="I9" i="15"/>
  <c r="I12" i="15" s="1"/>
  <c r="I14" i="15" s="1"/>
  <c r="I13" i="14"/>
  <c r="I9" i="14" l="1"/>
  <c r="I12" i="14" s="1"/>
  <c r="I14" i="14" s="1"/>
  <c r="I18" i="15"/>
  <c r="I19" i="15"/>
  <c r="I17" i="3" a="1"/>
  <c r="H17" i="3" a="1"/>
  <c r="I17" i="3" l="1"/>
  <c r="H17" i="3"/>
  <c r="I19" i="14"/>
  <c r="I18" i="14"/>
  <c r="I9" i="12"/>
  <c r="I12" i="12" s="1"/>
  <c r="I12" i="13"/>
  <c r="C8" i="13"/>
  <c r="I13" i="3" a="1"/>
  <c r="H13" i="3" a="1"/>
  <c r="H13" i="3" l="1"/>
  <c r="I13" i="3"/>
  <c r="I10" i="13"/>
  <c r="I13" i="13" s="1"/>
  <c r="I15" i="13" s="1"/>
  <c r="C35" i="12"/>
  <c r="I10" i="12"/>
  <c r="I13" i="12" s="1"/>
  <c r="I14" i="12" s="1"/>
  <c r="C8" i="11"/>
  <c r="C35" i="8"/>
  <c r="C35" i="11" l="1"/>
  <c r="C28" i="11" s="1"/>
  <c r="C29" i="11" s="1"/>
  <c r="C45" i="11"/>
  <c r="C46" i="11" s="1"/>
  <c r="C47" i="11"/>
  <c r="C48" i="11" s="1"/>
  <c r="I18" i="13"/>
  <c r="I19" i="13"/>
  <c r="I19" i="12"/>
  <c r="I18" i="12"/>
  <c r="H14" i="3" a="1"/>
  <c r="H19" i="3" a="1"/>
  <c r="I18" i="3" a="1"/>
  <c r="I19" i="3" a="1"/>
  <c r="H20" i="3" a="1"/>
  <c r="I14" i="3" a="1"/>
  <c r="H18" i="3" a="1"/>
  <c r="I20" i="3" a="1"/>
  <c r="C63" i="11" l="1"/>
  <c r="C66" i="11" s="1"/>
  <c r="C71" i="11" s="1"/>
  <c r="C50" i="11"/>
  <c r="H19" i="3"/>
  <c r="H20" i="3"/>
  <c r="I19" i="3"/>
  <c r="I20" i="3"/>
  <c r="H14" i="3"/>
  <c r="H18" i="3"/>
  <c r="I18" i="3"/>
  <c r="I14" i="3"/>
  <c r="I12" i="10"/>
  <c r="C8" i="10"/>
  <c r="I10" i="11" l="1"/>
  <c r="I13" i="11" s="1"/>
  <c r="I15" i="11" s="1"/>
  <c r="I9" i="11"/>
  <c r="I12" i="11" s="1"/>
  <c r="I14" i="10"/>
  <c r="I18" i="10" s="1"/>
  <c r="C33" i="9"/>
  <c r="C35" i="9" s="1"/>
  <c r="C21" i="9"/>
  <c r="C55" i="9"/>
  <c r="C54" i="9"/>
  <c r="C50" i="9"/>
  <c r="C51" i="9" s="1"/>
  <c r="I13" i="9"/>
  <c r="I9" i="8"/>
  <c r="I12" i="8" s="1"/>
  <c r="C8" i="8"/>
  <c r="I12" i="7"/>
  <c r="C28" i="9" l="1"/>
  <c r="I9" i="9" s="1"/>
  <c r="I12" i="9" s="1"/>
  <c r="I14" i="9" s="1"/>
  <c r="I18" i="11"/>
  <c r="I19" i="10"/>
  <c r="C56" i="9"/>
  <c r="C57" i="9" s="1"/>
  <c r="C58" i="9" s="1"/>
  <c r="I4" i="8"/>
  <c r="I13" i="8"/>
  <c r="I14" i="8" s="1"/>
  <c r="I10" i="7"/>
  <c r="I13" i="7" s="1"/>
  <c r="I14" i="7" s="1"/>
  <c r="H15" i="3" a="1"/>
  <c r="H16" i="3" a="1"/>
  <c r="I15" i="3" a="1"/>
  <c r="I19" i="11" l="1"/>
  <c r="H16" i="3"/>
  <c r="I18" i="9"/>
  <c r="I19" i="9"/>
  <c r="H15" i="3"/>
  <c r="I15" i="3"/>
  <c r="I18" i="8"/>
  <c r="I19" i="8"/>
  <c r="I19" i="7"/>
  <c r="I18" i="7"/>
  <c r="H12" i="3" a="1"/>
  <c r="I12" i="3" a="1"/>
  <c r="H24" i="3" a="1"/>
  <c r="I24" i="3" a="1"/>
  <c r="I6" i="3" a="1"/>
  <c r="H6" i="3" a="1"/>
  <c r="I16" i="3" a="1"/>
  <c r="H6" i="3" l="1"/>
  <c r="I6" i="3"/>
  <c r="I12" i="3"/>
  <c r="H12" i="3"/>
  <c r="I16" i="3"/>
  <c r="H24" i="3"/>
  <c r="I24" i="3"/>
  <c r="I12" i="6"/>
  <c r="C8" i="6"/>
  <c r="C8" i="2"/>
  <c r="C21" i="2" l="1"/>
  <c r="C35" i="2"/>
  <c r="I44" i="2"/>
  <c r="J44" i="2"/>
  <c r="M44" i="2"/>
  <c r="L44" i="2"/>
  <c r="K44" i="2"/>
  <c r="I4" i="6"/>
  <c r="I5" i="6"/>
  <c r="C28" i="2" l="1"/>
  <c r="I10" i="2" s="1"/>
  <c r="C64" i="2"/>
  <c r="C71" i="2" s="1"/>
  <c r="C35" i="6"/>
  <c r="C28" i="6" l="1"/>
  <c r="I10" i="6" s="1"/>
  <c r="I13" i="6" s="1"/>
  <c r="I14" i="6" s="1"/>
  <c r="I13" i="2"/>
  <c r="I12" i="2"/>
  <c r="I19" i="6" l="1"/>
  <c r="I18" i="6"/>
  <c r="I14" i="2"/>
  <c r="I18" i="2" s="1"/>
  <c r="H8" i="3" a="1"/>
  <c r="H11" i="3" a="1"/>
  <c r="I11" i="3" a="1"/>
  <c r="H11" i="3" l="1"/>
  <c r="I11" i="3"/>
  <c r="I19" i="2"/>
  <c r="H8" i="3"/>
  <c r="I8" i="3" a="1"/>
  <c r="C32" i="3" l="1" a="1"/>
  <c r="C32" i="3" s="1"/>
  <c r="I8" i="3"/>
  <c r="C44" i="3" s="1" a="1"/>
  <c r="C44" i="3"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<sst xmlns="http://schemas.openxmlformats.org/spreadsheetml/2006/main" count="2270" uniqueCount="352">
  <si>
    <t>Energieprijzen</t>
  </si>
  <si>
    <t>Prijs</t>
  </si>
  <si>
    <t>Eenheid</t>
  </si>
  <si>
    <t>Elektrische energie</t>
  </si>
  <si>
    <t>€/kWh</t>
  </si>
  <si>
    <t>Gas</t>
  </si>
  <si>
    <t>€/m³</t>
  </si>
  <si>
    <t>Alle maatregelen</t>
  </si>
  <si>
    <t>Maatregel</t>
  </si>
  <si>
    <t>Omschrijving</t>
  </si>
  <si>
    <t>Totaal ZM</t>
  </si>
  <si>
    <t>Totaal NM</t>
  </si>
  <si>
    <t>Vermeden NM</t>
  </si>
  <si>
    <t>TVT ZM</t>
  </si>
  <si>
    <t>TVT NM</t>
  </si>
  <si>
    <t>PT1</t>
  </si>
  <si>
    <t>Breng beweegbare gevelschermen aan</t>
  </si>
  <si>
    <t>PT2</t>
  </si>
  <si>
    <t xml:space="preserve">Vervang de gevel met enkel glas door een gevel met isolerende beplating </t>
  </si>
  <si>
    <t>PT2a</t>
  </si>
  <si>
    <t>PT2b</t>
  </si>
  <si>
    <t>PT2c</t>
  </si>
  <si>
    <t>PT3</t>
  </si>
  <si>
    <t xml:space="preserve">Breng horizontale beweegbare energieschermen aan </t>
  </si>
  <si>
    <t>PT4</t>
  </si>
  <si>
    <t>Vervang ventilatoren van IE2/IE3 klasse door ventilatoren met een EC motor</t>
  </si>
  <si>
    <t>PT5</t>
  </si>
  <si>
    <t xml:space="preserve">Pas een frequentieregelaar toe op de ventilator </t>
  </si>
  <si>
    <t>PT6</t>
  </si>
  <si>
    <t xml:space="preserve">Sluit het bedrijf aan op een CO2 netwerk </t>
  </si>
  <si>
    <t>PT7</t>
  </si>
  <si>
    <t xml:space="preserve">Isoleer verwarmingsleidingen en appendages </t>
  </si>
  <si>
    <t>PT8</t>
  </si>
  <si>
    <t xml:space="preserve">Vervang bij de groeibelichting SON-T armaturen voor LED armaturen </t>
  </si>
  <si>
    <t>PT9</t>
  </si>
  <si>
    <t>Pas meerdere schakelgroepen toe bij groeibelichting</t>
  </si>
  <si>
    <t>PT10a</t>
  </si>
  <si>
    <t xml:space="preserve">Pas een ontvochtigingssysteem toe </t>
  </si>
  <si>
    <t>PT10b</t>
  </si>
  <si>
    <t>PT10c</t>
  </si>
  <si>
    <t>PT11</t>
  </si>
  <si>
    <t xml:space="preserve">Plaats meedere sensoren in een kasafdeling </t>
  </si>
  <si>
    <t>PT12</t>
  </si>
  <si>
    <t xml:space="preserve">Pas een automatische energieregistratie en bewakingssysteem met rapportagefunctie toe </t>
  </si>
  <si>
    <t>PT13</t>
  </si>
  <si>
    <t>Installeer een tweede rookgaskoeler of een tweede rookgas condensor</t>
  </si>
  <si>
    <t>PT14</t>
  </si>
  <si>
    <t xml:space="preserve">Pas een frequentieregeling op pompen toe </t>
  </si>
  <si>
    <t>Direct uitvoerbaar</t>
  </si>
  <si>
    <t>Natuurlijk moment</t>
  </si>
  <si>
    <t>Algemene informatie</t>
  </si>
  <si>
    <t>Controle</t>
  </si>
  <si>
    <t>Intern maatregelnr.</t>
  </si>
  <si>
    <t>Investering</t>
  </si>
  <si>
    <t>Investering ZM</t>
  </si>
  <si>
    <t>Investering NM</t>
  </si>
  <si>
    <t>Uitgangspunten context</t>
  </si>
  <si>
    <t>Fictieve kas 100x120m ph=5m</t>
  </si>
  <si>
    <t>m²</t>
  </si>
  <si>
    <t>Besparing</t>
  </si>
  <si>
    <t>Enkel schermdoek reeds aanwezig (dicht vanaf minder dan 100 W/m² instraling</t>
  </si>
  <si>
    <t>Besparing elektriciteit</t>
  </si>
  <si>
    <t>kWh</t>
  </si>
  <si>
    <t>Besparing gas</t>
  </si>
  <si>
    <t>m³</t>
  </si>
  <si>
    <t>Variabelen randvoorwaarden</t>
  </si>
  <si>
    <t>€/j</t>
  </si>
  <si>
    <t>Uren per jaar stoken</t>
  </si>
  <si>
    <t>u/j</t>
  </si>
  <si>
    <t>Op delta T (buitentemp.)</t>
  </si>
  <si>
    <t>K</t>
  </si>
  <si>
    <t>Besparing totaal</t>
  </si>
  <si>
    <t>Berekening energiebesparing</t>
  </si>
  <si>
    <t>Grondslag</t>
  </si>
  <si>
    <t>Toelichting</t>
  </si>
  <si>
    <t>Eenvoudige terugverdientijd</t>
  </si>
  <si>
    <t>Referentievermogen</t>
  </si>
  <si>
    <t>kW</t>
  </si>
  <si>
    <t>Eenvoudige TVT ZM</t>
  </si>
  <si>
    <t>j</t>
  </si>
  <si>
    <t>Last</t>
  </si>
  <si>
    <t>%</t>
  </si>
  <si>
    <t>Eenvoudige TVT NM</t>
  </si>
  <si>
    <t>Bedrijfstijd</t>
  </si>
  <si>
    <t>Uur/jaar</t>
  </si>
  <si>
    <t>Referentieverbruik onderdeel</t>
  </si>
  <si>
    <t>m³ (a.e.)</t>
  </si>
  <si>
    <t xml:space="preserve">14 m³/m² op 12.000 m² </t>
  </si>
  <si>
    <t>Uitgangssituatie:</t>
  </si>
  <si>
    <t>Enkelglas</t>
  </si>
  <si>
    <t>Doelsituatie</t>
  </si>
  <si>
    <t>Geen gevelscherm</t>
  </si>
  <si>
    <t>TR:</t>
  </si>
  <si>
    <t>Ruimte voor plaatsing scherm</t>
  </si>
  <si>
    <t>Gevelconstructie geschikt</t>
  </si>
  <si>
    <t>Onderbouwing, berekening, toelichting</t>
  </si>
  <si>
    <t>Oppervlakte</t>
  </si>
  <si>
    <t>Gevel</t>
  </si>
  <si>
    <t>Dak</t>
  </si>
  <si>
    <t>Totaal</t>
  </si>
  <si>
    <t>U-waarde</t>
  </si>
  <si>
    <t>W/m2.K</t>
  </si>
  <si>
    <t>Glasdek</t>
  </si>
  <si>
    <t>Glasdek met 1 scherm</t>
  </si>
  <si>
    <t>obv 4,8 W/m2.K</t>
  </si>
  <si>
    <t>Gevel met toepassing scherm</t>
  </si>
  <si>
    <t>obv 2,4 W/m2.K</t>
  </si>
  <si>
    <t>Totaal referentie</t>
  </si>
  <si>
    <t>Warmteverbruik referentie</t>
  </si>
  <si>
    <t>Warmteverbruik doelsituatie A</t>
  </si>
  <si>
    <t>Lichtdoorlatendheid moet ok zijn</t>
  </si>
  <si>
    <t>Gevel met oplossing A</t>
  </si>
  <si>
    <t>obv 5 W/m2.K</t>
  </si>
  <si>
    <t>Gevel met oplossing B</t>
  </si>
  <si>
    <t>obv 0,8 W/m2.K</t>
  </si>
  <si>
    <t>Gevel met oplossing C</t>
  </si>
  <si>
    <t>obv 1,8 W/m2.K</t>
  </si>
  <si>
    <t>Totaal A</t>
  </si>
  <si>
    <t>Totaal B</t>
  </si>
  <si>
    <t>Totaal C</t>
  </si>
  <si>
    <t>Warmteverbruik doelsituatie B</t>
  </si>
  <si>
    <t>Warmteverbruik doelsituatie C</t>
  </si>
  <si>
    <t>Warmteverlies van het glas in W/m2.K</t>
  </si>
  <si>
    <t>Warmteverlies van de gevel in W/m2.K</t>
  </si>
  <si>
    <t xml:space="preserve">variant </t>
  </si>
  <si>
    <t>W/m2K</t>
  </si>
  <si>
    <t>a</t>
  </si>
  <si>
    <t>b</t>
  </si>
  <si>
    <t>c</t>
  </si>
  <si>
    <t>met gevelscherm</t>
  </si>
  <si>
    <t>met schermdoek</t>
  </si>
  <si>
    <t>4000 uur stoken</t>
  </si>
  <si>
    <t xml:space="preserve">Deze maatregel is ingevoerd in het systeem </t>
  </si>
  <si>
    <t xml:space="preserve">Berekening RVO </t>
  </si>
  <si>
    <t xml:space="preserve">Besparing </t>
  </si>
  <si>
    <t xml:space="preserve">Warmteverlies </t>
  </si>
  <si>
    <t xml:space="preserve">Bedrijfstijd </t>
  </si>
  <si>
    <t xml:space="preserve">Oppervlakte </t>
  </si>
  <si>
    <t xml:space="preserve">Verschil binnen/buiten temp </t>
  </si>
  <si>
    <t xml:space="preserve">van m3 gas naar MWH </t>
  </si>
  <si>
    <t xml:space="preserve">Welke waarde is dit? </t>
  </si>
  <si>
    <t>Oplossing A</t>
  </si>
  <si>
    <t xml:space="preserve">SDP Platen </t>
  </si>
  <si>
    <t xml:space="preserve">Oplossing B </t>
  </si>
  <si>
    <t xml:space="preserve">Sandwich panelen </t>
  </si>
  <si>
    <t xml:space="preserve">Oplossing C </t>
  </si>
  <si>
    <t>Dubbel glas</t>
  </si>
  <si>
    <t>Fictieve kas</t>
  </si>
  <si>
    <t>Eerste scherm aanwezig</t>
  </si>
  <si>
    <t>Enkel schermdoek reeds aanwezig (dicht vanaf minder dan 100 W/m² instraling)</t>
  </si>
  <si>
    <t>Warmteverlies</t>
  </si>
  <si>
    <t>W verlies bij dt = 8</t>
  </si>
  <si>
    <t>Kas</t>
  </si>
  <si>
    <t>Kas + Scherm 1</t>
  </si>
  <si>
    <t>Kas + Scherm 1 + Scherm 2</t>
  </si>
  <si>
    <t>Mogelijkheid tot dubbele scherming</t>
  </si>
  <si>
    <t>Referentieverbruik</t>
  </si>
  <si>
    <t>Vermogen elektromotor</t>
  </si>
  <si>
    <t>Besparing IE2/3 -&gt; EC motor</t>
  </si>
  <si>
    <t>6% besparing</t>
  </si>
  <si>
    <t>IE2 of lager</t>
  </si>
  <si>
    <t>Besparing  IE2 -&gt; IE4</t>
  </si>
  <si>
    <t>Besparing  IE3 -&gt; IE4</t>
  </si>
  <si>
    <t>Motor</t>
  </si>
  <si>
    <t>Rated power output</t>
  </si>
  <si>
    <t>IE2 efficiency</t>
  </si>
  <si>
    <t>IE3 efficiency</t>
  </si>
  <si>
    <t>IE4 efficiency</t>
  </si>
  <si>
    <t>Opgenomen vermogen</t>
  </si>
  <si>
    <t>IE2</t>
  </si>
  <si>
    <t>IE3</t>
  </si>
  <si>
    <t>IE4</t>
  </si>
  <si>
    <t>Besparing op rated power output</t>
  </si>
  <si>
    <t>IE2-IE3</t>
  </si>
  <si>
    <t>IE2-IE4</t>
  </si>
  <si>
    <t>IE3-IE4</t>
  </si>
  <si>
    <t>PT4a</t>
  </si>
  <si>
    <t xml:space="preserve">Vermogen </t>
  </si>
  <si>
    <t xml:space="preserve">Last </t>
  </si>
  <si>
    <t xml:space="preserve">bedrijfstijd </t>
  </si>
  <si>
    <t>PT4b</t>
  </si>
  <si>
    <t>3% besparing</t>
  </si>
  <si>
    <t>IE4 motor of EC motor is de maatregel</t>
  </si>
  <si>
    <t>Aantal ventilatoren</t>
  </si>
  <si>
    <t>Standaard toeren</t>
  </si>
  <si>
    <t>Nieuwe toeren</t>
  </si>
  <si>
    <t>Uren nieuwe toeren</t>
  </si>
  <si>
    <t>-</t>
  </si>
  <si>
    <t>Draaiuren</t>
  </si>
  <si>
    <t>Verbruik</t>
  </si>
  <si>
    <t xml:space="preserve">Law of Affinity </t>
  </si>
  <si>
    <t>Besparing vermogen bij 50%</t>
  </si>
  <si>
    <t>Deellast</t>
  </si>
  <si>
    <t>Uren</t>
  </si>
  <si>
    <t>Verbruik deellast</t>
  </si>
  <si>
    <t>Verbruik doelsituatie</t>
  </si>
  <si>
    <t xml:space="preserve">Berekening RVO: </t>
  </si>
  <si>
    <r>
      <t>CO</t>
    </r>
    <r>
      <rPr>
        <sz val="7"/>
        <color rgb="FFFF0000"/>
        <rFont val="Calibri"/>
        <family val="2"/>
        <scheme val="minor"/>
      </rPr>
      <t xml:space="preserve">2 </t>
    </r>
    <r>
      <rPr>
        <sz val="11"/>
        <color rgb="FFFF0000"/>
        <rFont val="Calibri"/>
        <family val="2"/>
        <scheme val="minor"/>
      </rPr>
      <t>vraag</t>
    </r>
  </si>
  <si>
    <t>kg/ha</t>
  </si>
  <si>
    <t>Vollasturen dosering</t>
  </si>
  <si>
    <t>Periode mei-aug</t>
  </si>
  <si>
    <t>Kosten CO2</t>
  </si>
  <si>
    <r>
      <t>CO</t>
    </r>
    <r>
      <rPr>
        <sz val="7"/>
        <color rgb="FFFF0000"/>
        <rFont val="Calibri"/>
        <family val="2"/>
        <scheme val="minor"/>
      </rPr>
      <t xml:space="preserve">2 </t>
    </r>
    <r>
      <rPr>
        <sz val="11"/>
        <color rgb="FFFF0000"/>
        <rFont val="Calibri"/>
        <family val="2"/>
        <scheme val="minor"/>
      </rPr>
      <t>prijs</t>
    </r>
  </si>
  <si>
    <t>€/kg</t>
  </si>
  <si>
    <t>OCAP/vloeibaar</t>
  </si>
  <si>
    <t>50% energiebesparing</t>
  </si>
  <si>
    <t>kg</t>
  </si>
  <si>
    <t>Ketelgas als bron CO2</t>
  </si>
  <si>
    <t>Toevoeging: Ketelgas moet vermeden kunnen worden</t>
  </si>
  <si>
    <t>CO2 net in de buurt</t>
  </si>
  <si>
    <r>
      <t>CO</t>
    </r>
    <r>
      <rPr>
        <sz val="7"/>
        <rFont val="Calibri"/>
        <family val="2"/>
        <scheme val="minor"/>
      </rPr>
      <t xml:space="preserve">2 </t>
    </r>
    <r>
      <rPr>
        <sz val="11"/>
        <rFont val="Calibri"/>
        <family val="2"/>
        <scheme val="minor"/>
      </rPr>
      <t>vraag</t>
    </r>
  </si>
  <si>
    <t>Tussen mei-aug 800 vollastuur doseren</t>
  </si>
  <si>
    <t>Aardgas equivalent</t>
  </si>
  <si>
    <t>1,8 kg CO2 per m³</t>
  </si>
  <si>
    <t>Aardgas</t>
  </si>
  <si>
    <r>
      <t>CO</t>
    </r>
    <r>
      <rPr>
        <sz val="7"/>
        <rFont val="Calibri"/>
        <family val="2"/>
        <scheme val="minor"/>
      </rPr>
      <t xml:space="preserve">2 </t>
    </r>
    <r>
      <rPr>
        <sz val="11"/>
        <rFont val="Calibri"/>
        <family val="2"/>
        <scheme val="minor"/>
      </rPr>
      <t>vraag extern in te vullen</t>
    </r>
  </si>
  <si>
    <r>
      <t>CO</t>
    </r>
    <r>
      <rPr>
        <sz val="7"/>
        <rFont val="Calibri"/>
        <family val="2"/>
        <scheme val="minor"/>
      </rPr>
      <t xml:space="preserve">2 </t>
    </r>
    <r>
      <rPr>
        <sz val="11"/>
        <rFont val="Calibri"/>
        <family val="2"/>
        <scheme val="minor"/>
      </rPr>
      <t>prijs</t>
    </r>
  </si>
  <si>
    <t>Kosten dosering vermeden opwek</t>
  </si>
  <si>
    <t>Warmtevraag</t>
  </si>
  <si>
    <t>m³/m²</t>
  </si>
  <si>
    <t>Isolatie ontbreekt</t>
  </si>
  <si>
    <t xml:space="preserve">Uitzoeken EML kantoren/bedrijfshallen oud </t>
  </si>
  <si>
    <t>Methode 1</t>
  </si>
  <si>
    <t>Warmtetransport</t>
  </si>
  <si>
    <t>Leidingverliezen</t>
  </si>
  <si>
    <t>Nuttige leidingwarmte</t>
  </si>
  <si>
    <t>Besparing isolatie</t>
  </si>
  <si>
    <t>Methode 2</t>
  </si>
  <si>
    <t>Lengte transportleiding</t>
  </si>
  <si>
    <t>m</t>
  </si>
  <si>
    <t>Q = UA dT</t>
  </si>
  <si>
    <t>U</t>
  </si>
  <si>
    <t>A</t>
  </si>
  <si>
    <t>dT</t>
  </si>
  <si>
    <t>Q</t>
  </si>
  <si>
    <t>Onnuttige warmteafzet</t>
  </si>
  <si>
    <t>Lichtintensiteit</t>
  </si>
  <si>
    <r>
      <t>µmol/m²</t>
    </r>
    <r>
      <rPr>
        <sz val="11"/>
        <color rgb="FFFF0000"/>
        <rFont val="Calibri"/>
        <family val="2"/>
      </rPr>
      <t>·</t>
    </r>
    <r>
      <rPr>
        <sz val="11"/>
        <color rgb="FFFF0000"/>
        <rFont val="Calibri"/>
        <family val="2"/>
        <scheme val="minor"/>
      </rPr>
      <t>s</t>
    </r>
  </si>
  <si>
    <t>Belichtingsuren</t>
  </si>
  <si>
    <t>Efficiency SON-T</t>
  </si>
  <si>
    <t>µmol/J</t>
  </si>
  <si>
    <t>Efficiency LED</t>
  </si>
  <si>
    <t>Vermeden onderhoud</t>
  </si>
  <si>
    <t>Nuttige lampwarmte</t>
  </si>
  <si>
    <t>Gemiste warmte</t>
  </si>
  <si>
    <t>Vermeden onderhoudskosten</t>
  </si>
  <si>
    <t>Lampen vervangen, reflectoren schoonmaken etc</t>
  </si>
  <si>
    <t>Huidig is SON-T</t>
  </si>
  <si>
    <t>Toevoegen: lichtspectrum!!!</t>
  </si>
  <si>
    <t>Belichtinguren</t>
  </si>
  <si>
    <t>Uitgangssituatie SON-T</t>
  </si>
  <si>
    <t>Doelsituatie LED</t>
  </si>
  <si>
    <t>µmol/m²·s</t>
  </si>
  <si>
    <t>Totale lichtvermogen SON-T</t>
  </si>
  <si>
    <t>Totale energievraag SON-T</t>
  </si>
  <si>
    <t>Totale lichtvermogen LED</t>
  </si>
  <si>
    <t>Totale energievraag LED</t>
  </si>
  <si>
    <t>Efficiency lampwarmte</t>
  </si>
  <si>
    <t>Stralingsverlies buiten de kas, weerkaatsing op betonvloer etc</t>
  </si>
  <si>
    <t>Gemiste warmteopbrengst</t>
  </si>
  <si>
    <t>m³/j</t>
  </si>
  <si>
    <t>SON-T</t>
  </si>
  <si>
    <t>Aanname 5% onderhoudskosten per jaar op totale investering SON-T</t>
  </si>
  <si>
    <t xml:space="preserve">Elektriciteit </t>
  </si>
  <si>
    <t xml:space="preserve">gas </t>
  </si>
  <si>
    <t>nuttige lampwarmte</t>
  </si>
  <si>
    <t xml:space="preserve">Omrekening m3 naar MWh </t>
  </si>
  <si>
    <t>Uitschakelbare verlichting</t>
  </si>
  <si>
    <t>Uitschakeltijd</t>
  </si>
  <si>
    <t>10% lampen uitschakelen</t>
  </si>
  <si>
    <t>30% uren uitschakelen</t>
  </si>
  <si>
    <t>Onnodige belichting door te weinig schakelgroepen</t>
  </si>
  <si>
    <t>Kabelroute geschikt</t>
  </si>
  <si>
    <t>Uitgangspunt: SON-T</t>
  </si>
  <si>
    <t>Vermogen</t>
  </si>
  <si>
    <t>W</t>
  </si>
  <si>
    <t>Efficiency</t>
  </si>
  <si>
    <t>Uitgangspunt besparing</t>
  </si>
  <si>
    <t>Aantal lampen uitschakelen</t>
  </si>
  <si>
    <t>Aantal uren uitschakelen</t>
  </si>
  <si>
    <t xml:space="preserve">Nuttige lampwarmte </t>
  </si>
  <si>
    <t xml:space="preserve">Van m3 gas naar Mwh </t>
  </si>
  <si>
    <t>Bedrijf</t>
  </si>
  <si>
    <t>Uitgangspunt is kleine kas, wantwarmtevraag moet hoog zijn (randvoorwaarde)</t>
  </si>
  <si>
    <t>m³/m² (a.e.)</t>
  </si>
  <si>
    <t>Energiebesparing (warmte in a.e.)</t>
  </si>
  <si>
    <t>kWh/m²</t>
  </si>
  <si>
    <t>Extra elektriciteitsinbreng</t>
  </si>
  <si>
    <t>varianten doorrekenen</t>
  </si>
  <si>
    <t>varianten</t>
  </si>
  <si>
    <t>kWh/m2</t>
  </si>
  <si>
    <t>besparing</t>
  </si>
  <si>
    <t>randvoorwaarden:</t>
  </si>
  <si>
    <t>drygair</t>
  </si>
  <si>
    <t>warmtepomp</t>
  </si>
  <si>
    <t>8-10 m3/m2</t>
  </si>
  <si>
    <t>bij 25-30 m3/m2</t>
  </si>
  <si>
    <t>25+ m3/m2</t>
  </si>
  <si>
    <t>technokas</t>
  </si>
  <si>
    <t>lucht van buiten ramen</t>
  </si>
  <si>
    <t>airmix/hynova</t>
  </si>
  <si>
    <t>lucht boven scherm</t>
  </si>
  <si>
    <t>Uitgangspunt standaard verbruik</t>
  </si>
  <si>
    <t>Variant A</t>
  </si>
  <si>
    <t>Warmtepomp: Actieve ontvochtiging</t>
  </si>
  <si>
    <t>Elektrische input</t>
  </si>
  <si>
    <t>Variant B</t>
  </si>
  <si>
    <t>Luchtaanzuiging buiten</t>
  </si>
  <si>
    <t>Variant C</t>
  </si>
  <si>
    <t>Luchtaanzuiging boven het scherm</t>
  </si>
  <si>
    <t xml:space="preserve">Gebruik </t>
  </si>
  <si>
    <t>Gasverbruik</t>
  </si>
  <si>
    <t>2% energiebesparing</t>
  </si>
  <si>
    <t>Te weinig sensoren</t>
  </si>
  <si>
    <t>Toevoegen: sturing gerichter mogelijk</t>
  </si>
  <si>
    <t>Uitgangspunt is Het Nieuwe Telen?? - gedragsmaatregel hoofdzakelijk</t>
  </si>
  <si>
    <t>Aanname besparing</t>
  </si>
  <si>
    <t xml:space="preserve">Gas </t>
  </si>
  <si>
    <t xml:space="preserve">Gasverbruik </t>
  </si>
  <si>
    <t>p1*p2</t>
  </si>
  <si>
    <t xml:space="preserve">RVO berekening </t>
  </si>
  <si>
    <t>4,4% energiebesparing</t>
  </si>
  <si>
    <t xml:space="preserve">Geen tweede WW </t>
  </si>
  <si>
    <t>Afgastemp ketel hoger dan 50C</t>
  </si>
  <si>
    <t>Ruimte in de technische ruimte voor plaatsing</t>
  </si>
  <si>
    <t>Technische randvoorwaarde is goed kunnen uitkoelen</t>
  </si>
  <si>
    <t>Eerste condensor</t>
  </si>
  <si>
    <t>Tweede condensor</t>
  </si>
  <si>
    <t>0,55 kW pomp</t>
  </si>
  <si>
    <t>52% energiebesparing</t>
  </si>
  <si>
    <t>IE2 of lager, Geen VFD</t>
  </si>
  <si>
    <t>3 kW of hoger</t>
  </si>
  <si>
    <t>Voldoende ruimte plaatsing VFD</t>
  </si>
  <si>
    <t>Pompvermogen</t>
  </si>
  <si>
    <t>P = q * (rho * g * h + dp)</t>
  </si>
  <si>
    <t>q</t>
  </si>
  <si>
    <t>m³/h</t>
  </si>
  <si>
    <t>aanname flow</t>
  </si>
  <si>
    <t>rho</t>
  </si>
  <si>
    <t>kg/m³</t>
  </si>
  <si>
    <t>g</t>
  </si>
  <si>
    <t>m/s²</t>
  </si>
  <si>
    <t>h</t>
  </si>
  <si>
    <t>aanname opvoerhoogte</t>
  </si>
  <si>
    <t>dp</t>
  </si>
  <si>
    <t>bar</t>
  </si>
  <si>
    <t>aanname drukverlies distributienet</t>
  </si>
  <si>
    <t>η_elektrisch</t>
  </si>
  <si>
    <t>P</t>
  </si>
  <si>
    <t>P_elektrisch</t>
  </si>
  <si>
    <t>Frequentieregeling -&gt; deellast 60% flow, 0,5  bar minder drukverlies</t>
  </si>
  <si>
    <t>Energiebesparing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</si>
</sst>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4" formatCode="_ &quot;€&quot;\ * #,##0.00_ ;_ &quot;€&quot;\ * \-#,##0.00_ ;_ &quot;€&quot;\ * &quot;-&quot;??_ ;_ @_ "/>
    <numFmt numFmtId="43" formatCode="_ * #,##0.00_ ;_ * \-#,##0.00_ ;_ * &quot;-&quot;??_ ;_ @_ "/>
    <numFmt numFmtId="164" formatCode="0.000"/>
    <numFmt numFmtId="165" formatCode="\ \€* #,##0;\ \€* \-#,##0;\ \€* &quot;-&quot;"/>
    <numFmt numFmtId="166" formatCode="#,##0;\-#,##0;&quot;-&quot;"/>
    <numFmt numFmtId="167" formatCode="0.0"/>
    <numFmt numFmtId="168" formatCode="0.0%"/>
    <numFmt numFmtId="169" formatCode="#,##0.0;\-#,##0.0;&quot;-&quot;"/>
    <numFmt numFmtId="170" formatCode="#,##0.0_ ;\-#,##0.0\ "/>
    <numFmt numFmtId="171" formatCode="#,##0.00;\-#,##0.00;&quot;-&quot;"/>
    <numFmt numFmtId="172" formatCode="0.00000"/>
    <numFmt numFmtId="173" formatCode="0.00_)"/>
    <numFmt numFmtId="174" formatCode="\ \€* #,##0.00;\ \€* \-#,##0.00;\ \€* &quot;-&quot;"/>
    <numFmt numFmtId="175" formatCode="\ \€* #,##0.0;\ \€* \-#,##0.0;\ \€* &quot;-&quot;"/>
  </numFmts>
  <fonts count="16"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sz val="8"/>
      <name val="Calibri"/>
      <family val="2"/>
      <scheme val="minor"/>
    </font>
    <font>
      <sz val="11"/>
      <color theme="1"/>
      <name val="Calibri"/>
      <family val="2"/>
    </font>
    <font>
      <sz val="11"/>
      <color rgb="FFFF0000"/>
      <name val="Calibri"/>
      <family val="2"/>
    </font>
    <font>
      <sz val="7"/>
      <color rgb="FFFF0000"/>
      <name val="Calibri"/>
      <family val="2"/>
      <scheme val="minor"/>
    </font>
    <font>
      <sz val="11"/>
      <name val="Calibri"/>
      <family val="2"/>
      <scheme val="minor"/>
    </font>
    <font>
      <sz val="7"/>
      <name val="Calibri"/>
      <family val="2"/>
      <scheme val="minor"/>
    </font>
    <font>
      <sz val="10"/>
      <name val="Arial"/>
      <family val="2"/>
    </font>
    <font>
      <sz val="10"/>
      <name val="Arial"/>
      <family val="2"/>
    </font>
    <font>
      <b/>
      <sz val="8"/>
      <color indexed="12"/>
      <name val="Arial"/>
      <family val="2"/>
    </font>
    <font>
      <u/>
      <sz val="11"/>
      <color theme="10"/>
      <name val="Calibri"/>
      <family val="2"/>
      <scheme val="minor"/>
    </font>
    <font>
      <sz val="9.5"/>
      <color theme="1"/>
      <name val="Arial"/>
      <family val="2"/>
    </font>
    <font>
      <sz val="10"/>
      <name val="Verdana"/>
      <family val="2"/>
    </font>
  </fonts>
  <fills count="7">
    <fill>
      <patternFill patternType="none"/>
    </fill>
    <fill>
      <patternFill patternType="gray125"/>
    </fill>
    <fill>
      <patternFill patternType="solid">
        <fgColor rgb="FF00B0F0"/>
        <bgColor indexed="64"/>
      </patternFill>
    </fill>
    <fill>
      <patternFill patternType="solid">
        <fgColor theme="0" tint="-0.249977111117893"/>
        <bgColor indexed="64"/>
      </patternFill>
    </fill>
    <fill>
      <patternFill patternType="solid">
        <fgColor rgb="FFFFFF00"/>
        <bgColor indexed="64"/>
      </patternFill>
    </fill>
    <fill>
      <patternFill patternType="solid">
        <fgColor rgb="FFFF66FF"/>
        <bgColor indexed="64"/>
      </patternFill>
    </fill>
    <fill>
      <patternFill patternType="solid">
        <fgColor theme="5" tint="0.59999389629810485"/>
        <bgColor indexed="64"/>
      </patternFill>
    </fill>
  </fills>
  <borders count="9">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7">
    <xf numFmtId="0" fontId="0" fillId="0" borderId="0"/>
    <xf numFmtId="43" fontId="1" fillId="0" borderId="0" applyFont="0" applyFill="0" applyBorder="0" applyAlignment="0" applyProtection="0"/>
    <xf numFmtId="9" fontId="1" fillId="0" borderId="0" applyFont="0" applyFill="0" applyBorder="0" applyAlignment="0" applyProtection="0"/>
    <xf numFmtId="0" fontId="10" fillId="0" borderId="0"/>
    <xf numFmtId="44" fontId="11" fillId="0" borderId="0" applyFont="0" applyFill="0" applyBorder="0" applyAlignment="0" applyProtection="0"/>
    <xf numFmtId="9" fontId="11" fillId="0" borderId="0" applyFont="0" applyFill="0" applyBorder="0" applyAlignment="0" applyProtection="0"/>
    <xf numFmtId="43" fontId="11" fillId="0" borderId="0" applyFont="0" applyFill="0" applyBorder="0" applyAlignment="0" applyProtection="0"/>
    <xf numFmtId="0" fontId="1" fillId="0" borderId="0"/>
    <xf numFmtId="173" fontId="12" fillId="0" borderId="0" applyNumberFormat="0"/>
    <xf numFmtId="9" fontId="14" fillId="0" borderId="0" applyFont="0" applyFill="0" applyBorder="0" applyAlignment="0" applyProtection="0"/>
    <xf numFmtId="0" fontId="13" fillId="0" borderId="0" applyNumberFormat="0" applyFill="0" applyBorder="0" applyAlignment="0" applyProtection="0"/>
    <xf numFmtId="0" fontId="15" fillId="0" borderId="0"/>
    <xf numFmtId="44" fontId="15" fillId="0" borderId="0" applyFont="0" applyFill="0" applyBorder="0" applyAlignment="0" applyProtection="0"/>
    <xf numFmtId="9" fontId="15" fillId="0" borderId="0" applyFont="0" applyFill="0" applyBorder="0" applyAlignment="0" applyProtection="0"/>
    <xf numFmtId="0" fontId="15" fillId="0" borderId="0"/>
    <xf numFmtId="44" fontId="15" fillId="0" borderId="0" applyFont="0" applyFill="0" applyBorder="0" applyAlignment="0" applyProtection="0"/>
    <xf numFmtId="9" fontId="15" fillId="0" borderId="0" applyFont="0" applyFill="0" applyBorder="0" applyAlignment="0" applyProtection="0"/>
  </cellStyleXfs>
  <cellXfs count="83">
    <xf numFmtId="0" fontId="0" fillId="0" borderId="0" xfId="0"/>
    <xf numFmtId="2" fontId="0" fillId="0" borderId="0" xfId="0" applyNumberFormat="1"/>
    <xf numFmtId="0" fontId="2" fillId="0" borderId="0" xfId="0" applyFont="1"/>
    <xf numFmtId="165" fontId="0" fillId="0" borderId="0" xfId="0" applyNumberFormat="1"/>
    <xf numFmtId="0" fontId="0" fillId="0" borderId="1" xfId="0" applyBorder="1"/>
    <xf numFmtId="0" fontId="0" fillId="0" borderId="2" xfId="0" applyBorder="1"/>
    <xf numFmtId="0" fontId="0" fillId="0" borderId="3" xfId="0" applyBorder="1"/>
    <xf numFmtId="0" fontId="0" fillId="0" borderId="4" xfId="0" applyBorder="1"/>
    <xf numFmtId="0" fontId="0" fillId="0" borderId="5" xfId="0" applyBorder="1"/>
    <xf numFmtId="0" fontId="0" fillId="0" borderId="6" xfId="0" applyBorder="1"/>
    <xf numFmtId="0" fontId="0" fillId="0" borderId="7" xfId="0" applyBorder="1"/>
    <xf numFmtId="0" fontId="0" fillId="0" borderId="8" xfId="0" applyBorder="1"/>
    <xf numFmtId="0" fontId="0" fillId="2" borderId="2" xfId="0" applyFill="1" applyBorder="1"/>
    <xf numFmtId="0" fontId="0" fillId="2" borderId="3" xfId="0" applyFill="1" applyBorder="1"/>
    <xf numFmtId="0" fontId="3" fillId="2" borderId="1" xfId="0" applyFont="1" applyFill="1" applyBorder="1"/>
    <xf numFmtId="0" fontId="3" fillId="2" borderId="2" xfId="0" applyFont="1" applyFill="1" applyBorder="1"/>
    <xf numFmtId="0" fontId="3" fillId="2" borderId="3" xfId="0" applyFont="1" applyFill="1" applyBorder="1"/>
    <xf numFmtId="166" fontId="0" fillId="0" borderId="0" xfId="0" applyNumberFormat="1"/>
    <xf numFmtId="0" fontId="3" fillId="2" borderId="4" xfId="0" applyFont="1" applyFill="1" applyBorder="1"/>
    <xf numFmtId="0" fontId="0" fillId="2" borderId="0" xfId="0" applyFill="1"/>
    <xf numFmtId="0" fontId="0" fillId="2" borderId="5" xfId="0" applyFill="1" applyBorder="1"/>
    <xf numFmtId="0" fontId="2" fillId="0" borderId="4" xfId="0" applyFont="1" applyBorder="1"/>
    <xf numFmtId="166" fontId="2" fillId="0" borderId="0" xfId="0" applyNumberFormat="1" applyFont="1"/>
    <xf numFmtId="0" fontId="3" fillId="3" borderId="4" xfId="0" applyFont="1" applyFill="1" applyBorder="1"/>
    <xf numFmtId="0" fontId="3" fillId="3" borderId="0" xfId="0" applyFont="1" applyFill="1"/>
    <xf numFmtId="0" fontId="3" fillId="3" borderId="5" xfId="0" applyFont="1" applyFill="1" applyBorder="1"/>
    <xf numFmtId="166" fontId="0" fillId="0" borderId="7" xfId="0" applyNumberFormat="1" applyBorder="1"/>
    <xf numFmtId="164" fontId="0" fillId="0" borderId="0" xfId="0" applyNumberFormat="1"/>
    <xf numFmtId="2" fontId="0" fillId="0" borderId="7" xfId="0" applyNumberFormat="1" applyBorder="1"/>
    <xf numFmtId="167" fontId="0" fillId="0" borderId="4" xfId="0" applyNumberFormat="1" applyBorder="1"/>
    <xf numFmtId="167" fontId="0" fillId="0" borderId="0" xfId="0" applyNumberFormat="1"/>
    <xf numFmtId="0" fontId="0" fillId="4" borderId="0" xfId="0" applyFill="1"/>
    <xf numFmtId="9" fontId="0" fillId="0" borderId="0" xfId="2" applyFont="1" applyFill="1" applyBorder="1"/>
    <xf numFmtId="166" fontId="0" fillId="0" borderId="0" xfId="2" applyNumberFormat="1" applyFont="1" applyFill="1" applyBorder="1"/>
    <xf numFmtId="0" fontId="5" fillId="0" borderId="4" xfId="0" applyFont="1" applyBorder="1"/>
    <xf numFmtId="9" fontId="0" fillId="0" borderId="0" xfId="0" applyNumberFormat="1"/>
    <xf numFmtId="9" fontId="0" fillId="0" borderId="0" xfId="2" applyFont="1" applyBorder="1"/>
    <xf numFmtId="168" fontId="0" fillId="0" borderId="0" xfId="2" applyNumberFormat="1" applyFont="1" applyBorder="1"/>
    <xf numFmtId="166" fontId="0" fillId="0" borderId="0" xfId="2" applyNumberFormat="1" applyFont="1" applyBorder="1"/>
    <xf numFmtId="169" fontId="0" fillId="0" borderId="0" xfId="0" applyNumberFormat="1"/>
    <xf numFmtId="169" fontId="0" fillId="0" borderId="0" xfId="2" applyNumberFormat="1" applyFont="1" applyFill="1" applyBorder="1"/>
    <xf numFmtId="166" fontId="0" fillId="0" borderId="4" xfId="0" applyNumberFormat="1" applyBorder="1"/>
    <xf numFmtId="9" fontId="2" fillId="0" borderId="0" xfId="0" applyNumberFormat="1" applyFont="1"/>
    <xf numFmtId="170" fontId="0" fillId="0" borderId="0" xfId="0" applyNumberFormat="1"/>
    <xf numFmtId="168" fontId="2" fillId="0" borderId="0" xfId="2" applyNumberFormat="1" applyFont="1" applyBorder="1"/>
    <xf numFmtId="0" fontId="8" fillId="0" borderId="4" xfId="0" applyFont="1" applyBorder="1"/>
    <xf numFmtId="0" fontId="8" fillId="0" borderId="0" xfId="0" applyFont="1"/>
    <xf numFmtId="0" fontId="2" fillId="0" borderId="5" xfId="0" applyFont="1" applyBorder="1"/>
    <xf numFmtId="2" fontId="2" fillId="0" borderId="0" xfId="0" applyNumberFormat="1" applyFont="1"/>
    <xf numFmtId="167" fontId="2" fillId="0" borderId="0" xfId="0" applyNumberFormat="1" applyFont="1"/>
    <xf numFmtId="171" fontId="2" fillId="0" borderId="0" xfId="0" applyNumberFormat="1" applyFont="1"/>
    <xf numFmtId="171" fontId="0" fillId="0" borderId="0" xfId="0" applyNumberFormat="1"/>
    <xf numFmtId="168" fontId="2" fillId="0" borderId="0" xfId="0" applyNumberFormat="1" applyFont="1"/>
    <xf numFmtId="167" fontId="0" fillId="0" borderId="5" xfId="0" applyNumberFormat="1" applyBorder="1"/>
    <xf numFmtId="16" fontId="0" fillId="0" borderId="0" xfId="0" applyNumberFormat="1"/>
    <xf numFmtId="168" fontId="0" fillId="0" borderId="0" xfId="2" applyNumberFormat="1" applyFont="1"/>
    <xf numFmtId="10" fontId="0" fillId="0" borderId="0" xfId="0" applyNumberFormat="1"/>
    <xf numFmtId="1" fontId="2" fillId="0" borderId="0" xfId="0" applyNumberFormat="1" applyFont="1"/>
    <xf numFmtId="0" fontId="0" fillId="5" borderId="0" xfId="0" applyFill="1"/>
    <xf numFmtId="0" fontId="0" fillId="5" borderId="7" xfId="0" applyFill="1" applyBorder="1"/>
    <xf numFmtId="9" fontId="0" fillId="0" borderId="0" xfId="2" applyFont="1"/>
    <xf numFmtId="172" fontId="0" fillId="0" borderId="0" xfId="0" applyNumberFormat="1"/>
    <xf numFmtId="167" fontId="0" fillId="4" borderId="0" xfId="0" applyNumberFormat="1" applyFill="1"/>
    <xf numFmtId="0" fontId="0" fillId="0" borderId="0" xfId="0" quotePrefix="1"/>
    <xf numFmtId="1" fontId="0" fillId="0" borderId="0" xfId="2" applyNumberFormat="1" applyFont="1"/>
    <xf numFmtId="0" fontId="3" fillId="4" borderId="0" xfId="0" applyFont="1" applyFill="1"/>
    <xf numFmtId="10" fontId="0" fillId="0" borderId="0" xfId="2" applyNumberFormat="1" applyFont="1"/>
    <xf numFmtId="165" fontId="0" fillId="0" borderId="0" xfId="2" applyNumberFormat="1" applyFont="1" applyBorder="1"/>
    <xf numFmtId="174" fontId="0" fillId="0" borderId="0" xfId="0" applyNumberFormat="1"/>
    <xf numFmtId="1" fontId="0" fillId="0" borderId="0" xfId="0" applyNumberFormat="1"/>
    <xf numFmtId="2" fontId="0" fillId="0" borderId="2" xfId="0" applyNumberFormat="1" applyBorder="1"/>
    <xf numFmtId="165" fontId="0" fillId="0" borderId="2" xfId="0" applyNumberFormat="1" applyBorder="1"/>
    <xf numFmtId="165" fontId="0" fillId="0" borderId="7" xfId="0" applyNumberFormat="1" applyBorder="1"/>
    <xf numFmtId="169" fontId="0" fillId="0" borderId="0" xfId="1" applyNumberFormat="1" applyFont="1" applyBorder="1"/>
    <xf numFmtId="169" fontId="0" fillId="0" borderId="2" xfId="1" applyNumberFormat="1" applyFont="1" applyBorder="1"/>
    <xf numFmtId="169" fontId="0" fillId="0" borderId="3" xfId="1" applyNumberFormat="1" applyFont="1" applyBorder="1"/>
    <xf numFmtId="169" fontId="0" fillId="0" borderId="5" xfId="1" applyNumberFormat="1" applyFont="1" applyBorder="1"/>
    <xf numFmtId="169" fontId="0" fillId="0" borderId="7" xfId="1" applyNumberFormat="1" applyFont="1" applyBorder="1"/>
    <xf numFmtId="169" fontId="0" fillId="0" borderId="8" xfId="1" applyNumberFormat="1" applyFont="1" applyBorder="1"/>
    <xf numFmtId="0" fontId="0" fillId="6" borderId="4" xfId="0" applyFill="1" applyBorder="1"/>
    <xf numFmtId="175" fontId="0" fillId="0" borderId="0" xfId="0" applyNumberFormat="1"/>
    <xf numFmtId="43" fontId="0" fillId="0" borderId="0" xfId="0" applyNumberFormat="1"/>
    <xf numFmtId="165" fontId="0" fillId="0" borderId="5" xfId="0" applyNumberFormat="1" applyBorder="1"/>
  </cellXfs>
  <cellStyles count="17">
    <cellStyle name="Hyperlink 2" xfId="10" xr:uid="{60724745-D707-4361-8ED0-351BA9F24C62}"/>
    <cellStyle name="Komma" xfId="1" builtinId="3"/>
    <cellStyle name="Komma 2" xfId="6" xr:uid="{C3B9B29E-BFD6-423F-8693-4B963D773E17}"/>
    <cellStyle name="Normal 2" xfId="7" xr:uid="{8962D6D2-F22A-4715-8BB4-00344B75CA02}"/>
    <cellStyle name="Percent 2" xfId="9" xr:uid="{1B8E8165-8D67-40C4-8B62-6FF1A779D092}"/>
    <cellStyle name="Procent" xfId="2" builtinId="5"/>
    <cellStyle name="Procent 2" xfId="13" xr:uid="{FE3332B0-3B71-43D7-9820-90B66A0B98C7}"/>
    <cellStyle name="Procent 3" xfId="16" xr:uid="{0AB8518C-0ECA-453E-B199-7557E8C2E5CC}"/>
    <cellStyle name="Procent 4" xfId="5" xr:uid="{B6830AEA-0B85-4F12-BD57-B38D0B707131}"/>
    <cellStyle name="Standaard" xfId="0" builtinId="0"/>
    <cellStyle name="Standaard 2" xfId="11" xr:uid="{8D63ACFD-DF11-4A21-ABAD-56E1F39806EA}"/>
    <cellStyle name="Standaard 3" xfId="14" xr:uid="{BD8FE6D8-BECE-4BFA-8022-7DED2E7F42A9}"/>
    <cellStyle name="Standaard 4" xfId="3" xr:uid="{FEDB010E-93A8-4F09-8049-453DAE928890}"/>
    <cellStyle name="Teb_Input" xfId="8" xr:uid="{FAE93F6D-98B2-4F2C-A60E-3D8892B5F12F}"/>
    <cellStyle name="Valuta 2" xfId="12" xr:uid="{CFA1EB8E-E8E7-4745-85EC-0AB7F9F4EABE}"/>
    <cellStyle name="Valuta 3" xfId="15" xr:uid="{FD348B3F-4B56-462F-A50F-10A44C9778AF}"/>
    <cellStyle name="Valuta 4" xfId="4" xr:uid="{7D1F30E7-383E-4455-89F7-E7299BA1676B}"/>
  </cellStyles>
  <dxfs count="0"/>
  <tableStyles count="0" defaultTableStyle="TableStyleMedium2" defaultPivotStyle="PivotStyleLight16"/>
  <colors>
    <mruColors>
      <color rgb="FFFF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eetMetadata" Target="metadata.xml"/><Relationship Id="rId30" Type="http://schemas.openxmlformats.org/officeDocument/2006/relationships/customXml" Target="../customXml/item2.xml"/></Relationships>
</file>

<file path=xl/drawings/_rels/drawing21.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4.png"/></Relationships>
</file>

<file path=xl/drawings/_rels/drawing7.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11</xdr:col>
      <xdr:colOff>0</xdr:colOff>
      <xdr:row>2</xdr:row>
      <xdr:rowOff>0</xdr:rowOff>
    </xdr:from>
    <xdr:to>
      <xdr:col>18</xdr:col>
      <xdr:colOff>161925</xdr:colOff>
      <xdr:row>27</xdr:row>
      <xdr:rowOff>47625</xdr:rowOff>
    </xdr:to>
    <xdr:sp macro="" textlink="">
      <xdr:nvSpPr>
        <xdr:cNvPr id="2" name="Tekstvak 1">
          <a:extLst>
            <a:ext uri="{FF2B5EF4-FFF2-40B4-BE49-F238E27FC236}">
              <a16:creationId xmlns:a16="http://schemas.microsoft.com/office/drawing/2014/main" id="{D5E94295-7DDE-4369-B0CF-2EBE37398705}"/>
            </a:ext>
          </a:extLst>
        </xdr:cNvPr>
        <xdr:cNvSpPr txBox="1"/>
      </xdr:nvSpPr>
      <xdr:spPr>
        <a:xfrm>
          <a:off x="13392150" y="381000"/>
          <a:ext cx="4429125" cy="48101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b="0" i="0">
              <a:solidFill>
                <a:schemeClr val="dk1"/>
              </a:solidFill>
              <a:effectLst/>
              <a:latin typeface="+mn-lt"/>
              <a:ea typeface="+mn-ea"/>
              <a:cs typeface="+mn-cs"/>
            </a:rPr>
            <a:t>Een beweegbaar gevelscherm in een tuinbouwkas heeft verschillende voordelen, waaronder:</a:t>
          </a:r>
        </a:p>
        <a:p>
          <a:endParaRPr lang="nl-NL" sz="1100" b="0" i="0">
            <a:solidFill>
              <a:schemeClr val="dk1"/>
            </a:solidFill>
            <a:effectLst/>
            <a:latin typeface="+mn-lt"/>
            <a:ea typeface="+mn-ea"/>
            <a:cs typeface="+mn-cs"/>
          </a:endParaRPr>
        </a:p>
        <a:p>
          <a:r>
            <a:rPr lang="nl-NL" sz="1100" b="0" i="0">
              <a:solidFill>
                <a:schemeClr val="dk1"/>
              </a:solidFill>
              <a:effectLst/>
              <a:latin typeface="+mn-lt"/>
              <a:ea typeface="+mn-ea"/>
              <a:cs typeface="+mn-cs"/>
            </a:rPr>
            <a:t>1. Klimaatbeheersing: Het gevelscherm kan worden gebruikt om de temperatuur, luchtvochtigheid en ventilatie in de kas te regelen. Door het gevelscherm te openen of te sluiten, kan de hoeveelheid licht en warmte die de kas binnenkomt worden gereguleerd.</a:t>
          </a:r>
        </a:p>
        <a:p>
          <a:endParaRPr lang="nl-NL" sz="1100" b="0" i="0">
            <a:solidFill>
              <a:schemeClr val="dk1"/>
            </a:solidFill>
            <a:effectLst/>
            <a:latin typeface="+mn-lt"/>
            <a:ea typeface="+mn-ea"/>
            <a:cs typeface="+mn-cs"/>
          </a:endParaRPr>
        </a:p>
        <a:p>
          <a:r>
            <a:rPr lang="nl-NL" sz="1100" b="0" i="0">
              <a:solidFill>
                <a:schemeClr val="dk1"/>
              </a:solidFill>
              <a:effectLst/>
              <a:latin typeface="+mn-lt"/>
              <a:ea typeface="+mn-ea"/>
              <a:cs typeface="+mn-cs"/>
            </a:rPr>
            <a:t>2. Energiebesparing: Door het gevelscherm te gebruiken om de temperatuur in de kas te regelen, kan energie worden bespaard. In de winter kan het gevelscherm worden gesloten om warmte vast te houden, terwijl het in de zomer kan worden geopend om de kas te koelen en de behoefte aan airconditioning te verminderen.</a:t>
          </a:r>
          <a:endParaRPr lang="nl-NL" sz="1100"/>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11</xdr:col>
      <xdr:colOff>0</xdr:colOff>
      <xdr:row>2</xdr:row>
      <xdr:rowOff>0</xdr:rowOff>
    </xdr:from>
    <xdr:to>
      <xdr:col>18</xdr:col>
      <xdr:colOff>161925</xdr:colOff>
      <xdr:row>27</xdr:row>
      <xdr:rowOff>47625</xdr:rowOff>
    </xdr:to>
    <xdr:sp macro="" textlink="">
      <xdr:nvSpPr>
        <xdr:cNvPr id="4" name="Tekstvak 3">
          <a:extLst>
            <a:ext uri="{FF2B5EF4-FFF2-40B4-BE49-F238E27FC236}">
              <a16:creationId xmlns:a16="http://schemas.microsoft.com/office/drawing/2014/main" id="{E45ED97D-3D2B-46D1-8DC2-7B118EEA5023}"/>
            </a:ext>
          </a:extLst>
        </xdr:cNvPr>
        <xdr:cNvSpPr txBox="1"/>
      </xdr:nvSpPr>
      <xdr:spPr>
        <a:xfrm>
          <a:off x="13392150" y="381000"/>
          <a:ext cx="4429125" cy="48101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b="0" i="0">
              <a:solidFill>
                <a:schemeClr val="dk1"/>
              </a:solidFill>
              <a:effectLst/>
              <a:latin typeface="+mn-lt"/>
              <a:ea typeface="+mn-ea"/>
              <a:cs typeface="+mn-cs"/>
            </a:rPr>
            <a:t>Een frequentieregelaar (VFD) is een elektronisch apparaat dat wordt gebruikt om de snelheid van een elektromotor te regelen door de frequentie van de stroomtoevoer naar de motor aan te passen. Dit kan verschillende voordelen bieden, waaronder:</a:t>
          </a:r>
          <a:br>
            <a:rPr lang="nl-NL" sz="1100" b="0" i="0">
              <a:solidFill>
                <a:schemeClr val="dk1"/>
              </a:solidFill>
              <a:effectLst/>
              <a:latin typeface="+mn-lt"/>
              <a:ea typeface="+mn-ea"/>
              <a:cs typeface="+mn-cs"/>
            </a:rPr>
          </a:br>
          <a:endParaRPr lang="nl-NL">
            <a:effectLst/>
          </a:endParaRPr>
        </a:p>
        <a:p>
          <a:r>
            <a:rPr lang="nl-NL" sz="1100" b="0" i="0">
              <a:solidFill>
                <a:schemeClr val="dk1"/>
              </a:solidFill>
              <a:effectLst/>
              <a:latin typeface="+mn-lt"/>
              <a:ea typeface="+mn-ea"/>
              <a:cs typeface="+mn-cs"/>
            </a:rPr>
            <a:t>1. Energiebesparing: Een frequentieregelaar kan de snelheid van de motor aanpassen aan de vraag, waardoor de motor niet op volle capaciteit hoeft te draaien wanneer dit niet nodig is. Dit kan leiden tot aanzienlijke energiebesparingen en lagere energiekosten.</a:t>
          </a:r>
          <a:br>
            <a:rPr lang="nl-NL" sz="1100" b="0" i="0">
              <a:solidFill>
                <a:schemeClr val="dk1"/>
              </a:solidFill>
              <a:effectLst/>
              <a:latin typeface="+mn-lt"/>
              <a:ea typeface="+mn-ea"/>
              <a:cs typeface="+mn-cs"/>
            </a:rPr>
          </a:br>
          <a:endParaRPr lang="nl-NL">
            <a:effectLst/>
          </a:endParaRPr>
        </a:p>
        <a:p>
          <a:r>
            <a:rPr lang="nl-NL" sz="1100" b="0" i="0">
              <a:solidFill>
                <a:schemeClr val="dk1"/>
              </a:solidFill>
              <a:effectLst/>
              <a:latin typeface="+mn-lt"/>
              <a:ea typeface="+mn-ea"/>
              <a:cs typeface="+mn-cs"/>
            </a:rPr>
            <a:t>2. Langere levensduur: Door de snelheid van de motor aan te passen aan de vraag, kan een frequentieregelaar de slijtage van de motor verminderen en de levensduur van de motor verlengen.</a:t>
          </a:r>
          <a:br>
            <a:rPr lang="nl-NL" sz="1100" b="0" i="0">
              <a:solidFill>
                <a:schemeClr val="dk1"/>
              </a:solidFill>
              <a:effectLst/>
              <a:latin typeface="+mn-lt"/>
              <a:ea typeface="+mn-ea"/>
              <a:cs typeface="+mn-cs"/>
            </a:rPr>
          </a:br>
          <a:endParaRPr lang="nl-NL">
            <a:effectLst/>
          </a:endParaRPr>
        </a:p>
        <a:p>
          <a:r>
            <a:rPr lang="nl-NL" sz="1100" b="0" i="0">
              <a:solidFill>
                <a:schemeClr val="dk1"/>
              </a:solidFill>
              <a:effectLst/>
              <a:latin typeface="+mn-lt"/>
              <a:ea typeface="+mn-ea"/>
              <a:cs typeface="+mn-cs"/>
            </a:rPr>
            <a:t>3. Betere controle: Met een frequentieregelaar kan de gebruiker de snelheid van de motor nauwkeurig regelen, waardoor de motor beter kan worden afgestemd op de specifieke toepassing. Dit kan leiden tot betere prestaties en een hogere efficiëntie.</a:t>
          </a:r>
          <a:br>
            <a:rPr lang="nl-NL" sz="1100" b="0" i="0">
              <a:solidFill>
                <a:schemeClr val="dk1"/>
              </a:solidFill>
              <a:effectLst/>
              <a:latin typeface="+mn-lt"/>
              <a:ea typeface="+mn-ea"/>
              <a:cs typeface="+mn-cs"/>
            </a:rPr>
          </a:br>
          <a:endParaRPr lang="nl-NL">
            <a:effectLst/>
          </a:endParaRPr>
        </a:p>
        <a:p>
          <a:r>
            <a:rPr lang="nl-NL" sz="1100" b="0" i="0">
              <a:solidFill>
                <a:schemeClr val="dk1"/>
              </a:solidFill>
              <a:effectLst/>
              <a:latin typeface="+mn-lt"/>
              <a:ea typeface="+mn-ea"/>
              <a:cs typeface="+mn-cs"/>
            </a:rPr>
            <a:t>4. Geluidsreductie: Een frequentieregelaar kan de snelheid van de motor verminderen, waardoor het geluidsniveau van de motor wordt verminderd. Dit kan vooral gunstig zijn in toepassingen waarbij een stille werking belangrijk is.</a:t>
          </a:r>
          <a:br>
            <a:rPr lang="nl-NL" sz="1100" b="0" i="0">
              <a:solidFill>
                <a:schemeClr val="dk1"/>
              </a:solidFill>
              <a:effectLst/>
              <a:latin typeface="+mn-lt"/>
              <a:ea typeface="+mn-ea"/>
              <a:cs typeface="+mn-cs"/>
            </a:rPr>
          </a:br>
          <a:endParaRPr lang="nl-NL">
            <a:effectLst/>
          </a:endParaRPr>
        </a:p>
        <a:p>
          <a:r>
            <a:rPr lang="nl-NL" sz="1100" b="0" i="0">
              <a:solidFill>
                <a:schemeClr val="dk1"/>
              </a:solidFill>
              <a:effectLst/>
              <a:latin typeface="+mn-lt"/>
              <a:ea typeface="+mn-ea"/>
              <a:cs typeface="+mn-cs"/>
            </a:rPr>
            <a:t>5. Soepelere werking: Door de snelheid van de motor geleidelijk aan te passen, kan een frequentieregelaar zorgen voor een soepelere werking van de motor en de aangesloten apparatuur.</a:t>
          </a:r>
          <a:endParaRPr lang="nl-NL">
            <a:effectLst/>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11</xdr:col>
      <xdr:colOff>66675</xdr:colOff>
      <xdr:row>2</xdr:row>
      <xdr:rowOff>66675</xdr:rowOff>
    </xdr:from>
    <xdr:to>
      <xdr:col>18</xdr:col>
      <xdr:colOff>228600</xdr:colOff>
      <xdr:row>27</xdr:row>
      <xdr:rowOff>114300</xdr:rowOff>
    </xdr:to>
    <xdr:sp macro="" textlink="">
      <xdr:nvSpPr>
        <xdr:cNvPr id="2" name="Tekstvak 1">
          <a:extLst>
            <a:ext uri="{FF2B5EF4-FFF2-40B4-BE49-F238E27FC236}">
              <a16:creationId xmlns:a16="http://schemas.microsoft.com/office/drawing/2014/main" id="{893D9047-5D39-46D1-921B-CCDA5723B8F6}"/>
            </a:ext>
          </a:extLst>
        </xdr:cNvPr>
        <xdr:cNvSpPr txBox="1"/>
      </xdr:nvSpPr>
      <xdr:spPr>
        <a:xfrm>
          <a:off x="13458825" y="447675"/>
          <a:ext cx="4429125" cy="48101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b="0" i="0">
              <a:solidFill>
                <a:schemeClr val="dk1"/>
              </a:solidFill>
              <a:effectLst/>
              <a:latin typeface="+mn-lt"/>
              <a:ea typeface="+mn-ea"/>
              <a:cs typeface="+mn-cs"/>
            </a:rPr>
            <a:t>CO2 is essentieel voor fotosynthese, het proces waarbij planten koolstofdioxide omzetten in glucose en zuurstof met behulp van zonlicht. Door extra CO2 toe te voegen aan de kas, kunnen planten sneller groeien en meer opbrengst produceren.</a:t>
          </a:r>
          <a:br>
            <a:rPr lang="nl-NL" sz="1100" b="0" i="0">
              <a:solidFill>
                <a:schemeClr val="dk1"/>
              </a:solidFill>
              <a:effectLst/>
              <a:latin typeface="+mn-lt"/>
              <a:ea typeface="+mn-ea"/>
              <a:cs typeface="+mn-cs"/>
            </a:rPr>
          </a:br>
          <a:br>
            <a:rPr lang="nl-NL" sz="1100" b="0" i="0">
              <a:solidFill>
                <a:schemeClr val="dk1"/>
              </a:solidFill>
              <a:effectLst/>
              <a:latin typeface="+mn-lt"/>
              <a:ea typeface="+mn-ea"/>
              <a:cs typeface="+mn-cs"/>
            </a:rPr>
          </a:br>
          <a:r>
            <a:rPr lang="nl-NL" sz="1100" b="0" i="0">
              <a:solidFill>
                <a:schemeClr val="dk1"/>
              </a:solidFill>
              <a:effectLst/>
              <a:latin typeface="+mn-lt"/>
              <a:ea typeface="+mn-ea"/>
              <a:cs typeface="+mn-cs"/>
            </a:rPr>
            <a:t>De</a:t>
          </a:r>
          <a:r>
            <a:rPr lang="nl-NL" sz="1100" b="0" i="0" baseline="0">
              <a:solidFill>
                <a:schemeClr val="dk1"/>
              </a:solidFill>
              <a:effectLst/>
              <a:latin typeface="+mn-lt"/>
              <a:ea typeface="+mn-ea"/>
              <a:cs typeface="+mn-cs"/>
            </a:rPr>
            <a:t> hoeveelheid te doseren CO2</a:t>
          </a:r>
          <a:r>
            <a:rPr lang="nl-NL" sz="1100" b="0" i="0">
              <a:solidFill>
                <a:schemeClr val="dk1"/>
              </a:solidFill>
              <a:effectLst/>
              <a:latin typeface="+mn-lt"/>
              <a:ea typeface="+mn-ea"/>
              <a:cs typeface="+mn-cs"/>
            </a:rPr>
            <a:t> hangt af van verschillende factoren, zoals het type gewas, de grootte van de kas en de gewenste groeisnelheid van de planten. Over het algemeen wordt echter aanbevolen om tussen de 800 en 1200 ppm (parts per million) CO2 te doseren in de kas. Dit kan worden bereikt door middel van verbranding van fossiele brandstoffen, zoals aardgas, of door het gebruik van CO2-generatoren of -cilinders. Het is belangrijk om de CO2-niveaus in de kas regelmatig te meten en aan te passen om optimale groeiomstandigheden te behouden.</a:t>
          </a:r>
          <a:endParaRPr lang="nl-NL" sz="1100"/>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11</xdr:col>
      <xdr:colOff>0</xdr:colOff>
      <xdr:row>2</xdr:row>
      <xdr:rowOff>0</xdr:rowOff>
    </xdr:from>
    <xdr:to>
      <xdr:col>18</xdr:col>
      <xdr:colOff>161925</xdr:colOff>
      <xdr:row>27</xdr:row>
      <xdr:rowOff>47625</xdr:rowOff>
    </xdr:to>
    <xdr:sp macro="" textlink="">
      <xdr:nvSpPr>
        <xdr:cNvPr id="2" name="Tekstvak 1">
          <a:extLst>
            <a:ext uri="{FF2B5EF4-FFF2-40B4-BE49-F238E27FC236}">
              <a16:creationId xmlns:a16="http://schemas.microsoft.com/office/drawing/2014/main" id="{BDE8BDA5-2ECF-4740-B177-03556854BF07}"/>
            </a:ext>
          </a:extLst>
        </xdr:cNvPr>
        <xdr:cNvSpPr txBox="1"/>
      </xdr:nvSpPr>
      <xdr:spPr>
        <a:xfrm>
          <a:off x="13392150" y="381000"/>
          <a:ext cx="4429125" cy="48101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b="0" i="0">
              <a:solidFill>
                <a:schemeClr val="dk1"/>
              </a:solidFill>
              <a:effectLst/>
              <a:latin typeface="+mn-lt"/>
              <a:ea typeface="+mn-ea"/>
              <a:cs typeface="+mn-cs"/>
            </a:rPr>
            <a:t>x</a:t>
          </a:r>
          <a:endParaRPr lang="nl-NL" sz="1100"/>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11</xdr:col>
      <xdr:colOff>0</xdr:colOff>
      <xdr:row>2</xdr:row>
      <xdr:rowOff>0</xdr:rowOff>
    </xdr:from>
    <xdr:to>
      <xdr:col>18</xdr:col>
      <xdr:colOff>161925</xdr:colOff>
      <xdr:row>27</xdr:row>
      <xdr:rowOff>47625</xdr:rowOff>
    </xdr:to>
    <xdr:sp macro="" textlink="">
      <xdr:nvSpPr>
        <xdr:cNvPr id="2" name="Tekstvak 1">
          <a:extLst>
            <a:ext uri="{FF2B5EF4-FFF2-40B4-BE49-F238E27FC236}">
              <a16:creationId xmlns:a16="http://schemas.microsoft.com/office/drawing/2014/main" id="{64849D10-91F0-4A30-B864-A4BFADCD90F2}"/>
            </a:ext>
          </a:extLst>
        </xdr:cNvPr>
        <xdr:cNvSpPr txBox="1"/>
      </xdr:nvSpPr>
      <xdr:spPr>
        <a:xfrm>
          <a:off x="13392150" y="381000"/>
          <a:ext cx="4429125" cy="48101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b="0" i="0">
              <a:solidFill>
                <a:schemeClr val="dk1"/>
              </a:solidFill>
              <a:effectLst/>
              <a:latin typeface="+mn-lt"/>
              <a:ea typeface="+mn-ea"/>
              <a:cs typeface="+mn-cs"/>
            </a:rPr>
            <a:t>Er zijn verschillende redenen waarom een glastuinbouwbedrijf de groeibelichting van SON-T armaturen zou kunnen vervangen door LED armaturen. Ten eerste hebben LED armaturen een hogere energie-efficiëntie en gaan ze langer mee dan SON-T armaturen, waardoor ze uiteindelijk kunnen leiden tot lagere energiekosten en minder vervangingen. Ten tweede kunnen LED armaturen specifieker worden afgesteld op de behoeften van de planten, waardoor ze een betere groei en opbrengst kunnen opleveren. Ten derde produceren LED armaturen minder warmte dan SON-T armaturen, wat kan leiden tot een betere controle over de klimaatregeling in de kas en minder behoefte aan koeling. Tot slot zijn LED armaturen duurzamer en milieuvriendelijker dan SON-T armaturen, omdat ze geen kwik bevatten en gemakkelijker te recyclen zijn.</a:t>
          </a:r>
          <a:endParaRPr lang="nl-NL" sz="1100"/>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11</xdr:col>
      <xdr:colOff>0</xdr:colOff>
      <xdr:row>2</xdr:row>
      <xdr:rowOff>0</xdr:rowOff>
    </xdr:from>
    <xdr:to>
      <xdr:col>18</xdr:col>
      <xdr:colOff>161925</xdr:colOff>
      <xdr:row>27</xdr:row>
      <xdr:rowOff>47625</xdr:rowOff>
    </xdr:to>
    <xdr:sp macro="" textlink="">
      <xdr:nvSpPr>
        <xdr:cNvPr id="2" name="Tekstvak 1">
          <a:extLst>
            <a:ext uri="{FF2B5EF4-FFF2-40B4-BE49-F238E27FC236}">
              <a16:creationId xmlns:a16="http://schemas.microsoft.com/office/drawing/2014/main" id="{B3C2F068-1536-4F66-87E4-788E10A63901}"/>
            </a:ext>
          </a:extLst>
        </xdr:cNvPr>
        <xdr:cNvSpPr txBox="1"/>
      </xdr:nvSpPr>
      <xdr:spPr>
        <a:xfrm>
          <a:off x="13392150" y="381000"/>
          <a:ext cx="4429125" cy="48101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b="0" i="0">
              <a:solidFill>
                <a:schemeClr val="dk1"/>
              </a:solidFill>
              <a:effectLst/>
              <a:latin typeface="+mn-lt"/>
              <a:ea typeface="+mn-ea"/>
              <a:cs typeface="+mn-cs"/>
            </a:rPr>
            <a:t>Een glastuinbouwbedrijf heeft voldoende schakelgroepen nodig op de groeibelichting om het lichtniveau in de kas te kunnen regelen en aan te passen aan de behoeften van de planten. Door het gebruik van schakelgroepen kan de verlichting in verschillende zones van de kas worden aangepast, afhankelijk van factoren zoals de lichtbehoefte van de planten, de fase van de groei en de tijd van de dag. </a:t>
          </a:r>
          <a:br>
            <a:rPr lang="nl-NL" sz="1100" b="0" i="0">
              <a:solidFill>
                <a:schemeClr val="dk1"/>
              </a:solidFill>
              <a:effectLst/>
              <a:latin typeface="+mn-lt"/>
              <a:ea typeface="+mn-ea"/>
              <a:cs typeface="+mn-cs"/>
            </a:rPr>
          </a:br>
          <a:br>
            <a:rPr lang="nl-NL" sz="1100" b="0" i="0">
              <a:solidFill>
                <a:schemeClr val="dk1"/>
              </a:solidFill>
              <a:effectLst/>
              <a:latin typeface="+mn-lt"/>
              <a:ea typeface="+mn-ea"/>
              <a:cs typeface="+mn-cs"/>
            </a:rPr>
          </a:br>
          <a:r>
            <a:rPr lang="nl-NL" sz="1100" b="0" i="0">
              <a:solidFill>
                <a:schemeClr val="dk1"/>
              </a:solidFill>
              <a:effectLst/>
              <a:latin typeface="+mn-lt"/>
              <a:ea typeface="+mn-ea"/>
              <a:cs typeface="+mn-cs"/>
            </a:rPr>
            <a:t>Het is belangrijk om te zorgen voor de juiste verdeling van de armaturen over de verschillende schakelgroepen om overbelasting te voorkomen. Door extra schakelgroepen toe te voegen, kan het bedrijf de verlichting beter afstemmen op de behoeften van de planten en de energie-efficiëntie maximaliseren.</a:t>
          </a:r>
          <a:r>
            <a:rPr lang="nl-NL" sz="1100" b="0" i="0" baseline="0">
              <a:solidFill>
                <a:schemeClr val="dk1"/>
              </a:solidFill>
              <a:effectLst/>
              <a:latin typeface="+mn-lt"/>
              <a:ea typeface="+mn-ea"/>
              <a:cs typeface="+mn-cs"/>
            </a:rPr>
            <a:t> </a:t>
          </a:r>
          <a:r>
            <a:rPr lang="nl-NL" sz="1100" b="0" i="0">
              <a:solidFill>
                <a:schemeClr val="dk1"/>
              </a:solidFill>
              <a:effectLst/>
              <a:latin typeface="+mn-lt"/>
              <a:ea typeface="+mn-ea"/>
              <a:cs typeface="+mn-cs"/>
            </a:rPr>
            <a:t>Bovendien kan het gebruik van extra schakelgroepen helpen om de levensduur van de verlichting te verlengen, omdat deze niet constant op volle capaciteit hoeft te werken.</a:t>
          </a:r>
          <a:br>
            <a:rPr lang="nl-NL" sz="1100" b="0" i="0">
              <a:solidFill>
                <a:schemeClr val="dk1"/>
              </a:solidFill>
              <a:effectLst/>
              <a:latin typeface="+mn-lt"/>
              <a:ea typeface="+mn-ea"/>
              <a:cs typeface="+mn-cs"/>
            </a:rPr>
          </a:br>
          <a:br>
            <a:rPr lang="nl-NL" sz="1100" b="0" i="0">
              <a:solidFill>
                <a:schemeClr val="dk1"/>
              </a:solidFill>
              <a:effectLst/>
              <a:latin typeface="+mn-lt"/>
              <a:ea typeface="+mn-ea"/>
              <a:cs typeface="+mn-cs"/>
            </a:rPr>
          </a:br>
          <a:endParaRPr lang="nl-NL" sz="1100"/>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11</xdr:col>
      <xdr:colOff>28574</xdr:colOff>
      <xdr:row>2</xdr:row>
      <xdr:rowOff>9524</xdr:rowOff>
    </xdr:from>
    <xdr:to>
      <xdr:col>18</xdr:col>
      <xdr:colOff>190499</xdr:colOff>
      <xdr:row>27</xdr:row>
      <xdr:rowOff>57149</xdr:rowOff>
    </xdr:to>
    <xdr:sp macro="" textlink="">
      <xdr:nvSpPr>
        <xdr:cNvPr id="2" name="Tekstvak 1">
          <a:extLst>
            <a:ext uri="{FF2B5EF4-FFF2-40B4-BE49-F238E27FC236}">
              <a16:creationId xmlns:a16="http://schemas.microsoft.com/office/drawing/2014/main" id="{25FED4E1-B182-F733-15F3-53AC575A0AAF}"/>
            </a:ext>
          </a:extLst>
        </xdr:cNvPr>
        <xdr:cNvSpPr txBox="1"/>
      </xdr:nvSpPr>
      <xdr:spPr>
        <a:xfrm>
          <a:off x="13420724" y="390524"/>
          <a:ext cx="4429125" cy="48101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b="0" i="0">
              <a:solidFill>
                <a:schemeClr val="dk1"/>
              </a:solidFill>
              <a:effectLst/>
              <a:latin typeface="+mn-lt"/>
              <a:ea typeface="+mn-ea"/>
              <a:cs typeface="+mn-cs"/>
            </a:rPr>
            <a:t>Actieve ontvochtiging in een kas kan worden bereikt door het gebruik van apparaten zoals ontvochtigers, ventilatoren en klimaatregelsystemen. Het doel van actieve ontvochtiging is om de luchtvochtigheid in de kas te verlagen tot een niveau dat gunstig is voor de groei van de gewassen.</a:t>
          </a:r>
        </a:p>
        <a:p>
          <a:br>
            <a:rPr lang="nl-NL" sz="1100" b="0" i="0">
              <a:solidFill>
                <a:schemeClr val="dk1"/>
              </a:solidFill>
              <a:effectLst/>
              <a:latin typeface="+mn-lt"/>
              <a:ea typeface="+mn-ea"/>
              <a:cs typeface="+mn-cs"/>
            </a:rPr>
          </a:br>
          <a:r>
            <a:rPr lang="nl-NL" sz="1100" b="0" i="0">
              <a:solidFill>
                <a:schemeClr val="dk1"/>
              </a:solidFill>
              <a:effectLst/>
              <a:latin typeface="+mn-lt"/>
              <a:ea typeface="+mn-ea"/>
              <a:cs typeface="+mn-cs"/>
            </a:rPr>
            <a:t>Ontvochtigers zijn apparaten die vocht uit de lucht halen door het door een koelsysteem te laten circuleren. Hierbij wordt de vochtige lucht afgekoeld tot onder het dauwpunt, waardoor het vocht in de lucht condenseert en kan worden opgevangen. De drogere lucht wordt vervolgens weer in de kas geblazen.</a:t>
          </a:r>
          <a:br>
            <a:rPr lang="nl-NL" sz="1100" b="0" i="0">
              <a:solidFill>
                <a:schemeClr val="dk1"/>
              </a:solidFill>
              <a:effectLst/>
              <a:latin typeface="+mn-lt"/>
              <a:ea typeface="+mn-ea"/>
              <a:cs typeface="+mn-cs"/>
            </a:rPr>
          </a:br>
          <a:endParaRPr lang="nl-NL" sz="1100" b="0" i="0">
            <a:solidFill>
              <a:schemeClr val="dk1"/>
            </a:solidFill>
            <a:effectLst/>
            <a:latin typeface="+mn-lt"/>
            <a:ea typeface="+mn-ea"/>
            <a:cs typeface="+mn-cs"/>
          </a:endParaRPr>
        </a:p>
        <a:p>
          <a:r>
            <a:rPr lang="nl-NL" sz="1100" b="0" i="0">
              <a:solidFill>
                <a:schemeClr val="dk1"/>
              </a:solidFill>
              <a:effectLst/>
              <a:latin typeface="+mn-lt"/>
              <a:ea typeface="+mn-ea"/>
              <a:cs typeface="+mn-cs"/>
            </a:rPr>
            <a:t>Ventilatoren worden gebruikt om de lucht in de kas te laten circuleren, waardoor de vochtige lucht wordt verplaatst en de drogere lucht beter wordt verdeeld. Dit kan helpen om de luchtvochtigheid te verlagen en vochtige plekken te verminderen.</a:t>
          </a:r>
          <a:br>
            <a:rPr lang="nl-NL" sz="1100" b="0" i="0">
              <a:solidFill>
                <a:schemeClr val="dk1"/>
              </a:solidFill>
              <a:effectLst/>
              <a:latin typeface="+mn-lt"/>
              <a:ea typeface="+mn-ea"/>
              <a:cs typeface="+mn-cs"/>
            </a:rPr>
          </a:br>
          <a:endParaRPr lang="nl-NL" sz="1100" b="0" i="0">
            <a:solidFill>
              <a:schemeClr val="dk1"/>
            </a:solidFill>
            <a:effectLst/>
            <a:latin typeface="+mn-lt"/>
            <a:ea typeface="+mn-ea"/>
            <a:cs typeface="+mn-cs"/>
          </a:endParaRPr>
        </a:p>
        <a:p>
          <a:r>
            <a:rPr lang="nl-NL" sz="1100" b="0" i="0">
              <a:solidFill>
                <a:schemeClr val="dk1"/>
              </a:solidFill>
              <a:effectLst/>
              <a:latin typeface="+mn-lt"/>
              <a:ea typeface="+mn-ea"/>
              <a:cs typeface="+mn-cs"/>
            </a:rPr>
            <a:t>Klimaatregelsystemen, zoals klimaatcomputers, kunnen ook worden gebruikt om de luchtvochtigheid in de kas te reguleren. Deze systemen meten de luchtvochtigheid en regelen automatisch de ontvochtigers en ventilatoren om de gewenste luchtvochtigheid te behouden.</a:t>
          </a:r>
          <a:br>
            <a:rPr lang="nl-NL" sz="1100" b="0" i="0">
              <a:solidFill>
                <a:schemeClr val="dk1"/>
              </a:solidFill>
              <a:effectLst/>
              <a:latin typeface="+mn-lt"/>
              <a:ea typeface="+mn-ea"/>
              <a:cs typeface="+mn-cs"/>
            </a:rPr>
          </a:br>
          <a:endParaRPr lang="nl-NL" sz="1100" b="0" i="0">
            <a:solidFill>
              <a:schemeClr val="dk1"/>
            </a:solidFill>
            <a:effectLst/>
            <a:latin typeface="+mn-lt"/>
            <a:ea typeface="+mn-ea"/>
            <a:cs typeface="+mn-cs"/>
          </a:endParaRPr>
        </a:p>
        <a:p>
          <a:r>
            <a:rPr lang="nl-NL" sz="1100" b="0" i="0">
              <a:solidFill>
                <a:schemeClr val="dk1"/>
              </a:solidFill>
              <a:effectLst/>
              <a:latin typeface="+mn-lt"/>
              <a:ea typeface="+mn-ea"/>
              <a:cs typeface="+mn-cs"/>
            </a:rPr>
            <a:t>Het is belangrijk om de luchtvochtigheid in de kas te reguleren, omdat te hoge luchtvochtigheid kan leiden tot problemen zoals schimmels en ziektes bij de gewassen. Actieve ontvochtiging kan daarom helpen om de kwaliteit en opbrengst van de gewassen te verbeteren en het energieverbruik van de kas te verminderen.</a:t>
          </a:r>
        </a:p>
        <a:p>
          <a:endParaRPr lang="nl-NL" sz="1100"/>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11</xdr:col>
      <xdr:colOff>28574</xdr:colOff>
      <xdr:row>2</xdr:row>
      <xdr:rowOff>9524</xdr:rowOff>
    </xdr:from>
    <xdr:to>
      <xdr:col>18</xdr:col>
      <xdr:colOff>190499</xdr:colOff>
      <xdr:row>27</xdr:row>
      <xdr:rowOff>57149</xdr:rowOff>
    </xdr:to>
    <xdr:sp macro="" textlink="">
      <xdr:nvSpPr>
        <xdr:cNvPr id="2" name="Tekstvak 1">
          <a:extLst>
            <a:ext uri="{FF2B5EF4-FFF2-40B4-BE49-F238E27FC236}">
              <a16:creationId xmlns:a16="http://schemas.microsoft.com/office/drawing/2014/main" id="{C972658C-7BA0-4D69-9516-FD52775B5026}"/>
            </a:ext>
          </a:extLst>
        </xdr:cNvPr>
        <xdr:cNvSpPr txBox="1"/>
      </xdr:nvSpPr>
      <xdr:spPr>
        <a:xfrm>
          <a:off x="13420724" y="390524"/>
          <a:ext cx="4429125" cy="48101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b="0" i="0">
              <a:solidFill>
                <a:schemeClr val="dk1"/>
              </a:solidFill>
              <a:effectLst/>
              <a:latin typeface="+mn-lt"/>
              <a:ea typeface="+mn-ea"/>
              <a:cs typeface="+mn-cs"/>
            </a:rPr>
            <a:t>Actieve ontvochtiging in een kas kan worden bereikt door het gebruik van apparaten zoals ontvochtigers, ventilatoren en klimaatregelsystemen. Het doel van actieve ontvochtiging is om de luchtvochtigheid in de kas te verlagen tot een niveau dat gunstig is voor de groei van de gewassen.</a:t>
          </a:r>
        </a:p>
        <a:p>
          <a:br>
            <a:rPr lang="nl-NL" sz="1100" b="0" i="0">
              <a:solidFill>
                <a:schemeClr val="dk1"/>
              </a:solidFill>
              <a:effectLst/>
              <a:latin typeface="+mn-lt"/>
              <a:ea typeface="+mn-ea"/>
              <a:cs typeface="+mn-cs"/>
            </a:rPr>
          </a:br>
          <a:r>
            <a:rPr lang="nl-NL" sz="1100" b="0" i="0">
              <a:solidFill>
                <a:schemeClr val="dk1"/>
              </a:solidFill>
              <a:effectLst/>
              <a:latin typeface="+mn-lt"/>
              <a:ea typeface="+mn-ea"/>
              <a:cs typeface="+mn-cs"/>
            </a:rPr>
            <a:t>Ontvochtigers zijn apparaten die vocht uit de lucht halen door het door een koelsysteem te laten circuleren. Hierbij wordt de vochtige lucht afgekoeld tot onder het dauwpunt, waardoor het vocht in de lucht condenseert en kan worden opgevangen. De drogere lucht wordt vervolgens weer in de kas geblazen.</a:t>
          </a:r>
          <a:br>
            <a:rPr lang="nl-NL" sz="1100" b="0" i="0">
              <a:solidFill>
                <a:schemeClr val="dk1"/>
              </a:solidFill>
              <a:effectLst/>
              <a:latin typeface="+mn-lt"/>
              <a:ea typeface="+mn-ea"/>
              <a:cs typeface="+mn-cs"/>
            </a:rPr>
          </a:br>
          <a:endParaRPr lang="nl-NL" sz="1100" b="0" i="0">
            <a:solidFill>
              <a:schemeClr val="dk1"/>
            </a:solidFill>
            <a:effectLst/>
            <a:latin typeface="+mn-lt"/>
            <a:ea typeface="+mn-ea"/>
            <a:cs typeface="+mn-cs"/>
          </a:endParaRPr>
        </a:p>
        <a:p>
          <a:r>
            <a:rPr lang="nl-NL" sz="1100" b="0" i="0">
              <a:solidFill>
                <a:schemeClr val="dk1"/>
              </a:solidFill>
              <a:effectLst/>
              <a:latin typeface="+mn-lt"/>
              <a:ea typeface="+mn-ea"/>
              <a:cs typeface="+mn-cs"/>
            </a:rPr>
            <a:t>Ventilatoren worden gebruikt om de lucht in de kas te laten circuleren, waardoor de vochtige lucht wordt verplaatst en de drogere lucht beter wordt verdeeld. Dit kan helpen om de luchtvochtigheid te verlagen en vochtige plekken te verminderen.</a:t>
          </a:r>
          <a:br>
            <a:rPr lang="nl-NL" sz="1100" b="0" i="0">
              <a:solidFill>
                <a:schemeClr val="dk1"/>
              </a:solidFill>
              <a:effectLst/>
              <a:latin typeface="+mn-lt"/>
              <a:ea typeface="+mn-ea"/>
              <a:cs typeface="+mn-cs"/>
            </a:rPr>
          </a:br>
          <a:endParaRPr lang="nl-NL" sz="1100" b="0" i="0">
            <a:solidFill>
              <a:schemeClr val="dk1"/>
            </a:solidFill>
            <a:effectLst/>
            <a:latin typeface="+mn-lt"/>
            <a:ea typeface="+mn-ea"/>
            <a:cs typeface="+mn-cs"/>
          </a:endParaRPr>
        </a:p>
        <a:p>
          <a:r>
            <a:rPr lang="nl-NL" sz="1100" b="0" i="0">
              <a:solidFill>
                <a:schemeClr val="dk1"/>
              </a:solidFill>
              <a:effectLst/>
              <a:latin typeface="+mn-lt"/>
              <a:ea typeface="+mn-ea"/>
              <a:cs typeface="+mn-cs"/>
            </a:rPr>
            <a:t>Klimaatregelsystemen, zoals klimaatcomputers, kunnen ook worden gebruikt om de luchtvochtigheid in de kas te reguleren. Deze systemen meten de luchtvochtigheid en regelen automatisch de ontvochtigers en ventilatoren om de gewenste luchtvochtigheid te behouden.</a:t>
          </a:r>
          <a:br>
            <a:rPr lang="nl-NL" sz="1100" b="0" i="0">
              <a:solidFill>
                <a:schemeClr val="dk1"/>
              </a:solidFill>
              <a:effectLst/>
              <a:latin typeface="+mn-lt"/>
              <a:ea typeface="+mn-ea"/>
              <a:cs typeface="+mn-cs"/>
            </a:rPr>
          </a:br>
          <a:endParaRPr lang="nl-NL" sz="1100" b="0" i="0">
            <a:solidFill>
              <a:schemeClr val="dk1"/>
            </a:solidFill>
            <a:effectLst/>
            <a:latin typeface="+mn-lt"/>
            <a:ea typeface="+mn-ea"/>
            <a:cs typeface="+mn-cs"/>
          </a:endParaRPr>
        </a:p>
        <a:p>
          <a:r>
            <a:rPr lang="nl-NL" sz="1100" b="0" i="0">
              <a:solidFill>
                <a:schemeClr val="dk1"/>
              </a:solidFill>
              <a:effectLst/>
              <a:latin typeface="+mn-lt"/>
              <a:ea typeface="+mn-ea"/>
              <a:cs typeface="+mn-cs"/>
            </a:rPr>
            <a:t>Het is belangrijk om de luchtvochtigheid in de kas te reguleren, omdat te hoge luchtvochtigheid kan leiden tot problemen zoals schimmels en ziektes bij de gewassen. Actieve ontvochtiging kan daarom helpen om de kwaliteit en opbrengst van de gewassen te verbeteren en het energieverbruik van de kas te verminderen.</a:t>
          </a:r>
        </a:p>
        <a:p>
          <a:endParaRPr lang="nl-NL" sz="1100"/>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11</xdr:col>
      <xdr:colOff>28574</xdr:colOff>
      <xdr:row>2</xdr:row>
      <xdr:rowOff>9524</xdr:rowOff>
    </xdr:from>
    <xdr:to>
      <xdr:col>18</xdr:col>
      <xdr:colOff>190499</xdr:colOff>
      <xdr:row>27</xdr:row>
      <xdr:rowOff>57149</xdr:rowOff>
    </xdr:to>
    <xdr:sp macro="" textlink="">
      <xdr:nvSpPr>
        <xdr:cNvPr id="2" name="Tekstvak 1">
          <a:extLst>
            <a:ext uri="{FF2B5EF4-FFF2-40B4-BE49-F238E27FC236}">
              <a16:creationId xmlns:a16="http://schemas.microsoft.com/office/drawing/2014/main" id="{B22D98F1-AEB1-4AD3-985A-631E5B4CCB7E}"/>
            </a:ext>
          </a:extLst>
        </xdr:cNvPr>
        <xdr:cNvSpPr txBox="1"/>
      </xdr:nvSpPr>
      <xdr:spPr>
        <a:xfrm>
          <a:off x="13420724" y="390524"/>
          <a:ext cx="4429125" cy="48101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b="0" i="0">
              <a:solidFill>
                <a:schemeClr val="dk1"/>
              </a:solidFill>
              <a:effectLst/>
              <a:latin typeface="+mn-lt"/>
              <a:ea typeface="+mn-ea"/>
              <a:cs typeface="+mn-cs"/>
            </a:rPr>
            <a:t>Actieve ontvochtiging in een kas kan worden bereikt door het gebruik van apparaten zoals ontvochtigers, ventilatoren en klimaatregelsystemen. Het doel van actieve ontvochtiging is om de luchtvochtigheid in de kas te verlagen tot een niveau dat gunstig is voor de groei van de gewassen.</a:t>
          </a:r>
        </a:p>
        <a:p>
          <a:br>
            <a:rPr lang="nl-NL" sz="1100" b="0" i="0">
              <a:solidFill>
                <a:schemeClr val="dk1"/>
              </a:solidFill>
              <a:effectLst/>
              <a:latin typeface="+mn-lt"/>
              <a:ea typeface="+mn-ea"/>
              <a:cs typeface="+mn-cs"/>
            </a:rPr>
          </a:br>
          <a:r>
            <a:rPr lang="nl-NL" sz="1100" b="0" i="0">
              <a:solidFill>
                <a:schemeClr val="dk1"/>
              </a:solidFill>
              <a:effectLst/>
              <a:latin typeface="+mn-lt"/>
              <a:ea typeface="+mn-ea"/>
              <a:cs typeface="+mn-cs"/>
            </a:rPr>
            <a:t>Ontvochtigers zijn apparaten die vocht uit de lucht halen door het door een koelsysteem te laten circuleren. Hierbij wordt de vochtige lucht afgekoeld tot onder het dauwpunt, waardoor het vocht in de lucht condenseert en kan worden opgevangen. De drogere lucht wordt vervolgens weer in de kas geblazen.</a:t>
          </a:r>
          <a:br>
            <a:rPr lang="nl-NL" sz="1100" b="0" i="0">
              <a:solidFill>
                <a:schemeClr val="dk1"/>
              </a:solidFill>
              <a:effectLst/>
              <a:latin typeface="+mn-lt"/>
              <a:ea typeface="+mn-ea"/>
              <a:cs typeface="+mn-cs"/>
            </a:rPr>
          </a:br>
          <a:endParaRPr lang="nl-NL" sz="1100" b="0" i="0">
            <a:solidFill>
              <a:schemeClr val="dk1"/>
            </a:solidFill>
            <a:effectLst/>
            <a:latin typeface="+mn-lt"/>
            <a:ea typeface="+mn-ea"/>
            <a:cs typeface="+mn-cs"/>
          </a:endParaRPr>
        </a:p>
        <a:p>
          <a:r>
            <a:rPr lang="nl-NL" sz="1100" b="0" i="0">
              <a:solidFill>
                <a:schemeClr val="dk1"/>
              </a:solidFill>
              <a:effectLst/>
              <a:latin typeface="+mn-lt"/>
              <a:ea typeface="+mn-ea"/>
              <a:cs typeface="+mn-cs"/>
            </a:rPr>
            <a:t>Ventilatoren worden gebruikt om de lucht in de kas te laten circuleren, waardoor de vochtige lucht wordt verplaatst en de drogere lucht beter wordt verdeeld. Dit kan helpen om de luchtvochtigheid te verlagen en vochtige plekken te verminderen.</a:t>
          </a:r>
          <a:br>
            <a:rPr lang="nl-NL" sz="1100" b="0" i="0">
              <a:solidFill>
                <a:schemeClr val="dk1"/>
              </a:solidFill>
              <a:effectLst/>
              <a:latin typeface="+mn-lt"/>
              <a:ea typeface="+mn-ea"/>
              <a:cs typeface="+mn-cs"/>
            </a:rPr>
          </a:br>
          <a:endParaRPr lang="nl-NL" sz="1100" b="0" i="0">
            <a:solidFill>
              <a:schemeClr val="dk1"/>
            </a:solidFill>
            <a:effectLst/>
            <a:latin typeface="+mn-lt"/>
            <a:ea typeface="+mn-ea"/>
            <a:cs typeface="+mn-cs"/>
          </a:endParaRPr>
        </a:p>
        <a:p>
          <a:r>
            <a:rPr lang="nl-NL" sz="1100" b="0" i="0">
              <a:solidFill>
                <a:schemeClr val="dk1"/>
              </a:solidFill>
              <a:effectLst/>
              <a:latin typeface="+mn-lt"/>
              <a:ea typeface="+mn-ea"/>
              <a:cs typeface="+mn-cs"/>
            </a:rPr>
            <a:t>Klimaatregelsystemen, zoals klimaatcomputers, kunnen ook worden gebruikt om de luchtvochtigheid in de kas te reguleren. Deze systemen meten de luchtvochtigheid en regelen automatisch de ontvochtigers en ventilatoren om de gewenste luchtvochtigheid te behouden.</a:t>
          </a:r>
          <a:br>
            <a:rPr lang="nl-NL" sz="1100" b="0" i="0">
              <a:solidFill>
                <a:schemeClr val="dk1"/>
              </a:solidFill>
              <a:effectLst/>
              <a:latin typeface="+mn-lt"/>
              <a:ea typeface="+mn-ea"/>
              <a:cs typeface="+mn-cs"/>
            </a:rPr>
          </a:br>
          <a:endParaRPr lang="nl-NL" sz="1100" b="0" i="0">
            <a:solidFill>
              <a:schemeClr val="dk1"/>
            </a:solidFill>
            <a:effectLst/>
            <a:latin typeface="+mn-lt"/>
            <a:ea typeface="+mn-ea"/>
            <a:cs typeface="+mn-cs"/>
          </a:endParaRPr>
        </a:p>
        <a:p>
          <a:r>
            <a:rPr lang="nl-NL" sz="1100" b="0" i="0">
              <a:solidFill>
                <a:schemeClr val="dk1"/>
              </a:solidFill>
              <a:effectLst/>
              <a:latin typeface="+mn-lt"/>
              <a:ea typeface="+mn-ea"/>
              <a:cs typeface="+mn-cs"/>
            </a:rPr>
            <a:t>Het is belangrijk om de luchtvochtigheid in de kas te reguleren, omdat te hoge luchtvochtigheid kan leiden tot problemen zoals schimmels en ziektes bij de gewassen. Actieve ontvochtiging kan daarom helpen om de kwaliteit en opbrengst van de gewassen te verbeteren en het energieverbruik van de kas te verminderen.</a:t>
          </a:r>
        </a:p>
        <a:p>
          <a:endParaRPr lang="nl-NL" sz="1100"/>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11</xdr:col>
      <xdr:colOff>0</xdr:colOff>
      <xdr:row>2</xdr:row>
      <xdr:rowOff>0</xdr:rowOff>
    </xdr:from>
    <xdr:to>
      <xdr:col>18</xdr:col>
      <xdr:colOff>161925</xdr:colOff>
      <xdr:row>27</xdr:row>
      <xdr:rowOff>47625</xdr:rowOff>
    </xdr:to>
    <xdr:sp macro="" textlink="">
      <xdr:nvSpPr>
        <xdr:cNvPr id="3" name="Tekstvak 1">
          <a:extLst>
            <a:ext uri="{FF2B5EF4-FFF2-40B4-BE49-F238E27FC236}">
              <a16:creationId xmlns:a16="http://schemas.microsoft.com/office/drawing/2014/main" id="{263B3C93-7E14-4FB0-A918-4E7BCA402D33}"/>
            </a:ext>
          </a:extLst>
        </xdr:cNvPr>
        <xdr:cNvSpPr txBox="1"/>
      </xdr:nvSpPr>
      <xdr:spPr>
        <a:xfrm>
          <a:off x="13392150" y="381000"/>
          <a:ext cx="4429125" cy="48101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b="0" i="0">
              <a:solidFill>
                <a:schemeClr val="dk1"/>
              </a:solidFill>
              <a:effectLst/>
              <a:latin typeface="+mn-lt"/>
              <a:ea typeface="+mn-ea"/>
              <a:cs typeface="+mn-cs"/>
            </a:rPr>
            <a:t>x</a:t>
          </a:r>
          <a:endParaRPr lang="nl-NL" sz="1100"/>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11</xdr:col>
      <xdr:colOff>0</xdr:colOff>
      <xdr:row>2</xdr:row>
      <xdr:rowOff>0</xdr:rowOff>
    </xdr:from>
    <xdr:to>
      <xdr:col>18</xdr:col>
      <xdr:colOff>161925</xdr:colOff>
      <xdr:row>27</xdr:row>
      <xdr:rowOff>47625</xdr:rowOff>
    </xdr:to>
    <xdr:sp macro="" textlink="">
      <xdr:nvSpPr>
        <xdr:cNvPr id="9" name="Tekstvak 1">
          <a:extLst>
            <a:ext uri="{FF2B5EF4-FFF2-40B4-BE49-F238E27FC236}">
              <a16:creationId xmlns:a16="http://schemas.microsoft.com/office/drawing/2014/main" id="{FBB706C0-AD93-4090-8A4F-FB009744C60C}"/>
            </a:ext>
          </a:extLst>
        </xdr:cNvPr>
        <xdr:cNvSpPr txBox="1"/>
      </xdr:nvSpPr>
      <xdr:spPr>
        <a:xfrm>
          <a:off x="13392150" y="381000"/>
          <a:ext cx="4429125" cy="48101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b="0" i="0">
              <a:solidFill>
                <a:schemeClr val="dk1"/>
              </a:solidFill>
              <a:effectLst/>
              <a:latin typeface="+mn-lt"/>
              <a:ea typeface="+mn-ea"/>
              <a:cs typeface="+mn-cs"/>
            </a:rPr>
            <a:t>x</a:t>
          </a:r>
          <a:endParaRPr lang="nl-NL"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11</xdr:col>
      <xdr:colOff>0</xdr:colOff>
      <xdr:row>2</xdr:row>
      <xdr:rowOff>0</xdr:rowOff>
    </xdr:from>
    <xdr:to>
      <xdr:col>18</xdr:col>
      <xdr:colOff>161925</xdr:colOff>
      <xdr:row>27</xdr:row>
      <xdr:rowOff>47625</xdr:rowOff>
    </xdr:to>
    <xdr:sp macro="" textlink="">
      <xdr:nvSpPr>
        <xdr:cNvPr id="2" name="Tekstvak 1">
          <a:extLst>
            <a:ext uri="{FF2B5EF4-FFF2-40B4-BE49-F238E27FC236}">
              <a16:creationId xmlns:a16="http://schemas.microsoft.com/office/drawing/2014/main" id="{72535E63-C1D8-4DED-AEB8-E684E8B4EF57}"/>
            </a:ext>
          </a:extLst>
        </xdr:cNvPr>
        <xdr:cNvSpPr txBox="1"/>
      </xdr:nvSpPr>
      <xdr:spPr>
        <a:xfrm>
          <a:off x="13392150" y="381000"/>
          <a:ext cx="4429125" cy="48101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b="0" i="0">
              <a:solidFill>
                <a:schemeClr val="dk1"/>
              </a:solidFill>
              <a:effectLst/>
              <a:latin typeface="+mn-lt"/>
              <a:ea typeface="+mn-ea"/>
              <a:cs typeface="+mn-cs"/>
            </a:rPr>
            <a:t>Het nut van isolerende beplating op de gevels in een tuinbouwkas in plaats van glazen gevels is</a:t>
          </a:r>
          <a:r>
            <a:rPr lang="nl-NL" sz="1100" b="0" i="0" baseline="0">
              <a:solidFill>
                <a:schemeClr val="dk1"/>
              </a:solidFill>
              <a:effectLst/>
              <a:latin typeface="+mn-lt"/>
              <a:ea typeface="+mn-ea"/>
              <a:cs typeface="+mn-cs"/>
            </a:rPr>
            <a:t> hoofdzakelijk e</a:t>
          </a:r>
          <a:r>
            <a:rPr lang="nl-NL" sz="1100" b="0" i="0">
              <a:solidFill>
                <a:schemeClr val="dk1"/>
              </a:solidFill>
              <a:effectLst/>
              <a:latin typeface="+mn-lt"/>
              <a:ea typeface="+mn-ea"/>
              <a:cs typeface="+mn-cs"/>
            </a:rPr>
            <a:t>nergiebesparing.</a:t>
          </a:r>
          <a:r>
            <a:rPr lang="nl-NL" sz="1100" b="0" i="0" baseline="0">
              <a:solidFill>
                <a:schemeClr val="dk1"/>
              </a:solidFill>
              <a:effectLst/>
              <a:latin typeface="+mn-lt"/>
              <a:ea typeface="+mn-ea"/>
              <a:cs typeface="+mn-cs"/>
            </a:rPr>
            <a:t> D</a:t>
          </a:r>
          <a:r>
            <a:rPr lang="nl-NL" sz="1100" b="0" i="0">
              <a:solidFill>
                <a:schemeClr val="dk1"/>
              </a:solidFill>
              <a:effectLst/>
              <a:latin typeface="+mn-lt"/>
              <a:ea typeface="+mn-ea"/>
              <a:cs typeface="+mn-cs"/>
            </a:rPr>
            <a:t>e isolerende beplating heeft een hogere isolatiewaarde dan glazen gevels, waardoor er minder warmte verloren gaat en er minder energie nodig is om de kas te verwarmen.</a:t>
          </a:r>
          <a:endParaRPr lang="nl-NL" sz="1100"/>
        </a:p>
      </xdr:txBody>
    </xdr:sp>
    <xdr:clientData/>
  </xdr:twoCellAnchor>
</xdr:wsDr>
</file>

<file path=xl/drawings/drawing20.xml><?xml version="1.0" encoding="utf-8"?>
<xdr:wsDr xmlns:xdr="http://schemas.openxmlformats.org/drawingml/2006/spreadsheetDrawing" xmlns:a="http://schemas.openxmlformats.org/drawingml/2006/main">
  <xdr:twoCellAnchor>
    <xdr:from>
      <xdr:col>11</xdr:col>
      <xdr:colOff>0</xdr:colOff>
      <xdr:row>2</xdr:row>
      <xdr:rowOff>0</xdr:rowOff>
    </xdr:from>
    <xdr:to>
      <xdr:col>18</xdr:col>
      <xdr:colOff>161925</xdr:colOff>
      <xdr:row>27</xdr:row>
      <xdr:rowOff>47625</xdr:rowOff>
    </xdr:to>
    <xdr:sp macro="" textlink="">
      <xdr:nvSpPr>
        <xdr:cNvPr id="2" name="Tekstvak 1">
          <a:extLst>
            <a:ext uri="{FF2B5EF4-FFF2-40B4-BE49-F238E27FC236}">
              <a16:creationId xmlns:a16="http://schemas.microsoft.com/office/drawing/2014/main" id="{07305792-5DB6-4EFD-8712-A2BB51F37D26}"/>
            </a:ext>
          </a:extLst>
        </xdr:cNvPr>
        <xdr:cNvSpPr txBox="1"/>
      </xdr:nvSpPr>
      <xdr:spPr>
        <a:xfrm>
          <a:off x="13392150" y="381000"/>
          <a:ext cx="4429125" cy="48101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b="0" i="0">
              <a:solidFill>
                <a:schemeClr val="dk1"/>
              </a:solidFill>
              <a:effectLst/>
              <a:latin typeface="+mn-lt"/>
              <a:ea typeface="+mn-ea"/>
              <a:cs typeface="+mn-cs"/>
            </a:rPr>
            <a:t>Een rookgaskoeler is een apparaat dat wordt gebruikt in een industriële gasketel om de temperatuur van de uitlaatgassen te verlagen voordat deze door de schoorsteen worden afgevoerd. Het doel van het koelen van de rookgassen is om de efficiëntie van de ketel te verbeteren door de warmte die anders verloren zou gaan met de rookgassen terug te winnen.</a:t>
          </a:r>
        </a:p>
        <a:p>
          <a:endParaRPr lang="nl-NL" sz="1100" b="0" i="0">
            <a:solidFill>
              <a:schemeClr val="dk1"/>
            </a:solidFill>
            <a:effectLst/>
            <a:latin typeface="+mn-lt"/>
            <a:ea typeface="+mn-ea"/>
            <a:cs typeface="+mn-cs"/>
          </a:endParaRPr>
        </a:p>
        <a:p>
          <a:r>
            <a:rPr lang="nl-NL" sz="1100" b="0" i="0">
              <a:solidFill>
                <a:schemeClr val="dk1"/>
              </a:solidFill>
              <a:effectLst/>
              <a:latin typeface="+mn-lt"/>
              <a:ea typeface="+mn-ea"/>
              <a:cs typeface="+mn-cs"/>
            </a:rPr>
            <a:t>Het toevoegen van een tweede rookgaskoeler kan de efficiëntie van de ketel nog verder verbeteren door de temperatuur van de rookgassen nog verder te verlagen. Dit kan ook helpen om de uitstoot van schadelijke stoffen te verminderen, zoals stikstofoxiden en zwaveloxiden, die kunnen bijdragen aan luchtvervuiling en klimaatverandering.</a:t>
          </a:r>
        </a:p>
        <a:p>
          <a:endParaRPr lang="nl-NL" sz="1100" b="0" i="0">
            <a:solidFill>
              <a:schemeClr val="dk1"/>
            </a:solidFill>
            <a:effectLst/>
            <a:latin typeface="+mn-lt"/>
            <a:ea typeface="+mn-ea"/>
            <a:cs typeface="+mn-cs"/>
          </a:endParaRPr>
        </a:p>
        <a:p>
          <a:r>
            <a:rPr lang="nl-NL" sz="1100" b="0" i="0">
              <a:solidFill>
                <a:schemeClr val="dk1"/>
              </a:solidFill>
              <a:effectLst/>
              <a:latin typeface="+mn-lt"/>
              <a:ea typeface="+mn-ea"/>
              <a:cs typeface="+mn-cs"/>
            </a:rPr>
            <a:t>Bovendien kan het gebruik van een tweede rookgaskoeler de levensduur van de apparatuur verlengen door de belasting op de primaire rookgaskoeler te verminderen, waardoor de kans op storingen en slijtage afneemt. Dit kan leiden tot lagere onderhoudskosten en een hogere betrouwbaarheid van de ketel op lange termijn.</a:t>
          </a:r>
          <a:endParaRPr lang="nl-NL" sz="1100"/>
        </a:p>
      </xdr:txBody>
    </xdr:sp>
    <xdr:clientData/>
  </xdr:twoCellAnchor>
</xdr:wsDr>
</file>

<file path=xl/drawings/drawing21.xml><?xml version="1.0" encoding="utf-8"?>
<xdr:wsDr xmlns:xdr="http://schemas.openxmlformats.org/drawingml/2006/spreadsheetDrawing" xmlns:a="http://schemas.openxmlformats.org/drawingml/2006/main">
  <xdr:twoCellAnchor editAs="oneCell">
    <xdr:from>
      <xdr:col>4</xdr:col>
      <xdr:colOff>666751</xdr:colOff>
      <xdr:row>46</xdr:row>
      <xdr:rowOff>180216</xdr:rowOff>
    </xdr:from>
    <xdr:to>
      <xdr:col>4</xdr:col>
      <xdr:colOff>4591585</xdr:colOff>
      <xdr:row>54</xdr:row>
      <xdr:rowOff>161925</xdr:rowOff>
    </xdr:to>
    <xdr:pic>
      <xdr:nvPicPr>
        <xdr:cNvPr id="4" name="Afbeelding 3">
          <a:extLst>
            <a:ext uri="{FF2B5EF4-FFF2-40B4-BE49-F238E27FC236}">
              <a16:creationId xmlns:a16="http://schemas.microsoft.com/office/drawing/2014/main" id="{391169D7-E222-BB92-06A3-E7E56E7F1671}"/>
            </a:ext>
          </a:extLst>
        </xdr:cNvPr>
        <xdr:cNvPicPr>
          <a:picLocks noChangeAspect="1"/>
        </xdr:cNvPicPr>
      </xdr:nvPicPr>
      <xdr:blipFill>
        <a:blip xmlns:r="http://schemas.openxmlformats.org/officeDocument/2006/relationships" r:embed="rId1"/>
        <a:stretch>
          <a:fillRect/>
        </a:stretch>
      </xdr:blipFill>
      <xdr:spPr>
        <a:xfrm>
          <a:off x="4800601" y="8943216"/>
          <a:ext cx="3924834" cy="1505709"/>
        </a:xfrm>
        <a:prstGeom prst="rect">
          <a:avLst/>
        </a:prstGeom>
      </xdr:spPr>
    </xdr:pic>
    <xdr:clientData/>
  </xdr:twoCellAnchor>
  <xdr:twoCellAnchor editAs="oneCell">
    <xdr:from>
      <xdr:col>4</xdr:col>
      <xdr:colOff>584188</xdr:colOff>
      <xdr:row>54</xdr:row>
      <xdr:rowOff>95250</xdr:rowOff>
    </xdr:from>
    <xdr:to>
      <xdr:col>4</xdr:col>
      <xdr:colOff>4588371</xdr:colOff>
      <xdr:row>60</xdr:row>
      <xdr:rowOff>9885</xdr:rowOff>
    </xdr:to>
    <xdr:pic>
      <xdr:nvPicPr>
        <xdr:cNvPr id="7" name="Afbeelding 6">
          <a:extLst>
            <a:ext uri="{FF2B5EF4-FFF2-40B4-BE49-F238E27FC236}">
              <a16:creationId xmlns:a16="http://schemas.microsoft.com/office/drawing/2014/main" id="{9FF85FA1-4E36-C977-66D2-8D4A120FB60D}"/>
            </a:ext>
          </a:extLst>
        </xdr:cNvPr>
        <xdr:cNvPicPr>
          <a:picLocks noChangeAspect="1"/>
        </xdr:cNvPicPr>
      </xdr:nvPicPr>
      <xdr:blipFill>
        <a:blip xmlns:r="http://schemas.openxmlformats.org/officeDocument/2006/relationships" r:embed="rId2"/>
        <a:stretch>
          <a:fillRect/>
        </a:stretch>
      </xdr:blipFill>
      <xdr:spPr>
        <a:xfrm>
          <a:off x="4718038" y="10382250"/>
          <a:ext cx="4004183" cy="1057635"/>
        </a:xfrm>
        <a:prstGeom prst="rect">
          <a:avLst/>
        </a:prstGeom>
      </xdr:spPr>
    </xdr:pic>
    <xdr:clientData/>
  </xdr:twoCellAnchor>
  <xdr:twoCellAnchor>
    <xdr:from>
      <xdr:col>11</xdr:col>
      <xdr:colOff>0</xdr:colOff>
      <xdr:row>2</xdr:row>
      <xdr:rowOff>0</xdr:rowOff>
    </xdr:from>
    <xdr:to>
      <xdr:col>18</xdr:col>
      <xdr:colOff>161925</xdr:colOff>
      <xdr:row>27</xdr:row>
      <xdr:rowOff>47625</xdr:rowOff>
    </xdr:to>
    <xdr:sp macro="" textlink="">
      <xdr:nvSpPr>
        <xdr:cNvPr id="8" name="Tekstvak 7">
          <a:extLst>
            <a:ext uri="{FF2B5EF4-FFF2-40B4-BE49-F238E27FC236}">
              <a16:creationId xmlns:a16="http://schemas.microsoft.com/office/drawing/2014/main" id="{D7F87DAF-7B2D-460C-9B77-184A18E10EBB}"/>
            </a:ext>
          </a:extLst>
        </xdr:cNvPr>
        <xdr:cNvSpPr txBox="1"/>
      </xdr:nvSpPr>
      <xdr:spPr>
        <a:xfrm>
          <a:off x="13392150" y="381000"/>
          <a:ext cx="4429125" cy="48101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b="0" i="0">
              <a:solidFill>
                <a:schemeClr val="dk1"/>
              </a:solidFill>
              <a:effectLst/>
              <a:latin typeface="+mn-lt"/>
              <a:ea typeface="+mn-ea"/>
              <a:cs typeface="+mn-cs"/>
            </a:rPr>
            <a:t>Een frequentieregelaar op een pomp kan verschillende voordelen bieden, waaronder:</a:t>
          </a:r>
        </a:p>
        <a:p>
          <a:endParaRPr lang="nl-NL" sz="1100" b="0" i="0">
            <a:solidFill>
              <a:schemeClr val="dk1"/>
            </a:solidFill>
            <a:effectLst/>
            <a:latin typeface="+mn-lt"/>
            <a:ea typeface="+mn-ea"/>
            <a:cs typeface="+mn-cs"/>
          </a:endParaRPr>
        </a:p>
        <a:p>
          <a:r>
            <a:rPr lang="nl-NL" sz="1100" b="0" i="0">
              <a:solidFill>
                <a:schemeClr val="dk1"/>
              </a:solidFill>
              <a:effectLst/>
              <a:latin typeface="+mn-lt"/>
              <a:ea typeface="+mn-ea"/>
              <a:cs typeface="+mn-cs"/>
            </a:rPr>
            <a:t>1. Energiebesparing: Een frequentieregelaar kan de snelheid van de pomp aanpassen aan de vraag, waardoor de pomp niet op volle capaciteit hoeft te draaien wanneer dit niet nodig is. Dit kan leiden tot aanzienlijke energiebesparingen en lagere energiekosten.</a:t>
          </a:r>
        </a:p>
        <a:p>
          <a:endParaRPr lang="nl-NL" sz="1100" b="0" i="0">
            <a:solidFill>
              <a:schemeClr val="dk1"/>
            </a:solidFill>
            <a:effectLst/>
            <a:latin typeface="+mn-lt"/>
            <a:ea typeface="+mn-ea"/>
            <a:cs typeface="+mn-cs"/>
          </a:endParaRPr>
        </a:p>
        <a:p>
          <a:r>
            <a:rPr lang="nl-NL" sz="1100" b="0" i="0">
              <a:solidFill>
                <a:schemeClr val="dk1"/>
              </a:solidFill>
              <a:effectLst/>
              <a:latin typeface="+mn-lt"/>
              <a:ea typeface="+mn-ea"/>
              <a:cs typeface="+mn-cs"/>
            </a:rPr>
            <a:t>2. Langere levensduur: Door de snelheid van de pomp aan te passen aan de vraag, kan een frequentieregelaar de slijtage van de pomp verminderen en de levensduur van de pomp verlengen.</a:t>
          </a:r>
        </a:p>
        <a:p>
          <a:endParaRPr lang="nl-NL" sz="1100" b="0" i="0">
            <a:solidFill>
              <a:schemeClr val="dk1"/>
            </a:solidFill>
            <a:effectLst/>
            <a:latin typeface="+mn-lt"/>
            <a:ea typeface="+mn-ea"/>
            <a:cs typeface="+mn-cs"/>
          </a:endParaRPr>
        </a:p>
        <a:p>
          <a:r>
            <a:rPr lang="nl-NL" sz="1100" b="0" i="0">
              <a:solidFill>
                <a:schemeClr val="dk1"/>
              </a:solidFill>
              <a:effectLst/>
              <a:latin typeface="+mn-lt"/>
              <a:ea typeface="+mn-ea"/>
              <a:cs typeface="+mn-cs"/>
            </a:rPr>
            <a:t>3. Betere controle: Met een frequentieregelaar kan de gebruiker de snelheid van de pomp nauwkeurig regelen, waardoor de pomp beter kan worden afgestemd op de specifieke toepassing. Dit kan leiden tot betere prestaties en een hogere efficiëntie.</a:t>
          </a:r>
        </a:p>
        <a:p>
          <a:endParaRPr lang="nl-NL" sz="1100" b="0" i="0">
            <a:solidFill>
              <a:schemeClr val="dk1"/>
            </a:solidFill>
            <a:effectLst/>
            <a:latin typeface="+mn-lt"/>
            <a:ea typeface="+mn-ea"/>
            <a:cs typeface="+mn-cs"/>
          </a:endParaRPr>
        </a:p>
        <a:p>
          <a:r>
            <a:rPr lang="nl-NL" sz="1100" b="0" i="0">
              <a:solidFill>
                <a:schemeClr val="dk1"/>
              </a:solidFill>
              <a:effectLst/>
              <a:latin typeface="+mn-lt"/>
              <a:ea typeface="+mn-ea"/>
              <a:cs typeface="+mn-cs"/>
            </a:rPr>
            <a:t>4. Geluidsreductie: Een frequentieregelaar kan de snelheid van de pomp verminderen, waardoor het geluidsniveau van de pomp wordt verminderd. Dit kan vooral gunstig zijn in toepassingen waarbij een stille werking belangrijk is.</a:t>
          </a:r>
          <a:endParaRPr lang="nl-NL"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11</xdr:col>
      <xdr:colOff>0</xdr:colOff>
      <xdr:row>2</xdr:row>
      <xdr:rowOff>0</xdr:rowOff>
    </xdr:from>
    <xdr:to>
      <xdr:col>18</xdr:col>
      <xdr:colOff>161925</xdr:colOff>
      <xdr:row>27</xdr:row>
      <xdr:rowOff>47625</xdr:rowOff>
    </xdr:to>
    <xdr:sp macro="" textlink="">
      <xdr:nvSpPr>
        <xdr:cNvPr id="3" name="Tekstvak 2">
          <a:extLst>
            <a:ext uri="{FF2B5EF4-FFF2-40B4-BE49-F238E27FC236}">
              <a16:creationId xmlns:a16="http://schemas.microsoft.com/office/drawing/2014/main" id="{F487CECA-0477-4AFC-935A-1599DF394187}"/>
            </a:ext>
          </a:extLst>
        </xdr:cNvPr>
        <xdr:cNvSpPr txBox="1"/>
      </xdr:nvSpPr>
      <xdr:spPr>
        <a:xfrm>
          <a:off x="13392150" y="381000"/>
          <a:ext cx="4429125" cy="48101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b="0" i="0">
              <a:solidFill>
                <a:schemeClr val="dk1"/>
              </a:solidFill>
              <a:effectLst/>
              <a:latin typeface="+mn-lt"/>
              <a:ea typeface="+mn-ea"/>
              <a:cs typeface="+mn-cs"/>
            </a:rPr>
            <a:t>Het nut van isolerende beplating op de gevels in een tuinbouwkas in plaats van glazen gevels is</a:t>
          </a:r>
          <a:r>
            <a:rPr lang="nl-NL" sz="1100" b="0" i="0" baseline="0">
              <a:solidFill>
                <a:schemeClr val="dk1"/>
              </a:solidFill>
              <a:effectLst/>
              <a:latin typeface="+mn-lt"/>
              <a:ea typeface="+mn-ea"/>
              <a:cs typeface="+mn-cs"/>
            </a:rPr>
            <a:t> hoofdzakelijk e</a:t>
          </a:r>
          <a:r>
            <a:rPr lang="nl-NL" sz="1100" b="0" i="0">
              <a:solidFill>
                <a:schemeClr val="dk1"/>
              </a:solidFill>
              <a:effectLst/>
              <a:latin typeface="+mn-lt"/>
              <a:ea typeface="+mn-ea"/>
              <a:cs typeface="+mn-cs"/>
            </a:rPr>
            <a:t>nergiebesparing.</a:t>
          </a:r>
          <a:r>
            <a:rPr lang="nl-NL" sz="1100" b="0" i="0" baseline="0">
              <a:solidFill>
                <a:schemeClr val="dk1"/>
              </a:solidFill>
              <a:effectLst/>
              <a:latin typeface="+mn-lt"/>
              <a:ea typeface="+mn-ea"/>
              <a:cs typeface="+mn-cs"/>
            </a:rPr>
            <a:t> D</a:t>
          </a:r>
          <a:r>
            <a:rPr lang="nl-NL" sz="1100" b="0" i="0">
              <a:solidFill>
                <a:schemeClr val="dk1"/>
              </a:solidFill>
              <a:effectLst/>
              <a:latin typeface="+mn-lt"/>
              <a:ea typeface="+mn-ea"/>
              <a:cs typeface="+mn-cs"/>
            </a:rPr>
            <a:t>e isolerende beplating heeft een hogere isolatiewaarde dan glazen gevels, waardoor er minder warmte verloren gaat en er minder energie nodig is om de kas te verwarmen.</a:t>
          </a:r>
          <a:endParaRPr lang="nl-NL"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11</xdr:col>
      <xdr:colOff>0</xdr:colOff>
      <xdr:row>2</xdr:row>
      <xdr:rowOff>0</xdr:rowOff>
    </xdr:from>
    <xdr:to>
      <xdr:col>18</xdr:col>
      <xdr:colOff>161925</xdr:colOff>
      <xdr:row>27</xdr:row>
      <xdr:rowOff>47625</xdr:rowOff>
    </xdr:to>
    <xdr:sp macro="" textlink="">
      <xdr:nvSpPr>
        <xdr:cNvPr id="2" name="Tekstvak 1">
          <a:extLst>
            <a:ext uri="{FF2B5EF4-FFF2-40B4-BE49-F238E27FC236}">
              <a16:creationId xmlns:a16="http://schemas.microsoft.com/office/drawing/2014/main" id="{26543873-5CE7-4AEA-A557-B375C0FEA7AC}"/>
            </a:ext>
          </a:extLst>
        </xdr:cNvPr>
        <xdr:cNvSpPr txBox="1"/>
      </xdr:nvSpPr>
      <xdr:spPr>
        <a:xfrm>
          <a:off x="13392150" y="381000"/>
          <a:ext cx="4429125" cy="48101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b="0" i="0">
              <a:solidFill>
                <a:schemeClr val="dk1"/>
              </a:solidFill>
              <a:effectLst/>
              <a:latin typeface="+mn-lt"/>
              <a:ea typeface="+mn-ea"/>
              <a:cs typeface="+mn-cs"/>
            </a:rPr>
            <a:t>Het nut van isolerende beplating op de gevels in een tuinbouwkas in plaats van glazen gevels is</a:t>
          </a:r>
          <a:r>
            <a:rPr lang="nl-NL" sz="1100" b="0" i="0" baseline="0">
              <a:solidFill>
                <a:schemeClr val="dk1"/>
              </a:solidFill>
              <a:effectLst/>
              <a:latin typeface="+mn-lt"/>
              <a:ea typeface="+mn-ea"/>
              <a:cs typeface="+mn-cs"/>
            </a:rPr>
            <a:t> hoofdzakelijk e</a:t>
          </a:r>
          <a:r>
            <a:rPr lang="nl-NL" sz="1100" b="0" i="0">
              <a:solidFill>
                <a:schemeClr val="dk1"/>
              </a:solidFill>
              <a:effectLst/>
              <a:latin typeface="+mn-lt"/>
              <a:ea typeface="+mn-ea"/>
              <a:cs typeface="+mn-cs"/>
            </a:rPr>
            <a:t>nergiebesparing.</a:t>
          </a:r>
          <a:r>
            <a:rPr lang="nl-NL" sz="1100" b="0" i="0" baseline="0">
              <a:solidFill>
                <a:schemeClr val="dk1"/>
              </a:solidFill>
              <a:effectLst/>
              <a:latin typeface="+mn-lt"/>
              <a:ea typeface="+mn-ea"/>
              <a:cs typeface="+mn-cs"/>
            </a:rPr>
            <a:t> D</a:t>
          </a:r>
          <a:r>
            <a:rPr lang="nl-NL" sz="1100" b="0" i="0">
              <a:solidFill>
                <a:schemeClr val="dk1"/>
              </a:solidFill>
              <a:effectLst/>
              <a:latin typeface="+mn-lt"/>
              <a:ea typeface="+mn-ea"/>
              <a:cs typeface="+mn-cs"/>
            </a:rPr>
            <a:t>e isolerende beplating heeft een hogere isolatiewaarde dan glazen gevels, waardoor er minder warmte verloren gaat en er minder energie nodig is om de kas te verwarmen.</a:t>
          </a:r>
          <a:endParaRPr lang="nl-NL">
            <a:effectLst/>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11</xdr:col>
      <xdr:colOff>0</xdr:colOff>
      <xdr:row>2</xdr:row>
      <xdr:rowOff>0</xdr:rowOff>
    </xdr:from>
    <xdr:to>
      <xdr:col>18</xdr:col>
      <xdr:colOff>161925</xdr:colOff>
      <xdr:row>27</xdr:row>
      <xdr:rowOff>47625</xdr:rowOff>
    </xdr:to>
    <xdr:sp macro="" textlink="">
      <xdr:nvSpPr>
        <xdr:cNvPr id="2" name="Tekstvak 1">
          <a:extLst>
            <a:ext uri="{FF2B5EF4-FFF2-40B4-BE49-F238E27FC236}">
              <a16:creationId xmlns:a16="http://schemas.microsoft.com/office/drawing/2014/main" id="{CFE33389-DB9F-4834-A8A0-04C1D19D889A}"/>
            </a:ext>
          </a:extLst>
        </xdr:cNvPr>
        <xdr:cNvSpPr txBox="1"/>
      </xdr:nvSpPr>
      <xdr:spPr>
        <a:xfrm>
          <a:off x="13392150" y="381000"/>
          <a:ext cx="4429125" cy="48101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b="0" i="0">
              <a:solidFill>
                <a:schemeClr val="dk1"/>
              </a:solidFill>
              <a:effectLst/>
              <a:latin typeface="+mn-lt"/>
              <a:ea typeface="+mn-ea"/>
              <a:cs typeface="+mn-cs"/>
            </a:rPr>
            <a:t>Het nut van isolerende beplating op de gevels in een tuinbouwkas in plaats van glazen gevels is</a:t>
          </a:r>
          <a:r>
            <a:rPr lang="nl-NL" sz="1100" b="0" i="0" baseline="0">
              <a:solidFill>
                <a:schemeClr val="dk1"/>
              </a:solidFill>
              <a:effectLst/>
              <a:latin typeface="+mn-lt"/>
              <a:ea typeface="+mn-ea"/>
              <a:cs typeface="+mn-cs"/>
            </a:rPr>
            <a:t> hoofdzakelijk e</a:t>
          </a:r>
          <a:r>
            <a:rPr lang="nl-NL" sz="1100" b="0" i="0">
              <a:solidFill>
                <a:schemeClr val="dk1"/>
              </a:solidFill>
              <a:effectLst/>
              <a:latin typeface="+mn-lt"/>
              <a:ea typeface="+mn-ea"/>
              <a:cs typeface="+mn-cs"/>
            </a:rPr>
            <a:t>nergiebesparing.</a:t>
          </a:r>
          <a:r>
            <a:rPr lang="nl-NL" sz="1100" b="0" i="0" baseline="0">
              <a:solidFill>
                <a:schemeClr val="dk1"/>
              </a:solidFill>
              <a:effectLst/>
              <a:latin typeface="+mn-lt"/>
              <a:ea typeface="+mn-ea"/>
              <a:cs typeface="+mn-cs"/>
            </a:rPr>
            <a:t> D</a:t>
          </a:r>
          <a:r>
            <a:rPr lang="nl-NL" sz="1100" b="0" i="0">
              <a:solidFill>
                <a:schemeClr val="dk1"/>
              </a:solidFill>
              <a:effectLst/>
              <a:latin typeface="+mn-lt"/>
              <a:ea typeface="+mn-ea"/>
              <a:cs typeface="+mn-cs"/>
            </a:rPr>
            <a:t>e isolerende beplating heeft een hogere isolatiewaarde dan glazen gevels, waardoor er minder warmte verloren gaat en er minder energie nodig is om de kas te verwarmen.</a:t>
          </a:r>
          <a:endParaRPr lang="nl-NL">
            <a:effectLst/>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11</xdr:col>
      <xdr:colOff>0</xdr:colOff>
      <xdr:row>2</xdr:row>
      <xdr:rowOff>0</xdr:rowOff>
    </xdr:from>
    <xdr:to>
      <xdr:col>18</xdr:col>
      <xdr:colOff>161925</xdr:colOff>
      <xdr:row>27</xdr:row>
      <xdr:rowOff>47625</xdr:rowOff>
    </xdr:to>
    <xdr:sp macro="" textlink="">
      <xdr:nvSpPr>
        <xdr:cNvPr id="2" name="Tekstvak 1">
          <a:extLst>
            <a:ext uri="{FF2B5EF4-FFF2-40B4-BE49-F238E27FC236}">
              <a16:creationId xmlns:a16="http://schemas.microsoft.com/office/drawing/2014/main" id="{B8C554EE-67AC-4E0B-9DFB-FEC8E4C21E4D}"/>
            </a:ext>
          </a:extLst>
        </xdr:cNvPr>
        <xdr:cNvSpPr txBox="1"/>
      </xdr:nvSpPr>
      <xdr:spPr>
        <a:xfrm>
          <a:off x="13392150" y="381000"/>
          <a:ext cx="4429125" cy="48101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b="0" i="0">
              <a:solidFill>
                <a:schemeClr val="dk1"/>
              </a:solidFill>
              <a:effectLst/>
              <a:latin typeface="+mn-lt"/>
              <a:ea typeface="+mn-ea"/>
              <a:cs typeface="+mn-cs"/>
            </a:rPr>
            <a:t>Een horizontaal beweegbaar energiedoek in een tuinbouwkas heeft meerdere voordelen. Ten eerste kan het energiedoek worden gebruikt om de temperatuur in de kas te reguleren. Het doek kan worden gesloten om warmte vast te houden en te voorkomen dat deze ontsnapt, waardoor de temperatuur in de kas wordt verhoogd. Aan de andere kant kan het doek ook worden geopend om overtollige warmte af te voeren en zo de temperatuur te verlagen.</a:t>
          </a:r>
        </a:p>
        <a:p>
          <a:endParaRPr lang="nl-NL" sz="1100" b="0" i="0">
            <a:solidFill>
              <a:schemeClr val="dk1"/>
            </a:solidFill>
            <a:effectLst/>
            <a:latin typeface="+mn-lt"/>
            <a:ea typeface="+mn-ea"/>
            <a:cs typeface="+mn-cs"/>
          </a:endParaRPr>
        </a:p>
        <a:p>
          <a:r>
            <a:rPr lang="nl-NL" sz="1100" b="0" i="0">
              <a:solidFill>
                <a:schemeClr val="dk1"/>
              </a:solidFill>
              <a:effectLst/>
              <a:latin typeface="+mn-lt"/>
              <a:ea typeface="+mn-ea"/>
              <a:cs typeface="+mn-cs"/>
            </a:rPr>
            <a:t>Ten tweede kan het energiedoek worden gebruikt om de lichtinval in de kas te regelen. Het doek kan worden gesloten om het licht te verminderen en schaduw te bieden aan de planten. Dit kan vooral nuttig zijn tijdens warme zomermaanden wanneer te veel licht de planten kan beschadigen. Aan de andere kant kan het doek ook worden geopend om meer licht binnen te laten en de groei van de planten te stimuleren.</a:t>
          </a:r>
          <a:endParaRPr lang="nl-NL" sz="1100"/>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11</xdr:col>
      <xdr:colOff>0</xdr:colOff>
      <xdr:row>2</xdr:row>
      <xdr:rowOff>0</xdr:rowOff>
    </xdr:from>
    <xdr:to>
      <xdr:col>18</xdr:col>
      <xdr:colOff>161925</xdr:colOff>
      <xdr:row>27</xdr:row>
      <xdr:rowOff>47625</xdr:rowOff>
    </xdr:to>
    <xdr:sp macro="" textlink="">
      <xdr:nvSpPr>
        <xdr:cNvPr id="7" name="Tekstvak 1">
          <a:extLst>
            <a:ext uri="{FF2B5EF4-FFF2-40B4-BE49-F238E27FC236}">
              <a16:creationId xmlns:a16="http://schemas.microsoft.com/office/drawing/2014/main" id="{78BD11D0-3D0E-4C4A-956C-FDEA9DC3D848}"/>
            </a:ext>
          </a:extLst>
        </xdr:cNvPr>
        <xdr:cNvSpPr txBox="1"/>
      </xdr:nvSpPr>
      <xdr:spPr>
        <a:xfrm>
          <a:off x="13392150" y="381000"/>
          <a:ext cx="4429125" cy="48101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indent="0"/>
          <a:r>
            <a:rPr lang="en-US" sz="1100">
              <a:solidFill>
                <a:schemeClr val="dk1"/>
              </a:solidFill>
              <a:latin typeface="+mn-lt"/>
              <a:ea typeface="+mn-lt"/>
              <a:cs typeface="+mn-lt"/>
            </a:rPr>
            <a:t>Een EC motor is een elektronisch gecommuteerde motor die gebruik maakt van elektronica om de snelheid en het vermogen te regelen. Hierdoor kan de motor efficiënter werken dan een IE2 of IE3 motor, die werken op basis van een vast toerental.</a:t>
          </a:r>
        </a:p>
        <a:p>
          <a:pPr marL="0" indent="0"/>
          <a:endParaRPr lang="en-US" sz="1100">
            <a:solidFill>
              <a:schemeClr val="dk1"/>
            </a:solidFill>
            <a:latin typeface="+mn-lt"/>
            <a:ea typeface="+mn-lt"/>
            <a:cs typeface="+mn-lt"/>
          </a:endParaRPr>
        </a:p>
        <a:p>
          <a:pPr marL="0" indent="0"/>
          <a:r>
            <a:rPr lang="en-US" sz="1100">
              <a:solidFill>
                <a:schemeClr val="dk1"/>
              </a:solidFill>
              <a:latin typeface="+mn-lt"/>
              <a:ea typeface="+mn-lt"/>
              <a:cs typeface="+mn-lt"/>
            </a:rPr>
            <a:t>De toegevoegde waarde van een EC motor is dat deze veel energiezuiniger is dan een IE2 of IE3 motor. Dit komt doordat de motor alleen de benodigde energie gebruikt, in plaats van constant op vol vermogen te draaien. Hierdoor kan er tot wel 20% energie bespaard worden ten opzichte van een IE2 of IE3 motor.</a:t>
          </a:r>
        </a:p>
        <a:p>
          <a:pPr marL="0" indent="0"/>
          <a:endParaRPr lang="en-US" sz="1100">
            <a:solidFill>
              <a:schemeClr val="dk1"/>
            </a:solidFill>
            <a:latin typeface="+mn-lt"/>
            <a:ea typeface="+mn-lt"/>
            <a:cs typeface="+mn-lt"/>
          </a:endParaRPr>
        </a:p>
        <a:p>
          <a:pPr marL="0" indent="0"/>
          <a:r>
            <a:rPr lang="en-US" sz="1100">
              <a:solidFill>
                <a:schemeClr val="dk1"/>
              </a:solidFill>
              <a:latin typeface="+mn-lt"/>
              <a:ea typeface="+mn-lt"/>
              <a:cs typeface="+mn-lt"/>
            </a:rPr>
            <a:t>Daarnaast heeft een EC motor nog andere voordelen, zoals een hoger rendement, minder slijtage en minder geluidsoverlast. Dit maakt de EC motor een duurzame en milieuvriendelijke keuze voor veel toepassingen.</a:t>
          </a:r>
        </a:p>
      </xdr:txBody>
    </xdr:sp>
    <xdr:clientData/>
  </xdr:twoCellAnchor>
  <xdr:twoCellAnchor editAs="oneCell">
    <xdr:from>
      <xdr:col>0</xdr:col>
      <xdr:colOff>381487</xdr:colOff>
      <xdr:row>60</xdr:row>
      <xdr:rowOff>133983</xdr:rowOff>
    </xdr:from>
    <xdr:to>
      <xdr:col>4</xdr:col>
      <xdr:colOff>1963416</xdr:colOff>
      <xdr:row>88</xdr:row>
      <xdr:rowOff>143</xdr:rowOff>
    </xdr:to>
    <xdr:pic>
      <xdr:nvPicPr>
        <xdr:cNvPr id="3" name="Afbeelding 2">
          <a:extLst>
            <a:ext uri="{FF2B5EF4-FFF2-40B4-BE49-F238E27FC236}">
              <a16:creationId xmlns:a16="http://schemas.microsoft.com/office/drawing/2014/main" id="{96BB7A50-B00D-4FBB-B803-C932CB45C536}"/>
            </a:ext>
          </a:extLst>
        </xdr:cNvPr>
        <xdr:cNvPicPr>
          <a:picLocks noChangeAspect="1"/>
        </xdr:cNvPicPr>
      </xdr:nvPicPr>
      <xdr:blipFill>
        <a:blip xmlns:r="http://schemas.openxmlformats.org/officeDocument/2006/relationships" r:embed="rId1"/>
        <a:stretch>
          <a:fillRect/>
        </a:stretch>
      </xdr:blipFill>
      <xdr:spPr>
        <a:xfrm>
          <a:off x="381487" y="11563983"/>
          <a:ext cx="5715779" cy="5200160"/>
        </a:xfrm>
        <a:prstGeom prst="rect">
          <a:avLst/>
        </a:prstGeom>
      </xdr:spPr>
    </xdr:pic>
    <xdr:clientData/>
  </xdr:twoCellAnchor>
  <xdr:twoCellAnchor editAs="oneCell">
    <xdr:from>
      <xdr:col>4</xdr:col>
      <xdr:colOff>2084295</xdr:colOff>
      <xdr:row>60</xdr:row>
      <xdr:rowOff>112058</xdr:rowOff>
    </xdr:from>
    <xdr:to>
      <xdr:col>10</xdr:col>
      <xdr:colOff>173340</xdr:colOff>
      <xdr:row>89</xdr:row>
      <xdr:rowOff>27092</xdr:rowOff>
    </xdr:to>
    <xdr:pic>
      <xdr:nvPicPr>
        <xdr:cNvPr id="4" name="Afbeelding 3">
          <a:extLst>
            <a:ext uri="{FF2B5EF4-FFF2-40B4-BE49-F238E27FC236}">
              <a16:creationId xmlns:a16="http://schemas.microsoft.com/office/drawing/2014/main" id="{E622C915-6CCE-463D-917B-FCA9FAB53899}"/>
            </a:ext>
          </a:extLst>
        </xdr:cNvPr>
        <xdr:cNvPicPr>
          <a:picLocks noChangeAspect="1"/>
        </xdr:cNvPicPr>
      </xdr:nvPicPr>
      <xdr:blipFill>
        <a:blip xmlns:r="http://schemas.openxmlformats.org/officeDocument/2006/relationships" r:embed="rId2"/>
        <a:stretch>
          <a:fillRect/>
        </a:stretch>
      </xdr:blipFill>
      <xdr:spPr>
        <a:xfrm>
          <a:off x="6218145" y="11542058"/>
          <a:ext cx="6737745" cy="5439534"/>
        </a:xfrm>
        <a:prstGeom prst="rect">
          <a:avLst/>
        </a:prstGeom>
      </xdr:spPr>
    </xdr:pic>
    <xdr:clientData/>
  </xdr:twoCellAnchor>
  <xdr:twoCellAnchor editAs="oneCell">
    <xdr:from>
      <xdr:col>11</xdr:col>
      <xdr:colOff>0</xdr:colOff>
      <xdr:row>61</xdr:row>
      <xdr:rowOff>0</xdr:rowOff>
    </xdr:from>
    <xdr:to>
      <xdr:col>22</xdr:col>
      <xdr:colOff>420094</xdr:colOff>
      <xdr:row>94</xdr:row>
      <xdr:rowOff>19930</xdr:rowOff>
    </xdr:to>
    <xdr:pic>
      <xdr:nvPicPr>
        <xdr:cNvPr id="5" name="Afbeelding 4">
          <a:extLst>
            <a:ext uri="{FF2B5EF4-FFF2-40B4-BE49-F238E27FC236}">
              <a16:creationId xmlns:a16="http://schemas.microsoft.com/office/drawing/2014/main" id="{613BB721-0307-1FFF-2024-8C2CDE285555}"/>
            </a:ext>
          </a:extLst>
        </xdr:cNvPr>
        <xdr:cNvPicPr>
          <a:picLocks noChangeAspect="1"/>
        </xdr:cNvPicPr>
      </xdr:nvPicPr>
      <xdr:blipFill>
        <a:blip xmlns:r="http://schemas.openxmlformats.org/officeDocument/2006/relationships" r:embed="rId3"/>
        <a:stretch>
          <a:fillRect/>
        </a:stretch>
      </xdr:blipFill>
      <xdr:spPr>
        <a:xfrm>
          <a:off x="13392150" y="11620500"/>
          <a:ext cx="7125694" cy="630643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xdr:from>
      <xdr:col>11</xdr:col>
      <xdr:colOff>0</xdr:colOff>
      <xdr:row>2</xdr:row>
      <xdr:rowOff>0</xdr:rowOff>
    </xdr:from>
    <xdr:to>
      <xdr:col>18</xdr:col>
      <xdr:colOff>161925</xdr:colOff>
      <xdr:row>27</xdr:row>
      <xdr:rowOff>47625</xdr:rowOff>
    </xdr:to>
    <xdr:sp macro="" textlink="">
      <xdr:nvSpPr>
        <xdr:cNvPr id="2" name="Tekstvak 1">
          <a:extLst>
            <a:ext uri="{FF2B5EF4-FFF2-40B4-BE49-F238E27FC236}">
              <a16:creationId xmlns:a16="http://schemas.microsoft.com/office/drawing/2014/main" id="{4CD92E4B-CEDE-45B5-B047-0D928CDFFB48}"/>
            </a:ext>
          </a:extLst>
        </xdr:cNvPr>
        <xdr:cNvSpPr txBox="1"/>
      </xdr:nvSpPr>
      <xdr:spPr>
        <a:xfrm>
          <a:off x="13392150" y="381000"/>
          <a:ext cx="4429125" cy="48101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b="0" i="0">
              <a:solidFill>
                <a:schemeClr val="dk1"/>
              </a:solidFill>
              <a:effectLst/>
              <a:latin typeface="+mn-lt"/>
              <a:ea typeface="+mn-ea"/>
              <a:cs typeface="+mn-cs"/>
            </a:rPr>
            <a:t>Een IE4 elektromotor is over het algemeen ongeveer 20% efficiënter dan een IE2 elektromotor en ongeveer 10% efficiënter dan een IE3 elektromotor. Dit betekent dat een IE4 elektromotor minder energie verbruikt voor dezelfde prestaties, wat kan leiden tot lagere energiekosten en een verminderde CO2-uitstoot. Bovendien hebben IE4 elektromotoren vaak een langere levensduur en vereisen ze minder onderhoud dan oudere modellen. Het gebruik van efficiënte elektromotoren kan dus niet alleen gunstig zijn voor het milieu, maar ook voor de portemonnee van de gebruiker.</a:t>
          </a:r>
          <a:endParaRPr lang="nl-NL" sz="1100"/>
        </a:p>
      </xdr:txBody>
    </xdr:sp>
    <xdr:clientData/>
  </xdr:twoCellAnchor>
  <xdr:twoCellAnchor editAs="oneCell">
    <xdr:from>
      <xdr:col>0</xdr:col>
      <xdr:colOff>381487</xdr:colOff>
      <xdr:row>60</xdr:row>
      <xdr:rowOff>133983</xdr:rowOff>
    </xdr:from>
    <xdr:to>
      <xdr:col>4</xdr:col>
      <xdr:colOff>1963416</xdr:colOff>
      <xdr:row>88</xdr:row>
      <xdr:rowOff>143</xdr:rowOff>
    </xdr:to>
    <xdr:pic>
      <xdr:nvPicPr>
        <xdr:cNvPr id="4" name="Afbeelding 3">
          <a:extLst>
            <a:ext uri="{FF2B5EF4-FFF2-40B4-BE49-F238E27FC236}">
              <a16:creationId xmlns:a16="http://schemas.microsoft.com/office/drawing/2014/main" id="{1B25C329-02C7-6A42-848B-95E20A855EB7}"/>
            </a:ext>
          </a:extLst>
        </xdr:cNvPr>
        <xdr:cNvPicPr>
          <a:picLocks noChangeAspect="1"/>
        </xdr:cNvPicPr>
      </xdr:nvPicPr>
      <xdr:blipFill>
        <a:blip xmlns:r="http://schemas.openxmlformats.org/officeDocument/2006/relationships" r:embed="rId1"/>
        <a:stretch>
          <a:fillRect/>
        </a:stretch>
      </xdr:blipFill>
      <xdr:spPr>
        <a:xfrm>
          <a:off x="381487" y="11563983"/>
          <a:ext cx="5705694" cy="5200160"/>
        </a:xfrm>
        <a:prstGeom prst="rect">
          <a:avLst/>
        </a:prstGeom>
      </xdr:spPr>
    </xdr:pic>
    <xdr:clientData/>
  </xdr:twoCellAnchor>
  <xdr:twoCellAnchor editAs="oneCell">
    <xdr:from>
      <xdr:col>4</xdr:col>
      <xdr:colOff>2084295</xdr:colOff>
      <xdr:row>60</xdr:row>
      <xdr:rowOff>112058</xdr:rowOff>
    </xdr:from>
    <xdr:to>
      <xdr:col>10</xdr:col>
      <xdr:colOff>173340</xdr:colOff>
      <xdr:row>89</xdr:row>
      <xdr:rowOff>27092</xdr:rowOff>
    </xdr:to>
    <xdr:pic>
      <xdr:nvPicPr>
        <xdr:cNvPr id="5" name="Afbeelding 4">
          <a:extLst>
            <a:ext uri="{FF2B5EF4-FFF2-40B4-BE49-F238E27FC236}">
              <a16:creationId xmlns:a16="http://schemas.microsoft.com/office/drawing/2014/main" id="{33462A37-F1CA-BAF2-5143-F5B153A8FC69}"/>
            </a:ext>
          </a:extLst>
        </xdr:cNvPr>
        <xdr:cNvPicPr>
          <a:picLocks noChangeAspect="1"/>
        </xdr:cNvPicPr>
      </xdr:nvPicPr>
      <xdr:blipFill>
        <a:blip xmlns:r="http://schemas.openxmlformats.org/officeDocument/2006/relationships" r:embed="rId2"/>
        <a:stretch>
          <a:fillRect/>
        </a:stretch>
      </xdr:blipFill>
      <xdr:spPr>
        <a:xfrm>
          <a:off x="6208060" y="11542058"/>
          <a:ext cx="6717574" cy="5439534"/>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xdr:from>
      <xdr:col>11</xdr:col>
      <xdr:colOff>0</xdr:colOff>
      <xdr:row>2</xdr:row>
      <xdr:rowOff>0</xdr:rowOff>
    </xdr:from>
    <xdr:to>
      <xdr:col>18</xdr:col>
      <xdr:colOff>161925</xdr:colOff>
      <xdr:row>27</xdr:row>
      <xdr:rowOff>47625</xdr:rowOff>
    </xdr:to>
    <xdr:sp macro="" textlink="">
      <xdr:nvSpPr>
        <xdr:cNvPr id="2" name="Tekstvak 1">
          <a:extLst>
            <a:ext uri="{FF2B5EF4-FFF2-40B4-BE49-F238E27FC236}">
              <a16:creationId xmlns:a16="http://schemas.microsoft.com/office/drawing/2014/main" id="{42E97CA6-B905-4174-B04C-C11058C34676}"/>
            </a:ext>
          </a:extLst>
        </xdr:cNvPr>
        <xdr:cNvSpPr txBox="1"/>
      </xdr:nvSpPr>
      <xdr:spPr>
        <a:xfrm>
          <a:off x="13392150" y="381000"/>
          <a:ext cx="4429125" cy="48101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b="0" i="0">
              <a:solidFill>
                <a:schemeClr val="dk1"/>
              </a:solidFill>
              <a:effectLst/>
              <a:latin typeface="+mn-lt"/>
              <a:ea typeface="+mn-ea"/>
              <a:cs typeface="+mn-cs"/>
            </a:rPr>
            <a:t>Een IE4 elektromotor is over het algemeen ongeveer 20% efficiënter dan een IE2 elektromotor en ongeveer 10% efficiënter dan een IE3 elektromotor. Dit betekent dat een IE4 elektromotor minder energie verbruikt voor dezelfde prestaties, wat kan leiden tot lagere energiekosten en een verminderde CO2-uitstoot. Bovendien hebben IE4 elektromotoren vaak een langere levensduur en vereisen ze minder onderhoud dan oudere modellen. Het gebruik van efficiënte elektromotoren kan dus niet alleen gunstig zijn voor het milieu, maar ook voor de portemonnee van de gebruiker.</a:t>
          </a:r>
          <a:endParaRPr lang="nl-NL" sz="1100"/>
        </a:p>
      </xdr:txBody>
    </xdr:sp>
    <xdr:clientData/>
  </xdr:twoCellAnchor>
  <xdr:twoCellAnchor editAs="oneCell">
    <xdr:from>
      <xdr:col>0</xdr:col>
      <xdr:colOff>381487</xdr:colOff>
      <xdr:row>60</xdr:row>
      <xdr:rowOff>133983</xdr:rowOff>
    </xdr:from>
    <xdr:to>
      <xdr:col>4</xdr:col>
      <xdr:colOff>1963416</xdr:colOff>
      <xdr:row>88</xdr:row>
      <xdr:rowOff>143</xdr:rowOff>
    </xdr:to>
    <xdr:pic>
      <xdr:nvPicPr>
        <xdr:cNvPr id="3" name="Afbeelding 2">
          <a:extLst>
            <a:ext uri="{FF2B5EF4-FFF2-40B4-BE49-F238E27FC236}">
              <a16:creationId xmlns:a16="http://schemas.microsoft.com/office/drawing/2014/main" id="{3E60BD19-1909-420B-B02B-A406F35C602D}"/>
            </a:ext>
          </a:extLst>
        </xdr:cNvPr>
        <xdr:cNvPicPr>
          <a:picLocks noChangeAspect="1"/>
        </xdr:cNvPicPr>
      </xdr:nvPicPr>
      <xdr:blipFill>
        <a:blip xmlns:r="http://schemas.openxmlformats.org/officeDocument/2006/relationships" r:embed="rId1"/>
        <a:stretch>
          <a:fillRect/>
        </a:stretch>
      </xdr:blipFill>
      <xdr:spPr>
        <a:xfrm>
          <a:off x="381487" y="11563983"/>
          <a:ext cx="5715779" cy="5200160"/>
        </a:xfrm>
        <a:prstGeom prst="rect">
          <a:avLst/>
        </a:prstGeom>
      </xdr:spPr>
    </xdr:pic>
    <xdr:clientData/>
  </xdr:twoCellAnchor>
  <xdr:twoCellAnchor editAs="oneCell">
    <xdr:from>
      <xdr:col>4</xdr:col>
      <xdr:colOff>2084295</xdr:colOff>
      <xdr:row>60</xdr:row>
      <xdr:rowOff>112058</xdr:rowOff>
    </xdr:from>
    <xdr:to>
      <xdr:col>10</xdr:col>
      <xdr:colOff>173340</xdr:colOff>
      <xdr:row>89</xdr:row>
      <xdr:rowOff>27092</xdr:rowOff>
    </xdr:to>
    <xdr:pic>
      <xdr:nvPicPr>
        <xdr:cNvPr id="4" name="Afbeelding 3">
          <a:extLst>
            <a:ext uri="{FF2B5EF4-FFF2-40B4-BE49-F238E27FC236}">
              <a16:creationId xmlns:a16="http://schemas.microsoft.com/office/drawing/2014/main" id="{D4AA13D8-A80E-4A13-997A-FBD889E25EE4}"/>
            </a:ext>
          </a:extLst>
        </xdr:cNvPr>
        <xdr:cNvPicPr>
          <a:picLocks noChangeAspect="1"/>
        </xdr:cNvPicPr>
      </xdr:nvPicPr>
      <xdr:blipFill>
        <a:blip xmlns:r="http://schemas.openxmlformats.org/officeDocument/2006/relationships" r:embed="rId2"/>
        <a:stretch>
          <a:fillRect/>
        </a:stretch>
      </xdr:blipFill>
      <xdr:spPr>
        <a:xfrm>
          <a:off x="6218145" y="11542058"/>
          <a:ext cx="6737745" cy="5439534"/>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7.bin"/></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8.bin"/></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9.bin"/></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dimension ref="B3:D5"/>
  <sheetViews>
    <sheetView tabSelected="1" workbookViewId="0">
      <selection activeCell="L24" sqref="L24"/>
    </sheetView>
  </sheetViews>
  <sheetFormatPr defaultRowHeight="15" x14ac:dyDescent="0.25"/>
  <cols>
    <col min="2" max="2" width="18.28515625" bestFit="1" customWidth="1"/>
  </cols>
  <sheetData>
    <row r="3" spans="2:4" x14ac:dyDescent="0.25">
      <c r="B3" t="s">
        <v>0</v>
      </c>
      <c r="C3" t="s">
        <v>1</v>
      </c>
      <c r="D3" t="s">
        <v>2</v>
      </c>
    </row>
    <row r="4" spans="2:4" x14ac:dyDescent="0.25">
      <c r="B4" t="s">
        <v>3</v>
      </c>
      <c r="C4" s="1">
        <v>0.19</v>
      </c>
      <c r="D4" t="s">
        <v>4</v>
      </c>
    </row>
    <row r="5" spans="2:4" x14ac:dyDescent="0.25">
      <c r="B5" t="s">
        <v>5</v>
      </c>
      <c r="C5" s="1">
        <v>0.72</v>
      </c>
      <c r="D5" t="s">
        <v>6</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F6C935-CE29-41F4-B864-A15951A942D1}">
  <sheetPr codeName="Blad6">
    <tabColor rgb="FFFF0000"/>
  </sheetPr>
  <dimension ref="B2:J60"/>
  <sheetViews>
    <sheetView zoomScaleNormal="100" workbookViewId="0"/>
  </sheetViews>
  <sheetFormatPr defaultRowHeight="15" x14ac:dyDescent="0.25"/>
  <cols>
    <col min="2" max="2" width="33" customWidth="1"/>
    <col min="3" max="3" width="9.140625" customWidth="1"/>
    <col min="4" max="4" width="10.7109375" customWidth="1"/>
    <col min="5" max="5" width="69.42578125" customWidth="1"/>
    <col min="8" max="8" width="21.85546875" customWidth="1"/>
    <col min="9" max="9" width="11" bestFit="1" customWidth="1"/>
  </cols>
  <sheetData>
    <row r="2" spans="2:10" x14ac:dyDescent="0.25">
      <c r="B2" s="14" t="s">
        <v>50</v>
      </c>
      <c r="C2" s="12"/>
      <c r="D2" s="12"/>
      <c r="E2" s="13"/>
      <c r="H2" s="14" t="s">
        <v>51</v>
      </c>
      <c r="I2" s="15"/>
      <c r="J2" s="16"/>
    </row>
    <row r="3" spans="2:10" x14ac:dyDescent="0.25">
      <c r="B3" s="7" t="s">
        <v>52</v>
      </c>
      <c r="C3" t="s">
        <v>176</v>
      </c>
      <c r="E3" s="8"/>
      <c r="H3" s="23" t="s">
        <v>53</v>
      </c>
      <c r="I3" s="24"/>
      <c r="J3" s="25"/>
    </row>
    <row r="4" spans="2:10" x14ac:dyDescent="0.25">
      <c r="B4" s="7" t="s">
        <v>9</v>
      </c>
      <c r="C4" t="s">
        <v>24</v>
      </c>
      <c r="E4" s="8"/>
      <c r="H4" s="7" t="s">
        <v>54</v>
      </c>
      <c r="I4" s="3" t="e">
        <f>_xlfn.XLOOKUP(C3,'EBM''s'!$C$8:$C$24,'EBM''s'!$E$8:$E$24)</f>
        <v>#N/A</v>
      </c>
      <c r="J4" s="8"/>
    </row>
    <row r="5" spans="2:10" x14ac:dyDescent="0.25">
      <c r="B5" s="7"/>
      <c r="E5" s="8"/>
      <c r="H5" s="7" t="s">
        <v>55</v>
      </c>
      <c r="I5" s="3" t="e">
        <f>_xlfn.XLOOKUP(C3,'EBM''s'!$C$8:$C$24,'EBM''s'!$F$8:$F$24)</f>
        <v>#N/A</v>
      </c>
      <c r="J5" s="8"/>
    </row>
    <row r="6" spans="2:10" x14ac:dyDescent="0.25">
      <c r="B6" s="7"/>
      <c r="E6" s="8"/>
      <c r="H6" s="7"/>
      <c r="J6" s="8"/>
    </row>
    <row r="7" spans="2:10" x14ac:dyDescent="0.25">
      <c r="B7" s="18" t="s">
        <v>56</v>
      </c>
      <c r="C7" s="19"/>
      <c r="D7" s="19"/>
      <c r="E7" s="20"/>
      <c r="H7" s="7"/>
      <c r="J7" s="8"/>
    </row>
    <row r="8" spans="2:10" x14ac:dyDescent="0.25">
      <c r="B8" s="21" t="s">
        <v>147</v>
      </c>
      <c r="C8" s="22">
        <f>100*120</f>
        <v>12000</v>
      </c>
      <c r="D8" s="2" t="s">
        <v>58</v>
      </c>
      <c r="E8" s="8"/>
      <c r="H8" s="23" t="s">
        <v>59</v>
      </c>
      <c r="I8" s="24"/>
      <c r="J8" s="25" t="s">
        <v>2</v>
      </c>
    </row>
    <row r="9" spans="2:10" x14ac:dyDescent="0.25">
      <c r="B9" s="21"/>
      <c r="E9" s="8"/>
      <c r="H9" s="7" t="s">
        <v>61</v>
      </c>
      <c r="I9" s="17">
        <f>C28</f>
        <v>140.79999999999998</v>
      </c>
      <c r="J9" s="8" t="s">
        <v>62</v>
      </c>
    </row>
    <row r="10" spans="2:10" x14ac:dyDescent="0.25">
      <c r="B10" s="7"/>
      <c r="E10" s="8"/>
      <c r="H10" s="7" t="s">
        <v>63</v>
      </c>
      <c r="I10" s="17">
        <v>0</v>
      </c>
      <c r="J10" s="8" t="s">
        <v>64</v>
      </c>
    </row>
    <row r="11" spans="2:10" x14ac:dyDescent="0.25">
      <c r="B11" s="18" t="s">
        <v>65</v>
      </c>
      <c r="C11" s="19"/>
      <c r="D11" s="19"/>
      <c r="E11" s="20"/>
      <c r="H11" s="7"/>
      <c r="J11" s="8"/>
    </row>
    <row r="12" spans="2:10" x14ac:dyDescent="0.25">
      <c r="B12" s="21" t="s">
        <v>161</v>
      </c>
      <c r="C12" s="44">
        <v>0.17599999999999999</v>
      </c>
      <c r="D12" s="2"/>
      <c r="E12" s="8"/>
      <c r="H12" s="7" t="s">
        <v>61</v>
      </c>
      <c r="I12" s="3">
        <f>I9*Energieprijzen!$C$4</f>
        <v>26.751999999999995</v>
      </c>
      <c r="J12" s="8" t="s">
        <v>66</v>
      </c>
    </row>
    <row r="13" spans="2:10" x14ac:dyDescent="0.25">
      <c r="B13" s="21" t="s">
        <v>162</v>
      </c>
      <c r="C13" s="44">
        <v>7.6999999999999999E-2</v>
      </c>
      <c r="E13" s="8"/>
      <c r="H13" s="7" t="s">
        <v>63</v>
      </c>
      <c r="I13" s="3">
        <f>I10*Energieprijzen!$C$5</f>
        <v>0</v>
      </c>
      <c r="J13" s="8" t="s">
        <v>66</v>
      </c>
    </row>
    <row r="14" spans="2:10" x14ac:dyDescent="0.25">
      <c r="B14" s="21" t="s">
        <v>157</v>
      </c>
      <c r="C14" s="2">
        <v>0.25</v>
      </c>
      <c r="D14" s="2" t="s">
        <v>77</v>
      </c>
      <c r="E14" s="8"/>
      <c r="H14" s="7" t="s">
        <v>71</v>
      </c>
      <c r="I14" s="3">
        <f>SUM(I12:I13)</f>
        <v>26.751999999999995</v>
      </c>
      <c r="J14" s="8" t="s">
        <v>66</v>
      </c>
    </row>
    <row r="15" spans="2:10" x14ac:dyDescent="0.25">
      <c r="B15" s="7" t="s">
        <v>158</v>
      </c>
      <c r="E15" s="8"/>
      <c r="H15" s="7"/>
      <c r="J15" s="8"/>
    </row>
    <row r="16" spans="2:10" x14ac:dyDescent="0.25">
      <c r="B16" s="18" t="s">
        <v>72</v>
      </c>
      <c r="C16" s="19"/>
      <c r="D16" s="19"/>
      <c r="E16" s="20"/>
      <c r="H16" s="7"/>
      <c r="J16" s="8"/>
    </row>
    <row r="17" spans="2:10" x14ac:dyDescent="0.25">
      <c r="B17" s="23" t="s">
        <v>73</v>
      </c>
      <c r="C17" s="24"/>
      <c r="D17" s="24" t="s">
        <v>2</v>
      </c>
      <c r="E17" s="25" t="s">
        <v>74</v>
      </c>
      <c r="H17" s="23" t="s">
        <v>75</v>
      </c>
      <c r="I17" s="24"/>
      <c r="J17" s="25" t="s">
        <v>2</v>
      </c>
    </row>
    <row r="18" spans="2:10" x14ac:dyDescent="0.25">
      <c r="B18" s="7" t="s">
        <v>76</v>
      </c>
      <c r="C18">
        <f>C14</f>
        <v>0.25</v>
      </c>
      <c r="D18" t="s">
        <v>77</v>
      </c>
      <c r="E18" s="8"/>
      <c r="H18" s="7" t="s">
        <v>78</v>
      </c>
      <c r="I18" s="1">
        <f>IFERROR(I4/I14,0)</f>
        <v>0</v>
      </c>
      <c r="J18" s="8" t="s">
        <v>79</v>
      </c>
    </row>
    <row r="19" spans="2:10" x14ac:dyDescent="0.25">
      <c r="B19" s="7" t="s">
        <v>80</v>
      </c>
      <c r="C19" s="36">
        <v>0.8</v>
      </c>
      <c r="D19" t="s">
        <v>81</v>
      </c>
      <c r="E19" s="8"/>
      <c r="H19" s="9" t="s">
        <v>82</v>
      </c>
      <c r="I19" s="28">
        <f>IFERROR(I5/I14,0)</f>
        <v>0</v>
      </c>
      <c r="J19" s="11" t="s">
        <v>79</v>
      </c>
    </row>
    <row r="20" spans="2:10" x14ac:dyDescent="0.25">
      <c r="B20" s="7" t="s">
        <v>83</v>
      </c>
      <c r="C20">
        <v>4000</v>
      </c>
      <c r="D20" t="s">
        <v>84</v>
      </c>
      <c r="E20" s="8"/>
    </row>
    <row r="21" spans="2:10" x14ac:dyDescent="0.25">
      <c r="B21" s="7" t="s">
        <v>85</v>
      </c>
      <c r="C21" s="17">
        <f>C18*C19*C20</f>
        <v>800</v>
      </c>
      <c r="D21" t="s">
        <v>62</v>
      </c>
      <c r="E21" s="8"/>
    </row>
    <row r="22" spans="2:10" x14ac:dyDescent="0.25">
      <c r="B22" s="7"/>
      <c r="E22" s="8"/>
    </row>
    <row r="23" spans="2:10" x14ac:dyDescent="0.25">
      <c r="B23" s="7"/>
      <c r="E23" s="8"/>
    </row>
    <row r="24" spans="2:10" x14ac:dyDescent="0.25">
      <c r="B24" s="23" t="s">
        <v>59</v>
      </c>
      <c r="C24" s="24"/>
      <c r="D24" s="24" t="s">
        <v>2</v>
      </c>
      <c r="E24" s="25" t="s">
        <v>74</v>
      </c>
    </row>
    <row r="25" spans="2:10" x14ac:dyDescent="0.25">
      <c r="B25" s="7" t="s">
        <v>76</v>
      </c>
      <c r="D25" t="s">
        <v>77</v>
      </c>
      <c r="E25" s="8"/>
    </row>
    <row r="26" spans="2:10" x14ac:dyDescent="0.25">
      <c r="B26" s="7" t="s">
        <v>80</v>
      </c>
      <c r="D26" t="s">
        <v>81</v>
      </c>
      <c r="E26" s="8"/>
    </row>
    <row r="27" spans="2:10" x14ac:dyDescent="0.25">
      <c r="B27" s="7" t="s">
        <v>83</v>
      </c>
      <c r="D27" t="s">
        <v>84</v>
      </c>
      <c r="E27" s="8"/>
    </row>
    <row r="28" spans="2:10" x14ac:dyDescent="0.25">
      <c r="B28" s="7" t="s">
        <v>85</v>
      </c>
      <c r="C28" s="17">
        <f>C21*C12</f>
        <v>140.79999999999998</v>
      </c>
      <c r="D28" t="s">
        <v>62</v>
      </c>
      <c r="E28" s="8" t="s">
        <v>159</v>
      </c>
    </row>
    <row r="29" spans="2:10" x14ac:dyDescent="0.25">
      <c r="B29" s="7"/>
      <c r="E29" s="8"/>
    </row>
    <row r="30" spans="2:10" x14ac:dyDescent="0.25">
      <c r="B30" s="7"/>
      <c r="E30" s="8"/>
    </row>
    <row r="31" spans="2:10" x14ac:dyDescent="0.25">
      <c r="B31" s="23" t="s">
        <v>90</v>
      </c>
      <c r="C31" s="24"/>
      <c r="D31" s="24" t="s">
        <v>2</v>
      </c>
      <c r="E31" s="25" t="s">
        <v>74</v>
      </c>
    </row>
    <row r="32" spans="2:10" x14ac:dyDescent="0.25">
      <c r="B32" s="7" t="s">
        <v>76</v>
      </c>
      <c r="D32" t="s">
        <v>77</v>
      </c>
      <c r="E32" s="8"/>
    </row>
    <row r="33" spans="2:9" x14ac:dyDescent="0.25">
      <c r="B33" s="7" t="s">
        <v>80</v>
      </c>
      <c r="C33" s="36"/>
      <c r="D33" t="s">
        <v>81</v>
      </c>
      <c r="E33" s="8"/>
    </row>
    <row r="34" spans="2:9" x14ac:dyDescent="0.25">
      <c r="B34" s="7" t="s">
        <v>83</v>
      </c>
      <c r="D34" t="s">
        <v>84</v>
      </c>
      <c r="E34" s="8"/>
    </row>
    <row r="35" spans="2:9" x14ac:dyDescent="0.25">
      <c r="B35" s="9" t="s">
        <v>85</v>
      </c>
      <c r="C35" s="26">
        <f>C21-C28</f>
        <v>659.2</v>
      </c>
      <c r="D35" s="10" t="s">
        <v>62</v>
      </c>
      <c r="E35" s="11"/>
    </row>
    <row r="39" spans="2:9" x14ac:dyDescent="0.25">
      <c r="B39" s="14" t="s">
        <v>95</v>
      </c>
      <c r="C39" s="15"/>
      <c r="D39" s="15"/>
      <c r="E39" s="16"/>
      <c r="H39" t="s">
        <v>133</v>
      </c>
    </row>
    <row r="40" spans="2:9" x14ac:dyDescent="0.25">
      <c r="B40" s="7"/>
      <c r="E40" s="8"/>
      <c r="H40" t="s">
        <v>177</v>
      </c>
      <c r="I40">
        <v>0.25</v>
      </c>
    </row>
    <row r="41" spans="2:9" x14ac:dyDescent="0.25">
      <c r="B41" s="7"/>
      <c r="E41" s="8"/>
      <c r="H41" t="s">
        <v>178</v>
      </c>
      <c r="I41" s="35">
        <v>0.8</v>
      </c>
    </row>
    <row r="42" spans="2:9" x14ac:dyDescent="0.25">
      <c r="B42" s="7" t="s">
        <v>161</v>
      </c>
      <c r="C42" s="36">
        <v>0.06</v>
      </c>
      <c r="E42" s="8"/>
      <c r="H42" t="s">
        <v>179</v>
      </c>
      <c r="I42">
        <v>4000</v>
      </c>
    </row>
    <row r="43" spans="2:9" x14ac:dyDescent="0.25">
      <c r="B43" s="7" t="s">
        <v>162</v>
      </c>
      <c r="C43" s="35">
        <v>0.03</v>
      </c>
      <c r="E43" s="8"/>
      <c r="H43" t="s">
        <v>134</v>
      </c>
      <c r="I43" s="35">
        <v>0.06</v>
      </c>
    </row>
    <row r="44" spans="2:9" x14ac:dyDescent="0.25">
      <c r="B44" s="7"/>
      <c r="C44" s="32"/>
      <c r="E44" s="8"/>
      <c r="I44">
        <f>I40*I41*I42*I43</f>
        <v>48</v>
      </c>
    </row>
    <row r="45" spans="2:9" x14ac:dyDescent="0.25">
      <c r="B45" s="7" t="s">
        <v>163</v>
      </c>
      <c r="C45">
        <v>0.25</v>
      </c>
      <c r="D45" t="s">
        <v>77</v>
      </c>
      <c r="E45" s="8" t="s">
        <v>164</v>
      </c>
    </row>
    <row r="46" spans="2:9" x14ac:dyDescent="0.25">
      <c r="B46" s="7" t="s">
        <v>165</v>
      </c>
      <c r="C46" s="66">
        <v>0.68500000000000005</v>
      </c>
      <c r="D46" t="s">
        <v>81</v>
      </c>
      <c r="E46" s="8"/>
    </row>
    <row r="47" spans="2:9" x14ac:dyDescent="0.25">
      <c r="B47" s="29" t="s">
        <v>166</v>
      </c>
      <c r="C47" s="66">
        <v>0.73499999999999999</v>
      </c>
      <c r="D47" t="s">
        <v>81</v>
      </c>
      <c r="E47" s="8"/>
    </row>
    <row r="48" spans="2:9" x14ac:dyDescent="0.25">
      <c r="B48" s="29" t="s">
        <v>167</v>
      </c>
      <c r="C48" s="66">
        <v>0.77900000000000003</v>
      </c>
      <c r="D48" t="s">
        <v>81</v>
      </c>
      <c r="E48" s="8"/>
    </row>
    <row r="49" spans="2:5" x14ac:dyDescent="0.25">
      <c r="B49" s="7" t="s">
        <v>168</v>
      </c>
      <c r="C49" s="30"/>
      <c r="D49" s="30"/>
      <c r="E49" s="8"/>
    </row>
    <row r="50" spans="2:5" x14ac:dyDescent="0.25">
      <c r="B50" s="7" t="s">
        <v>169</v>
      </c>
      <c r="C50">
        <f>$C$45/C46</f>
        <v>0.36496350364963503</v>
      </c>
      <c r="D50" t="s">
        <v>77</v>
      </c>
      <c r="E50" s="8"/>
    </row>
    <row r="51" spans="2:5" x14ac:dyDescent="0.25">
      <c r="B51" s="7" t="s">
        <v>170</v>
      </c>
      <c r="C51">
        <f t="shared" ref="C51:C52" si="0">$C$45/C47</f>
        <v>0.3401360544217687</v>
      </c>
      <c r="D51" t="s">
        <v>77</v>
      </c>
      <c r="E51" s="8"/>
    </row>
    <row r="52" spans="2:5" x14ac:dyDescent="0.25">
      <c r="B52" s="7" t="s">
        <v>171</v>
      </c>
      <c r="C52">
        <f t="shared" si="0"/>
        <v>0.3209242618741977</v>
      </c>
      <c r="D52" t="s">
        <v>77</v>
      </c>
      <c r="E52" s="8"/>
    </row>
    <row r="53" spans="2:5" x14ac:dyDescent="0.25">
      <c r="B53" s="7"/>
      <c r="E53" s="8"/>
    </row>
    <row r="54" spans="2:5" x14ac:dyDescent="0.25">
      <c r="B54" s="7" t="s">
        <v>172</v>
      </c>
      <c r="E54" s="8"/>
    </row>
    <row r="55" spans="2:5" x14ac:dyDescent="0.25">
      <c r="B55" s="7" t="s">
        <v>173</v>
      </c>
      <c r="C55" s="55">
        <f>(C50-C51)/$C$45</f>
        <v>9.9309796911465353E-2</v>
      </c>
      <c r="D55" t="s">
        <v>81</v>
      </c>
      <c r="E55" s="8"/>
    </row>
    <row r="56" spans="2:5" x14ac:dyDescent="0.25">
      <c r="B56" s="7" t="s">
        <v>174</v>
      </c>
      <c r="C56" s="55">
        <f>(C50-C52)/$C$45</f>
        <v>0.17615696710174933</v>
      </c>
      <c r="D56" t="s">
        <v>81</v>
      </c>
      <c r="E56" s="8"/>
    </row>
    <row r="57" spans="2:5" x14ac:dyDescent="0.25">
      <c r="B57" s="7" t="s">
        <v>175</v>
      </c>
      <c r="C57" s="55">
        <f>(C51-C52)/$C$45</f>
        <v>7.6847170190283975E-2</v>
      </c>
      <c r="D57" t="s">
        <v>81</v>
      </c>
      <c r="E57" s="8"/>
    </row>
    <row r="58" spans="2:5" x14ac:dyDescent="0.25">
      <c r="B58" s="7"/>
      <c r="E58" s="8"/>
    </row>
    <row r="59" spans="2:5" x14ac:dyDescent="0.25">
      <c r="B59" s="7"/>
      <c r="E59" s="8"/>
    </row>
    <row r="60" spans="2:5" x14ac:dyDescent="0.25">
      <c r="B60" s="9"/>
      <c r="C60" s="10"/>
      <c r="D60" s="10"/>
      <c r="E60" s="11"/>
    </row>
  </sheetData>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FE9FA7-BDE1-4509-B1D6-5376EFF958AE}">
  <sheetPr codeName="Blad17">
    <tabColor rgb="FFFF0000"/>
  </sheetPr>
  <dimension ref="B2:J60"/>
  <sheetViews>
    <sheetView zoomScaleNormal="100" workbookViewId="0">
      <selection activeCell="H27" sqref="H27"/>
    </sheetView>
  </sheetViews>
  <sheetFormatPr defaultRowHeight="15" x14ac:dyDescent="0.25"/>
  <cols>
    <col min="2" max="2" width="33" customWidth="1"/>
    <col min="3" max="3" width="9.140625" customWidth="1"/>
    <col min="4" max="4" width="10.7109375" customWidth="1"/>
    <col min="5" max="5" width="69.42578125" customWidth="1"/>
    <col min="8" max="8" width="21.85546875" customWidth="1"/>
    <col min="9" max="9" width="11" bestFit="1" customWidth="1"/>
  </cols>
  <sheetData>
    <row r="2" spans="2:10" x14ac:dyDescent="0.25">
      <c r="B2" s="14" t="s">
        <v>50</v>
      </c>
      <c r="C2" s="12"/>
      <c r="D2" s="12"/>
      <c r="E2" s="13"/>
      <c r="H2" s="14" t="s">
        <v>51</v>
      </c>
      <c r="I2" s="15"/>
      <c r="J2" s="16"/>
    </row>
    <row r="3" spans="2:10" x14ac:dyDescent="0.25">
      <c r="B3" s="7" t="s">
        <v>52</v>
      </c>
      <c r="C3" t="s">
        <v>180</v>
      </c>
      <c r="E3" s="8"/>
      <c r="H3" s="23" t="s">
        <v>53</v>
      </c>
      <c r="I3" s="24"/>
      <c r="J3" s="25"/>
    </row>
    <row r="4" spans="2:10" x14ac:dyDescent="0.25">
      <c r="B4" s="7" t="s">
        <v>9</v>
      </c>
      <c r="C4" t="s">
        <v>24</v>
      </c>
      <c r="E4" s="8"/>
      <c r="H4" s="7" t="s">
        <v>54</v>
      </c>
      <c r="I4" s="3" t="e">
        <f>_xlfn.XLOOKUP(C3,'EBM''s'!$C$8:$C$24,'EBM''s'!$E$8:$E$24)</f>
        <v>#N/A</v>
      </c>
      <c r="J4" s="8"/>
    </row>
    <row r="5" spans="2:10" x14ac:dyDescent="0.25">
      <c r="B5" s="7"/>
      <c r="E5" s="8"/>
      <c r="H5" s="7" t="s">
        <v>55</v>
      </c>
      <c r="I5" s="3" t="e">
        <f>_xlfn.XLOOKUP(C3,'EBM''s'!$C$8:$C$24,'EBM''s'!$F$8:$F$24)</f>
        <v>#N/A</v>
      </c>
      <c r="J5" s="8"/>
    </row>
    <row r="6" spans="2:10" x14ac:dyDescent="0.25">
      <c r="B6" s="7"/>
      <c r="E6" s="8"/>
      <c r="H6" s="7"/>
      <c r="J6" s="8"/>
    </row>
    <row r="7" spans="2:10" x14ac:dyDescent="0.25">
      <c r="B7" s="18" t="s">
        <v>56</v>
      </c>
      <c r="C7" s="19"/>
      <c r="D7" s="19"/>
      <c r="E7" s="20"/>
      <c r="H7" s="7"/>
      <c r="J7" s="8"/>
    </row>
    <row r="8" spans="2:10" x14ac:dyDescent="0.25">
      <c r="B8" s="21" t="s">
        <v>147</v>
      </c>
      <c r="C8" s="22">
        <f>100*120</f>
        <v>12000</v>
      </c>
      <c r="D8" s="2" t="s">
        <v>58</v>
      </c>
      <c r="E8" s="8"/>
      <c r="H8" s="23" t="s">
        <v>59</v>
      </c>
      <c r="I8" s="24"/>
      <c r="J8" s="25" t="s">
        <v>2</v>
      </c>
    </row>
    <row r="9" spans="2:10" x14ac:dyDescent="0.25">
      <c r="B9" s="21"/>
      <c r="E9" s="8"/>
      <c r="H9" s="7" t="s">
        <v>61</v>
      </c>
      <c r="I9" s="17">
        <f>C28</f>
        <v>61.6</v>
      </c>
      <c r="J9" s="8" t="s">
        <v>62</v>
      </c>
    </row>
    <row r="10" spans="2:10" x14ac:dyDescent="0.25">
      <c r="B10" s="7"/>
      <c r="E10" s="8"/>
      <c r="H10" s="7" t="s">
        <v>63</v>
      </c>
      <c r="I10" s="17">
        <v>0</v>
      </c>
      <c r="J10" s="8" t="s">
        <v>64</v>
      </c>
    </row>
    <row r="11" spans="2:10" x14ac:dyDescent="0.25">
      <c r="B11" s="18" t="s">
        <v>65</v>
      </c>
      <c r="C11" s="19"/>
      <c r="D11" s="19"/>
      <c r="E11" s="20"/>
      <c r="H11" s="7"/>
      <c r="J11" s="8"/>
    </row>
    <row r="12" spans="2:10" x14ac:dyDescent="0.25">
      <c r="B12" s="21" t="s">
        <v>161</v>
      </c>
      <c r="C12" s="44">
        <v>0.17599999999999999</v>
      </c>
      <c r="D12" s="2"/>
      <c r="E12" s="8"/>
      <c r="H12" s="7" t="s">
        <v>61</v>
      </c>
      <c r="I12" s="3">
        <f>I9*Energieprijzen!$C$4</f>
        <v>11.704000000000001</v>
      </c>
      <c r="J12" s="8" t="s">
        <v>66</v>
      </c>
    </row>
    <row r="13" spans="2:10" x14ac:dyDescent="0.25">
      <c r="B13" s="21" t="s">
        <v>162</v>
      </c>
      <c r="C13" s="44">
        <v>7.6999999999999999E-2</v>
      </c>
      <c r="E13" s="8"/>
      <c r="H13" s="7" t="s">
        <v>63</v>
      </c>
      <c r="I13" s="3">
        <f>I10*Energieprijzen!$C$5</f>
        <v>0</v>
      </c>
      <c r="J13" s="8" t="s">
        <v>66</v>
      </c>
    </row>
    <row r="14" spans="2:10" x14ac:dyDescent="0.25">
      <c r="B14" s="21" t="s">
        <v>157</v>
      </c>
      <c r="C14" s="2">
        <v>0.25</v>
      </c>
      <c r="D14" s="2" t="s">
        <v>77</v>
      </c>
      <c r="E14" s="8"/>
      <c r="H14" s="7" t="s">
        <v>71</v>
      </c>
      <c r="I14" s="3">
        <f>SUM(I12:I13)</f>
        <v>11.704000000000001</v>
      </c>
      <c r="J14" s="8" t="s">
        <v>66</v>
      </c>
    </row>
    <row r="15" spans="2:10" x14ac:dyDescent="0.25">
      <c r="B15" s="7" t="s">
        <v>158</v>
      </c>
      <c r="E15" s="8"/>
      <c r="H15" s="7"/>
      <c r="J15" s="8"/>
    </row>
    <row r="16" spans="2:10" x14ac:dyDescent="0.25">
      <c r="B16" s="18" t="s">
        <v>72</v>
      </c>
      <c r="C16" s="19"/>
      <c r="D16" s="19"/>
      <c r="E16" s="20"/>
      <c r="H16" s="7"/>
      <c r="J16" s="8"/>
    </row>
    <row r="17" spans="2:10" x14ac:dyDescent="0.25">
      <c r="B17" s="23" t="s">
        <v>73</v>
      </c>
      <c r="C17" s="24"/>
      <c r="D17" s="24" t="s">
        <v>2</v>
      </c>
      <c r="E17" s="25" t="s">
        <v>74</v>
      </c>
      <c r="H17" s="23" t="s">
        <v>75</v>
      </c>
      <c r="I17" s="24"/>
      <c r="J17" s="25" t="s">
        <v>2</v>
      </c>
    </row>
    <row r="18" spans="2:10" x14ac:dyDescent="0.25">
      <c r="B18" s="7" t="s">
        <v>76</v>
      </c>
      <c r="C18">
        <f>C14</f>
        <v>0.25</v>
      </c>
      <c r="D18" t="s">
        <v>77</v>
      </c>
      <c r="E18" s="8"/>
      <c r="H18" s="7" t="s">
        <v>78</v>
      </c>
      <c r="I18" s="1">
        <f>IFERROR(I4/I14,0)</f>
        <v>0</v>
      </c>
      <c r="J18" s="8" t="s">
        <v>79</v>
      </c>
    </row>
    <row r="19" spans="2:10" x14ac:dyDescent="0.25">
      <c r="B19" s="7" t="s">
        <v>80</v>
      </c>
      <c r="C19" s="36">
        <v>0.8</v>
      </c>
      <c r="D19" t="s">
        <v>81</v>
      </c>
      <c r="E19" s="8"/>
      <c r="H19" s="9" t="s">
        <v>82</v>
      </c>
      <c r="I19" s="28">
        <f>IFERROR(I5/I14,0)</f>
        <v>0</v>
      </c>
      <c r="J19" s="11" t="s">
        <v>79</v>
      </c>
    </row>
    <row r="20" spans="2:10" x14ac:dyDescent="0.25">
      <c r="B20" s="7" t="s">
        <v>83</v>
      </c>
      <c r="C20">
        <v>4000</v>
      </c>
      <c r="D20" t="s">
        <v>84</v>
      </c>
      <c r="E20" s="8"/>
    </row>
    <row r="21" spans="2:10" x14ac:dyDescent="0.25">
      <c r="B21" s="7" t="s">
        <v>85</v>
      </c>
      <c r="C21" s="17">
        <f>C18*C19*C20</f>
        <v>800</v>
      </c>
      <c r="D21" t="s">
        <v>62</v>
      </c>
      <c r="E21" s="8"/>
    </row>
    <row r="22" spans="2:10" x14ac:dyDescent="0.25">
      <c r="B22" s="7"/>
      <c r="E22" s="8"/>
    </row>
    <row r="23" spans="2:10" x14ac:dyDescent="0.25">
      <c r="B23" s="7"/>
      <c r="E23" s="8"/>
    </row>
    <row r="24" spans="2:10" x14ac:dyDescent="0.25">
      <c r="B24" s="23" t="s">
        <v>59</v>
      </c>
      <c r="C24" s="24"/>
      <c r="D24" s="24" t="s">
        <v>2</v>
      </c>
      <c r="E24" s="25" t="s">
        <v>74</v>
      </c>
    </row>
    <row r="25" spans="2:10" x14ac:dyDescent="0.25">
      <c r="B25" s="7" t="s">
        <v>76</v>
      </c>
      <c r="D25" t="s">
        <v>77</v>
      </c>
      <c r="E25" s="8"/>
    </row>
    <row r="26" spans="2:10" x14ac:dyDescent="0.25">
      <c r="B26" s="7" t="s">
        <v>80</v>
      </c>
      <c r="D26" t="s">
        <v>81</v>
      </c>
      <c r="E26" s="8"/>
    </row>
    <row r="27" spans="2:10" x14ac:dyDescent="0.25">
      <c r="B27" s="7" t="s">
        <v>83</v>
      </c>
      <c r="D27" t="s">
        <v>84</v>
      </c>
      <c r="E27" s="8"/>
    </row>
    <row r="28" spans="2:10" x14ac:dyDescent="0.25">
      <c r="B28" s="7" t="s">
        <v>85</v>
      </c>
      <c r="C28" s="17">
        <f>C21*C13</f>
        <v>61.6</v>
      </c>
      <c r="D28" t="s">
        <v>62</v>
      </c>
      <c r="E28" s="8" t="s">
        <v>181</v>
      </c>
    </row>
    <row r="29" spans="2:10" x14ac:dyDescent="0.25">
      <c r="B29" s="7"/>
      <c r="E29" s="8"/>
    </row>
    <row r="30" spans="2:10" x14ac:dyDescent="0.25">
      <c r="B30" s="7"/>
      <c r="E30" s="8"/>
      <c r="H30" s="31" t="s">
        <v>182</v>
      </c>
    </row>
    <row r="31" spans="2:10" x14ac:dyDescent="0.25">
      <c r="B31" s="23" t="s">
        <v>90</v>
      </c>
      <c r="C31" s="24"/>
      <c r="D31" s="24" t="s">
        <v>2</v>
      </c>
      <c r="E31" s="25" t="s">
        <v>74</v>
      </c>
    </row>
    <row r="32" spans="2:10" x14ac:dyDescent="0.25">
      <c r="B32" s="7" t="s">
        <v>76</v>
      </c>
      <c r="D32" t="s">
        <v>77</v>
      </c>
      <c r="E32" s="8"/>
    </row>
    <row r="33" spans="2:9" x14ac:dyDescent="0.25">
      <c r="B33" s="7" t="s">
        <v>80</v>
      </c>
      <c r="C33" s="36"/>
      <c r="D33" t="s">
        <v>81</v>
      </c>
      <c r="E33" s="8"/>
    </row>
    <row r="34" spans="2:9" x14ac:dyDescent="0.25">
      <c r="B34" s="7" t="s">
        <v>83</v>
      </c>
      <c r="D34" t="s">
        <v>84</v>
      </c>
      <c r="E34" s="8"/>
    </row>
    <row r="35" spans="2:9" x14ac:dyDescent="0.25">
      <c r="B35" s="9" t="s">
        <v>85</v>
      </c>
      <c r="C35" s="26">
        <f>C21-C28</f>
        <v>738.4</v>
      </c>
      <c r="D35" s="10" t="s">
        <v>62</v>
      </c>
      <c r="E35" s="11"/>
    </row>
    <row r="39" spans="2:9" x14ac:dyDescent="0.25">
      <c r="B39" s="14" t="s">
        <v>95</v>
      </c>
      <c r="C39" s="15"/>
      <c r="D39" s="15"/>
      <c r="E39" s="16"/>
      <c r="H39" t="s">
        <v>133</v>
      </c>
    </row>
    <row r="40" spans="2:9" x14ac:dyDescent="0.25">
      <c r="B40" s="7"/>
      <c r="E40" s="8"/>
      <c r="H40" t="s">
        <v>177</v>
      </c>
      <c r="I40">
        <v>0.25</v>
      </c>
    </row>
    <row r="41" spans="2:9" x14ac:dyDescent="0.25">
      <c r="B41" s="7"/>
      <c r="E41" s="8"/>
      <c r="H41" t="s">
        <v>178</v>
      </c>
      <c r="I41" s="35">
        <v>0.8</v>
      </c>
    </row>
    <row r="42" spans="2:9" x14ac:dyDescent="0.25">
      <c r="B42" s="7" t="s">
        <v>161</v>
      </c>
      <c r="C42" s="36">
        <v>0.06</v>
      </c>
      <c r="E42" s="8"/>
      <c r="H42" t="s">
        <v>179</v>
      </c>
      <c r="I42">
        <v>4000</v>
      </c>
    </row>
    <row r="43" spans="2:9" x14ac:dyDescent="0.25">
      <c r="B43" s="7" t="s">
        <v>162</v>
      </c>
      <c r="C43" s="35">
        <v>0.03</v>
      </c>
      <c r="E43" s="8"/>
      <c r="H43" t="s">
        <v>134</v>
      </c>
      <c r="I43" s="35">
        <v>0.03</v>
      </c>
    </row>
    <row r="44" spans="2:9" x14ac:dyDescent="0.25">
      <c r="B44" s="7"/>
      <c r="C44" s="32"/>
      <c r="E44" s="8"/>
      <c r="I44">
        <f>I40*I41*I42*I43</f>
        <v>24</v>
      </c>
    </row>
    <row r="45" spans="2:9" x14ac:dyDescent="0.25">
      <c r="B45" s="7"/>
      <c r="E45" s="8"/>
    </row>
    <row r="46" spans="2:9" x14ac:dyDescent="0.25">
      <c r="B46" s="7"/>
      <c r="E46" s="8"/>
    </row>
    <row r="47" spans="2:9" x14ac:dyDescent="0.25">
      <c r="B47" s="29"/>
      <c r="C47" s="30"/>
      <c r="D47" s="30"/>
      <c r="E47" s="8"/>
    </row>
    <row r="48" spans="2:9" x14ac:dyDescent="0.25">
      <c r="B48" s="29"/>
      <c r="C48" s="30"/>
      <c r="D48" s="30"/>
      <c r="E48" s="8"/>
    </row>
    <row r="49" spans="2:5" x14ac:dyDescent="0.25">
      <c r="B49" s="29"/>
      <c r="C49" s="30"/>
      <c r="D49" s="30"/>
      <c r="E49" s="8"/>
    </row>
    <row r="50" spans="2:5" x14ac:dyDescent="0.25">
      <c r="B50" s="7"/>
      <c r="E50" s="8"/>
    </row>
    <row r="51" spans="2:5" x14ac:dyDescent="0.25">
      <c r="B51" s="7"/>
      <c r="D51" s="1"/>
      <c r="E51" s="8"/>
    </row>
    <row r="52" spans="2:5" x14ac:dyDescent="0.25">
      <c r="B52" s="7"/>
      <c r="E52" s="8"/>
    </row>
    <row r="53" spans="2:5" x14ac:dyDescent="0.25">
      <c r="B53" s="7"/>
      <c r="E53" s="8"/>
    </row>
    <row r="54" spans="2:5" x14ac:dyDescent="0.25">
      <c r="B54" s="7"/>
      <c r="E54" s="8"/>
    </row>
    <row r="55" spans="2:5" x14ac:dyDescent="0.25">
      <c r="B55" s="7"/>
      <c r="E55" s="8"/>
    </row>
    <row r="56" spans="2:5" x14ac:dyDescent="0.25">
      <c r="B56" s="7"/>
      <c r="E56" s="8"/>
    </row>
    <row r="57" spans="2:5" x14ac:dyDescent="0.25">
      <c r="B57" s="7"/>
      <c r="E57" s="8"/>
    </row>
    <row r="58" spans="2:5" x14ac:dyDescent="0.25">
      <c r="B58" s="7"/>
      <c r="E58" s="8"/>
    </row>
    <row r="59" spans="2:5" x14ac:dyDescent="0.25">
      <c r="B59" s="7"/>
      <c r="E59" s="8"/>
    </row>
    <row r="60" spans="2:5" x14ac:dyDescent="0.25">
      <c r="B60" s="9"/>
      <c r="C60" s="10"/>
      <c r="D60" s="10"/>
      <c r="E60" s="11"/>
    </row>
  </sheetData>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4028DA-A406-4E1C-A8AE-BEFA02D3102C}">
  <sheetPr codeName="Blad7">
    <tabColor theme="7"/>
  </sheetPr>
  <dimension ref="B2:J61"/>
  <sheetViews>
    <sheetView workbookViewId="0">
      <selection activeCell="I27" sqref="I27"/>
    </sheetView>
  </sheetViews>
  <sheetFormatPr defaultRowHeight="15" x14ac:dyDescent="0.25"/>
  <cols>
    <col min="2" max="2" width="33" customWidth="1"/>
    <col min="3" max="3" width="9.140625" customWidth="1"/>
    <col min="4" max="4" width="10.7109375" customWidth="1"/>
    <col min="5" max="5" width="69.42578125" customWidth="1"/>
    <col min="8" max="8" width="21.85546875" customWidth="1"/>
    <col min="9" max="9" width="11" bestFit="1" customWidth="1"/>
  </cols>
  <sheetData>
    <row r="2" spans="2:10" x14ac:dyDescent="0.25">
      <c r="B2" s="14" t="s">
        <v>50</v>
      </c>
      <c r="C2" s="12"/>
      <c r="D2" s="12"/>
      <c r="E2" s="13"/>
      <c r="H2" s="14" t="s">
        <v>51</v>
      </c>
      <c r="I2" s="15"/>
      <c r="J2" s="16"/>
    </row>
    <row r="3" spans="2:10" x14ac:dyDescent="0.25">
      <c r="B3" s="7" t="s">
        <v>52</v>
      </c>
      <c r="C3" t="s">
        <v>26</v>
      </c>
      <c r="E3" s="8"/>
      <c r="H3" s="23" t="s">
        <v>53</v>
      </c>
      <c r="I3" s="24"/>
      <c r="J3" s="25"/>
    </row>
    <row r="4" spans="2:10" x14ac:dyDescent="0.25">
      <c r="B4" s="7" t="s">
        <v>9</v>
      </c>
      <c r="C4" t="str">
        <f>_xlfn.XLOOKUP(C3,'EBM''s'!$C$6:$C$24,'EBM''s'!$D$6:$D$24)</f>
        <v xml:space="preserve">Pas een frequentieregelaar toe op de ventilator </v>
      </c>
      <c r="E4" s="8"/>
      <c r="H4" s="7" t="s">
        <v>54</v>
      </c>
      <c r="I4" s="3">
        <f>_xlfn.XLOOKUP(C3,'EBM''s'!$C$6:$C$24,'EBM''s'!$E$6:$E$24)</f>
        <v>5874</v>
      </c>
      <c r="J4" s="8"/>
    </row>
    <row r="5" spans="2:10" x14ac:dyDescent="0.25">
      <c r="B5" s="7"/>
      <c r="E5" s="8"/>
      <c r="H5" s="7" t="s">
        <v>55</v>
      </c>
      <c r="I5" s="3">
        <f>_xlfn.XLOOKUP(C3,'EBM''s'!$C$6:$C$24,'EBM''s'!$F$6:$F$24)</f>
        <v>4928</v>
      </c>
      <c r="J5" s="8"/>
    </row>
    <row r="6" spans="2:10" x14ac:dyDescent="0.25">
      <c r="B6" s="7"/>
      <c r="E6" s="8"/>
      <c r="H6" s="7"/>
      <c r="J6" s="8"/>
    </row>
    <row r="7" spans="2:10" x14ac:dyDescent="0.25">
      <c r="B7" s="18" t="s">
        <v>56</v>
      </c>
      <c r="C7" s="19"/>
      <c r="D7" s="19"/>
      <c r="E7" s="20"/>
      <c r="H7" s="7"/>
      <c r="J7" s="8"/>
    </row>
    <row r="8" spans="2:10" x14ac:dyDescent="0.25">
      <c r="B8" s="21" t="s">
        <v>157</v>
      </c>
      <c r="C8" s="50">
        <v>0.25</v>
      </c>
      <c r="D8" s="2" t="s">
        <v>77</v>
      </c>
      <c r="E8" s="8"/>
      <c r="H8" s="23" t="s">
        <v>59</v>
      </c>
      <c r="I8" s="24"/>
      <c r="J8" s="25" t="s">
        <v>2</v>
      </c>
    </row>
    <row r="9" spans="2:10" x14ac:dyDescent="0.25">
      <c r="B9" s="21" t="s">
        <v>183</v>
      </c>
      <c r="C9" s="2">
        <v>20</v>
      </c>
      <c r="E9" s="8"/>
      <c r="H9" s="7" t="s">
        <v>61</v>
      </c>
      <c r="I9" s="17">
        <f>C28</f>
        <v>3660</v>
      </c>
      <c r="J9" s="8" t="s">
        <v>62</v>
      </c>
    </row>
    <row r="10" spans="2:10" x14ac:dyDescent="0.25">
      <c r="B10" s="21"/>
      <c r="E10" s="8"/>
      <c r="H10" s="7" t="s">
        <v>63</v>
      </c>
      <c r="I10" s="17">
        <v>0</v>
      </c>
      <c r="J10" s="8" t="s">
        <v>64</v>
      </c>
    </row>
    <row r="11" spans="2:10" x14ac:dyDescent="0.25">
      <c r="B11" s="18" t="s">
        <v>65</v>
      </c>
      <c r="C11" s="19"/>
      <c r="D11" s="19"/>
      <c r="E11" s="20"/>
      <c r="H11" s="7"/>
      <c r="J11" s="8"/>
    </row>
    <row r="12" spans="2:10" x14ac:dyDescent="0.25">
      <c r="B12" s="21" t="s">
        <v>184</v>
      </c>
      <c r="C12" s="42">
        <v>1</v>
      </c>
      <c r="D12" s="2"/>
      <c r="E12" s="8"/>
      <c r="H12" s="7" t="s">
        <v>61</v>
      </c>
      <c r="I12" s="3">
        <f>I9*Energieprijzen!$C$4</f>
        <v>695.4</v>
      </c>
      <c r="J12" s="8" t="s">
        <v>66</v>
      </c>
    </row>
    <row r="13" spans="2:10" x14ac:dyDescent="0.25">
      <c r="B13" s="21" t="s">
        <v>185</v>
      </c>
      <c r="C13" s="42">
        <v>0.8</v>
      </c>
      <c r="E13" s="8"/>
      <c r="H13" s="7" t="s">
        <v>63</v>
      </c>
      <c r="I13" s="3">
        <f>I10*Energieprijzen!$C$5</f>
        <v>0</v>
      </c>
      <c r="J13" s="8" t="s">
        <v>66</v>
      </c>
    </row>
    <row r="14" spans="2:10" x14ac:dyDescent="0.25">
      <c r="B14" s="21" t="s">
        <v>186</v>
      </c>
      <c r="C14" s="2">
        <v>1500</v>
      </c>
      <c r="E14" s="8"/>
      <c r="H14" s="7" t="s">
        <v>71</v>
      </c>
      <c r="I14" s="3">
        <f>SUM(I12:I13)</f>
        <v>695.4</v>
      </c>
      <c r="J14" s="8" t="s">
        <v>66</v>
      </c>
    </row>
    <row r="15" spans="2:10" x14ac:dyDescent="0.25">
      <c r="B15" s="7"/>
      <c r="E15" s="8"/>
      <c r="H15" s="7"/>
      <c r="J15" s="8"/>
    </row>
    <row r="16" spans="2:10" x14ac:dyDescent="0.25">
      <c r="B16" s="18" t="s">
        <v>72</v>
      </c>
      <c r="C16" s="19"/>
      <c r="D16" s="19"/>
      <c r="E16" s="20"/>
      <c r="H16" s="7"/>
      <c r="J16" s="8"/>
    </row>
    <row r="17" spans="2:10" x14ac:dyDescent="0.25">
      <c r="B17" s="23" t="s">
        <v>73</v>
      </c>
      <c r="C17" s="24"/>
      <c r="D17" s="24" t="s">
        <v>2</v>
      </c>
      <c r="E17" s="25" t="s">
        <v>74</v>
      </c>
      <c r="H17" s="23" t="s">
        <v>75</v>
      </c>
      <c r="I17" s="24"/>
      <c r="J17" s="25" t="s">
        <v>2</v>
      </c>
    </row>
    <row r="18" spans="2:10" x14ac:dyDescent="0.25">
      <c r="B18" s="7" t="s">
        <v>76</v>
      </c>
      <c r="C18" s="51">
        <f>C8*C9</f>
        <v>5</v>
      </c>
      <c r="D18" t="s">
        <v>77</v>
      </c>
      <c r="E18" s="8"/>
      <c r="H18" s="7" t="s">
        <v>78</v>
      </c>
      <c r="I18" s="1">
        <f>IFERROR(I4/I14,0)</f>
        <v>8.4469370146678173</v>
      </c>
      <c r="J18" s="8" t="s">
        <v>79</v>
      </c>
    </row>
    <row r="19" spans="2:10" x14ac:dyDescent="0.25">
      <c r="B19" s="7" t="s">
        <v>80</v>
      </c>
      <c r="C19" s="36">
        <f>C12</f>
        <v>1</v>
      </c>
      <c r="D19" t="s">
        <v>187</v>
      </c>
      <c r="E19" s="8"/>
      <c r="H19" s="9" t="s">
        <v>82</v>
      </c>
      <c r="I19" s="28">
        <f>IFERROR(I5/I14,0)</f>
        <v>7.0865688812194421</v>
      </c>
      <c r="J19" s="11" t="s">
        <v>79</v>
      </c>
    </row>
    <row r="20" spans="2:10" x14ac:dyDescent="0.25">
      <c r="B20" s="7" t="s">
        <v>83</v>
      </c>
      <c r="C20">
        <v>4000</v>
      </c>
      <c r="D20" t="s">
        <v>84</v>
      </c>
      <c r="E20" s="8"/>
    </row>
    <row r="21" spans="2:10" x14ac:dyDescent="0.25">
      <c r="B21" s="7" t="s">
        <v>85</v>
      </c>
      <c r="C21" s="17">
        <f>C18*(C19^3)*C20</f>
        <v>20000</v>
      </c>
      <c r="D21" t="s">
        <v>62</v>
      </c>
      <c r="E21" s="8"/>
    </row>
    <row r="22" spans="2:10" x14ac:dyDescent="0.25">
      <c r="B22" s="7"/>
      <c r="E22" s="8"/>
    </row>
    <row r="23" spans="2:10" x14ac:dyDescent="0.25">
      <c r="B23" s="7"/>
      <c r="E23" s="8"/>
    </row>
    <row r="24" spans="2:10" x14ac:dyDescent="0.25">
      <c r="B24" s="23" t="s">
        <v>59</v>
      </c>
      <c r="C24" s="24"/>
      <c r="D24" s="24" t="s">
        <v>2</v>
      </c>
      <c r="E24" s="25" t="s">
        <v>74</v>
      </c>
    </row>
    <row r="25" spans="2:10" x14ac:dyDescent="0.25">
      <c r="B25" s="7" t="s">
        <v>76</v>
      </c>
      <c r="C25" s="51"/>
      <c r="D25" t="s">
        <v>77</v>
      </c>
      <c r="E25" s="8"/>
    </row>
    <row r="26" spans="2:10" x14ac:dyDescent="0.25">
      <c r="B26" s="7" t="s">
        <v>80</v>
      </c>
      <c r="C26" s="36"/>
      <c r="D26" t="s">
        <v>187</v>
      </c>
      <c r="E26" s="8"/>
    </row>
    <row r="27" spans="2:10" x14ac:dyDescent="0.25">
      <c r="B27" s="7" t="s">
        <v>83</v>
      </c>
      <c r="D27" t="s">
        <v>84</v>
      </c>
      <c r="E27" s="8"/>
    </row>
    <row r="28" spans="2:10" x14ac:dyDescent="0.25">
      <c r="B28" s="7" t="s">
        <v>85</v>
      </c>
      <c r="C28" s="17">
        <f>C21-C35</f>
        <v>3660</v>
      </c>
      <c r="D28" t="s">
        <v>62</v>
      </c>
      <c r="E28" s="8"/>
    </row>
    <row r="29" spans="2:10" x14ac:dyDescent="0.25">
      <c r="B29" s="7"/>
      <c r="E29" s="8"/>
    </row>
    <row r="30" spans="2:10" x14ac:dyDescent="0.25">
      <c r="B30" s="7"/>
      <c r="E30" s="8"/>
    </row>
    <row r="31" spans="2:10" x14ac:dyDescent="0.25">
      <c r="B31" s="23" t="s">
        <v>90</v>
      </c>
      <c r="C31" s="24"/>
      <c r="D31" s="24" t="s">
        <v>2</v>
      </c>
      <c r="E31" s="25" t="s">
        <v>74</v>
      </c>
    </row>
    <row r="32" spans="2:10" x14ac:dyDescent="0.25">
      <c r="B32" s="7" t="s">
        <v>76</v>
      </c>
      <c r="C32" s="51">
        <f>C18</f>
        <v>5</v>
      </c>
      <c r="D32" t="s">
        <v>77</v>
      </c>
    </row>
    <row r="33" spans="2:5" x14ac:dyDescent="0.25">
      <c r="B33" s="7" t="s">
        <v>80</v>
      </c>
      <c r="C33" s="37"/>
      <c r="D33" t="s">
        <v>187</v>
      </c>
      <c r="E33" s="8"/>
    </row>
    <row r="34" spans="2:5" x14ac:dyDescent="0.25">
      <c r="B34" s="7" t="s">
        <v>83</v>
      </c>
      <c r="D34" t="s">
        <v>84</v>
      </c>
      <c r="E34" s="8"/>
    </row>
    <row r="35" spans="2:5" x14ac:dyDescent="0.25">
      <c r="B35" s="9" t="s">
        <v>85</v>
      </c>
      <c r="C35" s="26">
        <f>(C20-C14)/C20*C21+C14*C32*C13^3</f>
        <v>16340</v>
      </c>
      <c r="D35" s="10" t="s">
        <v>62</v>
      </c>
      <c r="E35" s="11"/>
    </row>
    <row r="39" spans="2:5" x14ac:dyDescent="0.25">
      <c r="B39" s="14" t="s">
        <v>95</v>
      </c>
      <c r="C39" s="15"/>
      <c r="D39" s="15"/>
      <c r="E39" s="16"/>
    </row>
    <row r="40" spans="2:5" x14ac:dyDescent="0.25">
      <c r="B40" s="4"/>
      <c r="C40" s="5"/>
      <c r="D40" s="5"/>
      <c r="E40" s="6"/>
    </row>
    <row r="41" spans="2:5" x14ac:dyDescent="0.25">
      <c r="B41" s="7" t="s">
        <v>157</v>
      </c>
      <c r="C41" s="51">
        <f>C18</f>
        <v>5</v>
      </c>
      <c r="D41" t="s">
        <v>77</v>
      </c>
      <c r="E41" s="8"/>
    </row>
    <row r="42" spans="2:5" x14ac:dyDescent="0.25">
      <c r="B42" s="29" t="s">
        <v>188</v>
      </c>
      <c r="C42" s="17">
        <f>C20</f>
        <v>4000</v>
      </c>
      <c r="D42" t="s">
        <v>68</v>
      </c>
      <c r="E42" s="8"/>
    </row>
    <row r="43" spans="2:5" x14ac:dyDescent="0.25">
      <c r="B43" s="7" t="s">
        <v>80</v>
      </c>
      <c r="C43" s="35">
        <f>C19</f>
        <v>1</v>
      </c>
      <c r="D43" t="s">
        <v>81</v>
      </c>
      <c r="E43" s="8"/>
    </row>
    <row r="44" spans="2:5" x14ac:dyDescent="0.25">
      <c r="B44" s="7" t="s">
        <v>189</v>
      </c>
      <c r="C44" s="33">
        <f>C41*C42*C43^3</f>
        <v>20000</v>
      </c>
      <c r="D44" t="s">
        <v>62</v>
      </c>
      <c r="E44" s="8" t="s">
        <v>190</v>
      </c>
    </row>
    <row r="45" spans="2:5" x14ac:dyDescent="0.25">
      <c r="B45" s="7"/>
      <c r="E45" s="8"/>
    </row>
    <row r="46" spans="2:5" x14ac:dyDescent="0.25">
      <c r="B46" s="7"/>
      <c r="E46" s="8"/>
    </row>
    <row r="47" spans="2:5" x14ac:dyDescent="0.25">
      <c r="B47" s="34" t="s">
        <v>191</v>
      </c>
      <c r="C47" s="37">
        <f>C43^3-C50^3</f>
        <v>0.48799999999999988</v>
      </c>
      <c r="D47" t="s">
        <v>81</v>
      </c>
      <c r="E47" s="8"/>
    </row>
    <row r="48" spans="2:5" x14ac:dyDescent="0.25">
      <c r="B48" s="7"/>
      <c r="E48" s="8"/>
    </row>
    <row r="49" spans="2:5" x14ac:dyDescent="0.25">
      <c r="B49" s="7" t="s">
        <v>134</v>
      </c>
      <c r="E49" s="8"/>
    </row>
    <row r="50" spans="2:5" x14ac:dyDescent="0.25">
      <c r="B50" s="29" t="s">
        <v>192</v>
      </c>
      <c r="C50" s="35">
        <v>0.8</v>
      </c>
      <c r="D50" t="s">
        <v>81</v>
      </c>
      <c r="E50" s="8"/>
    </row>
    <row r="51" spans="2:5" x14ac:dyDescent="0.25">
      <c r="B51" s="7" t="s">
        <v>193</v>
      </c>
      <c r="C51">
        <v>1500</v>
      </c>
      <c r="D51" t="s">
        <v>68</v>
      </c>
      <c r="E51" s="8"/>
    </row>
    <row r="52" spans="2:5" x14ac:dyDescent="0.25">
      <c r="B52" s="7" t="s">
        <v>194</v>
      </c>
      <c r="C52" s="33">
        <f>C41*C51*C50^3</f>
        <v>3840.0000000000009</v>
      </c>
      <c r="D52" t="s">
        <v>62</v>
      </c>
      <c r="E52" s="8"/>
    </row>
    <row r="53" spans="2:5" x14ac:dyDescent="0.25">
      <c r="B53" s="7" t="s">
        <v>195</v>
      </c>
      <c r="C53" s="17">
        <f>(C42-C51)/C42*C44+C52</f>
        <v>16340</v>
      </c>
      <c r="D53" t="s">
        <v>62</v>
      </c>
      <c r="E53" s="8"/>
    </row>
    <row r="54" spans="2:5" x14ac:dyDescent="0.25">
      <c r="B54" s="7"/>
      <c r="E54" s="8"/>
    </row>
    <row r="55" spans="2:5" x14ac:dyDescent="0.25">
      <c r="B55" s="7" t="s">
        <v>196</v>
      </c>
      <c r="E55" s="8"/>
    </row>
    <row r="56" spans="2:5" x14ac:dyDescent="0.25">
      <c r="B56" s="7"/>
      <c r="C56" s="27">
        <f>1500*5</f>
        <v>7500</v>
      </c>
      <c r="D56" s="30"/>
      <c r="E56" s="8"/>
    </row>
    <row r="57" spans="2:5" x14ac:dyDescent="0.25">
      <c r="B57" s="7"/>
      <c r="C57">
        <f>0.8^3*1500*5</f>
        <v>3840.0000000000009</v>
      </c>
      <c r="E57" s="8"/>
    </row>
    <row r="58" spans="2:5" x14ac:dyDescent="0.25">
      <c r="B58" s="7"/>
      <c r="C58" s="60">
        <f>1-(C57/C56)</f>
        <v>0.48799999999999988</v>
      </c>
      <c r="D58" s="1"/>
      <c r="E58" s="8"/>
    </row>
    <row r="59" spans="2:5" x14ac:dyDescent="0.25">
      <c r="B59" s="7"/>
      <c r="C59" s="61"/>
      <c r="E59" s="8"/>
    </row>
    <row r="60" spans="2:5" x14ac:dyDescent="0.25">
      <c r="B60" s="7"/>
      <c r="E60" s="8"/>
    </row>
    <row r="61" spans="2:5" x14ac:dyDescent="0.25">
      <c r="B61" s="9"/>
      <c r="C61" s="10"/>
      <c r="D61" s="10"/>
      <c r="E61" s="11"/>
    </row>
  </sheetData>
  <pageMargins left="0.7" right="0.7" top="0.75" bottom="0.75" header="0.3" footer="0.3"/>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54149F-5ACB-4234-B715-42725CBD1D97}">
  <sheetPr codeName="Blad8">
    <tabColor theme="0" tint="-0.14999847407452621"/>
  </sheetPr>
  <dimension ref="B2:J64"/>
  <sheetViews>
    <sheetView topLeftCell="A13" workbookViewId="0">
      <selection activeCell="C28" sqref="C28"/>
    </sheetView>
  </sheetViews>
  <sheetFormatPr defaultRowHeight="15" x14ac:dyDescent="0.25"/>
  <cols>
    <col min="2" max="2" width="33" customWidth="1"/>
    <col min="3" max="3" width="9.140625" customWidth="1"/>
    <col min="4" max="4" width="10.7109375" customWidth="1"/>
    <col min="5" max="5" width="69.42578125" customWidth="1"/>
    <col min="8" max="8" width="21.85546875" customWidth="1"/>
    <col min="9" max="9" width="11" bestFit="1" customWidth="1"/>
  </cols>
  <sheetData>
    <row r="2" spans="2:10" x14ac:dyDescent="0.25">
      <c r="B2" s="14" t="s">
        <v>50</v>
      </c>
      <c r="C2" s="12"/>
      <c r="D2" s="12"/>
      <c r="E2" s="13"/>
      <c r="H2" s="14" t="s">
        <v>51</v>
      </c>
      <c r="I2" s="15"/>
      <c r="J2" s="16"/>
    </row>
    <row r="3" spans="2:10" x14ac:dyDescent="0.25">
      <c r="B3" s="7" t="s">
        <v>52</v>
      </c>
      <c r="C3" t="s">
        <v>28</v>
      </c>
      <c r="E3" s="8"/>
      <c r="H3" s="23" t="s">
        <v>53</v>
      </c>
      <c r="I3" s="24"/>
      <c r="J3" s="25"/>
    </row>
    <row r="4" spans="2:10" x14ac:dyDescent="0.25">
      <c r="B4" s="7" t="s">
        <v>9</v>
      </c>
      <c r="C4" t="str">
        <f>_xlfn.XLOOKUP(C3,'EBM''s'!$C$6:$C$24,'EBM''s'!$D$6:$D$24)</f>
        <v xml:space="preserve">Sluit het bedrijf aan op een CO2 netwerk </v>
      </c>
      <c r="E4" s="8"/>
      <c r="H4" s="7" t="s">
        <v>54</v>
      </c>
      <c r="I4" s="3">
        <f>_xlfn.XLOOKUP(C3,'EBM''s'!$C$6:$C$24,'EBM''s'!$E$6:$E$24)</f>
        <v>8382</v>
      </c>
      <c r="J4" s="8"/>
    </row>
    <row r="5" spans="2:10" x14ac:dyDescent="0.25">
      <c r="B5" s="7"/>
      <c r="E5" s="8"/>
      <c r="H5" s="7" t="s">
        <v>55</v>
      </c>
      <c r="I5" s="3">
        <f>_xlfn.XLOOKUP(C3,'EBM''s'!$C$6:$C$24,'EBM''s'!$F$6:$F$24)</f>
        <v>6974.0000000000009</v>
      </c>
      <c r="J5" s="8"/>
    </row>
    <row r="6" spans="2:10" x14ac:dyDescent="0.25">
      <c r="B6" s="7"/>
      <c r="E6" s="8"/>
      <c r="H6" s="7"/>
      <c r="J6" s="8"/>
    </row>
    <row r="7" spans="2:10" x14ac:dyDescent="0.25">
      <c r="B7" s="18" t="s">
        <v>56</v>
      </c>
      <c r="C7" s="19"/>
      <c r="D7" s="19"/>
      <c r="E7" s="20"/>
      <c r="H7" s="7"/>
      <c r="J7" s="8"/>
    </row>
    <row r="8" spans="2:10" x14ac:dyDescent="0.25">
      <c r="B8" s="21" t="s">
        <v>147</v>
      </c>
      <c r="C8" s="22">
        <f>100*120</f>
        <v>12000</v>
      </c>
      <c r="D8" s="2" t="s">
        <v>58</v>
      </c>
      <c r="E8" s="8"/>
      <c r="H8" s="23" t="s">
        <v>59</v>
      </c>
      <c r="I8" s="24"/>
      <c r="J8" s="25" t="s">
        <v>2</v>
      </c>
    </row>
    <row r="9" spans="2:10" x14ac:dyDescent="0.25">
      <c r="B9" s="21"/>
      <c r="E9" s="8"/>
      <c r="H9" s="7" t="s">
        <v>61</v>
      </c>
      <c r="I9" s="17"/>
      <c r="J9" s="8" t="s">
        <v>62</v>
      </c>
    </row>
    <row r="10" spans="2:10" x14ac:dyDescent="0.25">
      <c r="B10" s="7"/>
      <c r="E10" s="8"/>
      <c r="H10" s="7" t="s">
        <v>63</v>
      </c>
      <c r="I10" s="17">
        <f>C28</f>
        <v>2666.6666666666642</v>
      </c>
      <c r="J10" s="8" t="s">
        <v>64</v>
      </c>
    </row>
    <row r="11" spans="2:10" x14ac:dyDescent="0.25">
      <c r="B11" s="18" t="s">
        <v>65</v>
      </c>
      <c r="C11" s="19"/>
      <c r="D11" s="19"/>
      <c r="E11" s="20"/>
      <c r="H11" s="7"/>
      <c r="J11" s="8"/>
    </row>
    <row r="12" spans="2:10" x14ac:dyDescent="0.25">
      <c r="B12" s="21" t="s">
        <v>197</v>
      </c>
      <c r="C12" s="2">
        <v>50</v>
      </c>
      <c r="D12" s="2" t="s">
        <v>198</v>
      </c>
      <c r="E12" s="8"/>
      <c r="H12" s="7" t="s">
        <v>61</v>
      </c>
      <c r="I12" s="3">
        <f>I9*Energieprijzen!$C$4</f>
        <v>0</v>
      </c>
      <c r="J12" s="8" t="s">
        <v>66</v>
      </c>
    </row>
    <row r="13" spans="2:10" x14ac:dyDescent="0.25">
      <c r="B13" s="21" t="s">
        <v>199</v>
      </c>
      <c r="C13" s="2">
        <v>800</v>
      </c>
      <c r="D13" s="2" t="s">
        <v>68</v>
      </c>
      <c r="E13" s="47" t="s">
        <v>200</v>
      </c>
      <c r="H13" s="7" t="s">
        <v>63</v>
      </c>
      <c r="I13" s="3">
        <f>I10*Energieprijzen!$C$5</f>
        <v>1919.9999999999982</v>
      </c>
      <c r="J13" s="8" t="s">
        <v>66</v>
      </c>
    </row>
    <row r="14" spans="2:10" x14ac:dyDescent="0.25">
      <c r="B14" s="21" t="s">
        <v>59</v>
      </c>
      <c r="C14" s="42">
        <v>0.1</v>
      </c>
      <c r="D14" s="2" t="s">
        <v>81</v>
      </c>
      <c r="E14" s="47"/>
      <c r="H14" s="7" t="s">
        <v>201</v>
      </c>
      <c r="I14" s="3">
        <f>C29*C15</f>
        <v>-479.99999999999955</v>
      </c>
      <c r="J14" s="8" t="s">
        <v>66</v>
      </c>
    </row>
    <row r="15" spans="2:10" x14ac:dyDescent="0.25">
      <c r="B15" s="21" t="s">
        <v>202</v>
      </c>
      <c r="C15" s="48">
        <v>0.1</v>
      </c>
      <c r="D15" s="49" t="s">
        <v>203</v>
      </c>
      <c r="E15" s="47" t="s">
        <v>204</v>
      </c>
      <c r="H15" s="7" t="s">
        <v>71</v>
      </c>
      <c r="I15" s="3">
        <f>SUM(I12:I14)</f>
        <v>1439.9999999999986</v>
      </c>
      <c r="J15" s="8" t="s">
        <v>66</v>
      </c>
    </row>
    <row r="16" spans="2:10" x14ac:dyDescent="0.25">
      <c r="B16" s="18" t="s">
        <v>72</v>
      </c>
      <c r="C16" s="19"/>
      <c r="D16" s="19"/>
      <c r="E16" s="20"/>
      <c r="H16" s="7"/>
      <c r="J16" s="8"/>
    </row>
    <row r="17" spans="2:10" x14ac:dyDescent="0.25">
      <c r="B17" s="23" t="s">
        <v>73</v>
      </c>
      <c r="C17" s="24"/>
      <c r="D17" s="24" t="s">
        <v>2</v>
      </c>
      <c r="E17" s="25" t="s">
        <v>74</v>
      </c>
      <c r="H17" s="23" t="s">
        <v>75</v>
      </c>
      <c r="I17" s="24"/>
      <c r="J17" s="25" t="s">
        <v>2</v>
      </c>
    </row>
    <row r="18" spans="2:10" x14ac:dyDescent="0.25">
      <c r="B18" s="7" t="s">
        <v>76</v>
      </c>
      <c r="D18" t="s">
        <v>77</v>
      </c>
      <c r="E18" s="8"/>
      <c r="H18" s="7" t="s">
        <v>78</v>
      </c>
      <c r="I18" s="1">
        <f>IFERROR(I4/I15,0)</f>
        <v>5.8208333333333391</v>
      </c>
      <c r="J18" s="8" t="s">
        <v>79</v>
      </c>
    </row>
    <row r="19" spans="2:10" x14ac:dyDescent="0.25">
      <c r="B19" s="7" t="s">
        <v>80</v>
      </c>
      <c r="D19" t="s">
        <v>81</v>
      </c>
      <c r="E19" s="8"/>
      <c r="H19" s="9" t="s">
        <v>82</v>
      </c>
      <c r="I19" s="28">
        <f>IFERROR(I5/I15,0)</f>
        <v>4.8430555555555603</v>
      </c>
      <c r="J19" s="11" t="s">
        <v>79</v>
      </c>
    </row>
    <row r="20" spans="2:10" x14ac:dyDescent="0.25">
      <c r="B20" s="7" t="s">
        <v>83</v>
      </c>
      <c r="D20" t="s">
        <v>84</v>
      </c>
      <c r="E20" s="8"/>
    </row>
    <row r="21" spans="2:10" x14ac:dyDescent="0.25">
      <c r="B21" s="7" t="s">
        <v>85</v>
      </c>
      <c r="C21" s="17">
        <f>C12*C8/10000*C13/1.8</f>
        <v>26666.666666666664</v>
      </c>
      <c r="D21" t="s">
        <v>86</v>
      </c>
      <c r="E21" s="8" t="s">
        <v>87</v>
      </c>
    </row>
    <row r="22" spans="2:10" x14ac:dyDescent="0.25">
      <c r="B22" s="7"/>
      <c r="E22" s="8"/>
    </row>
    <row r="23" spans="2:10" x14ac:dyDescent="0.25">
      <c r="B23" s="7"/>
      <c r="E23" s="8"/>
    </row>
    <row r="24" spans="2:10" x14ac:dyDescent="0.25">
      <c r="B24" s="23" t="s">
        <v>59</v>
      </c>
      <c r="C24" s="24"/>
      <c r="D24" s="24" t="s">
        <v>2</v>
      </c>
      <c r="E24" s="25" t="s">
        <v>74</v>
      </c>
    </row>
    <row r="25" spans="2:10" x14ac:dyDescent="0.25">
      <c r="B25" s="7" t="s">
        <v>76</v>
      </c>
      <c r="D25" t="s">
        <v>77</v>
      </c>
      <c r="E25" s="8"/>
    </row>
    <row r="26" spans="2:10" x14ac:dyDescent="0.25">
      <c r="B26" s="7" t="s">
        <v>80</v>
      </c>
      <c r="D26" t="s">
        <v>81</v>
      </c>
      <c r="E26" s="8"/>
    </row>
    <row r="27" spans="2:10" x14ac:dyDescent="0.25">
      <c r="B27" s="7" t="s">
        <v>83</v>
      </c>
      <c r="D27" t="s">
        <v>84</v>
      </c>
      <c r="E27" s="8"/>
    </row>
    <row r="28" spans="2:10" x14ac:dyDescent="0.25">
      <c r="B28" s="7" t="s">
        <v>85</v>
      </c>
      <c r="C28" s="17">
        <f>C21-C35</f>
        <v>2666.6666666666642</v>
      </c>
      <c r="D28" t="s">
        <v>86</v>
      </c>
      <c r="E28" s="8" t="s">
        <v>205</v>
      </c>
    </row>
    <row r="29" spans="2:10" x14ac:dyDescent="0.25">
      <c r="B29" s="7" t="s">
        <v>85</v>
      </c>
      <c r="C29" s="17">
        <f>-C28*1.8</f>
        <v>-4799.9999999999955</v>
      </c>
      <c r="D29" t="s">
        <v>206</v>
      </c>
      <c r="E29" s="8" t="s">
        <v>204</v>
      </c>
      <c r="H29" t="s">
        <v>88</v>
      </c>
    </row>
    <row r="30" spans="2:10" x14ac:dyDescent="0.25">
      <c r="B30" s="7"/>
      <c r="E30" s="8"/>
      <c r="H30" t="s">
        <v>207</v>
      </c>
    </row>
    <row r="31" spans="2:10" x14ac:dyDescent="0.25">
      <c r="B31" s="23" t="s">
        <v>90</v>
      </c>
      <c r="C31" s="24"/>
      <c r="D31" s="24" t="s">
        <v>2</v>
      </c>
      <c r="E31" s="25" t="s">
        <v>74</v>
      </c>
      <c r="I31" s="31" t="s">
        <v>208</v>
      </c>
    </row>
    <row r="32" spans="2:10" x14ac:dyDescent="0.25">
      <c r="B32" s="7" t="s">
        <v>76</v>
      </c>
      <c r="D32" t="s">
        <v>77</v>
      </c>
      <c r="E32" s="8"/>
    </row>
    <row r="33" spans="2:8" x14ac:dyDescent="0.25">
      <c r="B33" s="7" t="s">
        <v>80</v>
      </c>
      <c r="D33" t="s">
        <v>81</v>
      </c>
      <c r="E33" s="8"/>
      <c r="H33" t="s">
        <v>92</v>
      </c>
    </row>
    <row r="34" spans="2:8" x14ac:dyDescent="0.25">
      <c r="B34" s="7" t="s">
        <v>83</v>
      </c>
      <c r="D34" t="s">
        <v>84</v>
      </c>
      <c r="E34" s="8"/>
      <c r="H34" t="s">
        <v>209</v>
      </c>
    </row>
    <row r="35" spans="2:8" x14ac:dyDescent="0.25">
      <c r="B35" s="9" t="s">
        <v>85</v>
      </c>
      <c r="C35" s="26">
        <f>C21*(100%-C14)</f>
        <v>24000</v>
      </c>
      <c r="D35" s="10" t="s">
        <v>86</v>
      </c>
      <c r="E35" s="11"/>
    </row>
    <row r="39" spans="2:8" x14ac:dyDescent="0.25">
      <c r="B39" s="14" t="s">
        <v>95</v>
      </c>
      <c r="C39" s="15"/>
      <c r="D39" s="15"/>
      <c r="E39" s="16"/>
    </row>
    <row r="40" spans="2:8" x14ac:dyDescent="0.25">
      <c r="B40" s="7"/>
      <c r="E40" s="8"/>
    </row>
    <row r="41" spans="2:8" x14ac:dyDescent="0.25">
      <c r="B41" s="45" t="s">
        <v>210</v>
      </c>
      <c r="C41" s="46">
        <v>50</v>
      </c>
      <c r="D41" s="46" t="s">
        <v>198</v>
      </c>
      <c r="E41" s="8"/>
    </row>
    <row r="42" spans="2:8" x14ac:dyDescent="0.25">
      <c r="B42" s="45" t="s">
        <v>210</v>
      </c>
      <c r="C42" s="17">
        <f>C41*C13*C8/10000</f>
        <v>48000</v>
      </c>
      <c r="D42" t="s">
        <v>206</v>
      </c>
      <c r="E42" s="8" t="s">
        <v>211</v>
      </c>
    </row>
    <row r="43" spans="2:8" x14ac:dyDescent="0.25">
      <c r="B43" s="7" t="s">
        <v>212</v>
      </c>
      <c r="C43" s="17">
        <f>C42/1.8</f>
        <v>26666.666666666664</v>
      </c>
      <c r="D43" t="s">
        <v>64</v>
      </c>
      <c r="E43" s="8" t="s">
        <v>213</v>
      </c>
    </row>
    <row r="44" spans="2:8" x14ac:dyDescent="0.25">
      <c r="B44" s="7" t="s">
        <v>59</v>
      </c>
      <c r="C44" s="32">
        <f>C14</f>
        <v>0.1</v>
      </c>
      <c r="D44" t="s">
        <v>81</v>
      </c>
      <c r="E44" s="8"/>
    </row>
    <row r="45" spans="2:8" x14ac:dyDescent="0.25">
      <c r="B45" s="7" t="s">
        <v>59</v>
      </c>
      <c r="C45" s="17">
        <f>C44*C43</f>
        <v>2666.6666666666665</v>
      </c>
      <c r="D45" t="s">
        <v>64</v>
      </c>
      <c r="E45" s="8" t="s">
        <v>214</v>
      </c>
    </row>
    <row r="46" spans="2:8" x14ac:dyDescent="0.25">
      <c r="B46" s="45" t="s">
        <v>215</v>
      </c>
      <c r="C46" s="17">
        <f>C45*1.8</f>
        <v>4800</v>
      </c>
      <c r="D46" t="s">
        <v>206</v>
      </c>
      <c r="E46" s="8"/>
    </row>
    <row r="47" spans="2:8" x14ac:dyDescent="0.25">
      <c r="B47" s="45" t="s">
        <v>216</v>
      </c>
      <c r="C47" s="1">
        <v>0.1</v>
      </c>
      <c r="D47" s="30" t="s">
        <v>203</v>
      </c>
      <c r="E47" s="8" t="s">
        <v>204</v>
      </c>
    </row>
    <row r="48" spans="2:8" x14ac:dyDescent="0.25">
      <c r="B48" s="29" t="s">
        <v>217</v>
      </c>
      <c r="C48" s="3">
        <f>C47*C46</f>
        <v>480</v>
      </c>
      <c r="D48" s="30"/>
      <c r="E48" s="8"/>
    </row>
    <row r="49" spans="2:5" x14ac:dyDescent="0.25">
      <c r="B49" s="29"/>
      <c r="C49" s="30"/>
      <c r="D49" s="30"/>
      <c r="E49" s="8"/>
    </row>
    <row r="50" spans="2:5" x14ac:dyDescent="0.25">
      <c r="B50" s="7"/>
      <c r="E50" s="8"/>
    </row>
    <row r="51" spans="2:5" x14ac:dyDescent="0.25">
      <c r="B51" s="7"/>
      <c r="D51" s="1"/>
      <c r="E51" s="8"/>
    </row>
    <row r="52" spans="2:5" x14ac:dyDescent="0.25">
      <c r="B52" s="7"/>
      <c r="E52" s="8"/>
    </row>
    <row r="53" spans="2:5" x14ac:dyDescent="0.25">
      <c r="B53" s="7"/>
      <c r="E53" s="8"/>
    </row>
    <row r="54" spans="2:5" x14ac:dyDescent="0.25">
      <c r="B54" s="7"/>
      <c r="E54" s="8"/>
    </row>
    <row r="55" spans="2:5" x14ac:dyDescent="0.25">
      <c r="B55" s="7"/>
      <c r="E55" s="8"/>
    </row>
    <row r="56" spans="2:5" x14ac:dyDescent="0.25">
      <c r="B56" s="7"/>
      <c r="E56" s="8"/>
    </row>
    <row r="57" spans="2:5" x14ac:dyDescent="0.25">
      <c r="B57" s="7"/>
      <c r="E57" s="8"/>
    </row>
    <row r="58" spans="2:5" x14ac:dyDescent="0.25">
      <c r="B58" s="7"/>
      <c r="E58" s="8"/>
    </row>
    <row r="59" spans="2:5" x14ac:dyDescent="0.25">
      <c r="B59" s="7"/>
      <c r="E59" s="8"/>
    </row>
    <row r="60" spans="2:5" x14ac:dyDescent="0.25">
      <c r="B60" s="9"/>
      <c r="C60" s="10"/>
      <c r="D60" s="10"/>
      <c r="E60" s="11"/>
    </row>
    <row r="64" spans="2:5" x14ac:dyDescent="0.25">
      <c r="D64" s="17"/>
    </row>
  </sheetData>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1516FA-FD5A-4296-90BA-AA265DB7FE9B}">
  <sheetPr codeName="Blad9">
    <tabColor theme="0" tint="-0.14999847407452621"/>
  </sheetPr>
  <dimension ref="B2:J70"/>
  <sheetViews>
    <sheetView workbookViewId="0">
      <selection activeCell="H29" sqref="H29:I33"/>
    </sheetView>
  </sheetViews>
  <sheetFormatPr defaultRowHeight="15" x14ac:dyDescent="0.25"/>
  <cols>
    <col min="2" max="2" width="33" customWidth="1"/>
    <col min="3" max="3" width="9.140625" customWidth="1"/>
    <col min="4" max="4" width="10.7109375" customWidth="1"/>
    <col min="5" max="5" width="69.42578125" customWidth="1"/>
    <col min="8" max="8" width="21.85546875" customWidth="1"/>
    <col min="9" max="9" width="11" bestFit="1" customWidth="1"/>
  </cols>
  <sheetData>
    <row r="2" spans="2:10" x14ac:dyDescent="0.25">
      <c r="B2" s="14" t="s">
        <v>50</v>
      </c>
      <c r="C2" s="12"/>
      <c r="D2" s="12"/>
      <c r="E2" s="13"/>
      <c r="H2" s="14" t="s">
        <v>51</v>
      </c>
      <c r="I2" s="15"/>
      <c r="J2" s="16"/>
    </row>
    <row r="3" spans="2:10" x14ac:dyDescent="0.25">
      <c r="B3" s="7" t="s">
        <v>52</v>
      </c>
      <c r="C3" t="s">
        <v>30</v>
      </c>
      <c r="E3" s="8"/>
      <c r="H3" s="23" t="s">
        <v>53</v>
      </c>
      <c r="I3" s="24"/>
      <c r="J3" s="25"/>
    </row>
    <row r="4" spans="2:10" x14ac:dyDescent="0.25">
      <c r="B4" s="7" t="s">
        <v>9</v>
      </c>
      <c r="C4" t="str">
        <f>_xlfn.XLOOKUP(C3,'EBM''s'!$C$6:$C$24,'EBM''s'!$D$6:$D$24)</f>
        <v xml:space="preserve">Isoleer verwarmingsleidingen en appendages </v>
      </c>
      <c r="E4" s="8"/>
      <c r="H4" s="7" t="s">
        <v>54</v>
      </c>
      <c r="I4" s="3">
        <f>_xlfn.XLOOKUP(C3,'EBM''s'!$C$6:$C$24,'EBM''s'!$E$6:$E$24)</f>
        <v>22043.581999999999</v>
      </c>
      <c r="J4" s="8"/>
    </row>
    <row r="5" spans="2:10" x14ac:dyDescent="0.25">
      <c r="B5" s="7"/>
      <c r="E5" s="8"/>
      <c r="H5" s="7" t="s">
        <v>55</v>
      </c>
      <c r="I5" s="3">
        <f>_xlfn.XLOOKUP(C3,'EBM''s'!$C$6:$C$24,'EBM''s'!$F$6:$F$24)</f>
        <v>13903.779999999999</v>
      </c>
      <c r="J5" s="8"/>
    </row>
    <row r="6" spans="2:10" x14ac:dyDescent="0.25">
      <c r="B6" s="7"/>
      <c r="E6" s="8"/>
      <c r="H6" s="7"/>
      <c r="J6" s="8"/>
    </row>
    <row r="7" spans="2:10" x14ac:dyDescent="0.25">
      <c r="B7" s="18" t="s">
        <v>56</v>
      </c>
      <c r="C7" s="19"/>
      <c r="D7" s="19"/>
      <c r="E7" s="20"/>
      <c r="H7" s="7"/>
      <c r="J7" s="8"/>
    </row>
    <row r="8" spans="2:10" x14ac:dyDescent="0.25">
      <c r="B8" s="21" t="s">
        <v>147</v>
      </c>
      <c r="C8" s="22">
        <f>100*120</f>
        <v>12000</v>
      </c>
      <c r="D8" s="2" t="s">
        <v>58</v>
      </c>
      <c r="E8" s="8"/>
      <c r="H8" s="23" t="s">
        <v>59</v>
      </c>
      <c r="I8" s="24"/>
      <c r="J8" s="25" t="s">
        <v>2</v>
      </c>
    </row>
    <row r="9" spans="2:10" x14ac:dyDescent="0.25">
      <c r="B9" s="21"/>
      <c r="E9" s="8"/>
      <c r="H9" s="7" t="s">
        <v>61</v>
      </c>
      <c r="I9" s="17"/>
      <c r="J9" s="8" t="s">
        <v>62</v>
      </c>
    </row>
    <row r="10" spans="2:10" x14ac:dyDescent="0.25">
      <c r="B10" s="7"/>
      <c r="E10" s="8"/>
      <c r="H10" s="7" t="s">
        <v>63</v>
      </c>
      <c r="I10" s="17">
        <f>C28</f>
        <v>4536.0000000000009</v>
      </c>
      <c r="J10" s="8" t="s">
        <v>64</v>
      </c>
    </row>
    <row r="11" spans="2:10" x14ac:dyDescent="0.25">
      <c r="B11" s="18" t="s">
        <v>65</v>
      </c>
      <c r="C11" s="19"/>
      <c r="D11" s="19"/>
      <c r="E11" s="20"/>
      <c r="H11" s="7"/>
      <c r="J11" s="8"/>
    </row>
    <row r="12" spans="2:10" x14ac:dyDescent="0.25">
      <c r="B12" s="21" t="s">
        <v>218</v>
      </c>
      <c r="C12" s="2">
        <v>14</v>
      </c>
      <c r="D12" s="2" t="s">
        <v>219</v>
      </c>
      <c r="E12" s="8"/>
      <c r="H12" s="7" t="s">
        <v>61</v>
      </c>
      <c r="I12" s="3">
        <f>I9*Energieprijzen!$C$4</f>
        <v>0</v>
      </c>
      <c r="J12" s="8" t="s">
        <v>66</v>
      </c>
    </row>
    <row r="13" spans="2:10" x14ac:dyDescent="0.25">
      <c r="B13" s="7"/>
      <c r="E13" s="8"/>
      <c r="H13" s="7" t="s">
        <v>63</v>
      </c>
      <c r="I13" s="3">
        <f>I10*Energieprijzen!$C$5</f>
        <v>3265.9200000000005</v>
      </c>
      <c r="J13" s="8" t="s">
        <v>66</v>
      </c>
    </row>
    <row r="14" spans="2:10" x14ac:dyDescent="0.25">
      <c r="B14" s="7"/>
      <c r="E14" s="8"/>
      <c r="H14" s="7" t="s">
        <v>71</v>
      </c>
      <c r="I14" s="3">
        <f>SUM(I12:I13)</f>
        <v>3265.9200000000005</v>
      </c>
      <c r="J14" s="8" t="s">
        <v>66</v>
      </c>
    </row>
    <row r="15" spans="2:10" x14ac:dyDescent="0.25">
      <c r="B15" s="7"/>
      <c r="E15" s="8"/>
      <c r="H15" s="7"/>
      <c r="J15" s="8"/>
    </row>
    <row r="16" spans="2:10" x14ac:dyDescent="0.25">
      <c r="B16" s="18" t="s">
        <v>72</v>
      </c>
      <c r="C16" s="19"/>
      <c r="D16" s="19"/>
      <c r="E16" s="20"/>
      <c r="H16" s="7"/>
      <c r="J16" s="8"/>
    </row>
    <row r="17" spans="2:10" x14ac:dyDescent="0.25">
      <c r="B17" s="23" t="s">
        <v>73</v>
      </c>
      <c r="C17" s="24"/>
      <c r="D17" s="24" t="s">
        <v>2</v>
      </c>
      <c r="E17" s="25" t="s">
        <v>74</v>
      </c>
      <c r="H17" s="23" t="s">
        <v>75</v>
      </c>
      <c r="I17" s="24"/>
      <c r="J17" s="25" t="s">
        <v>2</v>
      </c>
    </row>
    <row r="18" spans="2:10" x14ac:dyDescent="0.25">
      <c r="B18" s="7" t="s">
        <v>76</v>
      </c>
      <c r="D18" t="s">
        <v>77</v>
      </c>
      <c r="E18" s="8"/>
      <c r="H18" s="7" t="s">
        <v>78</v>
      </c>
      <c r="I18" s="1">
        <f>IFERROR(I4/I14,0)</f>
        <v>6.7495780668234353</v>
      </c>
      <c r="J18" s="8" t="s">
        <v>79</v>
      </c>
    </row>
    <row r="19" spans="2:10" x14ac:dyDescent="0.25">
      <c r="B19" s="7" t="s">
        <v>80</v>
      </c>
      <c r="C19" s="36"/>
      <c r="D19" t="s">
        <v>187</v>
      </c>
      <c r="E19" s="8"/>
      <c r="H19" s="9" t="s">
        <v>82</v>
      </c>
      <c r="I19" s="28">
        <f>IFERROR(I5/I14,0)</f>
        <v>4.2572322653341166</v>
      </c>
      <c r="J19" s="11" t="s">
        <v>79</v>
      </c>
    </row>
    <row r="20" spans="2:10" x14ac:dyDescent="0.25">
      <c r="B20" s="7" t="s">
        <v>83</v>
      </c>
      <c r="D20" t="s">
        <v>84</v>
      </c>
      <c r="E20" s="8"/>
    </row>
    <row r="21" spans="2:10" x14ac:dyDescent="0.25">
      <c r="B21" s="7" t="s">
        <v>85</v>
      </c>
      <c r="C21" s="17">
        <f>C8*C12</f>
        <v>168000</v>
      </c>
      <c r="D21" t="s">
        <v>86</v>
      </c>
      <c r="E21" s="8"/>
    </row>
    <row r="22" spans="2:10" x14ac:dyDescent="0.25">
      <c r="B22" s="7"/>
      <c r="E22" s="8"/>
    </row>
    <row r="23" spans="2:10" x14ac:dyDescent="0.25">
      <c r="B23" s="7"/>
      <c r="E23" s="8"/>
    </row>
    <row r="24" spans="2:10" x14ac:dyDescent="0.25">
      <c r="B24" s="23" t="s">
        <v>59</v>
      </c>
      <c r="C24" s="24"/>
      <c r="D24" s="24" t="s">
        <v>2</v>
      </c>
      <c r="E24" s="25" t="s">
        <v>74</v>
      </c>
    </row>
    <row r="25" spans="2:10" x14ac:dyDescent="0.25">
      <c r="B25" s="7" t="s">
        <v>76</v>
      </c>
      <c r="D25" t="s">
        <v>77</v>
      </c>
      <c r="E25" s="8"/>
    </row>
    <row r="26" spans="2:10" x14ac:dyDescent="0.25">
      <c r="B26" s="7" t="s">
        <v>80</v>
      </c>
      <c r="D26" t="s">
        <v>187</v>
      </c>
      <c r="E26" s="8"/>
    </row>
    <row r="27" spans="2:10" x14ac:dyDescent="0.25">
      <c r="B27" s="7" t="s">
        <v>83</v>
      </c>
      <c r="D27" t="s">
        <v>84</v>
      </c>
      <c r="E27" s="8"/>
    </row>
    <row r="28" spans="2:10" x14ac:dyDescent="0.25">
      <c r="B28" s="7" t="s">
        <v>85</v>
      </c>
      <c r="C28" s="17">
        <f>C45</f>
        <v>4536.0000000000009</v>
      </c>
      <c r="D28" t="s">
        <v>86</v>
      </c>
      <c r="E28" s="8"/>
    </row>
    <row r="29" spans="2:10" x14ac:dyDescent="0.25">
      <c r="B29" s="7"/>
      <c r="E29" s="8"/>
      <c r="H29" t="s">
        <v>88</v>
      </c>
    </row>
    <row r="30" spans="2:10" x14ac:dyDescent="0.25">
      <c r="B30" s="7"/>
      <c r="E30" s="8"/>
      <c r="H30" t="s">
        <v>220</v>
      </c>
    </row>
    <row r="31" spans="2:10" x14ac:dyDescent="0.25">
      <c r="B31" s="23" t="s">
        <v>90</v>
      </c>
      <c r="C31" s="24"/>
      <c r="D31" s="24" t="s">
        <v>2</v>
      </c>
      <c r="E31" s="25" t="s">
        <v>74</v>
      </c>
      <c r="I31" s="31" t="s">
        <v>221</v>
      </c>
    </row>
    <row r="32" spans="2:10" x14ac:dyDescent="0.25">
      <c r="B32" s="7" t="s">
        <v>76</v>
      </c>
      <c r="D32" t="s">
        <v>77</v>
      </c>
      <c r="E32" s="8"/>
    </row>
    <row r="33" spans="2:8" x14ac:dyDescent="0.25">
      <c r="B33" s="7" t="s">
        <v>80</v>
      </c>
      <c r="D33" t="s">
        <v>187</v>
      </c>
      <c r="E33" s="8"/>
      <c r="H33" t="s">
        <v>92</v>
      </c>
    </row>
    <row r="34" spans="2:8" x14ac:dyDescent="0.25">
      <c r="B34" s="7" t="s">
        <v>83</v>
      </c>
      <c r="D34" t="s">
        <v>84</v>
      </c>
      <c r="E34" s="8"/>
    </row>
    <row r="35" spans="2:8" x14ac:dyDescent="0.25">
      <c r="B35" s="9" t="s">
        <v>85</v>
      </c>
      <c r="C35" s="26">
        <f>C21-C28</f>
        <v>163464</v>
      </c>
      <c r="D35" s="10" t="s">
        <v>86</v>
      </c>
      <c r="E35" s="11"/>
    </row>
    <row r="39" spans="2:8" x14ac:dyDescent="0.25">
      <c r="B39" s="14" t="s">
        <v>95</v>
      </c>
      <c r="C39" s="15"/>
      <c r="D39" s="15"/>
      <c r="E39" s="16"/>
    </row>
    <row r="40" spans="2:8" x14ac:dyDescent="0.25">
      <c r="B40" s="7" t="s">
        <v>222</v>
      </c>
      <c r="E40" s="8"/>
    </row>
    <row r="41" spans="2:8" x14ac:dyDescent="0.25">
      <c r="B41" s="7" t="s">
        <v>223</v>
      </c>
      <c r="C41" s="17">
        <f>C12*C8</f>
        <v>168000</v>
      </c>
      <c r="D41" t="s">
        <v>64</v>
      </c>
      <c r="E41" s="8"/>
    </row>
    <row r="42" spans="2:8" x14ac:dyDescent="0.25">
      <c r="B42" s="7" t="s">
        <v>224</v>
      </c>
      <c r="C42" s="35">
        <v>0.1</v>
      </c>
      <c r="E42" s="8"/>
    </row>
    <row r="43" spans="2:8" x14ac:dyDescent="0.25">
      <c r="B43" s="7" t="s">
        <v>225</v>
      </c>
      <c r="C43" s="35">
        <v>0.7</v>
      </c>
      <c r="E43" s="8"/>
    </row>
    <row r="44" spans="2:8" x14ac:dyDescent="0.25">
      <c r="B44" s="7" t="s">
        <v>226</v>
      </c>
      <c r="C44" s="35">
        <v>0.9</v>
      </c>
      <c r="E44" s="8"/>
    </row>
    <row r="45" spans="2:8" x14ac:dyDescent="0.25">
      <c r="B45" s="7" t="s">
        <v>226</v>
      </c>
      <c r="C45" s="17">
        <f>C41*C42*(100%-C43)*C44</f>
        <v>4536.0000000000009</v>
      </c>
      <c r="D45" t="s">
        <v>64</v>
      </c>
      <c r="E45" s="8"/>
    </row>
    <row r="46" spans="2:8" x14ac:dyDescent="0.25">
      <c r="B46" s="7"/>
      <c r="E46" s="8"/>
    </row>
    <row r="47" spans="2:8" x14ac:dyDescent="0.25">
      <c r="B47" s="7" t="s">
        <v>227</v>
      </c>
      <c r="E47" s="8"/>
    </row>
    <row r="48" spans="2:8" x14ac:dyDescent="0.25">
      <c r="B48" s="7" t="s">
        <v>228</v>
      </c>
      <c r="C48" s="33">
        <v>260</v>
      </c>
      <c r="D48" t="s">
        <v>229</v>
      </c>
      <c r="E48" s="8"/>
    </row>
    <row r="49" spans="2:5" x14ac:dyDescent="0.25">
      <c r="B49" s="29" t="s">
        <v>230</v>
      </c>
      <c r="C49" s="30"/>
      <c r="D49" s="30"/>
      <c r="E49" s="8"/>
    </row>
    <row r="50" spans="2:5" x14ac:dyDescent="0.25">
      <c r="B50" s="29" t="s">
        <v>231</v>
      </c>
      <c r="C50" s="30">
        <v>5</v>
      </c>
      <c r="D50" s="30" t="s">
        <v>125</v>
      </c>
      <c r="E50" s="8"/>
    </row>
    <row r="51" spans="2:5" x14ac:dyDescent="0.25">
      <c r="B51" s="29" t="s">
        <v>232</v>
      </c>
      <c r="C51" s="30">
        <f>3.141592653*0.15*C48</f>
        <v>122.52211346699998</v>
      </c>
      <c r="D51" s="30" t="s">
        <v>58</v>
      </c>
      <c r="E51" s="8"/>
    </row>
    <row r="52" spans="2:5" x14ac:dyDescent="0.25">
      <c r="B52" s="7" t="s">
        <v>233</v>
      </c>
      <c r="C52">
        <f>75-25</f>
        <v>50</v>
      </c>
      <c r="D52" t="s">
        <v>70</v>
      </c>
      <c r="E52" s="8"/>
    </row>
    <row r="53" spans="2:5" x14ac:dyDescent="0.25">
      <c r="B53" s="7" t="s">
        <v>234</v>
      </c>
      <c r="C53" s="30">
        <f>C50*C51*C52/1000</f>
        <v>30.630528366749996</v>
      </c>
      <c r="D53" s="1" t="s">
        <v>77</v>
      </c>
      <c r="E53" s="8"/>
    </row>
    <row r="54" spans="2:5" x14ac:dyDescent="0.25">
      <c r="B54" s="7" t="s">
        <v>235</v>
      </c>
      <c r="C54" s="35">
        <v>0.3</v>
      </c>
      <c r="E54" s="8"/>
    </row>
    <row r="55" spans="2:5" x14ac:dyDescent="0.25">
      <c r="B55" s="7" t="s">
        <v>150</v>
      </c>
      <c r="C55" s="30">
        <f>C54*C53</f>
        <v>9.1891585100249991</v>
      </c>
      <c r="D55" s="1" t="s">
        <v>77</v>
      </c>
      <c r="E55" s="8"/>
    </row>
    <row r="56" spans="2:5" x14ac:dyDescent="0.25">
      <c r="B56" s="7" t="s">
        <v>83</v>
      </c>
      <c r="C56">
        <v>5000</v>
      </c>
      <c r="D56" t="s">
        <v>84</v>
      </c>
      <c r="E56" s="8"/>
    </row>
    <row r="57" spans="2:5" x14ac:dyDescent="0.25">
      <c r="B57" s="7" t="s">
        <v>226</v>
      </c>
      <c r="C57" s="35">
        <v>0.9</v>
      </c>
      <c r="E57" s="8"/>
    </row>
    <row r="58" spans="2:5" x14ac:dyDescent="0.25">
      <c r="B58" s="7" t="s">
        <v>226</v>
      </c>
      <c r="C58" s="17">
        <f>C55*C56/8.79*C57</f>
        <v>4704.3473600810576</v>
      </c>
      <c r="D58" t="s">
        <v>64</v>
      </c>
      <c r="E58" s="8"/>
    </row>
    <row r="59" spans="2:5" x14ac:dyDescent="0.25">
      <c r="B59" s="7"/>
      <c r="E59" s="8"/>
    </row>
    <row r="60" spans="2:5" x14ac:dyDescent="0.25">
      <c r="B60" s="9"/>
      <c r="C60" s="10"/>
      <c r="D60" s="10"/>
      <c r="E60" s="11"/>
    </row>
    <row r="67" spans="3:3" x14ac:dyDescent="0.25">
      <c r="C67" s="35"/>
    </row>
    <row r="68" spans="3:3" x14ac:dyDescent="0.25">
      <c r="C68" s="69"/>
    </row>
    <row r="69" spans="3:3" x14ac:dyDescent="0.25">
      <c r="C69" s="1"/>
    </row>
    <row r="70" spans="3:3" x14ac:dyDescent="0.25">
      <c r="C70" s="35"/>
    </row>
  </sheetData>
  <pageMargins left="0.7" right="0.7" top="0.75" bottom="0.75" header="0.3" footer="0.3"/>
  <pageSetup paperSize="9"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CA08BD-FCED-4207-AC8A-CF156E083494}">
  <sheetPr codeName="Blad10">
    <tabColor theme="0" tint="-0.14999847407452621"/>
  </sheetPr>
  <dimension ref="B2:L71"/>
  <sheetViews>
    <sheetView workbookViewId="0">
      <selection activeCell="H29" sqref="H29:I34"/>
    </sheetView>
  </sheetViews>
  <sheetFormatPr defaultRowHeight="15" x14ac:dyDescent="0.25"/>
  <cols>
    <col min="2" max="2" width="33" customWidth="1"/>
    <col min="3" max="3" width="9.140625" customWidth="1"/>
    <col min="4" max="4" width="10.7109375" customWidth="1"/>
    <col min="5" max="5" width="69.42578125" customWidth="1"/>
    <col min="8" max="8" width="21.85546875" customWidth="1"/>
    <col min="9" max="9" width="11" bestFit="1" customWidth="1"/>
  </cols>
  <sheetData>
    <row r="2" spans="2:10" x14ac:dyDescent="0.25">
      <c r="B2" s="14" t="s">
        <v>50</v>
      </c>
      <c r="C2" s="12"/>
      <c r="D2" s="12"/>
      <c r="E2" s="13"/>
      <c r="H2" s="14" t="s">
        <v>51</v>
      </c>
      <c r="I2" s="15"/>
      <c r="J2" s="16"/>
    </row>
    <row r="3" spans="2:10" x14ac:dyDescent="0.25">
      <c r="B3" s="7" t="s">
        <v>52</v>
      </c>
      <c r="C3" t="s">
        <v>32</v>
      </c>
      <c r="E3" s="8"/>
      <c r="H3" s="23" t="s">
        <v>53</v>
      </c>
      <c r="I3" s="24"/>
      <c r="J3" s="25"/>
    </row>
    <row r="4" spans="2:10" x14ac:dyDescent="0.25">
      <c r="B4" s="7" t="s">
        <v>9</v>
      </c>
      <c r="C4" t="str">
        <f>_xlfn.XLOOKUP(C3,'EBM''s'!$C$6:$C$24,'EBM''s'!$D$6:$D$24)</f>
        <v xml:space="preserve">Vervang bij de groeibelichting SON-T armaturen voor LED armaturen </v>
      </c>
      <c r="E4" s="8"/>
      <c r="H4" s="7" t="s">
        <v>54</v>
      </c>
      <c r="I4" s="3">
        <f>_xlfn.XLOOKUP(C3,'EBM''s'!$C$6:$C$24,'EBM''s'!$E$6:$E$24)</f>
        <v>1096480</v>
      </c>
      <c r="J4" s="8"/>
    </row>
    <row r="5" spans="2:10" x14ac:dyDescent="0.25">
      <c r="B5" s="7"/>
      <c r="E5" s="8"/>
      <c r="F5" s="3"/>
      <c r="H5" s="7" t="s">
        <v>55</v>
      </c>
      <c r="I5" s="3">
        <f>_xlfn.XLOOKUP(C3,'EBM''s'!$C$6:$C$24,'EBM''s'!$F$6:$F$24)</f>
        <v>894872</v>
      </c>
      <c r="J5" s="8"/>
    </row>
    <row r="6" spans="2:10" x14ac:dyDescent="0.25">
      <c r="B6" s="7"/>
      <c r="E6" s="8"/>
      <c r="H6" s="7"/>
      <c r="J6" s="8"/>
    </row>
    <row r="7" spans="2:10" x14ac:dyDescent="0.25">
      <c r="B7" s="18" t="s">
        <v>56</v>
      </c>
      <c r="C7" s="19"/>
      <c r="D7" s="19"/>
      <c r="E7" s="20"/>
      <c r="H7" s="7"/>
      <c r="J7" s="8"/>
    </row>
    <row r="8" spans="2:10" x14ac:dyDescent="0.25">
      <c r="B8" s="21" t="s">
        <v>147</v>
      </c>
      <c r="C8" s="22">
        <f>100*120</f>
        <v>12000</v>
      </c>
      <c r="D8" s="2" t="s">
        <v>58</v>
      </c>
      <c r="E8" s="8"/>
      <c r="H8" s="23" t="s">
        <v>59</v>
      </c>
      <c r="I8" s="24"/>
      <c r="J8" s="25" t="s">
        <v>2</v>
      </c>
    </row>
    <row r="9" spans="2:10" x14ac:dyDescent="0.25">
      <c r="B9" s="21" t="s">
        <v>236</v>
      </c>
      <c r="C9" s="2">
        <v>120</v>
      </c>
      <c r="D9" s="2" t="s">
        <v>237</v>
      </c>
      <c r="E9" s="8"/>
      <c r="H9" s="7" t="s">
        <v>61</v>
      </c>
      <c r="I9" s="17">
        <f>C28</f>
        <v>727272.72727272718</v>
      </c>
      <c r="J9" s="8" t="s">
        <v>62</v>
      </c>
    </row>
    <row r="10" spans="2:10" x14ac:dyDescent="0.25">
      <c r="B10" s="7"/>
      <c r="E10" s="8"/>
      <c r="H10" s="7" t="s">
        <v>63</v>
      </c>
      <c r="I10" s="17">
        <f>C29</f>
        <v>-16544.592847910382</v>
      </c>
      <c r="J10" s="8" t="s">
        <v>64</v>
      </c>
    </row>
    <row r="11" spans="2:10" x14ac:dyDescent="0.25">
      <c r="B11" s="18" t="s">
        <v>65</v>
      </c>
      <c r="C11" s="19"/>
      <c r="D11" s="19"/>
      <c r="E11" s="20"/>
      <c r="H11" s="7"/>
      <c r="J11" s="8"/>
    </row>
    <row r="12" spans="2:10" x14ac:dyDescent="0.25">
      <c r="B12" s="21" t="s">
        <v>238</v>
      </c>
      <c r="C12" s="2">
        <v>2000</v>
      </c>
      <c r="D12" s="2" t="s">
        <v>68</v>
      </c>
      <c r="E12" s="8"/>
      <c r="H12" s="7" t="s">
        <v>61</v>
      </c>
      <c r="I12" s="3">
        <f>I9*Energieprijzen!$C$4</f>
        <v>138181.81818181818</v>
      </c>
      <c r="J12" s="8" t="s">
        <v>66</v>
      </c>
    </row>
    <row r="13" spans="2:10" x14ac:dyDescent="0.25">
      <c r="B13" s="21" t="s">
        <v>239</v>
      </c>
      <c r="C13" s="2">
        <v>1.8</v>
      </c>
      <c r="D13" s="2" t="s">
        <v>240</v>
      </c>
      <c r="E13" s="8"/>
      <c r="H13" s="7" t="s">
        <v>63</v>
      </c>
      <c r="I13" s="3">
        <f>I10*Energieprijzen!$C$5</f>
        <v>-11912.106850495475</v>
      </c>
      <c r="J13" s="8" t="s">
        <v>66</v>
      </c>
    </row>
    <row r="14" spans="2:10" x14ac:dyDescent="0.25">
      <c r="B14" s="21" t="s">
        <v>241</v>
      </c>
      <c r="C14" s="2">
        <v>3.3</v>
      </c>
      <c r="D14" s="2" t="s">
        <v>240</v>
      </c>
      <c r="E14" s="8"/>
      <c r="H14" s="7" t="s">
        <v>242</v>
      </c>
      <c r="I14" s="3">
        <f>C30</f>
        <v>20000</v>
      </c>
      <c r="J14" s="8" t="s">
        <v>66</v>
      </c>
    </row>
    <row r="15" spans="2:10" x14ac:dyDescent="0.25">
      <c r="B15" s="21" t="s">
        <v>243</v>
      </c>
      <c r="C15" s="42">
        <v>0.2</v>
      </c>
      <c r="D15" s="2" t="s">
        <v>81</v>
      </c>
      <c r="E15" s="8"/>
      <c r="H15" s="7" t="s">
        <v>71</v>
      </c>
      <c r="I15" s="3">
        <f>SUM(I12:I14)</f>
        <v>146269.7113313227</v>
      </c>
      <c r="J15" s="8" t="s">
        <v>66</v>
      </c>
    </row>
    <row r="16" spans="2:10" x14ac:dyDescent="0.25">
      <c r="B16" s="18" t="s">
        <v>72</v>
      </c>
      <c r="C16" s="19"/>
      <c r="D16" s="19"/>
      <c r="E16" s="20"/>
      <c r="H16" s="7"/>
      <c r="J16" s="8"/>
    </row>
    <row r="17" spans="2:10" x14ac:dyDescent="0.25">
      <c r="B17" s="23" t="s">
        <v>73</v>
      </c>
      <c r="C17" s="24"/>
      <c r="D17" s="24" t="s">
        <v>2</v>
      </c>
      <c r="E17" s="25" t="s">
        <v>74</v>
      </c>
      <c r="H17" s="23" t="s">
        <v>75</v>
      </c>
      <c r="I17" s="24"/>
      <c r="J17" s="25" t="s">
        <v>2</v>
      </c>
    </row>
    <row r="18" spans="2:10" x14ac:dyDescent="0.25">
      <c r="B18" s="7" t="s">
        <v>76</v>
      </c>
      <c r="C18">
        <f>C8*C9/C13/1000</f>
        <v>800</v>
      </c>
      <c r="D18" t="s">
        <v>77</v>
      </c>
      <c r="E18" s="8"/>
      <c r="H18" s="7" t="s">
        <v>78</v>
      </c>
      <c r="I18" s="1">
        <f>IFERROR(I4/I15,0)</f>
        <v>7.4962888079836931</v>
      </c>
      <c r="J18" s="8" t="s">
        <v>79</v>
      </c>
    </row>
    <row r="19" spans="2:10" x14ac:dyDescent="0.25">
      <c r="B19" s="7" t="s">
        <v>80</v>
      </c>
      <c r="C19" s="36">
        <v>1</v>
      </c>
      <c r="D19" t="s">
        <v>81</v>
      </c>
      <c r="E19" s="8"/>
      <c r="H19" s="9" t="s">
        <v>82</v>
      </c>
      <c r="I19" s="28">
        <f>IFERROR(I5/I15,0)</f>
        <v>6.1179583377517002</v>
      </c>
      <c r="J19" s="11" t="s">
        <v>79</v>
      </c>
    </row>
    <row r="20" spans="2:10" x14ac:dyDescent="0.25">
      <c r="B20" s="7" t="s">
        <v>83</v>
      </c>
      <c r="C20">
        <f>C12</f>
        <v>2000</v>
      </c>
      <c r="D20" t="s">
        <v>84</v>
      </c>
      <c r="E20" s="8"/>
    </row>
    <row r="21" spans="2:10" x14ac:dyDescent="0.25">
      <c r="B21" s="7" t="s">
        <v>85</v>
      </c>
      <c r="C21" s="17">
        <f>C18*C19*C20</f>
        <v>1600000</v>
      </c>
      <c r="D21" t="s">
        <v>62</v>
      </c>
      <c r="E21" s="8"/>
    </row>
    <row r="22" spans="2:10" x14ac:dyDescent="0.25">
      <c r="B22" s="7"/>
      <c r="E22" s="8"/>
    </row>
    <row r="23" spans="2:10" x14ac:dyDescent="0.25">
      <c r="B23" s="7"/>
      <c r="E23" s="8"/>
    </row>
    <row r="24" spans="2:10" x14ac:dyDescent="0.25">
      <c r="B24" s="23" t="s">
        <v>59</v>
      </c>
      <c r="C24" s="24"/>
      <c r="D24" s="24" t="s">
        <v>2</v>
      </c>
      <c r="E24" s="25" t="s">
        <v>74</v>
      </c>
    </row>
    <row r="25" spans="2:10" x14ac:dyDescent="0.25">
      <c r="B25" s="7" t="s">
        <v>76</v>
      </c>
      <c r="D25" t="s">
        <v>77</v>
      </c>
      <c r="E25" s="8"/>
    </row>
    <row r="26" spans="2:10" x14ac:dyDescent="0.25">
      <c r="B26" s="7" t="s">
        <v>80</v>
      </c>
      <c r="D26" t="s">
        <v>81</v>
      </c>
      <c r="E26" s="8"/>
    </row>
    <row r="27" spans="2:10" x14ac:dyDescent="0.25">
      <c r="B27" s="7" t="s">
        <v>83</v>
      </c>
      <c r="D27" t="s">
        <v>84</v>
      </c>
      <c r="E27" s="8"/>
      <c r="G27" s="17"/>
    </row>
    <row r="28" spans="2:10" x14ac:dyDescent="0.25">
      <c r="B28" s="7" t="s">
        <v>85</v>
      </c>
      <c r="C28" s="17">
        <f>C21-C35</f>
        <v>727272.72727272718</v>
      </c>
      <c r="D28" t="s">
        <v>62</v>
      </c>
      <c r="E28" s="8"/>
      <c r="G28" s="17"/>
    </row>
    <row r="29" spans="2:10" x14ac:dyDescent="0.25">
      <c r="B29" s="7" t="s">
        <v>85</v>
      </c>
      <c r="C29" s="17">
        <f>-C28*C15*3.6/31.65</f>
        <v>-16544.592847910382</v>
      </c>
      <c r="D29" t="s">
        <v>86</v>
      </c>
      <c r="E29" s="8" t="s">
        <v>244</v>
      </c>
      <c r="G29" s="17"/>
      <c r="H29" t="s">
        <v>88</v>
      </c>
    </row>
    <row r="30" spans="2:10" x14ac:dyDescent="0.25">
      <c r="B30" s="7" t="s">
        <v>245</v>
      </c>
      <c r="C30" s="3">
        <v>20000</v>
      </c>
      <c r="D30" t="s">
        <v>66</v>
      </c>
      <c r="E30" s="8" t="s">
        <v>246</v>
      </c>
      <c r="G30" s="17"/>
      <c r="H30" t="s">
        <v>247</v>
      </c>
    </row>
    <row r="31" spans="2:10" x14ac:dyDescent="0.25">
      <c r="B31" s="23" t="s">
        <v>90</v>
      </c>
      <c r="C31" s="24"/>
      <c r="D31" s="24" t="s">
        <v>2</v>
      </c>
      <c r="E31" s="25" t="s">
        <v>74</v>
      </c>
      <c r="G31" s="17"/>
    </row>
    <row r="32" spans="2:10" x14ac:dyDescent="0.25">
      <c r="B32" s="7" t="s">
        <v>76</v>
      </c>
      <c r="C32">
        <f>C9*C8/C14/1000</f>
        <v>436.36363636363643</v>
      </c>
      <c r="D32" t="s">
        <v>77</v>
      </c>
      <c r="E32" s="8"/>
    </row>
    <row r="33" spans="2:9" x14ac:dyDescent="0.25">
      <c r="B33" s="7" t="s">
        <v>80</v>
      </c>
      <c r="C33" s="36">
        <v>1</v>
      </c>
      <c r="D33" t="s">
        <v>81</v>
      </c>
      <c r="E33" s="8"/>
      <c r="H33" t="s">
        <v>92</v>
      </c>
    </row>
    <row r="34" spans="2:9" x14ac:dyDescent="0.25">
      <c r="B34" s="7" t="s">
        <v>83</v>
      </c>
      <c r="C34">
        <f>C12</f>
        <v>2000</v>
      </c>
      <c r="D34" t="s">
        <v>84</v>
      </c>
      <c r="E34" s="8"/>
      <c r="I34" s="31" t="s">
        <v>248</v>
      </c>
    </row>
    <row r="35" spans="2:9" x14ac:dyDescent="0.25">
      <c r="B35" s="9" t="s">
        <v>85</v>
      </c>
      <c r="C35" s="26">
        <f>C32*C33*C34</f>
        <v>872727.27272727282</v>
      </c>
      <c r="D35" s="10" t="s">
        <v>62</v>
      </c>
      <c r="E35" s="11"/>
    </row>
    <row r="39" spans="2:9" x14ac:dyDescent="0.25">
      <c r="B39" s="14" t="s">
        <v>95</v>
      </c>
      <c r="C39" s="15"/>
      <c r="D39" s="15"/>
      <c r="E39" s="16"/>
    </row>
    <row r="40" spans="2:9" x14ac:dyDescent="0.25">
      <c r="B40" s="7"/>
      <c r="E40" s="8"/>
    </row>
    <row r="41" spans="2:9" x14ac:dyDescent="0.25">
      <c r="B41" s="7" t="s">
        <v>249</v>
      </c>
      <c r="C41" s="38">
        <f>C20</f>
        <v>2000</v>
      </c>
      <c r="D41" t="s">
        <v>68</v>
      </c>
      <c r="E41" s="8"/>
    </row>
    <row r="42" spans="2:9" x14ac:dyDescent="0.25">
      <c r="B42" s="7" t="s">
        <v>250</v>
      </c>
      <c r="C42" s="39">
        <v>1.8</v>
      </c>
      <c r="D42" t="s">
        <v>240</v>
      </c>
      <c r="E42" s="8"/>
      <c r="H42" s="17"/>
    </row>
    <row r="43" spans="2:9" x14ac:dyDescent="0.25">
      <c r="B43" s="7" t="s">
        <v>251</v>
      </c>
      <c r="C43" s="40">
        <v>3.3</v>
      </c>
      <c r="D43" t="s">
        <v>240</v>
      </c>
      <c r="E43" s="8"/>
      <c r="H43" s="17"/>
    </row>
    <row r="44" spans="2:9" x14ac:dyDescent="0.25">
      <c r="B44" s="7" t="s">
        <v>236</v>
      </c>
      <c r="C44">
        <f>C9</f>
        <v>120</v>
      </c>
      <c r="D44" t="s">
        <v>252</v>
      </c>
      <c r="E44" s="8"/>
    </row>
    <row r="45" spans="2:9" x14ac:dyDescent="0.25">
      <c r="B45" s="7" t="s">
        <v>253</v>
      </c>
      <c r="C45" s="17">
        <f>C44*C8/C42/1000</f>
        <v>800</v>
      </c>
      <c r="D45" t="s">
        <v>77</v>
      </c>
      <c r="E45" s="8"/>
    </row>
    <row r="46" spans="2:9" x14ac:dyDescent="0.25">
      <c r="B46" s="7" t="s">
        <v>254</v>
      </c>
      <c r="C46" s="17">
        <f>C45*C41</f>
        <v>1600000</v>
      </c>
      <c r="D46" t="s">
        <v>62</v>
      </c>
      <c r="E46" s="8"/>
    </row>
    <row r="47" spans="2:9" x14ac:dyDescent="0.25">
      <c r="B47" s="7" t="s">
        <v>255</v>
      </c>
      <c r="C47" s="17">
        <f>C44*C8/C43/1000</f>
        <v>436.36363636363643</v>
      </c>
      <c r="D47" t="s">
        <v>77</v>
      </c>
      <c r="E47" s="8"/>
    </row>
    <row r="48" spans="2:9" x14ac:dyDescent="0.25">
      <c r="B48" s="7" t="s">
        <v>256</v>
      </c>
      <c r="C48" s="17">
        <f>C47*C41</f>
        <v>872727.27272727282</v>
      </c>
      <c r="D48" t="s">
        <v>62</v>
      </c>
      <c r="E48" s="8"/>
    </row>
    <row r="49" spans="2:12" x14ac:dyDescent="0.25">
      <c r="B49" s="29" t="s">
        <v>257</v>
      </c>
      <c r="C49" s="36">
        <v>0.7</v>
      </c>
      <c r="D49" s="30"/>
      <c r="E49" s="8" t="s">
        <v>258</v>
      </c>
    </row>
    <row r="50" spans="2:12" x14ac:dyDescent="0.25">
      <c r="B50" s="7" t="s">
        <v>259</v>
      </c>
      <c r="C50" s="17">
        <f>(C46-C48)*C49/31.65*3.6</f>
        <v>57906.074967686334</v>
      </c>
      <c r="D50" t="s">
        <v>260</v>
      </c>
      <c r="E50" s="8"/>
    </row>
    <row r="51" spans="2:12" x14ac:dyDescent="0.25">
      <c r="B51" s="7"/>
      <c r="E51" s="8"/>
    </row>
    <row r="52" spans="2:12" x14ac:dyDescent="0.25">
      <c r="B52" s="7"/>
      <c r="E52" s="8"/>
    </row>
    <row r="53" spans="2:12" x14ac:dyDescent="0.25">
      <c r="B53" s="29" t="s">
        <v>245</v>
      </c>
      <c r="C53" s="39"/>
      <c r="E53" s="8"/>
    </row>
    <row r="54" spans="2:12" x14ac:dyDescent="0.25">
      <c r="B54" s="29" t="s">
        <v>261</v>
      </c>
      <c r="C54" s="67">
        <f>400000*0.05</f>
        <v>20000</v>
      </c>
      <c r="D54" s="30"/>
      <c r="E54" s="8" t="s">
        <v>262</v>
      </c>
    </row>
    <row r="55" spans="2:12" x14ac:dyDescent="0.25">
      <c r="B55" s="29"/>
      <c r="C55" s="30"/>
      <c r="E55" s="8"/>
    </row>
    <row r="56" spans="2:12" x14ac:dyDescent="0.25">
      <c r="B56" s="7"/>
      <c r="E56" s="8"/>
    </row>
    <row r="57" spans="2:12" x14ac:dyDescent="0.25">
      <c r="B57" s="7"/>
      <c r="C57" s="17"/>
      <c r="E57" s="8"/>
      <c r="L57" s="63"/>
    </row>
    <row r="58" spans="2:12" x14ac:dyDescent="0.25">
      <c r="B58" s="7"/>
      <c r="C58" s="17"/>
      <c r="E58" s="8"/>
    </row>
    <row r="59" spans="2:12" x14ac:dyDescent="0.25">
      <c r="B59" s="7"/>
      <c r="E59" s="8"/>
    </row>
    <row r="60" spans="2:12" x14ac:dyDescent="0.25">
      <c r="B60" s="9"/>
      <c r="C60" s="10"/>
      <c r="D60" s="10"/>
      <c r="E60" s="11"/>
    </row>
    <row r="62" spans="2:12" x14ac:dyDescent="0.25">
      <c r="B62" t="s">
        <v>133</v>
      </c>
      <c r="C62" t="s">
        <v>263</v>
      </c>
    </row>
    <row r="63" spans="2:12" x14ac:dyDescent="0.25">
      <c r="B63" t="s">
        <v>59</v>
      </c>
      <c r="C63">
        <f>1-(C35/C21)</f>
        <v>0.45454545454545447</v>
      </c>
      <c r="E63" s="43"/>
    </row>
    <row r="64" spans="2:12" x14ac:dyDescent="0.25">
      <c r="B64" t="s">
        <v>136</v>
      </c>
      <c r="C64">
        <f>C12</f>
        <v>2000</v>
      </c>
    </row>
    <row r="65" spans="2:4" x14ac:dyDescent="0.25">
      <c r="B65" t="s">
        <v>177</v>
      </c>
      <c r="C65">
        <v>800</v>
      </c>
    </row>
    <row r="66" spans="2:4" x14ac:dyDescent="0.25">
      <c r="C66">
        <f>C63*C64*C65</f>
        <v>727272.72727272706</v>
      </c>
    </row>
    <row r="68" spans="2:4" x14ac:dyDescent="0.25">
      <c r="C68" t="s">
        <v>264</v>
      </c>
    </row>
    <row r="69" spans="2:4" x14ac:dyDescent="0.25">
      <c r="B69" t="s">
        <v>265</v>
      </c>
      <c r="C69">
        <v>0.2</v>
      </c>
      <c r="D69" t="s">
        <v>81</v>
      </c>
    </row>
    <row r="70" spans="2:4" x14ac:dyDescent="0.25">
      <c r="B70" t="s">
        <v>266</v>
      </c>
      <c r="C70">
        <f>3.6/31.65</f>
        <v>0.11374407582938389</v>
      </c>
    </row>
    <row r="71" spans="2:4" x14ac:dyDescent="0.25">
      <c r="C71">
        <f>C66*C69*C70</f>
        <v>16544.592847910379</v>
      </c>
    </row>
  </sheetData>
  <pageMargins left="0.7" right="0.7" top="0.75" bottom="0.75" header="0.3" footer="0.3"/>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5ABA60-13E9-4B17-B210-933AF4F358CB}">
  <sheetPr codeName="Blad11">
    <tabColor theme="0" tint="-0.14999847407452621"/>
  </sheetPr>
  <dimension ref="B2:J74"/>
  <sheetViews>
    <sheetView workbookViewId="0">
      <selection activeCell="H29" sqref="H29:H34"/>
    </sheetView>
  </sheetViews>
  <sheetFormatPr defaultRowHeight="15" x14ac:dyDescent="0.25"/>
  <cols>
    <col min="2" max="2" width="33" customWidth="1"/>
    <col min="3" max="3" width="9.140625" customWidth="1"/>
    <col min="4" max="4" width="10.7109375" customWidth="1"/>
    <col min="5" max="5" width="69.42578125" customWidth="1"/>
    <col min="8" max="8" width="21.85546875" customWidth="1"/>
    <col min="9" max="9" width="11" bestFit="1" customWidth="1"/>
  </cols>
  <sheetData>
    <row r="2" spans="2:10" x14ac:dyDescent="0.25">
      <c r="B2" s="14" t="s">
        <v>50</v>
      </c>
      <c r="C2" s="12"/>
      <c r="D2" s="12"/>
      <c r="E2" s="13"/>
      <c r="H2" s="14" t="s">
        <v>51</v>
      </c>
      <c r="I2" s="15"/>
      <c r="J2" s="16"/>
    </row>
    <row r="3" spans="2:10" x14ac:dyDescent="0.25">
      <c r="B3" s="7" t="s">
        <v>52</v>
      </c>
      <c r="C3" t="s">
        <v>34</v>
      </c>
      <c r="E3" s="8"/>
      <c r="H3" s="23" t="s">
        <v>53</v>
      </c>
      <c r="I3" s="24"/>
      <c r="J3" s="25"/>
    </row>
    <row r="4" spans="2:10" x14ac:dyDescent="0.25">
      <c r="B4" s="7" t="s">
        <v>9</v>
      </c>
      <c r="C4" t="str">
        <f>_xlfn.XLOOKUP(C3,'EBM''s'!$C$6:$C$24,'EBM''s'!$D$6:$D$24)</f>
        <v>Pas meerdere schakelgroepen toe bij groeibelichting</v>
      </c>
      <c r="E4" s="8"/>
      <c r="H4" s="7" t="s">
        <v>54</v>
      </c>
      <c r="I4" s="3">
        <f>_xlfn.XLOOKUP(C3,'EBM''s'!$C$6:$C$24,'EBM''s'!$E$6:$E$24)</f>
        <v>39160</v>
      </c>
      <c r="J4" s="8"/>
    </row>
    <row r="5" spans="2:10" x14ac:dyDescent="0.25">
      <c r="B5" s="7"/>
      <c r="E5" s="8"/>
      <c r="H5" s="7" t="s">
        <v>55</v>
      </c>
      <c r="I5" s="3">
        <f>_xlfn.XLOOKUP(C3,'EBM''s'!$C$6:$C$24,'EBM''s'!$F$6:$F$24)</f>
        <v>12540</v>
      </c>
      <c r="J5" s="8"/>
    </row>
    <row r="6" spans="2:10" x14ac:dyDescent="0.25">
      <c r="B6" s="7"/>
      <c r="E6" s="8"/>
      <c r="H6" s="7"/>
      <c r="J6" s="8"/>
    </row>
    <row r="7" spans="2:10" x14ac:dyDescent="0.25">
      <c r="B7" s="18" t="s">
        <v>56</v>
      </c>
      <c r="C7" s="19"/>
      <c r="D7" s="19"/>
      <c r="E7" s="20"/>
      <c r="H7" s="7"/>
      <c r="J7" s="8"/>
    </row>
    <row r="8" spans="2:10" x14ac:dyDescent="0.25">
      <c r="B8" s="21" t="s">
        <v>147</v>
      </c>
      <c r="C8" s="22">
        <f>100*120</f>
        <v>12000</v>
      </c>
      <c r="D8" s="2" t="s">
        <v>58</v>
      </c>
      <c r="E8" s="8"/>
      <c r="H8" s="23" t="s">
        <v>59</v>
      </c>
      <c r="I8" s="24"/>
      <c r="J8" s="25" t="s">
        <v>2</v>
      </c>
    </row>
    <row r="9" spans="2:10" x14ac:dyDescent="0.25">
      <c r="B9" s="21" t="s">
        <v>236</v>
      </c>
      <c r="C9" s="2">
        <v>120</v>
      </c>
      <c r="D9" s="2" t="s">
        <v>237</v>
      </c>
      <c r="E9" s="8"/>
      <c r="H9" s="7" t="s">
        <v>61</v>
      </c>
      <c r="I9" s="17">
        <f>C28</f>
        <v>48000</v>
      </c>
      <c r="J9" s="8" t="s">
        <v>62</v>
      </c>
    </row>
    <row r="10" spans="2:10" x14ac:dyDescent="0.25">
      <c r="B10" s="21" t="s">
        <v>239</v>
      </c>
      <c r="C10" s="2">
        <v>1.8</v>
      </c>
      <c r="D10" s="2" t="s">
        <v>240</v>
      </c>
      <c r="E10" s="8"/>
      <c r="H10" s="7" t="s">
        <v>63</v>
      </c>
      <c r="I10" s="17">
        <f>C29</f>
        <v>-2729.8578199052135</v>
      </c>
      <c r="J10" s="8" t="s">
        <v>64</v>
      </c>
    </row>
    <row r="11" spans="2:10" x14ac:dyDescent="0.25">
      <c r="B11" s="18" t="s">
        <v>65</v>
      </c>
      <c r="C11" s="19"/>
      <c r="D11" s="19"/>
      <c r="E11" s="20"/>
      <c r="H11" s="7"/>
      <c r="J11" s="8"/>
    </row>
    <row r="12" spans="2:10" x14ac:dyDescent="0.25">
      <c r="B12" s="21" t="s">
        <v>238</v>
      </c>
      <c r="C12" s="2">
        <v>2000</v>
      </c>
      <c r="D12" s="2" t="s">
        <v>68</v>
      </c>
      <c r="E12" s="8"/>
      <c r="H12" s="7" t="s">
        <v>61</v>
      </c>
      <c r="I12" s="3">
        <f>I9*Energieprijzen!$C$4</f>
        <v>9120</v>
      </c>
      <c r="J12" s="8" t="s">
        <v>66</v>
      </c>
    </row>
    <row r="13" spans="2:10" x14ac:dyDescent="0.25">
      <c r="B13" s="21" t="s">
        <v>267</v>
      </c>
      <c r="C13" s="42">
        <v>0.1</v>
      </c>
      <c r="D13" s="2" t="s">
        <v>81</v>
      </c>
      <c r="E13" s="8"/>
      <c r="H13" s="7" t="s">
        <v>63</v>
      </c>
      <c r="I13" s="3">
        <f>I10*Energieprijzen!$C$5</f>
        <v>-1965.4976303317537</v>
      </c>
      <c r="J13" s="8" t="s">
        <v>66</v>
      </c>
    </row>
    <row r="14" spans="2:10" x14ac:dyDescent="0.25">
      <c r="B14" s="21" t="s">
        <v>268</v>
      </c>
      <c r="C14" s="42">
        <v>0.3</v>
      </c>
      <c r="D14" s="2" t="s">
        <v>81</v>
      </c>
      <c r="E14" s="8"/>
      <c r="H14" s="7" t="s">
        <v>71</v>
      </c>
      <c r="I14" s="3">
        <f>SUM(I12:I13)</f>
        <v>7154.5023696682465</v>
      </c>
      <c r="J14" s="8" t="s">
        <v>66</v>
      </c>
    </row>
    <row r="15" spans="2:10" x14ac:dyDescent="0.25">
      <c r="B15" s="21" t="s">
        <v>243</v>
      </c>
      <c r="C15" s="42">
        <v>0.5</v>
      </c>
      <c r="D15" s="2" t="s">
        <v>81</v>
      </c>
      <c r="E15" s="8"/>
      <c r="H15" s="7"/>
      <c r="J15" s="8"/>
    </row>
    <row r="16" spans="2:10" x14ac:dyDescent="0.25">
      <c r="B16" s="18" t="s">
        <v>72</v>
      </c>
      <c r="C16" s="19"/>
      <c r="D16" s="19"/>
      <c r="E16" s="20"/>
      <c r="H16" s="7"/>
      <c r="J16" s="8"/>
    </row>
    <row r="17" spans="2:10" x14ac:dyDescent="0.25">
      <c r="B17" s="23" t="s">
        <v>73</v>
      </c>
      <c r="C17" s="24"/>
      <c r="D17" s="24" t="s">
        <v>2</v>
      </c>
      <c r="E17" s="25" t="s">
        <v>74</v>
      </c>
      <c r="H17" s="23" t="s">
        <v>75</v>
      </c>
      <c r="I17" s="24"/>
      <c r="J17" s="25" t="s">
        <v>2</v>
      </c>
    </row>
    <row r="18" spans="2:10" x14ac:dyDescent="0.25">
      <c r="B18" s="7" t="s">
        <v>76</v>
      </c>
      <c r="C18">
        <f>C8*C9/C10/1000</f>
        <v>800</v>
      </c>
      <c r="D18" t="s">
        <v>77</v>
      </c>
      <c r="E18" s="8"/>
      <c r="H18" s="7" t="s">
        <v>78</v>
      </c>
      <c r="I18" s="1">
        <f>IFERROR(I4/I14,0)</f>
        <v>5.4734764175940649</v>
      </c>
      <c r="J18" s="8" t="s">
        <v>79</v>
      </c>
    </row>
    <row r="19" spans="2:10" x14ac:dyDescent="0.25">
      <c r="B19" s="7" t="s">
        <v>80</v>
      </c>
      <c r="C19" s="36">
        <v>1</v>
      </c>
      <c r="D19" t="s">
        <v>81</v>
      </c>
      <c r="E19" s="8"/>
      <c r="H19" s="9" t="s">
        <v>82</v>
      </c>
      <c r="I19" s="28">
        <f>IFERROR(I5/I14,0)</f>
        <v>1.7527424483306837</v>
      </c>
      <c r="J19" s="11" t="s">
        <v>79</v>
      </c>
    </row>
    <row r="20" spans="2:10" x14ac:dyDescent="0.25">
      <c r="B20" s="7" t="s">
        <v>83</v>
      </c>
      <c r="C20">
        <v>2000</v>
      </c>
      <c r="D20" t="s">
        <v>84</v>
      </c>
      <c r="E20" s="8"/>
    </row>
    <row r="21" spans="2:10" x14ac:dyDescent="0.25">
      <c r="B21" s="7" t="s">
        <v>85</v>
      </c>
      <c r="C21" s="17">
        <f>C18*C19*C20</f>
        <v>1600000</v>
      </c>
      <c r="D21" t="s">
        <v>62</v>
      </c>
      <c r="E21" s="8"/>
    </row>
    <row r="22" spans="2:10" x14ac:dyDescent="0.25">
      <c r="B22" s="7"/>
      <c r="E22" s="8"/>
    </row>
    <row r="23" spans="2:10" x14ac:dyDescent="0.25">
      <c r="B23" s="7"/>
      <c r="E23" s="8"/>
    </row>
    <row r="24" spans="2:10" x14ac:dyDescent="0.25">
      <c r="B24" s="23" t="s">
        <v>59</v>
      </c>
      <c r="C24" s="24"/>
      <c r="D24" s="24" t="s">
        <v>2</v>
      </c>
      <c r="E24" s="25" t="s">
        <v>74</v>
      </c>
    </row>
    <row r="25" spans="2:10" x14ac:dyDescent="0.25">
      <c r="B25" s="7" t="s">
        <v>76</v>
      </c>
      <c r="C25">
        <f>C18*C13</f>
        <v>80</v>
      </c>
      <c r="D25" t="s">
        <v>77</v>
      </c>
      <c r="E25" s="8" t="s">
        <v>269</v>
      </c>
    </row>
    <row r="26" spans="2:10" x14ac:dyDescent="0.25">
      <c r="B26" s="7" t="s">
        <v>80</v>
      </c>
      <c r="C26" s="36">
        <v>1</v>
      </c>
      <c r="D26" t="s">
        <v>81</v>
      </c>
      <c r="E26" s="8"/>
    </row>
    <row r="27" spans="2:10" x14ac:dyDescent="0.25">
      <c r="B27" s="7" t="s">
        <v>83</v>
      </c>
      <c r="C27">
        <f>C14*C20</f>
        <v>600</v>
      </c>
      <c r="D27" t="s">
        <v>84</v>
      </c>
      <c r="E27" s="8" t="s">
        <v>270</v>
      </c>
    </row>
    <row r="28" spans="2:10" x14ac:dyDescent="0.25">
      <c r="B28" s="7" t="s">
        <v>85</v>
      </c>
      <c r="C28" s="17">
        <f>C27*C26*C25</f>
        <v>48000</v>
      </c>
      <c r="D28" t="s">
        <v>62</v>
      </c>
      <c r="E28" s="8" t="s">
        <v>59</v>
      </c>
    </row>
    <row r="29" spans="2:10" x14ac:dyDescent="0.25">
      <c r="B29" s="7" t="s">
        <v>85</v>
      </c>
      <c r="C29" s="39">
        <f>-C28*C15*3.6/31.65</f>
        <v>-2729.8578199052135</v>
      </c>
      <c r="D29" t="s">
        <v>86</v>
      </c>
      <c r="E29" s="8" t="s">
        <v>244</v>
      </c>
      <c r="H29" t="s">
        <v>88</v>
      </c>
    </row>
    <row r="30" spans="2:10" x14ac:dyDescent="0.25">
      <c r="B30" s="7"/>
      <c r="E30" s="8"/>
      <c r="H30" t="s">
        <v>271</v>
      </c>
    </row>
    <row r="31" spans="2:10" x14ac:dyDescent="0.25">
      <c r="B31" s="23" t="s">
        <v>90</v>
      </c>
      <c r="C31" s="24"/>
      <c r="D31" s="24" t="s">
        <v>2</v>
      </c>
      <c r="E31" s="25" t="s">
        <v>74</v>
      </c>
    </row>
    <row r="32" spans="2:10" x14ac:dyDescent="0.25">
      <c r="B32" s="7" t="s">
        <v>76</v>
      </c>
      <c r="D32" t="s">
        <v>77</v>
      </c>
      <c r="E32" s="8"/>
    </row>
    <row r="33" spans="2:8" x14ac:dyDescent="0.25">
      <c r="B33" s="7" t="s">
        <v>80</v>
      </c>
      <c r="C33" s="36"/>
      <c r="D33" t="s">
        <v>81</v>
      </c>
      <c r="E33" s="8"/>
      <c r="H33" t="s">
        <v>92</v>
      </c>
    </row>
    <row r="34" spans="2:8" x14ac:dyDescent="0.25">
      <c r="B34" s="7" t="s">
        <v>83</v>
      </c>
      <c r="D34" t="s">
        <v>84</v>
      </c>
      <c r="E34" s="8"/>
      <c r="H34" t="s">
        <v>272</v>
      </c>
    </row>
    <row r="35" spans="2:8" x14ac:dyDescent="0.25">
      <c r="B35" s="9" t="s">
        <v>85</v>
      </c>
      <c r="C35" s="26">
        <f>C21-C28</f>
        <v>1552000</v>
      </c>
      <c r="D35" s="10" t="s">
        <v>62</v>
      </c>
      <c r="E35" s="11"/>
    </row>
    <row r="39" spans="2:8" x14ac:dyDescent="0.25">
      <c r="B39" s="14" t="s">
        <v>95</v>
      </c>
      <c r="C39" s="15"/>
      <c r="D39" s="15"/>
      <c r="E39" s="16"/>
    </row>
    <row r="40" spans="2:8" x14ac:dyDescent="0.25">
      <c r="B40" s="4"/>
      <c r="C40" s="5"/>
      <c r="D40" s="5"/>
      <c r="E40" s="6"/>
    </row>
    <row r="41" spans="2:8" x14ac:dyDescent="0.25">
      <c r="B41" s="7" t="s">
        <v>273</v>
      </c>
      <c r="E41" s="8"/>
    </row>
    <row r="42" spans="2:8" x14ac:dyDescent="0.25">
      <c r="B42" s="7" t="s">
        <v>274</v>
      </c>
      <c r="C42">
        <v>1000</v>
      </c>
      <c r="D42" t="s">
        <v>275</v>
      </c>
      <c r="E42" s="8"/>
    </row>
    <row r="43" spans="2:8" x14ac:dyDescent="0.25">
      <c r="B43" s="7" t="s">
        <v>276</v>
      </c>
      <c r="C43" s="39">
        <v>1.8</v>
      </c>
      <c r="D43" t="s">
        <v>240</v>
      </c>
      <c r="E43" s="8"/>
    </row>
    <row r="44" spans="2:8" x14ac:dyDescent="0.25">
      <c r="B44" s="7"/>
      <c r="E44" s="8"/>
    </row>
    <row r="45" spans="2:8" x14ac:dyDescent="0.25">
      <c r="B45" s="7" t="s">
        <v>249</v>
      </c>
      <c r="C45" s="38">
        <f>C20</f>
        <v>2000</v>
      </c>
      <c r="D45" t="s">
        <v>68</v>
      </c>
      <c r="E45" s="8"/>
    </row>
    <row r="46" spans="2:8" x14ac:dyDescent="0.25">
      <c r="B46" s="41"/>
      <c r="E46" s="8"/>
    </row>
    <row r="47" spans="2:8" x14ac:dyDescent="0.25">
      <c r="B47" s="41"/>
      <c r="E47" s="8"/>
    </row>
    <row r="48" spans="2:8" x14ac:dyDescent="0.25">
      <c r="B48" s="41"/>
      <c r="E48" s="8"/>
    </row>
    <row r="49" spans="2:5" x14ac:dyDescent="0.25">
      <c r="B49" s="7" t="s">
        <v>277</v>
      </c>
      <c r="E49" s="8"/>
    </row>
    <row r="50" spans="2:5" x14ac:dyDescent="0.25">
      <c r="B50" s="29" t="s">
        <v>278</v>
      </c>
      <c r="C50" s="36">
        <f>C13</f>
        <v>0.1</v>
      </c>
      <c r="E50" s="8"/>
    </row>
    <row r="51" spans="2:5" x14ac:dyDescent="0.25">
      <c r="B51" s="29" t="s">
        <v>279</v>
      </c>
      <c r="C51" s="36">
        <f>C14</f>
        <v>0.3</v>
      </c>
      <c r="D51" s="30"/>
      <c r="E51" s="8"/>
    </row>
    <row r="52" spans="2:5" x14ac:dyDescent="0.25">
      <c r="B52" s="7"/>
      <c r="C52" s="39"/>
      <c r="E52" s="8"/>
    </row>
    <row r="53" spans="2:5" x14ac:dyDescent="0.25">
      <c r="B53" s="7"/>
      <c r="E53" s="8"/>
    </row>
    <row r="54" spans="2:5" x14ac:dyDescent="0.25">
      <c r="B54" s="7"/>
      <c r="E54" s="8"/>
    </row>
    <row r="55" spans="2:5" x14ac:dyDescent="0.25">
      <c r="B55" s="7"/>
      <c r="E55" s="8"/>
    </row>
    <row r="56" spans="2:5" x14ac:dyDescent="0.25">
      <c r="B56" s="7"/>
      <c r="E56" s="8"/>
    </row>
    <row r="57" spans="2:5" x14ac:dyDescent="0.25">
      <c r="B57" s="7"/>
      <c r="E57" s="8"/>
    </row>
    <row r="58" spans="2:5" x14ac:dyDescent="0.25">
      <c r="B58" s="7"/>
      <c r="E58" s="8"/>
    </row>
    <row r="59" spans="2:5" x14ac:dyDescent="0.25">
      <c r="B59" s="7"/>
      <c r="E59" s="8"/>
    </row>
    <row r="60" spans="2:5" x14ac:dyDescent="0.25">
      <c r="B60" s="9"/>
      <c r="C60" s="10"/>
      <c r="D60" s="10"/>
      <c r="E60" s="11"/>
    </row>
    <row r="62" spans="2:5" x14ac:dyDescent="0.25">
      <c r="B62" t="s">
        <v>133</v>
      </c>
      <c r="C62" t="s">
        <v>263</v>
      </c>
    </row>
    <row r="63" spans="2:5" x14ac:dyDescent="0.25">
      <c r="B63" t="s">
        <v>134</v>
      </c>
      <c r="C63">
        <f>1-(C35/C21)</f>
        <v>3.0000000000000027E-2</v>
      </c>
    </row>
    <row r="64" spans="2:5" x14ac:dyDescent="0.25">
      <c r="B64" t="s">
        <v>136</v>
      </c>
      <c r="C64">
        <v>2000</v>
      </c>
    </row>
    <row r="65" spans="2:4" x14ac:dyDescent="0.25">
      <c r="B65" t="s">
        <v>177</v>
      </c>
      <c r="C65">
        <v>800</v>
      </c>
    </row>
    <row r="66" spans="2:4" x14ac:dyDescent="0.25">
      <c r="C66">
        <f>C63*C64*C65</f>
        <v>48000.000000000044</v>
      </c>
    </row>
    <row r="68" spans="2:4" x14ac:dyDescent="0.25">
      <c r="C68" t="s">
        <v>5</v>
      </c>
    </row>
    <row r="70" spans="2:4" x14ac:dyDescent="0.25">
      <c r="B70" t="s">
        <v>280</v>
      </c>
      <c r="C70">
        <v>0.5</v>
      </c>
      <c r="D70" t="s">
        <v>81</v>
      </c>
    </row>
    <row r="71" spans="2:4" x14ac:dyDescent="0.25">
      <c r="B71" t="s">
        <v>281</v>
      </c>
      <c r="C71">
        <f>31.65/3.6</f>
        <v>8.7916666666666661</v>
      </c>
    </row>
    <row r="72" spans="2:4" x14ac:dyDescent="0.25">
      <c r="C72">
        <f>-C63*C64*C65*C70*3.6/31.65</f>
        <v>-2729.8578199052163</v>
      </c>
    </row>
    <row r="73" spans="2:4" x14ac:dyDescent="0.25">
      <c r="C73" t="s">
        <v>282</v>
      </c>
    </row>
    <row r="74" spans="2:4" x14ac:dyDescent="0.25">
      <c r="C74">
        <f>3.6/31.65</f>
        <v>0.11374407582938389</v>
      </c>
    </row>
  </sheetData>
  <pageMargins left="0.7" right="0.7" top="0.75" bottom="0.75" header="0.3" footer="0.3"/>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E1EB19-9CC8-447E-9D89-D238EF28506F}">
  <sheetPr codeName="Blad12">
    <tabColor theme="7"/>
  </sheetPr>
  <dimension ref="B2:P67"/>
  <sheetViews>
    <sheetView workbookViewId="0">
      <selection activeCell="I18" sqref="I18"/>
    </sheetView>
  </sheetViews>
  <sheetFormatPr defaultRowHeight="15" x14ac:dyDescent="0.25"/>
  <cols>
    <col min="2" max="2" width="33" customWidth="1"/>
    <col min="3" max="3" width="9.140625" customWidth="1"/>
    <col min="4" max="4" width="10.7109375" customWidth="1"/>
    <col min="5" max="5" width="69.42578125" customWidth="1"/>
    <col min="8" max="8" width="21.85546875" customWidth="1"/>
    <col min="9" max="9" width="25.140625" customWidth="1"/>
    <col min="13" max="13" width="9.140625" customWidth="1"/>
  </cols>
  <sheetData>
    <row r="2" spans="2:10" x14ac:dyDescent="0.25">
      <c r="B2" s="14" t="s">
        <v>50</v>
      </c>
      <c r="C2" s="12"/>
      <c r="D2" s="12"/>
      <c r="E2" s="13"/>
      <c r="H2" s="14" t="s">
        <v>51</v>
      </c>
      <c r="I2" s="15"/>
      <c r="J2" s="16"/>
    </row>
    <row r="3" spans="2:10" x14ac:dyDescent="0.25">
      <c r="B3" s="7" t="s">
        <v>52</v>
      </c>
      <c r="C3" t="s">
        <v>36</v>
      </c>
      <c r="E3" s="8"/>
      <c r="H3" s="23" t="s">
        <v>53</v>
      </c>
      <c r="I3" s="24"/>
      <c r="J3" s="25"/>
    </row>
    <row r="4" spans="2:10" x14ac:dyDescent="0.25">
      <c r="B4" s="7" t="s">
        <v>9</v>
      </c>
      <c r="C4" t="str">
        <f>_xlfn.XLOOKUP(C3,'EBM''s'!$C$6:$C$24,'EBM''s'!$D$6:$D$24)</f>
        <v xml:space="preserve">Pas een ontvochtigingssysteem toe </v>
      </c>
      <c r="E4" s="8"/>
      <c r="H4" s="7" t="s">
        <v>54</v>
      </c>
      <c r="I4" s="68">
        <f>_xlfn.XLOOKUP(C3,'EBM''s'!$C$6:$C$24,'EBM''s'!$E$6:$E$24)</f>
        <v>17.05916666666667</v>
      </c>
      <c r="J4" s="8"/>
    </row>
    <row r="5" spans="2:10" x14ac:dyDescent="0.25">
      <c r="B5" s="7"/>
      <c r="E5" s="8"/>
      <c r="H5" s="7" t="s">
        <v>55</v>
      </c>
      <c r="I5" s="68">
        <f>_xlfn.XLOOKUP(C3,'EBM''s'!$C$6:$C$24,'EBM''s'!$F$6:$F$24)</f>
        <v>16.956500000000002</v>
      </c>
      <c r="J5" s="8"/>
    </row>
    <row r="6" spans="2:10" x14ac:dyDescent="0.25">
      <c r="B6" s="7"/>
      <c r="E6" s="8"/>
      <c r="H6" s="7"/>
      <c r="J6" s="8"/>
    </row>
    <row r="7" spans="2:10" x14ac:dyDescent="0.25">
      <c r="B7" s="18" t="s">
        <v>56</v>
      </c>
      <c r="C7" s="19"/>
      <c r="D7" s="19"/>
      <c r="E7" s="20"/>
      <c r="H7" s="7"/>
      <c r="J7" s="8"/>
    </row>
    <row r="8" spans="2:10" x14ac:dyDescent="0.25">
      <c r="B8" s="21" t="s">
        <v>283</v>
      </c>
      <c r="C8" s="22"/>
      <c r="D8" s="2"/>
      <c r="E8" s="8"/>
      <c r="H8" s="23" t="s">
        <v>59</v>
      </c>
      <c r="I8" s="24"/>
      <c r="J8" s="25" t="s">
        <v>2</v>
      </c>
    </row>
    <row r="9" spans="2:10" x14ac:dyDescent="0.25">
      <c r="B9" s="21" t="s">
        <v>57</v>
      </c>
      <c r="C9" s="22">
        <f>100*120</f>
        <v>12000</v>
      </c>
      <c r="D9" s="2" t="s">
        <v>58</v>
      </c>
      <c r="E9" s="8"/>
      <c r="H9" s="7" t="s">
        <v>61</v>
      </c>
      <c r="I9" s="17">
        <f>C29</f>
        <v>-15</v>
      </c>
      <c r="J9" s="8" t="s">
        <v>62</v>
      </c>
    </row>
    <row r="10" spans="2:10" x14ac:dyDescent="0.25">
      <c r="B10" s="7"/>
      <c r="E10" s="8"/>
      <c r="H10" s="7" t="s">
        <v>63</v>
      </c>
      <c r="I10" s="17">
        <f>C28</f>
        <v>8</v>
      </c>
      <c r="J10" s="8" t="s">
        <v>64</v>
      </c>
    </row>
    <row r="11" spans="2:10" x14ac:dyDescent="0.25">
      <c r="B11" s="18" t="s">
        <v>65</v>
      </c>
      <c r="C11" s="19"/>
      <c r="D11" s="19"/>
      <c r="E11" s="20"/>
      <c r="H11" s="7"/>
      <c r="J11" s="8"/>
    </row>
    <row r="12" spans="2:10" x14ac:dyDescent="0.25">
      <c r="B12" s="21" t="s">
        <v>218</v>
      </c>
      <c r="C12" s="2">
        <v>30</v>
      </c>
      <c r="D12" s="2" t="s">
        <v>219</v>
      </c>
      <c r="E12" s="8"/>
      <c r="H12" s="7" t="s">
        <v>61</v>
      </c>
      <c r="I12" s="3">
        <f>I9*Energieprijzen!$C$4</f>
        <v>-2.85</v>
      </c>
      <c r="J12" s="8" t="s">
        <v>66</v>
      </c>
    </row>
    <row r="13" spans="2:10" x14ac:dyDescent="0.25">
      <c r="B13" s="7"/>
      <c r="E13" s="8"/>
      <c r="H13" s="7" t="s">
        <v>63</v>
      </c>
      <c r="I13" s="3">
        <f>I10*Energieprijzen!$C$5</f>
        <v>5.76</v>
      </c>
      <c r="J13" s="8" t="s">
        <v>66</v>
      </c>
    </row>
    <row r="14" spans="2:10" x14ac:dyDescent="0.25">
      <c r="B14" s="7"/>
      <c r="E14" s="8"/>
      <c r="H14" s="7" t="s">
        <v>71</v>
      </c>
      <c r="I14" s="3">
        <f>SUM(I12:I13)</f>
        <v>2.9099999999999997</v>
      </c>
      <c r="J14" s="8" t="s">
        <v>66</v>
      </c>
    </row>
    <row r="15" spans="2:10" x14ac:dyDescent="0.25">
      <c r="B15" s="7"/>
      <c r="E15" s="8"/>
      <c r="H15" s="7"/>
      <c r="J15" s="8"/>
    </row>
    <row r="16" spans="2:10" x14ac:dyDescent="0.25">
      <c r="B16" s="18" t="s">
        <v>72</v>
      </c>
      <c r="C16" s="19"/>
      <c r="D16" s="19"/>
      <c r="E16" s="20"/>
      <c r="H16" s="7"/>
      <c r="J16" s="8"/>
    </row>
    <row r="17" spans="2:16" x14ac:dyDescent="0.25">
      <c r="B17" s="23" t="s">
        <v>73</v>
      </c>
      <c r="C17" s="24"/>
      <c r="D17" s="24" t="s">
        <v>2</v>
      </c>
      <c r="E17" s="25" t="s">
        <v>74</v>
      </c>
      <c r="H17" s="23" t="s">
        <v>75</v>
      </c>
      <c r="I17" s="24"/>
      <c r="J17" s="25" t="s">
        <v>2</v>
      </c>
    </row>
    <row r="18" spans="2:16" x14ac:dyDescent="0.25">
      <c r="B18" s="7" t="s">
        <v>76</v>
      </c>
      <c r="D18" t="s">
        <v>77</v>
      </c>
      <c r="E18" s="8"/>
      <c r="H18" s="7" t="s">
        <v>78</v>
      </c>
      <c r="I18" s="1">
        <f>IFERROR(I4/I14,0)</f>
        <v>5.862256586483392</v>
      </c>
      <c r="J18" s="8" t="s">
        <v>79</v>
      </c>
    </row>
    <row r="19" spans="2:16" x14ac:dyDescent="0.25">
      <c r="B19" s="7" t="s">
        <v>80</v>
      </c>
      <c r="D19" t="s">
        <v>81</v>
      </c>
      <c r="E19" s="8"/>
      <c r="H19" s="9" t="s">
        <v>82</v>
      </c>
      <c r="I19" s="28">
        <f>IFERROR(I5/I14,0)</f>
        <v>5.8269759450171836</v>
      </c>
      <c r="J19" s="11" t="s">
        <v>79</v>
      </c>
    </row>
    <row r="20" spans="2:16" x14ac:dyDescent="0.25">
      <c r="B20" s="7" t="s">
        <v>83</v>
      </c>
      <c r="D20" t="s">
        <v>84</v>
      </c>
      <c r="E20" s="8"/>
    </row>
    <row r="21" spans="2:16" x14ac:dyDescent="0.25">
      <c r="B21" s="7" t="s">
        <v>85</v>
      </c>
      <c r="C21" s="17">
        <f>C12</f>
        <v>30</v>
      </c>
      <c r="D21" s="58" t="s">
        <v>284</v>
      </c>
      <c r="E21" s="8"/>
    </row>
    <row r="22" spans="2:16" x14ac:dyDescent="0.25">
      <c r="B22" s="7"/>
      <c r="E22" s="8"/>
    </row>
    <row r="23" spans="2:16" x14ac:dyDescent="0.25">
      <c r="B23" s="7"/>
      <c r="E23" s="8"/>
    </row>
    <row r="24" spans="2:16" x14ac:dyDescent="0.25">
      <c r="B24" s="23" t="s">
        <v>59</v>
      </c>
      <c r="C24" s="24"/>
      <c r="D24" s="24" t="s">
        <v>2</v>
      </c>
      <c r="E24" s="25" t="s">
        <v>74</v>
      </c>
    </row>
    <row r="25" spans="2:16" x14ac:dyDescent="0.25">
      <c r="B25" s="7" t="s">
        <v>76</v>
      </c>
      <c r="D25" t="s">
        <v>77</v>
      </c>
      <c r="E25" s="8"/>
    </row>
    <row r="26" spans="2:16" x14ac:dyDescent="0.25">
      <c r="B26" s="7" t="s">
        <v>80</v>
      </c>
      <c r="D26" t="s">
        <v>81</v>
      </c>
      <c r="E26" s="8"/>
      <c r="I26" s="81"/>
    </row>
    <row r="27" spans="2:16" x14ac:dyDescent="0.25">
      <c r="B27" s="7" t="s">
        <v>83</v>
      </c>
      <c r="D27" t="s">
        <v>84</v>
      </c>
      <c r="E27" s="8"/>
    </row>
    <row r="28" spans="2:16" x14ac:dyDescent="0.25">
      <c r="B28" s="7" t="s">
        <v>85</v>
      </c>
      <c r="C28" s="17">
        <f>C43</f>
        <v>8</v>
      </c>
      <c r="D28" s="58" t="s">
        <v>284</v>
      </c>
      <c r="E28" s="8" t="s">
        <v>285</v>
      </c>
      <c r="G28" s="17"/>
    </row>
    <row r="29" spans="2:16" x14ac:dyDescent="0.25">
      <c r="B29" s="7" t="s">
        <v>85</v>
      </c>
      <c r="C29" s="17">
        <f>-C44</f>
        <v>-15</v>
      </c>
      <c r="D29" s="58" t="s">
        <v>286</v>
      </c>
      <c r="E29" s="8" t="s">
        <v>287</v>
      </c>
    </row>
    <row r="30" spans="2:16" x14ac:dyDescent="0.25">
      <c r="B30" s="7"/>
      <c r="E30" s="8"/>
      <c r="H30" s="31" t="s">
        <v>288</v>
      </c>
    </row>
    <row r="31" spans="2:16" x14ac:dyDescent="0.25">
      <c r="B31" s="23" t="s">
        <v>90</v>
      </c>
      <c r="C31" s="24"/>
      <c r="D31" s="24" t="s">
        <v>2</v>
      </c>
      <c r="E31" s="25" t="s">
        <v>74</v>
      </c>
    </row>
    <row r="32" spans="2:16" x14ac:dyDescent="0.25">
      <c r="B32" s="7" t="s">
        <v>76</v>
      </c>
      <c r="D32" t="s">
        <v>77</v>
      </c>
      <c r="E32" s="8"/>
      <c r="H32" t="s">
        <v>289</v>
      </c>
      <c r="K32" t="s">
        <v>290</v>
      </c>
      <c r="L32" t="s">
        <v>291</v>
      </c>
      <c r="O32" t="s">
        <v>134</v>
      </c>
      <c r="P32" t="s">
        <v>292</v>
      </c>
    </row>
    <row r="33" spans="2:16" x14ac:dyDescent="0.25">
      <c r="B33" s="7" t="s">
        <v>80</v>
      </c>
      <c r="D33" t="s">
        <v>81</v>
      </c>
      <c r="E33" s="8"/>
      <c r="G33" t="s">
        <v>126</v>
      </c>
      <c r="H33" t="s">
        <v>293</v>
      </c>
      <c r="I33" t="s">
        <v>294</v>
      </c>
      <c r="K33">
        <v>15</v>
      </c>
      <c r="L33" s="54" t="s">
        <v>295</v>
      </c>
      <c r="M33" t="s">
        <v>296</v>
      </c>
      <c r="O33" s="55">
        <f>8/30</f>
        <v>0.26666666666666666</v>
      </c>
      <c r="P33" t="s">
        <v>297</v>
      </c>
    </row>
    <row r="34" spans="2:16" x14ac:dyDescent="0.25">
      <c r="B34" s="7" t="s">
        <v>83</v>
      </c>
      <c r="D34" t="s">
        <v>84</v>
      </c>
      <c r="E34" s="8"/>
      <c r="G34" t="s">
        <v>127</v>
      </c>
      <c r="H34" t="s">
        <v>298</v>
      </c>
      <c r="I34" t="s">
        <v>299</v>
      </c>
      <c r="K34">
        <v>2</v>
      </c>
      <c r="L34">
        <v>4</v>
      </c>
      <c r="M34" t="s">
        <v>296</v>
      </c>
      <c r="O34" s="55">
        <f>4/30</f>
        <v>0.13333333333333333</v>
      </c>
    </row>
    <row r="35" spans="2:16" x14ac:dyDescent="0.25">
      <c r="B35" s="9" t="s">
        <v>85</v>
      </c>
      <c r="C35" s="26">
        <f>C21-C28</f>
        <v>22</v>
      </c>
      <c r="D35" s="59" t="s">
        <v>284</v>
      </c>
      <c r="E35" s="11"/>
      <c r="G35" t="s">
        <v>128</v>
      </c>
      <c r="H35" t="s">
        <v>300</v>
      </c>
      <c r="I35" t="s">
        <v>301</v>
      </c>
      <c r="K35">
        <v>2</v>
      </c>
      <c r="L35">
        <v>3</v>
      </c>
      <c r="M35" t="s">
        <v>296</v>
      </c>
      <c r="O35" s="55">
        <f>3/30</f>
        <v>0.1</v>
      </c>
    </row>
    <row r="39" spans="2:16" x14ac:dyDescent="0.25">
      <c r="B39" s="14" t="s">
        <v>95</v>
      </c>
      <c r="C39" s="15"/>
      <c r="D39" s="15"/>
      <c r="E39" s="16"/>
    </row>
    <row r="40" spans="2:16" x14ac:dyDescent="0.25">
      <c r="B40" s="7" t="s">
        <v>302</v>
      </c>
      <c r="C40">
        <f>C12</f>
        <v>30</v>
      </c>
      <c r="D40" t="s">
        <v>219</v>
      </c>
      <c r="E40" s="8"/>
    </row>
    <row r="41" spans="2:16" x14ac:dyDescent="0.25">
      <c r="B41" s="7"/>
      <c r="E41" s="8"/>
    </row>
    <row r="42" spans="2:16" x14ac:dyDescent="0.25">
      <c r="B42" s="7" t="s">
        <v>303</v>
      </c>
      <c r="E42" s="8" t="s">
        <v>304</v>
      </c>
    </row>
    <row r="43" spans="2:16" x14ac:dyDescent="0.25">
      <c r="B43" s="7" t="s">
        <v>59</v>
      </c>
      <c r="C43">
        <v>8</v>
      </c>
      <c r="D43" t="s">
        <v>219</v>
      </c>
      <c r="E43" s="8"/>
    </row>
    <row r="44" spans="2:16" x14ac:dyDescent="0.25">
      <c r="B44" s="7" t="s">
        <v>305</v>
      </c>
      <c r="C44">
        <v>15</v>
      </c>
      <c r="D44" t="s">
        <v>286</v>
      </c>
      <c r="E44" s="8"/>
    </row>
    <row r="45" spans="2:16" x14ac:dyDescent="0.25">
      <c r="B45" s="7"/>
      <c r="E45" s="8"/>
    </row>
    <row r="46" spans="2:16" x14ac:dyDescent="0.25">
      <c r="B46" s="7"/>
      <c r="E46" s="8"/>
    </row>
    <row r="47" spans="2:16" x14ac:dyDescent="0.25">
      <c r="B47" s="7" t="s">
        <v>306</v>
      </c>
      <c r="E47" s="8" t="s">
        <v>307</v>
      </c>
    </row>
    <row r="48" spans="2:16" x14ac:dyDescent="0.25">
      <c r="B48" s="7" t="s">
        <v>59</v>
      </c>
      <c r="C48">
        <v>4</v>
      </c>
      <c r="D48" t="s">
        <v>219</v>
      </c>
      <c r="E48" s="8"/>
    </row>
    <row r="49" spans="2:5" x14ac:dyDescent="0.25">
      <c r="B49" s="7" t="s">
        <v>305</v>
      </c>
      <c r="C49">
        <v>2</v>
      </c>
      <c r="D49" t="s">
        <v>286</v>
      </c>
      <c r="E49" s="8"/>
    </row>
    <row r="50" spans="2:5" x14ac:dyDescent="0.25">
      <c r="B50" s="7"/>
      <c r="E50" s="8"/>
    </row>
    <row r="51" spans="2:5" x14ac:dyDescent="0.25">
      <c r="B51" s="7"/>
      <c r="D51" s="1"/>
      <c r="E51" s="8"/>
    </row>
    <row r="52" spans="2:5" x14ac:dyDescent="0.25">
      <c r="B52" s="7" t="s">
        <v>308</v>
      </c>
      <c r="E52" s="8" t="s">
        <v>309</v>
      </c>
    </row>
    <row r="53" spans="2:5" x14ac:dyDescent="0.25">
      <c r="B53" s="7" t="s">
        <v>59</v>
      </c>
      <c r="C53">
        <v>3</v>
      </c>
      <c r="D53" t="s">
        <v>219</v>
      </c>
      <c r="E53" s="8"/>
    </row>
    <row r="54" spans="2:5" x14ac:dyDescent="0.25">
      <c r="B54" s="7" t="s">
        <v>305</v>
      </c>
      <c r="C54">
        <v>2</v>
      </c>
      <c r="D54" t="s">
        <v>286</v>
      </c>
      <c r="E54" s="8"/>
    </row>
    <row r="55" spans="2:5" x14ac:dyDescent="0.25">
      <c r="B55" s="7"/>
      <c r="E55" s="8"/>
    </row>
    <row r="56" spans="2:5" x14ac:dyDescent="0.25">
      <c r="B56" s="7"/>
      <c r="E56" s="8"/>
    </row>
    <row r="57" spans="2:5" x14ac:dyDescent="0.25">
      <c r="B57" s="7"/>
      <c r="E57" s="8"/>
    </row>
    <row r="58" spans="2:5" x14ac:dyDescent="0.25">
      <c r="B58" s="7"/>
      <c r="E58" s="8"/>
    </row>
    <row r="59" spans="2:5" x14ac:dyDescent="0.25">
      <c r="B59" s="7"/>
      <c r="E59" s="8"/>
    </row>
    <row r="60" spans="2:5" x14ac:dyDescent="0.25">
      <c r="B60" s="9"/>
      <c r="C60" s="10"/>
      <c r="D60" s="10"/>
      <c r="E60" s="11"/>
    </row>
    <row r="64" spans="2:5" x14ac:dyDescent="0.25">
      <c r="B64" t="s">
        <v>133</v>
      </c>
    </row>
    <row r="65" spans="2:3" x14ac:dyDescent="0.25">
      <c r="B65" t="s">
        <v>310</v>
      </c>
      <c r="C65">
        <v>30</v>
      </c>
    </row>
    <row r="66" spans="2:3" x14ac:dyDescent="0.25">
      <c r="B66" t="s">
        <v>134</v>
      </c>
      <c r="C66" s="56">
        <v>0.26700000000000002</v>
      </c>
    </row>
    <row r="67" spans="2:3" x14ac:dyDescent="0.25">
      <c r="C67">
        <f>C65*C66</f>
        <v>8.01</v>
      </c>
    </row>
  </sheetData>
  <pageMargins left="0.7" right="0.7" top="0.75" bottom="0.75" header="0.3" footer="0.3"/>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D4B665-DA2B-4788-B1FA-FC2A02F58021}">
  <sheetPr codeName="Blad18">
    <tabColor theme="7"/>
  </sheetPr>
  <dimension ref="B2:P65"/>
  <sheetViews>
    <sheetView workbookViewId="0">
      <selection activeCell="I33" sqref="I33"/>
    </sheetView>
  </sheetViews>
  <sheetFormatPr defaultRowHeight="15" x14ac:dyDescent="0.25"/>
  <cols>
    <col min="2" max="2" width="33" customWidth="1"/>
    <col min="3" max="3" width="9.140625" customWidth="1"/>
    <col min="4" max="4" width="10.7109375" customWidth="1"/>
    <col min="5" max="5" width="69.42578125" customWidth="1"/>
    <col min="8" max="8" width="21.85546875" customWidth="1"/>
    <col min="9" max="9" width="11" bestFit="1" customWidth="1"/>
    <col min="13" max="13" width="9.140625" customWidth="1"/>
  </cols>
  <sheetData>
    <row r="2" spans="2:10" x14ac:dyDescent="0.25">
      <c r="B2" s="14" t="s">
        <v>50</v>
      </c>
      <c r="C2" s="12"/>
      <c r="D2" s="12"/>
      <c r="E2" s="13"/>
      <c r="H2" s="14" t="s">
        <v>51</v>
      </c>
      <c r="I2" s="15"/>
      <c r="J2" s="16"/>
    </row>
    <row r="3" spans="2:10" x14ac:dyDescent="0.25">
      <c r="B3" s="7" t="s">
        <v>52</v>
      </c>
      <c r="C3" t="s">
        <v>38</v>
      </c>
      <c r="E3" s="8"/>
      <c r="H3" s="23" t="s">
        <v>53</v>
      </c>
      <c r="I3" s="24"/>
      <c r="J3" s="25"/>
    </row>
    <row r="4" spans="2:10" x14ac:dyDescent="0.25">
      <c r="B4" s="7" t="s">
        <v>9</v>
      </c>
      <c r="C4" t="str">
        <f>_xlfn.XLOOKUP(C3,'EBM''s'!$C$6:$C$24,'EBM''s'!$D$6:$D$24)</f>
        <v xml:space="preserve">Pas een ontvochtigingssysteem toe </v>
      </c>
      <c r="E4" s="8"/>
      <c r="H4" s="7" t="s">
        <v>54</v>
      </c>
      <c r="I4" s="68">
        <f>_xlfn.XLOOKUP(C3,'EBM''s'!$C$6:$C$24,'EBM''s'!$E$6:$E$24)</f>
        <v>16.509166666666665</v>
      </c>
      <c r="J4" s="8"/>
    </row>
    <row r="5" spans="2:10" x14ac:dyDescent="0.25">
      <c r="B5" s="7"/>
      <c r="E5" s="8"/>
      <c r="H5" s="7" t="s">
        <v>55</v>
      </c>
      <c r="I5" s="68">
        <f>_xlfn.XLOOKUP(C3,'EBM''s'!$C$6:$C$24,'EBM''s'!$F$6:$F$24)</f>
        <v>16.406500000000001</v>
      </c>
      <c r="J5" s="8"/>
    </row>
    <row r="6" spans="2:10" x14ac:dyDescent="0.25">
      <c r="B6" s="7"/>
      <c r="E6" s="8"/>
      <c r="H6" s="7"/>
      <c r="J6" s="8"/>
    </row>
    <row r="7" spans="2:10" x14ac:dyDescent="0.25">
      <c r="B7" s="18" t="s">
        <v>56</v>
      </c>
      <c r="C7" s="19"/>
      <c r="D7" s="19"/>
      <c r="E7" s="20"/>
      <c r="H7" s="7"/>
      <c r="J7" s="8"/>
    </row>
    <row r="8" spans="2:10" x14ac:dyDescent="0.25">
      <c r="B8" s="21" t="s">
        <v>283</v>
      </c>
      <c r="C8" s="22"/>
      <c r="D8" s="2"/>
      <c r="E8" s="8"/>
      <c r="H8" s="23" t="s">
        <v>59</v>
      </c>
      <c r="I8" s="24"/>
      <c r="J8" s="25" t="s">
        <v>2</v>
      </c>
    </row>
    <row r="9" spans="2:10" x14ac:dyDescent="0.25">
      <c r="B9" s="21" t="s">
        <v>57</v>
      </c>
      <c r="C9" s="22">
        <f>100*120</f>
        <v>12000</v>
      </c>
      <c r="D9" s="2" t="s">
        <v>58</v>
      </c>
      <c r="E9" s="8"/>
      <c r="H9" s="7" t="s">
        <v>61</v>
      </c>
      <c r="I9" s="17">
        <f>C29</f>
        <v>-2</v>
      </c>
      <c r="J9" s="8" t="s">
        <v>62</v>
      </c>
    </row>
    <row r="10" spans="2:10" x14ac:dyDescent="0.25">
      <c r="B10" s="7"/>
      <c r="E10" s="8"/>
      <c r="H10" s="7" t="s">
        <v>63</v>
      </c>
      <c r="I10" s="17">
        <f>C28</f>
        <v>4</v>
      </c>
      <c r="J10" s="8" t="s">
        <v>64</v>
      </c>
    </row>
    <row r="11" spans="2:10" x14ac:dyDescent="0.25">
      <c r="B11" s="18" t="s">
        <v>65</v>
      </c>
      <c r="C11" s="19"/>
      <c r="D11" s="19"/>
      <c r="E11" s="20"/>
      <c r="H11" s="7"/>
      <c r="J11" s="8"/>
    </row>
    <row r="12" spans="2:10" x14ac:dyDescent="0.25">
      <c r="B12" s="21" t="s">
        <v>218</v>
      </c>
      <c r="C12" s="2">
        <v>30</v>
      </c>
      <c r="D12" s="2" t="s">
        <v>219</v>
      </c>
      <c r="E12" s="8"/>
      <c r="H12" s="7" t="s">
        <v>61</v>
      </c>
      <c r="I12" s="3">
        <f>I9*Energieprijzen!$C$4</f>
        <v>-0.38</v>
      </c>
      <c r="J12" s="8" t="s">
        <v>66</v>
      </c>
    </row>
    <row r="13" spans="2:10" x14ac:dyDescent="0.25">
      <c r="B13" s="7"/>
      <c r="E13" s="8"/>
      <c r="H13" s="7" t="s">
        <v>63</v>
      </c>
      <c r="I13" s="3">
        <f>I10*Energieprijzen!$C$5</f>
        <v>2.88</v>
      </c>
      <c r="J13" s="8" t="s">
        <v>66</v>
      </c>
    </row>
    <row r="14" spans="2:10" x14ac:dyDescent="0.25">
      <c r="B14" s="7"/>
      <c r="E14" s="8"/>
      <c r="H14" s="7" t="s">
        <v>71</v>
      </c>
      <c r="I14" s="3">
        <f>SUM(I12:I13)</f>
        <v>2.5</v>
      </c>
      <c r="J14" s="8" t="s">
        <v>66</v>
      </c>
    </row>
    <row r="15" spans="2:10" x14ac:dyDescent="0.25">
      <c r="B15" s="7"/>
      <c r="E15" s="8"/>
      <c r="H15" s="7"/>
      <c r="J15" s="8"/>
    </row>
    <row r="16" spans="2:10" x14ac:dyDescent="0.25">
      <c r="B16" s="18" t="s">
        <v>72</v>
      </c>
      <c r="C16" s="19"/>
      <c r="D16" s="19"/>
      <c r="E16" s="20"/>
      <c r="H16" s="7"/>
      <c r="J16" s="8"/>
    </row>
    <row r="17" spans="2:16" x14ac:dyDescent="0.25">
      <c r="B17" s="23" t="s">
        <v>73</v>
      </c>
      <c r="C17" s="24"/>
      <c r="D17" s="24" t="s">
        <v>2</v>
      </c>
      <c r="E17" s="25" t="s">
        <v>74</v>
      </c>
      <c r="H17" s="23" t="s">
        <v>75</v>
      </c>
      <c r="I17" s="24"/>
      <c r="J17" s="25" t="s">
        <v>2</v>
      </c>
    </row>
    <row r="18" spans="2:16" x14ac:dyDescent="0.25">
      <c r="B18" s="7" t="s">
        <v>76</v>
      </c>
      <c r="D18" t="s">
        <v>77</v>
      </c>
      <c r="E18" s="8"/>
      <c r="H18" s="7" t="s">
        <v>78</v>
      </c>
      <c r="I18" s="1">
        <f>IFERROR(I4/I14,0)</f>
        <v>6.6036666666666664</v>
      </c>
      <c r="J18" s="8" t="s">
        <v>79</v>
      </c>
    </row>
    <row r="19" spans="2:16" x14ac:dyDescent="0.25">
      <c r="B19" s="7" t="s">
        <v>80</v>
      </c>
      <c r="D19" t="s">
        <v>81</v>
      </c>
      <c r="E19" s="8"/>
      <c r="H19" s="9" t="s">
        <v>82</v>
      </c>
      <c r="I19" s="28">
        <f>IFERROR(I5/I14,0)</f>
        <v>6.5626000000000007</v>
      </c>
      <c r="J19" s="11" t="s">
        <v>79</v>
      </c>
    </row>
    <row r="20" spans="2:16" x14ac:dyDescent="0.25">
      <c r="B20" s="7" t="s">
        <v>83</v>
      </c>
      <c r="D20" t="s">
        <v>84</v>
      </c>
      <c r="E20" s="8"/>
    </row>
    <row r="21" spans="2:16" x14ac:dyDescent="0.25">
      <c r="B21" s="7" t="s">
        <v>85</v>
      </c>
      <c r="C21" s="17">
        <f>C12</f>
        <v>30</v>
      </c>
      <c r="D21" s="58" t="s">
        <v>284</v>
      </c>
      <c r="E21" s="8"/>
    </row>
    <row r="22" spans="2:16" x14ac:dyDescent="0.25">
      <c r="B22" s="7"/>
      <c r="E22" s="8"/>
    </row>
    <row r="23" spans="2:16" x14ac:dyDescent="0.25">
      <c r="B23" s="7"/>
      <c r="E23" s="8"/>
    </row>
    <row r="24" spans="2:16" x14ac:dyDescent="0.25">
      <c r="B24" s="23" t="s">
        <v>59</v>
      </c>
      <c r="C24" s="24"/>
      <c r="D24" s="24" t="s">
        <v>2</v>
      </c>
      <c r="E24" s="25" t="s">
        <v>74</v>
      </c>
    </row>
    <row r="25" spans="2:16" x14ac:dyDescent="0.25">
      <c r="B25" s="7" t="s">
        <v>76</v>
      </c>
      <c r="D25" t="s">
        <v>77</v>
      </c>
      <c r="E25" s="8"/>
    </row>
    <row r="26" spans="2:16" x14ac:dyDescent="0.25">
      <c r="B26" s="7" t="s">
        <v>80</v>
      </c>
      <c r="D26" t="s">
        <v>81</v>
      </c>
      <c r="E26" s="8"/>
    </row>
    <row r="27" spans="2:16" x14ac:dyDescent="0.25">
      <c r="B27" s="7" t="s">
        <v>83</v>
      </c>
      <c r="D27" t="s">
        <v>84</v>
      </c>
      <c r="E27" s="8"/>
    </row>
    <row r="28" spans="2:16" x14ac:dyDescent="0.25">
      <c r="B28" s="7" t="s">
        <v>85</v>
      </c>
      <c r="C28" s="17">
        <f>C48</f>
        <v>4</v>
      </c>
      <c r="D28" s="58" t="s">
        <v>284</v>
      </c>
      <c r="E28" s="8" t="s">
        <v>285</v>
      </c>
      <c r="G28" s="17"/>
    </row>
    <row r="29" spans="2:16" x14ac:dyDescent="0.25">
      <c r="B29" s="7" t="s">
        <v>85</v>
      </c>
      <c r="C29" s="17">
        <f>-C49</f>
        <v>-2</v>
      </c>
      <c r="D29" s="58" t="s">
        <v>286</v>
      </c>
      <c r="E29" s="8" t="s">
        <v>287</v>
      </c>
    </row>
    <row r="30" spans="2:16" x14ac:dyDescent="0.25">
      <c r="B30" s="7"/>
      <c r="E30" s="8"/>
      <c r="H30" s="31" t="s">
        <v>288</v>
      </c>
    </row>
    <row r="31" spans="2:16" x14ac:dyDescent="0.25">
      <c r="B31" s="23" t="s">
        <v>90</v>
      </c>
      <c r="C31" s="24"/>
      <c r="D31" s="24" t="s">
        <v>2</v>
      </c>
      <c r="E31" s="25" t="s">
        <v>74</v>
      </c>
    </row>
    <row r="32" spans="2:16" x14ac:dyDescent="0.25">
      <c r="B32" s="7" t="s">
        <v>76</v>
      </c>
      <c r="D32" t="s">
        <v>77</v>
      </c>
      <c r="E32" s="8"/>
      <c r="H32" t="s">
        <v>289</v>
      </c>
      <c r="K32" t="s">
        <v>290</v>
      </c>
      <c r="L32" t="s">
        <v>291</v>
      </c>
      <c r="O32" t="s">
        <v>134</v>
      </c>
      <c r="P32" t="s">
        <v>292</v>
      </c>
    </row>
    <row r="33" spans="2:16" x14ac:dyDescent="0.25">
      <c r="B33" s="7" t="s">
        <v>80</v>
      </c>
      <c r="D33" t="s">
        <v>81</v>
      </c>
      <c r="E33" s="8"/>
      <c r="G33" t="s">
        <v>126</v>
      </c>
      <c r="H33" t="s">
        <v>293</v>
      </c>
      <c r="I33" t="s">
        <v>294</v>
      </c>
      <c r="K33">
        <v>15</v>
      </c>
      <c r="L33" s="54" t="s">
        <v>295</v>
      </c>
      <c r="M33" t="s">
        <v>296</v>
      </c>
      <c r="O33" s="55">
        <f>8/30</f>
        <v>0.26666666666666666</v>
      </c>
      <c r="P33" t="s">
        <v>297</v>
      </c>
    </row>
    <row r="34" spans="2:16" x14ac:dyDescent="0.25">
      <c r="B34" s="7" t="s">
        <v>83</v>
      </c>
      <c r="D34" t="s">
        <v>84</v>
      </c>
      <c r="E34" s="8"/>
      <c r="G34" t="s">
        <v>127</v>
      </c>
      <c r="H34" t="s">
        <v>298</v>
      </c>
      <c r="I34" t="s">
        <v>299</v>
      </c>
      <c r="K34">
        <v>2</v>
      </c>
      <c r="L34">
        <v>4</v>
      </c>
      <c r="M34" t="s">
        <v>296</v>
      </c>
      <c r="O34" s="55">
        <f>4/30</f>
        <v>0.13333333333333333</v>
      </c>
    </row>
    <row r="35" spans="2:16" x14ac:dyDescent="0.25">
      <c r="B35" s="9" t="s">
        <v>85</v>
      </c>
      <c r="C35" s="26">
        <f>C21-C28</f>
        <v>26</v>
      </c>
      <c r="D35" s="59" t="s">
        <v>284</v>
      </c>
      <c r="E35" s="11"/>
      <c r="G35" t="s">
        <v>128</v>
      </c>
      <c r="H35" t="s">
        <v>300</v>
      </c>
      <c r="I35" t="s">
        <v>301</v>
      </c>
      <c r="K35">
        <v>2</v>
      </c>
      <c r="L35">
        <v>3</v>
      </c>
      <c r="M35" t="s">
        <v>296</v>
      </c>
      <c r="O35" s="55">
        <f>3/30</f>
        <v>0.1</v>
      </c>
    </row>
    <row r="39" spans="2:16" x14ac:dyDescent="0.25">
      <c r="B39" s="14" t="s">
        <v>95</v>
      </c>
      <c r="C39" s="15"/>
      <c r="D39" s="15"/>
      <c r="E39" s="16"/>
    </row>
    <row r="40" spans="2:16" x14ac:dyDescent="0.25">
      <c r="B40" s="7" t="s">
        <v>302</v>
      </c>
      <c r="C40">
        <f>C12</f>
        <v>30</v>
      </c>
      <c r="D40" t="s">
        <v>219</v>
      </c>
      <c r="E40" s="8"/>
    </row>
    <row r="41" spans="2:16" x14ac:dyDescent="0.25">
      <c r="B41" s="7"/>
      <c r="E41" s="8"/>
    </row>
    <row r="42" spans="2:16" x14ac:dyDescent="0.25">
      <c r="B42" s="7" t="s">
        <v>303</v>
      </c>
      <c r="E42" s="8" t="s">
        <v>304</v>
      </c>
    </row>
    <row r="43" spans="2:16" x14ac:dyDescent="0.25">
      <c r="B43" s="7" t="s">
        <v>59</v>
      </c>
      <c r="C43">
        <v>8</v>
      </c>
      <c r="D43" t="s">
        <v>219</v>
      </c>
      <c r="E43" s="8"/>
    </row>
    <row r="44" spans="2:16" x14ac:dyDescent="0.25">
      <c r="B44" s="7" t="s">
        <v>305</v>
      </c>
      <c r="C44">
        <v>15</v>
      </c>
      <c r="D44" t="s">
        <v>286</v>
      </c>
      <c r="E44" s="8"/>
    </row>
    <row r="45" spans="2:16" x14ac:dyDescent="0.25">
      <c r="B45" s="7"/>
      <c r="E45" s="8"/>
    </row>
    <row r="46" spans="2:16" x14ac:dyDescent="0.25">
      <c r="B46" s="7"/>
      <c r="E46" s="8"/>
    </row>
    <row r="47" spans="2:16" x14ac:dyDescent="0.25">
      <c r="B47" s="7" t="s">
        <v>306</v>
      </c>
      <c r="E47" s="8" t="s">
        <v>307</v>
      </c>
    </row>
    <row r="48" spans="2:16" x14ac:dyDescent="0.25">
      <c r="B48" s="7" t="s">
        <v>59</v>
      </c>
      <c r="C48">
        <v>4</v>
      </c>
      <c r="D48" t="s">
        <v>219</v>
      </c>
      <c r="E48" s="8"/>
    </row>
    <row r="49" spans="2:5" x14ac:dyDescent="0.25">
      <c r="B49" s="7" t="s">
        <v>305</v>
      </c>
      <c r="C49">
        <v>2</v>
      </c>
      <c r="D49" t="s">
        <v>286</v>
      </c>
      <c r="E49" s="8"/>
    </row>
    <row r="50" spans="2:5" x14ac:dyDescent="0.25">
      <c r="B50" s="7"/>
      <c r="E50" s="8"/>
    </row>
    <row r="51" spans="2:5" x14ac:dyDescent="0.25">
      <c r="B51" s="7"/>
      <c r="D51" s="1"/>
      <c r="E51" s="8"/>
    </row>
    <row r="52" spans="2:5" x14ac:dyDescent="0.25">
      <c r="B52" s="7" t="s">
        <v>308</v>
      </c>
      <c r="E52" s="8" t="s">
        <v>309</v>
      </c>
    </row>
    <row r="53" spans="2:5" x14ac:dyDescent="0.25">
      <c r="B53" s="7" t="s">
        <v>59</v>
      </c>
      <c r="C53">
        <v>3</v>
      </c>
      <c r="D53" t="s">
        <v>219</v>
      </c>
      <c r="E53" s="8"/>
    </row>
    <row r="54" spans="2:5" x14ac:dyDescent="0.25">
      <c r="B54" s="7" t="s">
        <v>305</v>
      </c>
      <c r="C54">
        <v>2</v>
      </c>
      <c r="D54" t="s">
        <v>286</v>
      </c>
      <c r="E54" s="8"/>
    </row>
    <row r="55" spans="2:5" x14ac:dyDescent="0.25">
      <c r="B55" s="7"/>
      <c r="E55" s="8"/>
    </row>
    <row r="56" spans="2:5" x14ac:dyDescent="0.25">
      <c r="B56" s="7"/>
      <c r="E56" s="8"/>
    </row>
    <row r="57" spans="2:5" x14ac:dyDescent="0.25">
      <c r="B57" s="7"/>
      <c r="E57" s="8"/>
    </row>
    <row r="58" spans="2:5" x14ac:dyDescent="0.25">
      <c r="B58" s="7"/>
      <c r="E58" s="8"/>
    </row>
    <row r="59" spans="2:5" x14ac:dyDescent="0.25">
      <c r="B59" s="7"/>
      <c r="E59" s="8"/>
    </row>
    <row r="60" spans="2:5" x14ac:dyDescent="0.25">
      <c r="B60" s="9"/>
      <c r="C60" s="10"/>
      <c r="D60" s="10"/>
      <c r="E60" s="11"/>
    </row>
    <row r="62" spans="2:5" x14ac:dyDescent="0.25">
      <c r="B62" t="s">
        <v>133</v>
      </c>
    </row>
    <row r="63" spans="2:5" x14ac:dyDescent="0.25">
      <c r="B63" t="s">
        <v>310</v>
      </c>
      <c r="C63">
        <v>30</v>
      </c>
    </row>
    <row r="64" spans="2:5" x14ac:dyDescent="0.25">
      <c r="B64" t="s">
        <v>134</v>
      </c>
      <c r="C64" s="56">
        <v>0.13300000000000001</v>
      </c>
    </row>
    <row r="65" spans="3:3" x14ac:dyDescent="0.25">
      <c r="C65">
        <f>C63*C64</f>
        <v>3.99</v>
      </c>
    </row>
  </sheetData>
  <pageMargins left="0.7" right="0.7" top="0.75" bottom="0.75" header="0.3" footer="0.3"/>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618F15-1B18-4396-BB10-F0E298B2315B}">
  <sheetPr codeName="Blad19">
    <tabColor theme="7"/>
  </sheetPr>
  <dimension ref="B2:P65"/>
  <sheetViews>
    <sheetView workbookViewId="0">
      <selection activeCell="I33" sqref="I33"/>
    </sheetView>
  </sheetViews>
  <sheetFormatPr defaultRowHeight="15" x14ac:dyDescent="0.25"/>
  <cols>
    <col min="2" max="2" width="33" customWidth="1"/>
    <col min="3" max="3" width="9.140625" customWidth="1"/>
    <col min="4" max="4" width="10.7109375" customWidth="1"/>
    <col min="5" max="5" width="69.42578125" customWidth="1"/>
    <col min="8" max="8" width="21.85546875" customWidth="1"/>
    <col min="9" max="9" width="11" bestFit="1" customWidth="1"/>
    <col min="13" max="13" width="9.140625" customWidth="1"/>
  </cols>
  <sheetData>
    <row r="2" spans="2:10" x14ac:dyDescent="0.25">
      <c r="B2" s="14" t="s">
        <v>50</v>
      </c>
      <c r="C2" s="12"/>
      <c r="D2" s="12"/>
      <c r="E2" s="13"/>
      <c r="H2" s="14" t="s">
        <v>51</v>
      </c>
      <c r="I2" s="15"/>
      <c r="J2" s="16"/>
    </row>
    <row r="3" spans="2:10" x14ac:dyDescent="0.25">
      <c r="B3" s="7" t="s">
        <v>52</v>
      </c>
      <c r="C3" t="s">
        <v>39</v>
      </c>
      <c r="E3" s="8"/>
      <c r="H3" s="23" t="s">
        <v>53</v>
      </c>
      <c r="I3" s="24"/>
      <c r="J3" s="25"/>
    </row>
    <row r="4" spans="2:10" x14ac:dyDescent="0.25">
      <c r="B4" s="7" t="s">
        <v>9</v>
      </c>
      <c r="C4" t="str">
        <f>_xlfn.XLOOKUP(C3,'EBM''s'!$C$6:$C$24,'EBM''s'!$D$6:$D$24)</f>
        <v xml:space="preserve">Pas een ontvochtigingssysteem toe </v>
      </c>
      <c r="E4" s="8"/>
      <c r="H4" s="7" t="s">
        <v>54</v>
      </c>
      <c r="I4" s="68">
        <f>_xlfn.XLOOKUP(C3,'EBM''s'!$C$6:$C$24,'EBM''s'!$E$6:$E$24)</f>
        <v>12.109166666666667</v>
      </c>
      <c r="J4" s="8"/>
    </row>
    <row r="5" spans="2:10" x14ac:dyDescent="0.25">
      <c r="B5" s="7"/>
      <c r="E5" s="8"/>
      <c r="H5" s="7" t="s">
        <v>55</v>
      </c>
      <c r="I5" s="68">
        <f>_xlfn.XLOOKUP(C3,'EBM''s'!$C$6:$C$24,'EBM''s'!$F$6:$F$24)</f>
        <v>12.006499999999999</v>
      </c>
      <c r="J5" s="8"/>
    </row>
    <row r="6" spans="2:10" x14ac:dyDescent="0.25">
      <c r="B6" s="7"/>
      <c r="E6" s="8"/>
      <c r="H6" s="7"/>
      <c r="J6" s="8"/>
    </row>
    <row r="7" spans="2:10" x14ac:dyDescent="0.25">
      <c r="B7" s="18" t="s">
        <v>56</v>
      </c>
      <c r="C7" s="19"/>
      <c r="D7" s="19"/>
      <c r="E7" s="20"/>
      <c r="H7" s="7"/>
      <c r="J7" s="8"/>
    </row>
    <row r="8" spans="2:10" x14ac:dyDescent="0.25">
      <c r="B8" s="21" t="s">
        <v>283</v>
      </c>
      <c r="C8" s="22"/>
      <c r="D8" s="2"/>
      <c r="E8" s="8"/>
      <c r="H8" s="23" t="s">
        <v>59</v>
      </c>
      <c r="I8" s="24"/>
      <c r="J8" s="25" t="s">
        <v>2</v>
      </c>
    </row>
    <row r="9" spans="2:10" x14ac:dyDescent="0.25">
      <c r="B9" s="21" t="s">
        <v>57</v>
      </c>
      <c r="C9" s="22">
        <f>100*120</f>
        <v>12000</v>
      </c>
      <c r="D9" s="2" t="s">
        <v>58</v>
      </c>
      <c r="E9" s="8"/>
      <c r="H9" s="7" t="s">
        <v>61</v>
      </c>
      <c r="I9" s="17">
        <f>C29</f>
        <v>-2</v>
      </c>
      <c r="J9" s="8" t="s">
        <v>62</v>
      </c>
    </row>
    <row r="10" spans="2:10" x14ac:dyDescent="0.25">
      <c r="B10" s="7"/>
      <c r="E10" s="8"/>
      <c r="H10" s="7" t="s">
        <v>63</v>
      </c>
      <c r="I10" s="17">
        <f>C28</f>
        <v>3</v>
      </c>
      <c r="J10" s="8" t="s">
        <v>64</v>
      </c>
    </row>
    <row r="11" spans="2:10" x14ac:dyDescent="0.25">
      <c r="B11" s="18" t="s">
        <v>65</v>
      </c>
      <c r="C11" s="19"/>
      <c r="D11" s="19"/>
      <c r="E11" s="20"/>
      <c r="H11" s="7"/>
      <c r="J11" s="8"/>
    </row>
    <row r="12" spans="2:10" x14ac:dyDescent="0.25">
      <c r="B12" s="21" t="s">
        <v>218</v>
      </c>
      <c r="C12" s="2">
        <v>30</v>
      </c>
      <c r="D12" s="2" t="s">
        <v>219</v>
      </c>
      <c r="E12" s="8"/>
      <c r="H12" s="7" t="s">
        <v>61</v>
      </c>
      <c r="I12" s="3">
        <f>I9*Energieprijzen!$C$4</f>
        <v>-0.38</v>
      </c>
      <c r="J12" s="8" t="s">
        <v>66</v>
      </c>
    </row>
    <row r="13" spans="2:10" x14ac:dyDescent="0.25">
      <c r="B13" s="7"/>
      <c r="E13" s="8"/>
      <c r="H13" s="7" t="s">
        <v>63</v>
      </c>
      <c r="I13" s="3">
        <f>I10*Energieprijzen!$C$5</f>
        <v>2.16</v>
      </c>
      <c r="J13" s="8" t="s">
        <v>66</v>
      </c>
    </row>
    <row r="14" spans="2:10" x14ac:dyDescent="0.25">
      <c r="B14" s="7"/>
      <c r="E14" s="8"/>
      <c r="H14" s="7" t="s">
        <v>71</v>
      </c>
      <c r="I14" s="3">
        <f>SUM(I12:I13)</f>
        <v>1.7800000000000002</v>
      </c>
      <c r="J14" s="8" t="s">
        <v>66</v>
      </c>
    </row>
    <row r="15" spans="2:10" x14ac:dyDescent="0.25">
      <c r="B15" s="7"/>
      <c r="E15" s="8"/>
      <c r="H15" s="7"/>
      <c r="J15" s="8"/>
    </row>
    <row r="16" spans="2:10" x14ac:dyDescent="0.25">
      <c r="B16" s="18" t="s">
        <v>72</v>
      </c>
      <c r="C16" s="19"/>
      <c r="D16" s="19"/>
      <c r="E16" s="20"/>
      <c r="H16" s="7"/>
      <c r="J16" s="8"/>
    </row>
    <row r="17" spans="2:16" x14ac:dyDescent="0.25">
      <c r="B17" s="23" t="s">
        <v>73</v>
      </c>
      <c r="C17" s="24"/>
      <c r="D17" s="24" t="s">
        <v>2</v>
      </c>
      <c r="E17" s="25" t="s">
        <v>74</v>
      </c>
      <c r="H17" s="23" t="s">
        <v>75</v>
      </c>
      <c r="I17" s="24"/>
      <c r="J17" s="25" t="s">
        <v>2</v>
      </c>
    </row>
    <row r="18" spans="2:16" x14ac:dyDescent="0.25">
      <c r="B18" s="7" t="s">
        <v>76</v>
      </c>
      <c r="D18" t="s">
        <v>77</v>
      </c>
      <c r="E18" s="8"/>
      <c r="H18" s="7" t="s">
        <v>78</v>
      </c>
      <c r="I18" s="1">
        <f>IFERROR(I4/I14,0)</f>
        <v>6.8029026217228452</v>
      </c>
      <c r="J18" s="8" t="s">
        <v>79</v>
      </c>
    </row>
    <row r="19" spans="2:16" x14ac:dyDescent="0.25">
      <c r="B19" s="7" t="s">
        <v>80</v>
      </c>
      <c r="D19" t="s">
        <v>81</v>
      </c>
      <c r="E19" s="8"/>
      <c r="H19" s="9" t="s">
        <v>82</v>
      </c>
      <c r="I19" s="28">
        <f>IFERROR(I5/I14,0)</f>
        <v>6.7452247191011221</v>
      </c>
      <c r="J19" s="11" t="s">
        <v>79</v>
      </c>
    </row>
    <row r="20" spans="2:16" x14ac:dyDescent="0.25">
      <c r="B20" s="7" t="s">
        <v>83</v>
      </c>
      <c r="D20" t="s">
        <v>84</v>
      </c>
      <c r="E20" s="8"/>
    </row>
    <row r="21" spans="2:16" x14ac:dyDescent="0.25">
      <c r="B21" s="7" t="s">
        <v>85</v>
      </c>
      <c r="C21" s="17">
        <f>C12</f>
        <v>30</v>
      </c>
      <c r="D21" s="58" t="s">
        <v>284</v>
      </c>
      <c r="E21" s="8"/>
    </row>
    <row r="22" spans="2:16" x14ac:dyDescent="0.25">
      <c r="B22" s="7"/>
      <c r="E22" s="8"/>
    </row>
    <row r="23" spans="2:16" x14ac:dyDescent="0.25">
      <c r="B23" s="7"/>
      <c r="E23" s="8"/>
    </row>
    <row r="24" spans="2:16" x14ac:dyDescent="0.25">
      <c r="B24" s="23" t="s">
        <v>59</v>
      </c>
      <c r="C24" s="24"/>
      <c r="D24" s="24" t="s">
        <v>2</v>
      </c>
      <c r="E24" s="25" t="s">
        <v>74</v>
      </c>
    </row>
    <row r="25" spans="2:16" x14ac:dyDescent="0.25">
      <c r="B25" s="7" t="s">
        <v>76</v>
      </c>
      <c r="D25" t="s">
        <v>77</v>
      </c>
      <c r="E25" s="8"/>
    </row>
    <row r="26" spans="2:16" x14ac:dyDescent="0.25">
      <c r="B26" s="7" t="s">
        <v>80</v>
      </c>
      <c r="D26" t="s">
        <v>81</v>
      </c>
      <c r="E26" s="8"/>
    </row>
    <row r="27" spans="2:16" x14ac:dyDescent="0.25">
      <c r="B27" s="7" t="s">
        <v>83</v>
      </c>
      <c r="D27" t="s">
        <v>84</v>
      </c>
      <c r="E27" s="8"/>
    </row>
    <row r="28" spans="2:16" x14ac:dyDescent="0.25">
      <c r="B28" s="7" t="s">
        <v>85</v>
      </c>
      <c r="C28" s="17">
        <f>C53</f>
        <v>3</v>
      </c>
      <c r="D28" s="58" t="s">
        <v>284</v>
      </c>
      <c r="E28" s="8" t="s">
        <v>285</v>
      </c>
      <c r="G28" s="17"/>
    </row>
    <row r="29" spans="2:16" x14ac:dyDescent="0.25">
      <c r="B29" s="7" t="s">
        <v>85</v>
      </c>
      <c r="C29" s="17">
        <f>-C54</f>
        <v>-2</v>
      </c>
      <c r="D29" s="58" t="s">
        <v>286</v>
      </c>
      <c r="E29" s="8" t="s">
        <v>287</v>
      </c>
    </row>
    <row r="30" spans="2:16" x14ac:dyDescent="0.25">
      <c r="B30" s="7"/>
      <c r="E30" s="8"/>
      <c r="H30" s="31" t="s">
        <v>288</v>
      </c>
    </row>
    <row r="31" spans="2:16" x14ac:dyDescent="0.25">
      <c r="B31" s="23" t="s">
        <v>90</v>
      </c>
      <c r="C31" s="24"/>
      <c r="D31" s="24" t="s">
        <v>2</v>
      </c>
      <c r="E31" s="25" t="s">
        <v>74</v>
      </c>
    </row>
    <row r="32" spans="2:16" x14ac:dyDescent="0.25">
      <c r="B32" s="7" t="s">
        <v>76</v>
      </c>
      <c r="D32" t="s">
        <v>77</v>
      </c>
      <c r="E32" s="8"/>
      <c r="H32" t="s">
        <v>289</v>
      </c>
      <c r="K32" t="s">
        <v>290</v>
      </c>
      <c r="L32" t="s">
        <v>291</v>
      </c>
      <c r="O32" t="s">
        <v>134</v>
      </c>
      <c r="P32" t="s">
        <v>292</v>
      </c>
    </row>
    <row r="33" spans="2:16" x14ac:dyDescent="0.25">
      <c r="B33" s="7" t="s">
        <v>80</v>
      </c>
      <c r="D33" t="s">
        <v>81</v>
      </c>
      <c r="E33" s="8"/>
      <c r="G33" t="s">
        <v>126</v>
      </c>
      <c r="H33" t="s">
        <v>293</v>
      </c>
      <c r="I33" t="s">
        <v>294</v>
      </c>
      <c r="K33">
        <v>15</v>
      </c>
      <c r="L33" s="54" t="s">
        <v>295</v>
      </c>
      <c r="M33" t="s">
        <v>296</v>
      </c>
      <c r="O33" s="55">
        <f>8/30</f>
        <v>0.26666666666666666</v>
      </c>
      <c r="P33" t="s">
        <v>297</v>
      </c>
    </row>
    <row r="34" spans="2:16" x14ac:dyDescent="0.25">
      <c r="B34" s="7" t="s">
        <v>83</v>
      </c>
      <c r="D34" t="s">
        <v>84</v>
      </c>
      <c r="E34" s="8"/>
      <c r="G34" t="s">
        <v>127</v>
      </c>
      <c r="H34" t="s">
        <v>298</v>
      </c>
      <c r="I34" t="s">
        <v>299</v>
      </c>
      <c r="K34">
        <v>2</v>
      </c>
      <c r="L34">
        <v>4</v>
      </c>
      <c r="M34" t="s">
        <v>296</v>
      </c>
      <c r="O34" s="55">
        <f>4/30</f>
        <v>0.13333333333333333</v>
      </c>
    </row>
    <row r="35" spans="2:16" x14ac:dyDescent="0.25">
      <c r="B35" s="9" t="s">
        <v>85</v>
      </c>
      <c r="C35" s="26">
        <f>C21-C28</f>
        <v>27</v>
      </c>
      <c r="D35" s="59" t="s">
        <v>284</v>
      </c>
      <c r="E35" s="11"/>
      <c r="G35" t="s">
        <v>128</v>
      </c>
      <c r="H35" t="s">
        <v>300</v>
      </c>
      <c r="I35" t="s">
        <v>301</v>
      </c>
      <c r="K35">
        <v>2</v>
      </c>
      <c r="L35">
        <v>3</v>
      </c>
      <c r="M35" t="s">
        <v>296</v>
      </c>
      <c r="O35" s="55">
        <f>3/30</f>
        <v>0.1</v>
      </c>
    </row>
    <row r="39" spans="2:16" x14ac:dyDescent="0.25">
      <c r="B39" s="14" t="s">
        <v>95</v>
      </c>
      <c r="C39" s="15"/>
      <c r="D39" s="15"/>
      <c r="E39" s="16"/>
    </row>
    <row r="40" spans="2:16" x14ac:dyDescent="0.25">
      <c r="B40" s="7" t="s">
        <v>302</v>
      </c>
      <c r="C40">
        <f>C12</f>
        <v>30</v>
      </c>
      <c r="D40" t="s">
        <v>219</v>
      </c>
      <c r="E40" s="8"/>
    </row>
    <row r="41" spans="2:16" x14ac:dyDescent="0.25">
      <c r="B41" s="7"/>
      <c r="E41" s="8"/>
    </row>
    <row r="42" spans="2:16" x14ac:dyDescent="0.25">
      <c r="B42" s="7" t="s">
        <v>303</v>
      </c>
      <c r="E42" s="8" t="s">
        <v>304</v>
      </c>
    </row>
    <row r="43" spans="2:16" x14ac:dyDescent="0.25">
      <c r="B43" s="7" t="s">
        <v>59</v>
      </c>
      <c r="C43">
        <v>8</v>
      </c>
      <c r="D43" t="s">
        <v>219</v>
      </c>
      <c r="E43" s="8"/>
    </row>
    <row r="44" spans="2:16" x14ac:dyDescent="0.25">
      <c r="B44" s="7" t="s">
        <v>305</v>
      </c>
      <c r="C44">
        <v>15</v>
      </c>
      <c r="D44" t="s">
        <v>286</v>
      </c>
      <c r="E44" s="8"/>
    </row>
    <row r="45" spans="2:16" x14ac:dyDescent="0.25">
      <c r="B45" s="7"/>
      <c r="E45" s="8"/>
    </row>
    <row r="46" spans="2:16" x14ac:dyDescent="0.25">
      <c r="B46" s="7"/>
      <c r="E46" s="8"/>
    </row>
    <row r="47" spans="2:16" x14ac:dyDescent="0.25">
      <c r="B47" s="7" t="s">
        <v>306</v>
      </c>
      <c r="E47" s="8" t="s">
        <v>307</v>
      </c>
    </row>
    <row r="48" spans="2:16" x14ac:dyDescent="0.25">
      <c r="B48" s="7" t="s">
        <v>59</v>
      </c>
      <c r="C48">
        <v>4</v>
      </c>
      <c r="D48" t="s">
        <v>219</v>
      </c>
      <c r="E48" s="8"/>
    </row>
    <row r="49" spans="2:5" x14ac:dyDescent="0.25">
      <c r="B49" s="7" t="s">
        <v>305</v>
      </c>
      <c r="C49">
        <v>2</v>
      </c>
      <c r="D49" t="s">
        <v>286</v>
      </c>
      <c r="E49" s="8"/>
    </row>
    <row r="50" spans="2:5" x14ac:dyDescent="0.25">
      <c r="B50" s="7"/>
      <c r="E50" s="8"/>
    </row>
    <row r="51" spans="2:5" x14ac:dyDescent="0.25">
      <c r="B51" s="7"/>
      <c r="D51" s="1"/>
      <c r="E51" s="8"/>
    </row>
    <row r="52" spans="2:5" x14ac:dyDescent="0.25">
      <c r="B52" s="7" t="s">
        <v>308</v>
      </c>
      <c r="E52" s="8" t="s">
        <v>309</v>
      </c>
    </row>
    <row r="53" spans="2:5" x14ac:dyDescent="0.25">
      <c r="B53" s="7" t="s">
        <v>59</v>
      </c>
      <c r="C53">
        <v>3</v>
      </c>
      <c r="D53" t="s">
        <v>219</v>
      </c>
      <c r="E53" s="8"/>
    </row>
    <row r="54" spans="2:5" x14ac:dyDescent="0.25">
      <c r="B54" s="7" t="s">
        <v>305</v>
      </c>
      <c r="C54">
        <v>2</v>
      </c>
      <c r="D54" t="s">
        <v>286</v>
      </c>
      <c r="E54" s="8"/>
    </row>
    <row r="55" spans="2:5" x14ac:dyDescent="0.25">
      <c r="B55" s="7"/>
      <c r="E55" s="8"/>
    </row>
    <row r="56" spans="2:5" x14ac:dyDescent="0.25">
      <c r="B56" s="7"/>
      <c r="E56" s="8"/>
    </row>
    <row r="57" spans="2:5" x14ac:dyDescent="0.25">
      <c r="B57" s="7"/>
      <c r="E57" s="8"/>
    </row>
    <row r="58" spans="2:5" x14ac:dyDescent="0.25">
      <c r="B58" s="7"/>
      <c r="E58" s="8"/>
    </row>
    <row r="59" spans="2:5" x14ac:dyDescent="0.25">
      <c r="B59" s="7"/>
      <c r="E59" s="8"/>
    </row>
    <row r="60" spans="2:5" x14ac:dyDescent="0.25">
      <c r="B60" s="9"/>
      <c r="C60" s="10"/>
      <c r="D60" s="10"/>
      <c r="E60" s="11"/>
    </row>
    <row r="62" spans="2:5" x14ac:dyDescent="0.25">
      <c r="B62" t="s">
        <v>133</v>
      </c>
    </row>
    <row r="63" spans="2:5" x14ac:dyDescent="0.25">
      <c r="B63" t="s">
        <v>310</v>
      </c>
      <c r="C63">
        <v>30</v>
      </c>
    </row>
    <row r="64" spans="2:5" x14ac:dyDescent="0.25">
      <c r="B64" t="s">
        <v>134</v>
      </c>
      <c r="C64" s="56">
        <v>0.1</v>
      </c>
    </row>
    <row r="65" spans="3:3" x14ac:dyDescent="0.25">
      <c r="C65">
        <f>C63*C64</f>
        <v>3</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753B10-009C-4E33-AD55-6155B90C7478}">
  <sheetPr codeName="Blad2"/>
  <dimension ref="C4:J51"/>
  <sheetViews>
    <sheetView topLeftCell="A4" workbookViewId="0">
      <selection activeCell="D11" sqref="D11"/>
    </sheetView>
  </sheetViews>
  <sheetFormatPr defaultRowHeight="15" x14ac:dyDescent="0.25"/>
  <cols>
    <col min="3" max="3" width="10" bestFit="1" customWidth="1"/>
    <col min="4" max="4" width="83.5703125" bestFit="1" customWidth="1"/>
    <col min="5" max="7" width="14.7109375" customWidth="1"/>
    <col min="8" max="9" width="9.42578125" customWidth="1"/>
    <col min="10" max="10" width="14.7109375" customWidth="1"/>
  </cols>
  <sheetData>
    <row r="4" spans="3:10" x14ac:dyDescent="0.25">
      <c r="C4" s="14" t="s">
        <v>7</v>
      </c>
      <c r="D4" s="15"/>
      <c r="E4" s="15"/>
      <c r="F4" s="15"/>
      <c r="G4" s="15"/>
      <c r="H4" s="15"/>
      <c r="I4" s="16"/>
    </row>
    <row r="5" spans="3:10" x14ac:dyDescent="0.25">
      <c r="C5" s="23" t="s">
        <v>8</v>
      </c>
      <c r="D5" s="24" t="s">
        <v>9</v>
      </c>
      <c r="E5" s="24" t="s">
        <v>10</v>
      </c>
      <c r="F5" s="24" t="s">
        <v>11</v>
      </c>
      <c r="G5" s="24" t="s">
        <v>12</v>
      </c>
      <c r="H5" s="24" t="s">
        <v>13</v>
      </c>
      <c r="I5" s="25" t="s">
        <v>14</v>
      </c>
    </row>
    <row r="6" spans="3:10" x14ac:dyDescent="0.25">
      <c r="C6" s="4" t="s">
        <v>15</v>
      </c>
      <c r="D6" s="5" t="s">
        <v>16</v>
      </c>
      <c r="E6" s="71">
        <v>185460</v>
      </c>
      <c r="F6" s="71">
        <v>94336</v>
      </c>
      <c r="G6" s="71">
        <f t="shared" ref="G6:G24" si="0">E6-F6</f>
        <v>91124</v>
      </c>
      <c r="H6" s="74" cm="1">
        <f t="array" aca="1" ref="H6" ca="1">IFERROR(INDIRECT("'"&amp;C6&amp;"'!I18"),"")</f>
        <v>6.1855279993127921</v>
      </c>
      <c r="I6" s="75" cm="1">
        <f t="array" aca="1" ref="I6" ca="1">IFERROR(INDIRECT("'"&amp;C6&amp;"'!I19"),"")</f>
        <v>3.1463278838734583</v>
      </c>
    </row>
    <row r="7" spans="3:10" x14ac:dyDescent="0.25">
      <c r="C7" s="7" t="s">
        <v>17</v>
      </c>
      <c r="D7" t="s">
        <v>18</v>
      </c>
      <c r="E7" s="3">
        <v>130057.40000000001</v>
      </c>
      <c r="F7" s="3">
        <v>70879.600000000006</v>
      </c>
      <c r="G7" s="3">
        <f t="shared" ref="G7" si="1">E7-F7</f>
        <v>59177.8</v>
      </c>
      <c r="H7" s="73" cm="1">
        <f t="array" aca="1" ref="H7" ca="1">IFERROR(INDIRECT("'"&amp;C7&amp;"'!I18"),"")</f>
        <v>5.4221509302398303</v>
      </c>
      <c r="I7" s="76" cm="1">
        <f t="array" aca="1" ref="I7" ca="1">IFERROR(INDIRECT("'"&amp;C7&amp;"'!I19"),"")</f>
        <v>2.9550020919611422</v>
      </c>
    </row>
    <row r="8" spans="3:10" x14ac:dyDescent="0.25">
      <c r="C8" s="79" t="s">
        <v>19</v>
      </c>
      <c r="D8" t="s">
        <v>18</v>
      </c>
      <c r="E8" s="3">
        <v>130057.40000000001</v>
      </c>
      <c r="F8" s="3">
        <v>70879.600000000006</v>
      </c>
      <c r="G8" s="3">
        <f t="shared" si="0"/>
        <v>59177.8</v>
      </c>
      <c r="H8" s="73" cm="1">
        <f t="array" aca="1" ref="H8" ca="1">IFERROR(INDIRECT("'"&amp;C8&amp;"'!I18"),"")</f>
        <v>5.4221509302398303</v>
      </c>
      <c r="I8" s="76" cm="1">
        <f t="array" aca="1" ref="I8" ca="1">IFERROR(INDIRECT("'"&amp;C8&amp;"'!I19"),"")</f>
        <v>2.9550020919611422</v>
      </c>
      <c r="J8" s="3"/>
    </row>
    <row r="9" spans="3:10" x14ac:dyDescent="0.25">
      <c r="C9" s="79" t="s">
        <v>20</v>
      </c>
      <c r="D9" t="s">
        <v>18</v>
      </c>
      <c r="E9" s="3">
        <v>206360</v>
      </c>
      <c r="F9" s="3">
        <v>145802.79999999999</v>
      </c>
      <c r="G9" s="3">
        <f t="shared" si="0"/>
        <v>60557.200000000012</v>
      </c>
      <c r="H9" s="73" cm="1">
        <f t="array" aca="1" ref="H9" ca="1">IFERROR(INDIRECT("'"&amp;C9&amp;"'!I18"),"")</f>
        <v>5.823731900438851</v>
      </c>
      <c r="I9" s="76" cm="1">
        <f t="array" aca="1" ref="I9" ca="1">IFERROR(INDIRECT("'"&amp;C9&amp;"'!I19"),"")</f>
        <v>4.114733560444396</v>
      </c>
      <c r="J9" s="3"/>
    </row>
    <row r="10" spans="3:10" x14ac:dyDescent="0.25">
      <c r="C10" s="79" t="s">
        <v>21</v>
      </c>
      <c r="D10" t="s">
        <v>18</v>
      </c>
      <c r="E10" s="3">
        <v>220928.40000000002</v>
      </c>
      <c r="F10" s="3">
        <v>149142.40000000002</v>
      </c>
      <c r="G10" s="3">
        <f t="shared" si="0"/>
        <v>71786</v>
      </c>
      <c r="H10" s="73" cm="1">
        <f t="array" aca="1" ref="H10" ca="1">IFERROR(INDIRECT("'"&amp;C10&amp;"'!I18"),"")</f>
        <v>6.9433779415554495</v>
      </c>
      <c r="I10" s="76" cm="1">
        <f t="array" aca="1" ref="I10" ca="1">IFERROR(INDIRECT("'"&amp;C10&amp;"'!I19"),"")</f>
        <v>4.6872744758511784</v>
      </c>
      <c r="J10" s="3"/>
    </row>
    <row r="11" spans="3:10" x14ac:dyDescent="0.25">
      <c r="C11" s="7" t="s">
        <v>22</v>
      </c>
      <c r="D11" t="s">
        <v>23</v>
      </c>
      <c r="E11" s="3">
        <v>138600</v>
      </c>
      <c r="F11" s="3">
        <v>109670.00000000001</v>
      </c>
      <c r="G11" s="3">
        <f t="shared" si="0"/>
        <v>28929.999999999985</v>
      </c>
      <c r="H11" s="73" cm="1">
        <f t="array" aca="1" ref="H11" ca="1">IFERROR(INDIRECT("'"&amp;C11&amp;"'!I18"),"")</f>
        <v>6.855770158179018</v>
      </c>
      <c r="I11" s="76" cm="1">
        <f t="array" aca="1" ref="I11" ca="1">IFERROR(INDIRECT("'"&amp;C11&amp;"'!I19"),"")</f>
        <v>5.4247641648448264</v>
      </c>
      <c r="J11" s="3"/>
    </row>
    <row r="12" spans="3:10" x14ac:dyDescent="0.25">
      <c r="C12" s="7" t="s">
        <v>24</v>
      </c>
      <c r="D12" t="s">
        <v>25</v>
      </c>
      <c r="E12" s="3">
        <v>911.90000000000009</v>
      </c>
      <c r="F12" s="3">
        <v>225.50000000000003</v>
      </c>
      <c r="G12" s="3">
        <f t="shared" si="0"/>
        <v>686.40000000000009</v>
      </c>
      <c r="H12" s="73" cm="1">
        <f t="array" aca="1" ref="H12" ca="1">IFERROR(INDIRECT("'"&amp;C12&amp;"'!I18"),"")</f>
        <v>29.996710526315795</v>
      </c>
      <c r="I12" s="76" cm="1">
        <f t="array" aca="1" ref="I12" ca="1">IFERROR(INDIRECT("'"&amp;C12&amp;"'!I19"),"")</f>
        <v>7.4177631578947381</v>
      </c>
      <c r="J12" s="3"/>
    </row>
    <row r="13" spans="3:10" x14ac:dyDescent="0.25">
      <c r="C13" s="7" t="s">
        <v>26</v>
      </c>
      <c r="D13" t="s">
        <v>27</v>
      </c>
      <c r="E13" s="3">
        <v>5874</v>
      </c>
      <c r="F13" s="3">
        <v>4928</v>
      </c>
      <c r="G13" s="3">
        <f t="shared" si="0"/>
        <v>946</v>
      </c>
      <c r="H13" s="73" cm="1">
        <f t="array" aca="1" ref="H13" ca="1">IFERROR(INDIRECT("'"&amp;C13&amp;"'!I18"),"")</f>
        <v>8.4469370146678173</v>
      </c>
      <c r="I13" s="76" cm="1">
        <f t="array" aca="1" ref="I13" ca="1">IFERROR(INDIRECT("'"&amp;C13&amp;"'!I19"),"")</f>
        <v>7.0865688812194421</v>
      </c>
      <c r="J13" s="3"/>
    </row>
    <row r="14" spans="3:10" x14ac:dyDescent="0.25">
      <c r="C14" s="7" t="s">
        <v>28</v>
      </c>
      <c r="D14" t="s">
        <v>29</v>
      </c>
      <c r="E14" s="3">
        <v>8382</v>
      </c>
      <c r="F14" s="3">
        <v>6974.0000000000009</v>
      </c>
      <c r="G14" s="3">
        <f t="shared" si="0"/>
        <v>1407.9999999999991</v>
      </c>
      <c r="H14" s="73" cm="1">
        <f t="array" aca="1" ref="H14" ca="1">IFERROR(INDIRECT("'"&amp;C14&amp;"'!I18"),"")</f>
        <v>5.8208333333333391</v>
      </c>
      <c r="I14" s="76" cm="1">
        <f t="array" aca="1" ref="I14" ca="1">IFERROR(INDIRECT("'"&amp;C14&amp;"'!I19"),"")</f>
        <v>4.8430555555555603</v>
      </c>
      <c r="J14" s="3"/>
    </row>
    <row r="15" spans="3:10" x14ac:dyDescent="0.25">
      <c r="C15" s="7" t="s">
        <v>30</v>
      </c>
      <c r="D15" t="s">
        <v>31</v>
      </c>
      <c r="E15" s="3">
        <v>22043.581999999999</v>
      </c>
      <c r="F15" s="3">
        <v>13903.779999999999</v>
      </c>
      <c r="G15" s="3">
        <f t="shared" si="0"/>
        <v>8139.8019999999997</v>
      </c>
      <c r="H15" s="73" cm="1">
        <f t="array" aca="1" ref="H15" ca="1">IFERROR(INDIRECT("'"&amp;C15&amp;"'!I18"),"")</f>
        <v>6.7495780668234353</v>
      </c>
      <c r="I15" s="76" cm="1">
        <f t="array" aca="1" ref="I15" ca="1">IFERROR(INDIRECT("'"&amp;C15&amp;"'!I19"),"")</f>
        <v>4.2572322653341166</v>
      </c>
      <c r="J15" s="3"/>
    </row>
    <row r="16" spans="3:10" x14ac:dyDescent="0.25">
      <c r="C16" s="7" t="s">
        <v>32</v>
      </c>
      <c r="D16" t="s">
        <v>33</v>
      </c>
      <c r="E16" s="3">
        <v>1096480</v>
      </c>
      <c r="F16" s="3">
        <v>894872</v>
      </c>
      <c r="G16" s="3">
        <f t="shared" si="0"/>
        <v>201608</v>
      </c>
      <c r="H16" s="73" cm="1">
        <f t="array" aca="1" ref="H16" ca="1">IFERROR(INDIRECT("'"&amp;C16&amp;"'!I18"),"")</f>
        <v>7.4962888079836931</v>
      </c>
      <c r="I16" s="76" cm="1">
        <f t="array" aca="1" ref="I16" ca="1">IFERROR(INDIRECT("'"&amp;C16&amp;"'!I19"),"")</f>
        <v>6.1179583377517002</v>
      </c>
      <c r="J16" s="3"/>
    </row>
    <row r="17" spans="3:10" x14ac:dyDescent="0.25">
      <c r="C17" s="7" t="s">
        <v>34</v>
      </c>
      <c r="D17" t="s">
        <v>35</v>
      </c>
      <c r="E17" s="3">
        <v>39160</v>
      </c>
      <c r="F17" s="3">
        <v>12540</v>
      </c>
      <c r="G17" s="3">
        <f t="shared" si="0"/>
        <v>26620</v>
      </c>
      <c r="H17" s="73" cm="1">
        <f t="array" aca="1" ref="H17" ca="1">IFERROR(INDIRECT("'"&amp;C17&amp;"'!I18"),"")</f>
        <v>5.4734764175940649</v>
      </c>
      <c r="I17" s="76" cm="1">
        <f t="array" aca="1" ref="I17" ca="1">IFERROR(INDIRECT("'"&amp;C17&amp;"'!I19"),"")</f>
        <v>1.7527424483306837</v>
      </c>
      <c r="J17" s="3"/>
    </row>
    <row r="18" spans="3:10" x14ac:dyDescent="0.25">
      <c r="C18" s="79" t="s">
        <v>36</v>
      </c>
      <c r="D18" t="s">
        <v>37</v>
      </c>
      <c r="E18" s="3">
        <v>17.05916666666667</v>
      </c>
      <c r="F18" s="3">
        <v>16.956500000000002</v>
      </c>
      <c r="G18" s="3">
        <f t="shared" si="0"/>
        <v>0.10266666666666779</v>
      </c>
      <c r="H18" s="73" cm="1">
        <f t="array" aca="1" ref="H18" ca="1">IFERROR(INDIRECT("'"&amp;C18&amp;"'!I18"),"")</f>
        <v>5.862256586483392</v>
      </c>
      <c r="I18" s="76" cm="1">
        <f t="array" aca="1" ref="I18" ca="1">IFERROR(INDIRECT("'"&amp;C18&amp;"'!I19"),"")</f>
        <v>5.8269759450171836</v>
      </c>
      <c r="J18" s="3"/>
    </row>
    <row r="19" spans="3:10" x14ac:dyDescent="0.25">
      <c r="C19" s="79" t="s">
        <v>38</v>
      </c>
      <c r="D19" t="s">
        <v>37</v>
      </c>
      <c r="E19" s="3">
        <v>16.509166666666665</v>
      </c>
      <c r="F19" s="3">
        <v>16.406500000000001</v>
      </c>
      <c r="G19" s="3">
        <f t="shared" si="0"/>
        <v>0.10266666666666424</v>
      </c>
      <c r="H19" s="73" cm="1">
        <f t="array" aca="1" ref="H19" ca="1">IFERROR(INDIRECT("'"&amp;C19&amp;"'!I18"),"")</f>
        <v>6.6036666666666664</v>
      </c>
      <c r="I19" s="76" cm="1">
        <f t="array" aca="1" ref="I19" ca="1">IFERROR(INDIRECT("'"&amp;C19&amp;"'!I19"),"")</f>
        <v>6.5626000000000007</v>
      </c>
      <c r="J19" s="3"/>
    </row>
    <row r="20" spans="3:10" x14ac:dyDescent="0.25">
      <c r="C20" s="79" t="s">
        <v>39</v>
      </c>
      <c r="D20" t="s">
        <v>37</v>
      </c>
      <c r="E20" s="3">
        <v>12.109166666666667</v>
      </c>
      <c r="F20" s="3">
        <v>12.006499999999999</v>
      </c>
      <c r="G20" s="3">
        <f t="shared" si="0"/>
        <v>0.10266666666666779</v>
      </c>
      <c r="H20" s="73" cm="1">
        <f t="array" aca="1" ref="H20" ca="1">IFERROR(INDIRECT("'"&amp;C20&amp;"'!I18"),"")</f>
        <v>6.8029026217228452</v>
      </c>
      <c r="I20" s="76" cm="1">
        <f t="array" aca="1" ref="I20" ca="1">IFERROR(INDIRECT("'"&amp;C20&amp;"'!I19"),"")</f>
        <v>6.7452247191011221</v>
      </c>
      <c r="J20" s="3"/>
    </row>
    <row r="21" spans="3:10" x14ac:dyDescent="0.25">
      <c r="C21" s="7" t="s">
        <v>40</v>
      </c>
      <c r="D21" t="s">
        <v>41</v>
      </c>
      <c r="E21" s="3">
        <v>7942.0000000000009</v>
      </c>
      <c r="F21" s="3">
        <v>7326.0000000000009</v>
      </c>
      <c r="G21" s="3">
        <f t="shared" si="0"/>
        <v>616</v>
      </c>
      <c r="H21" s="73" cm="1">
        <f t="array" aca="1" ref="H21" ca="1">IFERROR(INDIRECT("'"&amp;C21&amp;"'!I18"),"")</f>
        <v>3.28290343915344</v>
      </c>
      <c r="I21" s="76" cm="1">
        <f t="array" aca="1" ref="I21" ca="1">IFERROR(INDIRECT("'"&amp;C21&amp;"'!I19"),"")</f>
        <v>3.0282738095238102</v>
      </c>
      <c r="J21" s="3"/>
    </row>
    <row r="22" spans="3:10" x14ac:dyDescent="0.25">
      <c r="C22" s="7" t="s">
        <v>42</v>
      </c>
      <c r="D22" t="s">
        <v>43</v>
      </c>
      <c r="E22" s="3">
        <v>20658</v>
      </c>
      <c r="F22" s="3">
        <v>20350</v>
      </c>
      <c r="G22" s="3">
        <f t="shared" si="0"/>
        <v>308</v>
      </c>
      <c r="H22" s="73" cm="1">
        <f t="array" aca="1" ref="H22" ca="1">IFERROR(INDIRECT("'"&amp;C22&amp;"'!I18"),"")</f>
        <v>8.5391865079365079</v>
      </c>
      <c r="I22" s="76" cm="1">
        <f t="array" aca="1" ref="I22" ca="1">IFERROR(INDIRECT("'"&amp;C22&amp;"'!I19"),"")</f>
        <v>8.411871693121693</v>
      </c>
      <c r="J22" s="3"/>
    </row>
    <row r="23" spans="3:10" x14ac:dyDescent="0.25">
      <c r="C23" s="7" t="s">
        <v>44</v>
      </c>
      <c r="D23" t="s">
        <v>45</v>
      </c>
      <c r="E23" s="3">
        <v>38324</v>
      </c>
      <c r="F23" s="3">
        <v>13507.999999999996</v>
      </c>
      <c r="G23" s="3">
        <f t="shared" si="0"/>
        <v>24816.000000000004</v>
      </c>
      <c r="H23" s="73" cm="1">
        <f t="array" aca="1" ref="H23" ca="1">IFERROR(INDIRECT("'"&amp;C23&amp;"'!I18"),"")</f>
        <v>7.2007275132275135</v>
      </c>
      <c r="I23" s="76" cm="1">
        <f t="array" aca="1" ref="I23" ca="1">IFERROR(INDIRECT("'"&amp;C23&amp;"'!I19"),"")</f>
        <v>2.5380291005291</v>
      </c>
      <c r="J23" s="3"/>
    </row>
    <row r="24" spans="3:10" x14ac:dyDescent="0.25">
      <c r="C24" s="9" t="s">
        <v>46</v>
      </c>
      <c r="D24" s="10" t="s">
        <v>47</v>
      </c>
      <c r="E24" s="72">
        <v>3223</v>
      </c>
      <c r="F24" s="72">
        <v>3069</v>
      </c>
      <c r="G24" s="72">
        <f t="shared" si="0"/>
        <v>154</v>
      </c>
      <c r="H24" s="77" cm="1">
        <f t="array" aca="1" ref="H24" ca="1">IFERROR(INDIRECT("'"&amp;C24&amp;"'!I18"),"")</f>
        <v>3.2722141000649767</v>
      </c>
      <c r="I24" s="78" cm="1">
        <f t="array" aca="1" ref="I24" ca="1">IFERROR(INDIRECT("'"&amp;C24&amp;"'!I19"),"")</f>
        <v>3.1158625730994149</v>
      </c>
      <c r="J24" s="3"/>
    </row>
    <row r="30" spans="3:10" x14ac:dyDescent="0.25">
      <c r="C30" s="14" t="s">
        <v>48</v>
      </c>
      <c r="D30" s="15"/>
      <c r="E30" s="15"/>
      <c r="F30" s="15"/>
      <c r="G30" s="15"/>
      <c r="H30" s="15"/>
      <c r="I30" s="16"/>
    </row>
    <row r="31" spans="3:10" x14ac:dyDescent="0.25">
      <c r="C31" s="23" t="s">
        <v>8</v>
      </c>
      <c r="D31" s="24" t="s">
        <v>9</v>
      </c>
      <c r="E31" s="24" t="s">
        <v>10</v>
      </c>
      <c r="F31" s="24" t="s">
        <v>11</v>
      </c>
      <c r="G31" s="24" t="s">
        <v>12</v>
      </c>
      <c r="H31" s="24" t="s">
        <v>13</v>
      </c>
      <c r="I31" s="25" t="s">
        <v>14</v>
      </c>
    </row>
    <row r="32" spans="3:10" x14ac:dyDescent="0.25">
      <c r="C32" s="4" t="str" cm="1">
        <f t="array" aca="1" ref="C32:I33" ca="1">_xlfn._xlws.FILTER(C6:I24,H6:H24&lt;=5)</f>
        <v>PT11</v>
      </c>
      <c r="D32" s="70" t="str">
        <f ca="1"/>
        <v xml:space="preserve">Plaats meedere sensoren in een kasafdeling </v>
      </c>
      <c r="E32" s="71">
        <f ca="1"/>
        <v>7942.0000000000009</v>
      </c>
      <c r="F32" s="71">
        <f ca="1"/>
        <v>7326.0000000000009</v>
      </c>
      <c r="G32" s="71">
        <f ca="1"/>
        <v>616</v>
      </c>
      <c r="H32" s="74">
        <f ca="1"/>
        <v>3.28290343915344</v>
      </c>
      <c r="I32" s="75">
        <f ca="1"/>
        <v>3.0282738095238102</v>
      </c>
    </row>
    <row r="33" spans="3:9" x14ac:dyDescent="0.25">
      <c r="C33" s="9" t="str">
        <f ca="1"/>
        <v>PT14</v>
      </c>
      <c r="D33" s="10" t="str">
        <f ca="1"/>
        <v xml:space="preserve">Pas een frequentieregeling op pompen toe </v>
      </c>
      <c r="E33" s="72">
        <f ca="1"/>
        <v>3223</v>
      </c>
      <c r="F33" s="72">
        <f ca="1"/>
        <v>3069</v>
      </c>
      <c r="G33" s="72">
        <f ca="1"/>
        <v>154</v>
      </c>
      <c r="H33" s="77">
        <f ca="1"/>
        <v>3.2722141000649767</v>
      </c>
      <c r="I33" s="78">
        <f ca="1"/>
        <v>3.1158625730994149</v>
      </c>
    </row>
    <row r="42" spans="3:9" x14ac:dyDescent="0.25">
      <c r="C42" s="14" t="s">
        <v>49</v>
      </c>
      <c r="D42" s="15"/>
      <c r="E42" s="15"/>
      <c r="F42" s="15"/>
      <c r="G42" s="15"/>
      <c r="H42" s="15"/>
      <c r="I42" s="16"/>
    </row>
    <row r="43" spans="3:9" x14ac:dyDescent="0.25">
      <c r="C43" s="23" t="s">
        <v>8</v>
      </c>
      <c r="D43" s="24" t="s">
        <v>9</v>
      </c>
      <c r="E43" s="24" t="s">
        <v>10</v>
      </c>
      <c r="F43" s="24" t="s">
        <v>11</v>
      </c>
      <c r="G43" s="24" t="s">
        <v>12</v>
      </c>
      <c r="H43" s="24" t="s">
        <v>13</v>
      </c>
      <c r="I43" s="25" t="s">
        <v>14</v>
      </c>
    </row>
    <row r="44" spans="3:9" x14ac:dyDescent="0.25">
      <c r="C44" s="4" t="str" cm="1">
        <f t="array" aca="1" ref="C44:I49" ca="1">_xlfn._xlws.FILTER(C6:I24,(I6:I24&lt;=5)*(H6:H24&gt;5)*(C6:C24&lt;&gt;"PT2a")*(C6:C24&lt;&gt;"PT2b")*(C6:C24&lt;&gt;"PT2c")*(C6:C24&lt;&gt;"PT10a")*(C6:C24&lt;&gt;"PT10b")*(C6:C24&lt;&gt;"PT10c"))</f>
        <v>PT1</v>
      </c>
      <c r="D44" s="5" t="str">
        <f ca="1"/>
        <v>Breng beweegbare gevelschermen aan</v>
      </c>
      <c r="E44" s="71">
        <f ca="1"/>
        <v>185460</v>
      </c>
      <c r="F44" s="71">
        <f ca="1"/>
        <v>94336</v>
      </c>
      <c r="G44" s="71">
        <f ca="1"/>
        <v>91124</v>
      </c>
      <c r="H44" s="74">
        <f ca="1"/>
        <v>6.1855279993127921</v>
      </c>
      <c r="I44" s="75">
        <f ca="1"/>
        <v>3.1463278838734583</v>
      </c>
    </row>
    <row r="45" spans="3:9" x14ac:dyDescent="0.25">
      <c r="C45" s="7" t="str">
        <f ca="1"/>
        <v>PT2</v>
      </c>
      <c r="D45" t="str">
        <f ca="1"/>
        <v xml:space="preserve">Vervang de gevel met enkel glas door een gevel met isolerende beplating </v>
      </c>
      <c r="E45" s="3">
        <f ca="1"/>
        <v>130057.40000000001</v>
      </c>
      <c r="F45" s="3">
        <f ca="1"/>
        <v>70879.600000000006</v>
      </c>
      <c r="G45" s="3">
        <f ca="1"/>
        <v>59177.8</v>
      </c>
      <c r="H45" s="73">
        <f ca="1"/>
        <v>5.4221509302398303</v>
      </c>
      <c r="I45" s="76">
        <f ca="1"/>
        <v>2.9550020919611422</v>
      </c>
    </row>
    <row r="46" spans="3:9" x14ac:dyDescent="0.25">
      <c r="C46" s="7" t="str">
        <f ca="1"/>
        <v>PT6</v>
      </c>
      <c r="D46" t="str">
        <f ca="1"/>
        <v xml:space="preserve">Sluit het bedrijf aan op een CO2 netwerk </v>
      </c>
      <c r="E46" s="3">
        <f ca="1"/>
        <v>8382</v>
      </c>
      <c r="F46" s="3">
        <f ca="1"/>
        <v>6974.0000000000009</v>
      </c>
      <c r="G46" s="3">
        <f ca="1"/>
        <v>1407.9999999999991</v>
      </c>
      <c r="H46" s="73">
        <f ca="1"/>
        <v>5.8208333333333391</v>
      </c>
      <c r="I46" s="76">
        <f ca="1"/>
        <v>4.8430555555555603</v>
      </c>
    </row>
    <row r="47" spans="3:9" x14ac:dyDescent="0.25">
      <c r="C47" s="7" t="str">
        <f ca="1"/>
        <v>PT7</v>
      </c>
      <c r="D47" t="str">
        <f ca="1"/>
        <v xml:space="preserve">Isoleer verwarmingsleidingen en appendages </v>
      </c>
      <c r="E47" s="3">
        <f ca="1"/>
        <v>22043.581999999999</v>
      </c>
      <c r="F47" s="3">
        <f ca="1"/>
        <v>13903.779999999999</v>
      </c>
      <c r="G47" s="3">
        <f ca="1"/>
        <v>8139.8019999999997</v>
      </c>
      <c r="H47" s="73">
        <f ca="1"/>
        <v>6.7495780668234353</v>
      </c>
      <c r="I47" s="76">
        <f ca="1"/>
        <v>4.2572322653341166</v>
      </c>
    </row>
    <row r="48" spans="3:9" x14ac:dyDescent="0.25">
      <c r="C48" s="7" t="str">
        <f ca="1"/>
        <v>PT9</v>
      </c>
      <c r="D48" t="str">
        <f ca="1"/>
        <v>Pas meerdere schakelgroepen toe bij groeibelichting</v>
      </c>
      <c r="E48" s="3">
        <f ca="1"/>
        <v>39160</v>
      </c>
      <c r="F48" s="3">
        <f ca="1"/>
        <v>12540</v>
      </c>
      <c r="G48" s="3">
        <f ca="1"/>
        <v>26620</v>
      </c>
      <c r="H48" s="73">
        <f ca="1"/>
        <v>5.4734764175940649</v>
      </c>
      <c r="I48" s="76">
        <f ca="1"/>
        <v>1.7527424483306837</v>
      </c>
    </row>
    <row r="49" spans="3:9" x14ac:dyDescent="0.25">
      <c r="C49" s="9" t="str">
        <f ca="1"/>
        <v>PT13</v>
      </c>
      <c r="D49" s="10" t="str">
        <f ca="1"/>
        <v>Installeer een tweede rookgaskoeler of een tweede rookgas condensor</v>
      </c>
      <c r="E49" s="72">
        <f ca="1"/>
        <v>38324</v>
      </c>
      <c r="F49" s="72">
        <f ca="1"/>
        <v>13507.999999999996</v>
      </c>
      <c r="G49" s="72">
        <f ca="1"/>
        <v>24816.000000000004</v>
      </c>
      <c r="H49" s="77">
        <f ca="1"/>
        <v>7.2007275132275135</v>
      </c>
      <c r="I49" s="78">
        <f ca="1"/>
        <v>2.5380291005291</v>
      </c>
    </row>
    <row r="50" spans="3:9" x14ac:dyDescent="0.25">
      <c r="E50" s="3"/>
      <c r="F50" s="3"/>
      <c r="G50" s="3"/>
      <c r="H50" s="39"/>
      <c r="I50" s="39"/>
    </row>
    <row r="51" spans="3:9" x14ac:dyDescent="0.25">
      <c r="E51" s="3"/>
      <c r="F51" s="3"/>
      <c r="G51" s="3"/>
      <c r="H51" s="39"/>
      <c r="I51" s="39"/>
    </row>
  </sheetData>
  <phoneticPr fontId="4" type="noConversion"/>
  <conditionalFormatting sqref="H6:I7">
    <cfRule type="colorScale" priority="3">
      <colorScale>
        <cfvo type="num" val="0"/>
        <cfvo type="num" val="5"/>
        <cfvo type="num" val="5.01"/>
        <color rgb="FF63BE7B"/>
        <color rgb="FFFFEB84"/>
        <color rgb="FFF8696B"/>
      </colorScale>
    </cfRule>
  </conditionalFormatting>
  <conditionalFormatting sqref="H8:I24">
    <cfRule type="colorScale" priority="4">
      <colorScale>
        <cfvo type="num" val="0"/>
        <cfvo type="num" val="5"/>
        <cfvo type="num" val="5.01"/>
        <color rgb="FF63BE7B"/>
        <color rgb="FFFFEB84"/>
        <color rgb="FFF8696B"/>
      </colorScale>
    </cfRule>
  </conditionalFormatting>
  <conditionalFormatting sqref="H32:I33">
    <cfRule type="colorScale" priority="2">
      <colorScale>
        <cfvo type="num" val="0"/>
        <cfvo type="num" val="5"/>
        <cfvo type="num" val="5.01"/>
        <color rgb="FF63BE7B"/>
        <color rgb="FFFFEB84"/>
        <color rgb="FFF8696B"/>
      </colorScale>
    </cfRule>
  </conditionalFormatting>
  <conditionalFormatting sqref="H44:I49">
    <cfRule type="colorScale" priority="1">
      <colorScale>
        <cfvo type="num" val="0"/>
        <cfvo type="num" val="5"/>
        <cfvo type="num" val="5.01"/>
        <color rgb="FF63BE7B"/>
        <color rgb="FFFFEB84"/>
        <color rgb="FFF8696B"/>
      </colorScale>
    </cfRule>
  </conditionalFormatting>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826B5A-040B-426D-B51C-CD2777339505}">
  <sheetPr codeName="Blad20">
    <tabColor theme="0" tint="-0.14999847407452621"/>
  </sheetPr>
  <dimension ref="B2:J65"/>
  <sheetViews>
    <sheetView workbookViewId="0">
      <selection activeCell="I34" sqref="I34"/>
    </sheetView>
  </sheetViews>
  <sheetFormatPr defaultRowHeight="15" x14ac:dyDescent="0.25"/>
  <cols>
    <col min="2" max="2" width="33" customWidth="1"/>
    <col min="3" max="3" width="9.140625" customWidth="1"/>
    <col min="4" max="4" width="10.7109375" customWidth="1"/>
    <col min="5" max="5" width="69.42578125" customWidth="1"/>
    <col min="8" max="8" width="21.85546875" customWidth="1"/>
    <col min="9" max="9" width="11" bestFit="1" customWidth="1"/>
  </cols>
  <sheetData>
    <row r="2" spans="2:10" x14ac:dyDescent="0.25">
      <c r="B2" s="14" t="s">
        <v>50</v>
      </c>
      <c r="C2" s="12"/>
      <c r="D2" s="12"/>
      <c r="E2" s="13"/>
      <c r="H2" s="14" t="s">
        <v>51</v>
      </c>
      <c r="I2" s="15"/>
      <c r="J2" s="16"/>
    </row>
    <row r="3" spans="2:10" x14ac:dyDescent="0.25">
      <c r="B3" s="7" t="s">
        <v>52</v>
      </c>
      <c r="C3" t="s">
        <v>40</v>
      </c>
      <c r="E3" s="8"/>
      <c r="H3" s="23" t="s">
        <v>53</v>
      </c>
      <c r="I3" s="24"/>
      <c r="J3" s="25"/>
    </row>
    <row r="4" spans="2:10" x14ac:dyDescent="0.25">
      <c r="B4" s="7" t="s">
        <v>9</v>
      </c>
      <c r="C4" t="str">
        <f>_xlfn.XLOOKUP(C3,'EBM''s'!$C$6:$C$24,'EBM''s'!$D$6:$D$24)</f>
        <v xml:space="preserve">Plaats meedere sensoren in een kasafdeling </v>
      </c>
      <c r="E4" s="8"/>
      <c r="H4" s="7" t="s">
        <v>54</v>
      </c>
      <c r="I4" s="3">
        <f>_xlfn.XLOOKUP(C3,'EBM''s'!$C$6:$C$24,'EBM''s'!$E$6:$E$24)</f>
        <v>7942.0000000000009</v>
      </c>
      <c r="J4" s="8"/>
    </row>
    <row r="5" spans="2:10" x14ac:dyDescent="0.25">
      <c r="B5" s="7"/>
      <c r="E5" s="8"/>
      <c r="H5" s="7" t="s">
        <v>55</v>
      </c>
      <c r="I5" s="3">
        <f>_xlfn.XLOOKUP(C3,'EBM''s'!$C$6:$C$24,'EBM''s'!$F$6:$F$24)</f>
        <v>7326.0000000000009</v>
      </c>
      <c r="J5" s="8"/>
    </row>
    <row r="6" spans="2:10" x14ac:dyDescent="0.25">
      <c r="B6" s="7"/>
      <c r="E6" s="8"/>
      <c r="H6" s="7"/>
      <c r="J6" s="8"/>
    </row>
    <row r="7" spans="2:10" x14ac:dyDescent="0.25">
      <c r="B7" s="18" t="s">
        <v>56</v>
      </c>
      <c r="C7" s="19"/>
      <c r="D7" s="19"/>
      <c r="E7" s="20"/>
      <c r="H7" s="7"/>
      <c r="J7" s="8"/>
    </row>
    <row r="8" spans="2:10" x14ac:dyDescent="0.25">
      <c r="B8" s="21" t="s">
        <v>147</v>
      </c>
      <c r="C8" s="22">
        <f>100*120</f>
        <v>12000</v>
      </c>
      <c r="D8" s="2" t="s">
        <v>58</v>
      </c>
      <c r="E8" s="8"/>
      <c r="H8" s="23" t="s">
        <v>59</v>
      </c>
      <c r="I8" s="24"/>
      <c r="J8" s="25" t="s">
        <v>2</v>
      </c>
    </row>
    <row r="9" spans="2:10" x14ac:dyDescent="0.25">
      <c r="B9" s="21" t="s">
        <v>218</v>
      </c>
      <c r="C9" s="2">
        <v>14</v>
      </c>
      <c r="D9" s="2" t="s">
        <v>219</v>
      </c>
      <c r="E9" s="8"/>
      <c r="H9" s="7" t="s">
        <v>61</v>
      </c>
      <c r="I9" s="17"/>
      <c r="J9" s="8" t="s">
        <v>62</v>
      </c>
    </row>
    <row r="10" spans="2:10" x14ac:dyDescent="0.25">
      <c r="B10" s="7"/>
      <c r="E10" s="8"/>
      <c r="H10" s="7" t="s">
        <v>63</v>
      </c>
      <c r="I10" s="17">
        <f>C28</f>
        <v>3360</v>
      </c>
      <c r="J10" s="8" t="s">
        <v>64</v>
      </c>
    </row>
    <row r="11" spans="2:10" x14ac:dyDescent="0.25">
      <c r="B11" s="18" t="s">
        <v>65</v>
      </c>
      <c r="C11" s="19"/>
      <c r="D11" s="19"/>
      <c r="E11" s="20"/>
      <c r="H11" s="7"/>
      <c r="J11" s="8"/>
    </row>
    <row r="12" spans="2:10" x14ac:dyDescent="0.25">
      <c r="B12" s="21" t="s">
        <v>311</v>
      </c>
      <c r="C12" s="22">
        <f>14*12000</f>
        <v>168000</v>
      </c>
      <c r="D12" s="2" t="s">
        <v>64</v>
      </c>
      <c r="E12" s="8"/>
      <c r="H12" s="7" t="s">
        <v>61</v>
      </c>
      <c r="I12" s="3">
        <f>I9*Energieprijzen!$C$4</f>
        <v>0</v>
      </c>
      <c r="J12" s="8" t="s">
        <v>66</v>
      </c>
    </row>
    <row r="13" spans="2:10" x14ac:dyDescent="0.25">
      <c r="B13" s="21" t="s">
        <v>59</v>
      </c>
      <c r="C13" s="52">
        <v>0.02</v>
      </c>
      <c r="D13" s="2" t="s">
        <v>81</v>
      </c>
      <c r="E13" s="8"/>
      <c r="H13" s="7" t="s">
        <v>63</v>
      </c>
      <c r="I13" s="3">
        <f>I10*Energieprijzen!$C$5</f>
        <v>2419.1999999999998</v>
      </c>
      <c r="J13" s="8" t="s">
        <v>66</v>
      </c>
    </row>
    <row r="14" spans="2:10" x14ac:dyDescent="0.25">
      <c r="B14" s="7"/>
      <c r="E14" s="8"/>
      <c r="H14" s="7" t="s">
        <v>71</v>
      </c>
      <c r="I14" s="3">
        <f>SUM(I12:I13)</f>
        <v>2419.1999999999998</v>
      </c>
      <c r="J14" s="8" t="s">
        <v>66</v>
      </c>
    </row>
    <row r="15" spans="2:10" x14ac:dyDescent="0.25">
      <c r="B15" s="7"/>
      <c r="E15" s="8"/>
      <c r="H15" s="7"/>
      <c r="J15" s="8"/>
    </row>
    <row r="16" spans="2:10" x14ac:dyDescent="0.25">
      <c r="B16" s="18" t="s">
        <v>72</v>
      </c>
      <c r="C16" s="19"/>
      <c r="D16" s="19"/>
      <c r="E16" s="20"/>
      <c r="H16" s="7"/>
      <c r="J16" s="8"/>
    </row>
    <row r="17" spans="2:10" x14ac:dyDescent="0.25">
      <c r="B17" s="23" t="s">
        <v>73</v>
      </c>
      <c r="C17" s="24"/>
      <c r="D17" s="24" t="s">
        <v>2</v>
      </c>
      <c r="E17" s="25" t="s">
        <v>74</v>
      </c>
      <c r="H17" s="23" t="s">
        <v>75</v>
      </c>
      <c r="I17" s="24"/>
      <c r="J17" s="25" t="s">
        <v>2</v>
      </c>
    </row>
    <row r="18" spans="2:10" x14ac:dyDescent="0.25">
      <c r="B18" s="7" t="s">
        <v>76</v>
      </c>
      <c r="D18" t="s">
        <v>77</v>
      </c>
      <c r="E18" s="8"/>
      <c r="H18" s="7" t="s">
        <v>78</v>
      </c>
      <c r="I18" s="1">
        <f>IFERROR(I4/I14,0)</f>
        <v>3.28290343915344</v>
      </c>
      <c r="J18" s="8" t="s">
        <v>79</v>
      </c>
    </row>
    <row r="19" spans="2:10" x14ac:dyDescent="0.25">
      <c r="B19" s="7" t="s">
        <v>80</v>
      </c>
      <c r="D19" t="s">
        <v>81</v>
      </c>
      <c r="E19" s="8"/>
      <c r="H19" s="9" t="s">
        <v>82</v>
      </c>
      <c r="I19" s="28">
        <f>IFERROR(I5/I14,0)</f>
        <v>3.0282738095238102</v>
      </c>
      <c r="J19" s="11" t="s">
        <v>79</v>
      </c>
    </row>
    <row r="20" spans="2:10" x14ac:dyDescent="0.25">
      <c r="B20" s="7" t="s">
        <v>83</v>
      </c>
      <c r="D20" t="s">
        <v>84</v>
      </c>
      <c r="E20" s="8"/>
    </row>
    <row r="21" spans="2:10" x14ac:dyDescent="0.25">
      <c r="B21" s="7" t="s">
        <v>85</v>
      </c>
      <c r="C21" s="17">
        <f>C12</f>
        <v>168000</v>
      </c>
      <c r="D21" t="s">
        <v>86</v>
      </c>
      <c r="E21" s="8"/>
    </row>
    <row r="22" spans="2:10" x14ac:dyDescent="0.25">
      <c r="B22" s="7"/>
      <c r="E22" s="8"/>
    </row>
    <row r="23" spans="2:10" x14ac:dyDescent="0.25">
      <c r="B23" s="7"/>
      <c r="E23" s="8"/>
    </row>
    <row r="24" spans="2:10" x14ac:dyDescent="0.25">
      <c r="B24" s="23" t="s">
        <v>59</v>
      </c>
      <c r="C24" s="24"/>
      <c r="D24" s="24" t="s">
        <v>2</v>
      </c>
      <c r="E24" s="25" t="s">
        <v>74</v>
      </c>
    </row>
    <row r="25" spans="2:10" x14ac:dyDescent="0.25">
      <c r="B25" s="7" t="s">
        <v>76</v>
      </c>
      <c r="D25" t="s">
        <v>77</v>
      </c>
      <c r="E25" s="8"/>
    </row>
    <row r="26" spans="2:10" x14ac:dyDescent="0.25">
      <c r="B26" s="7" t="s">
        <v>80</v>
      </c>
      <c r="D26" t="s">
        <v>81</v>
      </c>
      <c r="E26" s="8"/>
    </row>
    <row r="27" spans="2:10" x14ac:dyDescent="0.25">
      <c r="B27" s="7" t="s">
        <v>83</v>
      </c>
      <c r="D27" t="s">
        <v>84</v>
      </c>
      <c r="E27" s="8"/>
    </row>
    <row r="28" spans="2:10" x14ac:dyDescent="0.25">
      <c r="B28" s="7" t="s">
        <v>85</v>
      </c>
      <c r="C28" s="17">
        <f>C21*C13</f>
        <v>3360</v>
      </c>
      <c r="D28" t="s">
        <v>86</v>
      </c>
      <c r="E28" s="8" t="s">
        <v>312</v>
      </c>
    </row>
    <row r="29" spans="2:10" x14ac:dyDescent="0.25">
      <c r="B29" s="7"/>
      <c r="E29" s="8"/>
      <c r="H29" t="s">
        <v>88</v>
      </c>
    </row>
    <row r="30" spans="2:10" x14ac:dyDescent="0.25">
      <c r="B30" s="7"/>
      <c r="E30" s="8"/>
      <c r="H30" t="s">
        <v>313</v>
      </c>
    </row>
    <row r="31" spans="2:10" x14ac:dyDescent="0.25">
      <c r="B31" s="23" t="s">
        <v>90</v>
      </c>
      <c r="C31" s="24"/>
      <c r="D31" s="24" t="s">
        <v>2</v>
      </c>
      <c r="E31" s="25" t="s">
        <v>74</v>
      </c>
    </row>
    <row r="32" spans="2:10" x14ac:dyDescent="0.25">
      <c r="B32" s="7" t="s">
        <v>76</v>
      </c>
      <c r="D32" t="s">
        <v>77</v>
      </c>
      <c r="E32" s="8"/>
    </row>
    <row r="33" spans="2:9" x14ac:dyDescent="0.25">
      <c r="B33" s="7" t="s">
        <v>80</v>
      </c>
      <c r="D33" t="s">
        <v>81</v>
      </c>
      <c r="E33" s="8"/>
      <c r="H33" t="s">
        <v>92</v>
      </c>
    </row>
    <row r="34" spans="2:9" x14ac:dyDescent="0.25">
      <c r="B34" s="7" t="s">
        <v>83</v>
      </c>
      <c r="D34" t="s">
        <v>84</v>
      </c>
      <c r="E34" s="8"/>
      <c r="I34" s="31" t="s">
        <v>314</v>
      </c>
    </row>
    <row r="35" spans="2:9" x14ac:dyDescent="0.25">
      <c r="B35" s="9" t="s">
        <v>85</v>
      </c>
      <c r="C35" s="26">
        <f>C21-C28</f>
        <v>164640</v>
      </c>
      <c r="D35" s="10" t="s">
        <v>86</v>
      </c>
      <c r="E35" s="11"/>
    </row>
    <row r="39" spans="2:9" x14ac:dyDescent="0.25">
      <c r="B39" s="14" t="s">
        <v>95</v>
      </c>
      <c r="C39" s="15"/>
      <c r="D39" s="15"/>
      <c r="E39" s="16"/>
    </row>
    <row r="40" spans="2:9" x14ac:dyDescent="0.25">
      <c r="B40" s="7"/>
      <c r="E40" s="8"/>
    </row>
    <row r="41" spans="2:9" x14ac:dyDescent="0.25">
      <c r="B41" s="7" t="s">
        <v>315</v>
      </c>
      <c r="E41" s="8"/>
    </row>
    <row r="42" spans="2:9" x14ac:dyDescent="0.25">
      <c r="B42" s="7"/>
      <c r="C42" s="35"/>
      <c r="E42" s="8"/>
    </row>
    <row r="43" spans="2:9" x14ac:dyDescent="0.25">
      <c r="B43" s="7" t="s">
        <v>316</v>
      </c>
      <c r="C43" s="56">
        <f>C13</f>
        <v>0.02</v>
      </c>
      <c r="E43" s="8"/>
    </row>
    <row r="44" spans="2:9" x14ac:dyDescent="0.25">
      <c r="B44" s="7"/>
      <c r="C44" s="60"/>
      <c r="E44" s="8"/>
    </row>
    <row r="45" spans="2:9" x14ac:dyDescent="0.25">
      <c r="B45" s="7"/>
      <c r="E45" s="8"/>
    </row>
    <row r="46" spans="2:9" x14ac:dyDescent="0.25">
      <c r="B46" s="7"/>
      <c r="E46" s="8"/>
    </row>
    <row r="47" spans="2:9" x14ac:dyDescent="0.25">
      <c r="B47" s="29"/>
      <c r="C47" s="30"/>
      <c r="D47" s="30"/>
      <c r="E47" s="8"/>
    </row>
    <row r="48" spans="2:9" x14ac:dyDescent="0.25">
      <c r="B48" s="29"/>
      <c r="C48" s="30"/>
      <c r="D48" s="30"/>
      <c r="E48" s="8"/>
    </row>
    <row r="49" spans="2:5" x14ac:dyDescent="0.25">
      <c r="B49" s="29"/>
      <c r="C49" s="30"/>
      <c r="D49" s="30"/>
      <c r="E49" s="8"/>
    </row>
    <row r="50" spans="2:5" x14ac:dyDescent="0.25">
      <c r="B50" s="7"/>
      <c r="E50" s="8"/>
    </row>
    <row r="51" spans="2:5" x14ac:dyDescent="0.25">
      <c r="B51" s="7"/>
      <c r="D51" s="1"/>
      <c r="E51" s="8"/>
    </row>
    <row r="52" spans="2:5" x14ac:dyDescent="0.25">
      <c r="B52" s="7"/>
      <c r="E52" s="8"/>
    </row>
    <row r="53" spans="2:5" x14ac:dyDescent="0.25">
      <c r="B53" s="7"/>
      <c r="E53" s="8"/>
    </row>
    <row r="54" spans="2:5" x14ac:dyDescent="0.25">
      <c r="B54" s="7"/>
      <c r="E54" s="8"/>
    </row>
    <row r="55" spans="2:5" x14ac:dyDescent="0.25">
      <c r="B55" s="7"/>
      <c r="E55" s="8"/>
    </row>
    <row r="56" spans="2:5" x14ac:dyDescent="0.25">
      <c r="B56" s="7"/>
      <c r="E56" s="8"/>
    </row>
    <row r="57" spans="2:5" x14ac:dyDescent="0.25">
      <c r="B57" s="7"/>
      <c r="E57" s="8"/>
    </row>
    <row r="58" spans="2:5" x14ac:dyDescent="0.25">
      <c r="B58" s="7"/>
      <c r="E58" s="8"/>
    </row>
    <row r="59" spans="2:5" x14ac:dyDescent="0.25">
      <c r="B59" s="7"/>
      <c r="E59" s="8"/>
    </row>
    <row r="60" spans="2:5" x14ac:dyDescent="0.25">
      <c r="B60" s="9"/>
      <c r="C60" s="10"/>
      <c r="D60" s="10"/>
      <c r="E60" s="11"/>
    </row>
    <row r="62" spans="2:5" x14ac:dyDescent="0.25">
      <c r="B62" t="s">
        <v>133</v>
      </c>
    </row>
    <row r="63" spans="2:5" x14ac:dyDescent="0.25">
      <c r="B63" t="s">
        <v>134</v>
      </c>
      <c r="C63">
        <v>0.02</v>
      </c>
    </row>
    <row r="64" spans="2:5" x14ac:dyDescent="0.25">
      <c r="B64" t="s">
        <v>317</v>
      </c>
      <c r="C64">
        <v>168000</v>
      </c>
    </row>
    <row r="65" spans="3:3" x14ac:dyDescent="0.25">
      <c r="C65">
        <f>C63*C64</f>
        <v>3360</v>
      </c>
    </row>
  </sheetData>
  <pageMargins left="0.7" right="0.7" top="0.75" bottom="0.75" header="0.3" footer="0.3"/>
  <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2D0744-8D43-40FF-99E9-82EB9312F4BC}">
  <sheetPr codeName="Blad21">
    <tabColor theme="7"/>
  </sheetPr>
  <dimension ref="B2:J62"/>
  <sheetViews>
    <sheetView workbookViewId="0">
      <selection activeCell="I24" sqref="I24"/>
    </sheetView>
  </sheetViews>
  <sheetFormatPr defaultRowHeight="15" x14ac:dyDescent="0.25"/>
  <cols>
    <col min="2" max="2" width="33" customWidth="1"/>
    <col min="3" max="3" width="9.140625" customWidth="1"/>
    <col min="4" max="4" width="10.7109375" customWidth="1"/>
    <col min="5" max="5" width="69.42578125" customWidth="1"/>
    <col min="8" max="8" width="21.85546875" customWidth="1"/>
    <col min="9" max="9" width="11" bestFit="1" customWidth="1"/>
  </cols>
  <sheetData>
    <row r="2" spans="2:10" x14ac:dyDescent="0.25">
      <c r="B2" s="14" t="s">
        <v>50</v>
      </c>
      <c r="C2" s="12"/>
      <c r="D2" s="12"/>
      <c r="E2" s="13"/>
      <c r="H2" s="14" t="s">
        <v>51</v>
      </c>
      <c r="I2" s="15"/>
      <c r="J2" s="16"/>
    </row>
    <row r="3" spans="2:10" x14ac:dyDescent="0.25">
      <c r="B3" s="7" t="s">
        <v>52</v>
      </c>
      <c r="C3" t="s">
        <v>42</v>
      </c>
      <c r="E3" s="8"/>
      <c r="H3" s="23" t="s">
        <v>53</v>
      </c>
      <c r="I3" s="24"/>
      <c r="J3" s="25"/>
    </row>
    <row r="4" spans="2:10" x14ac:dyDescent="0.25">
      <c r="B4" s="7" t="s">
        <v>9</v>
      </c>
      <c r="C4" t="str">
        <f>_xlfn.XLOOKUP(C3,'EBM''s'!$C$6:$C$24,'EBM''s'!$D$6:$D$24)</f>
        <v xml:space="preserve">Pas een automatische energieregistratie en bewakingssysteem met rapportagefunctie toe </v>
      </c>
      <c r="E4" s="8"/>
      <c r="H4" s="7" t="s">
        <v>54</v>
      </c>
      <c r="I4" s="3">
        <f>_xlfn.XLOOKUP(C3,'EBM''s'!$C$6:$C$24,'EBM''s'!$E$6:$E$24)</f>
        <v>20658</v>
      </c>
      <c r="J4" s="8"/>
    </row>
    <row r="5" spans="2:10" x14ac:dyDescent="0.25">
      <c r="B5" s="7"/>
      <c r="E5" s="8"/>
      <c r="H5" s="7" t="s">
        <v>55</v>
      </c>
      <c r="I5" s="3">
        <f>_xlfn.XLOOKUP(C3,'EBM''s'!$C$6:$C$24,'EBM''s'!$F$6:$F$24)</f>
        <v>20350</v>
      </c>
      <c r="J5" s="8"/>
    </row>
    <row r="6" spans="2:10" x14ac:dyDescent="0.25">
      <c r="B6" s="7"/>
      <c r="E6" s="8"/>
      <c r="H6" s="7"/>
      <c r="J6" s="8"/>
    </row>
    <row r="7" spans="2:10" x14ac:dyDescent="0.25">
      <c r="B7" s="18" t="s">
        <v>56</v>
      </c>
      <c r="C7" s="19"/>
      <c r="D7" s="19"/>
      <c r="E7" s="20"/>
      <c r="H7" s="7"/>
      <c r="J7" s="8"/>
    </row>
    <row r="8" spans="2:10" x14ac:dyDescent="0.25">
      <c r="B8" s="21" t="s">
        <v>147</v>
      </c>
      <c r="C8" s="22">
        <f>100*120</f>
        <v>12000</v>
      </c>
      <c r="D8" s="2" t="s">
        <v>58</v>
      </c>
      <c r="E8" s="8"/>
      <c r="H8" s="23" t="s">
        <v>59</v>
      </c>
      <c r="I8" s="24"/>
      <c r="J8" s="25" t="s">
        <v>2</v>
      </c>
    </row>
    <row r="9" spans="2:10" x14ac:dyDescent="0.25">
      <c r="B9" s="21" t="s">
        <v>218</v>
      </c>
      <c r="C9" s="2">
        <v>14</v>
      </c>
      <c r="D9" s="2" t="s">
        <v>219</v>
      </c>
      <c r="E9" s="8"/>
      <c r="H9" s="7" t="s">
        <v>61</v>
      </c>
      <c r="I9" s="17"/>
      <c r="J9" s="8" t="s">
        <v>62</v>
      </c>
    </row>
    <row r="10" spans="2:10" x14ac:dyDescent="0.25">
      <c r="B10" s="7"/>
      <c r="E10" s="8"/>
      <c r="H10" s="7" t="s">
        <v>63</v>
      </c>
      <c r="I10" s="17">
        <f>C28</f>
        <v>3360</v>
      </c>
      <c r="J10" s="8" t="s">
        <v>64</v>
      </c>
    </row>
    <row r="11" spans="2:10" x14ac:dyDescent="0.25">
      <c r="B11" s="18" t="s">
        <v>65</v>
      </c>
      <c r="C11" s="19"/>
      <c r="D11" s="19"/>
      <c r="E11" s="20"/>
      <c r="H11" s="7"/>
      <c r="J11" s="8"/>
    </row>
    <row r="12" spans="2:10" x14ac:dyDescent="0.25">
      <c r="B12" s="21" t="s">
        <v>311</v>
      </c>
      <c r="C12" s="22">
        <f>14*12000</f>
        <v>168000</v>
      </c>
      <c r="D12" s="2" t="s">
        <v>64</v>
      </c>
      <c r="E12" s="8"/>
      <c r="H12" s="7" t="s">
        <v>61</v>
      </c>
      <c r="I12" s="3">
        <f>I9*Energieprijzen!$C$4</f>
        <v>0</v>
      </c>
      <c r="J12" s="8" t="s">
        <v>66</v>
      </c>
    </row>
    <row r="13" spans="2:10" x14ac:dyDescent="0.25">
      <c r="B13" s="21" t="s">
        <v>59</v>
      </c>
      <c r="C13" s="52">
        <v>0.02</v>
      </c>
      <c r="D13" s="2" t="s">
        <v>81</v>
      </c>
      <c r="E13" s="8"/>
      <c r="H13" s="7" t="s">
        <v>63</v>
      </c>
      <c r="I13" s="3">
        <f>I10*Energieprijzen!$C$5</f>
        <v>2419.1999999999998</v>
      </c>
      <c r="J13" s="8" t="s">
        <v>66</v>
      </c>
    </row>
    <row r="14" spans="2:10" x14ac:dyDescent="0.25">
      <c r="B14" s="7"/>
      <c r="E14" s="8"/>
      <c r="H14" s="7" t="s">
        <v>71</v>
      </c>
      <c r="I14" s="3">
        <f>SUM(I12:I13)</f>
        <v>2419.1999999999998</v>
      </c>
      <c r="J14" s="8" t="s">
        <v>66</v>
      </c>
    </row>
    <row r="15" spans="2:10" x14ac:dyDescent="0.25">
      <c r="B15" s="7"/>
      <c r="E15" s="8"/>
      <c r="H15" s="7"/>
      <c r="J15" s="8"/>
    </row>
    <row r="16" spans="2:10" x14ac:dyDescent="0.25">
      <c r="B16" s="18" t="s">
        <v>72</v>
      </c>
      <c r="C16" s="19"/>
      <c r="D16" s="19"/>
      <c r="E16" s="20"/>
      <c r="H16" s="7"/>
      <c r="J16" s="8"/>
    </row>
    <row r="17" spans="2:10" x14ac:dyDescent="0.25">
      <c r="B17" s="23" t="s">
        <v>73</v>
      </c>
      <c r="C17" s="24"/>
      <c r="D17" s="24" t="s">
        <v>2</v>
      </c>
      <c r="E17" s="25" t="s">
        <v>74</v>
      </c>
      <c r="H17" s="23" t="s">
        <v>75</v>
      </c>
      <c r="I17" s="24"/>
      <c r="J17" s="25" t="s">
        <v>2</v>
      </c>
    </row>
    <row r="18" spans="2:10" x14ac:dyDescent="0.25">
      <c r="B18" s="7" t="s">
        <v>76</v>
      </c>
      <c r="D18" t="s">
        <v>77</v>
      </c>
      <c r="E18" s="8"/>
      <c r="H18" s="7" t="s">
        <v>78</v>
      </c>
      <c r="I18" s="1">
        <f>IFERROR(I4/I14,0)</f>
        <v>8.5391865079365079</v>
      </c>
      <c r="J18" s="8" t="s">
        <v>79</v>
      </c>
    </row>
    <row r="19" spans="2:10" x14ac:dyDescent="0.25">
      <c r="B19" s="7" t="s">
        <v>80</v>
      </c>
      <c r="D19" t="s">
        <v>81</v>
      </c>
      <c r="E19" s="8"/>
      <c r="H19" s="9" t="s">
        <v>82</v>
      </c>
      <c r="I19" s="28">
        <f>IFERROR(I5/I14,0)</f>
        <v>8.411871693121693</v>
      </c>
      <c r="J19" s="11" t="s">
        <v>79</v>
      </c>
    </row>
    <row r="20" spans="2:10" x14ac:dyDescent="0.25">
      <c r="B20" s="7" t="s">
        <v>83</v>
      </c>
      <c r="D20" t="s">
        <v>84</v>
      </c>
      <c r="E20" s="8"/>
    </row>
    <row r="21" spans="2:10" x14ac:dyDescent="0.25">
      <c r="B21" s="7" t="s">
        <v>85</v>
      </c>
      <c r="C21" s="17">
        <f>C12</f>
        <v>168000</v>
      </c>
      <c r="D21" t="s">
        <v>86</v>
      </c>
      <c r="E21" s="8"/>
    </row>
    <row r="22" spans="2:10" x14ac:dyDescent="0.25">
      <c r="B22" s="7"/>
      <c r="E22" s="8"/>
    </row>
    <row r="23" spans="2:10" x14ac:dyDescent="0.25">
      <c r="B23" s="7"/>
      <c r="E23" s="8"/>
    </row>
    <row r="24" spans="2:10" x14ac:dyDescent="0.25">
      <c r="B24" s="23" t="s">
        <v>59</v>
      </c>
      <c r="C24" s="24"/>
      <c r="D24" s="24" t="s">
        <v>2</v>
      </c>
      <c r="E24" s="25" t="s">
        <v>74</v>
      </c>
    </row>
    <row r="25" spans="2:10" x14ac:dyDescent="0.25">
      <c r="B25" s="7" t="s">
        <v>76</v>
      </c>
      <c r="D25" t="s">
        <v>77</v>
      </c>
      <c r="E25" s="8"/>
    </row>
    <row r="26" spans="2:10" x14ac:dyDescent="0.25">
      <c r="B26" s="7" t="s">
        <v>80</v>
      </c>
      <c r="D26" t="s">
        <v>81</v>
      </c>
      <c r="E26" s="8"/>
    </row>
    <row r="27" spans="2:10" x14ac:dyDescent="0.25">
      <c r="B27" s="7" t="s">
        <v>83</v>
      </c>
      <c r="D27" t="s">
        <v>84</v>
      </c>
      <c r="E27" s="8"/>
    </row>
    <row r="28" spans="2:10" x14ac:dyDescent="0.25">
      <c r="B28" s="7" t="s">
        <v>85</v>
      </c>
      <c r="C28" s="17">
        <f>C21*C13</f>
        <v>3360</v>
      </c>
      <c r="D28" t="s">
        <v>86</v>
      </c>
      <c r="E28" s="8" t="s">
        <v>312</v>
      </c>
    </row>
    <row r="29" spans="2:10" x14ac:dyDescent="0.25">
      <c r="B29" s="7"/>
      <c r="E29" s="8"/>
    </row>
    <row r="30" spans="2:10" x14ac:dyDescent="0.25">
      <c r="B30" s="7"/>
      <c r="E30" s="8"/>
    </row>
    <row r="31" spans="2:10" x14ac:dyDescent="0.25">
      <c r="B31" s="23" t="s">
        <v>90</v>
      </c>
      <c r="C31" s="24"/>
      <c r="D31" s="24" t="s">
        <v>2</v>
      </c>
      <c r="E31" s="25" t="s">
        <v>74</v>
      </c>
    </row>
    <row r="32" spans="2:10" x14ac:dyDescent="0.25">
      <c r="B32" s="7" t="s">
        <v>76</v>
      </c>
      <c r="D32" t="s">
        <v>77</v>
      </c>
      <c r="E32" s="8"/>
    </row>
    <row r="33" spans="2:5" x14ac:dyDescent="0.25">
      <c r="B33" s="7" t="s">
        <v>80</v>
      </c>
      <c r="D33" t="s">
        <v>81</v>
      </c>
      <c r="E33" s="8"/>
    </row>
    <row r="34" spans="2:5" x14ac:dyDescent="0.25">
      <c r="B34" s="7" t="s">
        <v>83</v>
      </c>
      <c r="D34" t="s">
        <v>84</v>
      </c>
      <c r="E34" s="8"/>
    </row>
    <row r="35" spans="2:5" x14ac:dyDescent="0.25">
      <c r="B35" s="9" t="s">
        <v>85</v>
      </c>
      <c r="C35" s="26">
        <f>C21-C28</f>
        <v>164640</v>
      </c>
      <c r="D35" s="10" t="s">
        <v>86</v>
      </c>
      <c r="E35" s="11"/>
    </row>
    <row r="39" spans="2:5" x14ac:dyDescent="0.25">
      <c r="B39" s="14" t="s">
        <v>95</v>
      </c>
      <c r="C39" s="15"/>
      <c r="D39" s="15"/>
      <c r="E39" s="16"/>
    </row>
    <row r="40" spans="2:5" x14ac:dyDescent="0.25">
      <c r="B40" s="7"/>
      <c r="E40" s="8"/>
    </row>
    <row r="41" spans="2:5" x14ac:dyDescent="0.25">
      <c r="B41" s="7" t="s">
        <v>315</v>
      </c>
      <c r="E41" s="8"/>
    </row>
    <row r="42" spans="2:5" x14ac:dyDescent="0.25">
      <c r="B42" s="7"/>
      <c r="C42" s="35"/>
      <c r="E42" s="8"/>
    </row>
    <row r="43" spans="2:5" x14ac:dyDescent="0.25">
      <c r="B43" s="7" t="s">
        <v>316</v>
      </c>
      <c r="C43" s="56">
        <f>C13</f>
        <v>0.02</v>
      </c>
      <c r="E43" s="8"/>
    </row>
    <row r="44" spans="2:5" x14ac:dyDescent="0.25">
      <c r="B44" s="7" t="s">
        <v>318</v>
      </c>
      <c r="C44" s="64">
        <v>168000</v>
      </c>
      <c r="E44" s="8"/>
    </row>
    <row r="45" spans="2:5" x14ac:dyDescent="0.25">
      <c r="B45" s="7"/>
      <c r="E45" s="8"/>
    </row>
    <row r="46" spans="2:5" x14ac:dyDescent="0.25">
      <c r="B46" s="7"/>
      <c r="E46" s="8"/>
    </row>
    <row r="47" spans="2:5" x14ac:dyDescent="0.25">
      <c r="B47" s="29"/>
      <c r="C47" s="30"/>
      <c r="D47" s="30" t="s">
        <v>319</v>
      </c>
      <c r="E47" s="8"/>
    </row>
    <row r="48" spans="2:5" x14ac:dyDescent="0.25">
      <c r="B48" s="29"/>
      <c r="C48" s="30"/>
      <c r="D48" s="30"/>
      <c r="E48" s="8"/>
    </row>
    <row r="49" spans="2:5" x14ac:dyDescent="0.25">
      <c r="B49" s="29"/>
      <c r="C49" s="30"/>
      <c r="D49" s="30"/>
      <c r="E49" s="8"/>
    </row>
    <row r="50" spans="2:5" x14ac:dyDescent="0.25">
      <c r="B50" s="7"/>
      <c r="E50" s="8"/>
    </row>
    <row r="51" spans="2:5" x14ac:dyDescent="0.25">
      <c r="B51" s="7"/>
      <c r="D51" s="1"/>
      <c r="E51" s="8"/>
    </row>
    <row r="52" spans="2:5" x14ac:dyDescent="0.25">
      <c r="B52" s="7"/>
      <c r="E52" s="8"/>
    </row>
    <row r="53" spans="2:5" x14ac:dyDescent="0.25">
      <c r="B53" s="7"/>
      <c r="E53" s="8"/>
    </row>
    <row r="54" spans="2:5" x14ac:dyDescent="0.25">
      <c r="B54" s="7"/>
      <c r="E54" s="8"/>
    </row>
    <row r="55" spans="2:5" x14ac:dyDescent="0.25">
      <c r="B55" s="7"/>
      <c r="E55" s="8"/>
    </row>
    <row r="56" spans="2:5" x14ac:dyDescent="0.25">
      <c r="B56" s="7"/>
      <c r="E56" s="8"/>
    </row>
    <row r="57" spans="2:5" x14ac:dyDescent="0.25">
      <c r="B57" s="7"/>
      <c r="E57" s="8"/>
    </row>
    <row r="58" spans="2:5" x14ac:dyDescent="0.25">
      <c r="B58" s="7"/>
      <c r="E58" s="8"/>
    </row>
    <row r="59" spans="2:5" x14ac:dyDescent="0.25">
      <c r="B59" s="7"/>
      <c r="E59" s="8"/>
    </row>
    <row r="60" spans="2:5" x14ac:dyDescent="0.25">
      <c r="B60" s="9"/>
      <c r="C60" s="10"/>
      <c r="D60" s="10"/>
      <c r="E60" s="11"/>
    </row>
    <row r="62" spans="2:5" x14ac:dyDescent="0.25">
      <c r="B62" t="s">
        <v>320</v>
      </c>
    </row>
  </sheetData>
  <pageMargins left="0.7" right="0.7" top="0.75" bottom="0.75" header="0.3" footer="0.3"/>
  <pageSetup paperSize="9" orientation="portrait"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416FE7-9B4A-4388-B5CD-CBEDCEBEDF30}">
  <sheetPr codeName="Blad13">
    <tabColor theme="0" tint="-0.14999847407452621"/>
  </sheetPr>
  <dimension ref="B2:J63"/>
  <sheetViews>
    <sheetView workbookViewId="0">
      <selection activeCell="H32" sqref="H32"/>
    </sheetView>
  </sheetViews>
  <sheetFormatPr defaultRowHeight="15" x14ac:dyDescent="0.25"/>
  <cols>
    <col min="2" max="2" width="33" customWidth="1"/>
    <col min="3" max="3" width="9.140625" customWidth="1"/>
    <col min="4" max="4" width="10.7109375" customWidth="1"/>
    <col min="5" max="5" width="69.42578125" customWidth="1"/>
    <col min="8" max="8" width="21.85546875" customWidth="1"/>
    <col min="9" max="9" width="11" bestFit="1" customWidth="1"/>
  </cols>
  <sheetData>
    <row r="2" spans="2:10" x14ac:dyDescent="0.25">
      <c r="B2" s="14" t="s">
        <v>50</v>
      </c>
      <c r="C2" s="12"/>
      <c r="D2" s="12"/>
      <c r="E2" s="13"/>
      <c r="H2" s="14" t="s">
        <v>51</v>
      </c>
      <c r="I2" s="15"/>
      <c r="J2" s="16"/>
    </row>
    <row r="3" spans="2:10" x14ac:dyDescent="0.25">
      <c r="B3" s="7" t="s">
        <v>52</v>
      </c>
      <c r="C3" t="s">
        <v>44</v>
      </c>
      <c r="E3" s="8"/>
      <c r="H3" s="23" t="s">
        <v>53</v>
      </c>
      <c r="I3" s="24"/>
      <c r="J3" s="25"/>
    </row>
    <row r="4" spans="2:10" x14ac:dyDescent="0.25">
      <c r="B4" s="7" t="s">
        <v>9</v>
      </c>
      <c r="C4" t="str">
        <f>_xlfn.XLOOKUP(C3,'EBM''s'!$C$6:$C$24,'EBM''s'!$D$6:$D$24)</f>
        <v>Installeer een tweede rookgaskoeler of een tweede rookgas condensor</v>
      </c>
      <c r="E4" s="8"/>
      <c r="H4" s="7" t="s">
        <v>54</v>
      </c>
      <c r="I4" s="3">
        <f>_xlfn.XLOOKUP(C3,'EBM''s'!$C$6:$C$24,'EBM''s'!$E$6:$E$24)</f>
        <v>38324</v>
      </c>
      <c r="J4" s="8"/>
    </row>
    <row r="5" spans="2:10" x14ac:dyDescent="0.25">
      <c r="B5" s="7"/>
      <c r="E5" s="8"/>
      <c r="H5" s="7" t="s">
        <v>55</v>
      </c>
      <c r="I5" s="3">
        <f>_xlfn.XLOOKUP(C3,'EBM''s'!$C$6:$C$24,'EBM''s'!$F$6:$F$24)</f>
        <v>13507.999999999996</v>
      </c>
      <c r="J5" s="8"/>
    </row>
    <row r="6" spans="2:10" x14ac:dyDescent="0.25">
      <c r="B6" s="7"/>
      <c r="E6" s="8"/>
      <c r="H6" s="7"/>
      <c r="J6" s="8"/>
    </row>
    <row r="7" spans="2:10" x14ac:dyDescent="0.25">
      <c r="B7" s="18" t="s">
        <v>56</v>
      </c>
      <c r="C7" s="19"/>
      <c r="D7" s="19"/>
      <c r="E7" s="20"/>
      <c r="H7" s="7"/>
      <c r="J7" s="8"/>
    </row>
    <row r="8" spans="2:10" x14ac:dyDescent="0.25">
      <c r="B8" s="21"/>
      <c r="C8" s="22"/>
      <c r="D8" s="2"/>
      <c r="E8" s="8"/>
      <c r="H8" s="23" t="s">
        <v>59</v>
      </c>
      <c r="I8" s="24"/>
      <c r="J8" s="25" t="s">
        <v>2</v>
      </c>
    </row>
    <row r="9" spans="2:10" x14ac:dyDescent="0.25">
      <c r="B9" s="21"/>
      <c r="E9" s="8"/>
      <c r="H9" s="7" t="s">
        <v>61</v>
      </c>
      <c r="I9" s="17"/>
      <c r="J9" s="8" t="s">
        <v>62</v>
      </c>
    </row>
    <row r="10" spans="2:10" x14ac:dyDescent="0.25">
      <c r="B10" s="7"/>
      <c r="E10" s="8"/>
      <c r="H10" s="7" t="s">
        <v>63</v>
      </c>
      <c r="I10" s="17">
        <f>C28</f>
        <v>7392</v>
      </c>
      <c r="J10" s="8" t="s">
        <v>64</v>
      </c>
    </row>
    <row r="11" spans="2:10" x14ac:dyDescent="0.25">
      <c r="B11" s="18" t="s">
        <v>65</v>
      </c>
      <c r="C11" s="19"/>
      <c r="D11" s="19"/>
      <c r="E11" s="20"/>
      <c r="H11" s="7"/>
      <c r="J11" s="8"/>
    </row>
    <row r="12" spans="2:10" x14ac:dyDescent="0.25">
      <c r="B12" s="21" t="s">
        <v>311</v>
      </c>
      <c r="C12" s="22">
        <f>14*12000</f>
        <v>168000</v>
      </c>
      <c r="D12" s="2" t="s">
        <v>64</v>
      </c>
      <c r="E12" s="8"/>
      <c r="H12" s="7" t="s">
        <v>61</v>
      </c>
      <c r="I12" s="3">
        <f>I9*Energieprijzen!$C$4</f>
        <v>0</v>
      </c>
      <c r="J12" s="8" t="s">
        <v>66</v>
      </c>
    </row>
    <row r="13" spans="2:10" x14ac:dyDescent="0.25">
      <c r="B13" s="21" t="s">
        <v>59</v>
      </c>
      <c r="C13" s="52">
        <v>4.3999999999999997E-2</v>
      </c>
      <c r="D13" s="2" t="s">
        <v>81</v>
      </c>
      <c r="E13" s="8"/>
      <c r="H13" s="7" t="s">
        <v>63</v>
      </c>
      <c r="I13" s="3">
        <f>I10*Energieprijzen!$C$5</f>
        <v>5322.24</v>
      </c>
      <c r="J13" s="8" t="s">
        <v>66</v>
      </c>
    </row>
    <row r="14" spans="2:10" x14ac:dyDescent="0.25">
      <c r="B14" s="7"/>
      <c r="E14" s="8"/>
      <c r="H14" s="7" t="s">
        <v>71</v>
      </c>
      <c r="I14" s="3">
        <f>SUM(I12:I13)</f>
        <v>5322.24</v>
      </c>
      <c r="J14" s="8" t="s">
        <v>66</v>
      </c>
    </row>
    <row r="15" spans="2:10" x14ac:dyDescent="0.25">
      <c r="B15" s="7"/>
      <c r="E15" s="8"/>
      <c r="H15" s="7"/>
      <c r="J15" s="8"/>
    </row>
    <row r="16" spans="2:10" x14ac:dyDescent="0.25">
      <c r="B16" s="18" t="s">
        <v>72</v>
      </c>
      <c r="C16" s="19"/>
      <c r="D16" s="19"/>
      <c r="E16" s="20"/>
      <c r="H16" s="7"/>
      <c r="J16" s="8"/>
    </row>
    <row r="17" spans="2:10" x14ac:dyDescent="0.25">
      <c r="B17" s="23" t="s">
        <v>73</v>
      </c>
      <c r="C17" s="24"/>
      <c r="D17" s="24" t="s">
        <v>2</v>
      </c>
      <c r="E17" s="25" t="s">
        <v>74</v>
      </c>
      <c r="H17" s="23" t="s">
        <v>75</v>
      </c>
      <c r="I17" s="24"/>
      <c r="J17" s="25" t="s">
        <v>2</v>
      </c>
    </row>
    <row r="18" spans="2:10" x14ac:dyDescent="0.25">
      <c r="B18" s="7" t="s">
        <v>76</v>
      </c>
      <c r="D18" t="s">
        <v>77</v>
      </c>
      <c r="E18" s="8"/>
      <c r="H18" s="7" t="s">
        <v>78</v>
      </c>
      <c r="I18" s="1">
        <f>IFERROR(I4/I14,0)</f>
        <v>7.2007275132275135</v>
      </c>
      <c r="J18" s="8" t="s">
        <v>79</v>
      </c>
    </row>
    <row r="19" spans="2:10" x14ac:dyDescent="0.25">
      <c r="B19" s="7" t="s">
        <v>80</v>
      </c>
      <c r="D19" t="s">
        <v>81</v>
      </c>
      <c r="E19" s="8"/>
      <c r="H19" s="9" t="s">
        <v>82</v>
      </c>
      <c r="I19" s="28">
        <f>IFERROR(I5/I14,0)</f>
        <v>2.5380291005291</v>
      </c>
      <c r="J19" s="11" t="s">
        <v>79</v>
      </c>
    </row>
    <row r="20" spans="2:10" x14ac:dyDescent="0.25">
      <c r="B20" s="7" t="s">
        <v>83</v>
      </c>
      <c r="D20" t="s">
        <v>84</v>
      </c>
      <c r="E20" s="8"/>
    </row>
    <row r="21" spans="2:10" x14ac:dyDescent="0.25">
      <c r="B21" s="7" t="s">
        <v>85</v>
      </c>
      <c r="C21" s="17">
        <f>C12</f>
        <v>168000</v>
      </c>
      <c r="D21" t="s">
        <v>86</v>
      </c>
      <c r="E21" s="8"/>
    </row>
    <row r="22" spans="2:10" x14ac:dyDescent="0.25">
      <c r="B22" s="7"/>
      <c r="E22" s="8"/>
    </row>
    <row r="23" spans="2:10" x14ac:dyDescent="0.25">
      <c r="B23" s="7"/>
      <c r="E23" s="8"/>
    </row>
    <row r="24" spans="2:10" x14ac:dyDescent="0.25">
      <c r="B24" s="23" t="s">
        <v>59</v>
      </c>
      <c r="C24" s="24"/>
      <c r="D24" s="24" t="s">
        <v>2</v>
      </c>
      <c r="E24" s="25" t="s">
        <v>74</v>
      </c>
    </row>
    <row r="25" spans="2:10" x14ac:dyDescent="0.25">
      <c r="B25" s="7" t="s">
        <v>76</v>
      </c>
      <c r="D25" t="s">
        <v>77</v>
      </c>
      <c r="E25" s="8"/>
    </row>
    <row r="26" spans="2:10" x14ac:dyDescent="0.25">
      <c r="B26" s="7" t="s">
        <v>80</v>
      </c>
      <c r="D26" t="s">
        <v>81</v>
      </c>
      <c r="E26" s="8"/>
    </row>
    <row r="27" spans="2:10" x14ac:dyDescent="0.25">
      <c r="B27" s="7" t="s">
        <v>83</v>
      </c>
      <c r="D27" t="s">
        <v>84</v>
      </c>
      <c r="E27" s="8"/>
    </row>
    <row r="28" spans="2:10" x14ac:dyDescent="0.25">
      <c r="B28" s="7" t="s">
        <v>85</v>
      </c>
      <c r="C28" s="17">
        <f>C21*C13</f>
        <v>7392</v>
      </c>
      <c r="D28" t="s">
        <v>86</v>
      </c>
      <c r="E28" s="8" t="s">
        <v>321</v>
      </c>
    </row>
    <row r="29" spans="2:10" x14ac:dyDescent="0.25">
      <c r="B29" s="7"/>
      <c r="E29" s="8"/>
      <c r="H29" t="s">
        <v>88</v>
      </c>
    </row>
    <row r="30" spans="2:10" x14ac:dyDescent="0.25">
      <c r="B30" s="7"/>
      <c r="E30" s="8"/>
      <c r="H30" t="s">
        <v>322</v>
      </c>
    </row>
    <row r="31" spans="2:10" x14ac:dyDescent="0.25">
      <c r="B31" s="23" t="s">
        <v>90</v>
      </c>
      <c r="C31" s="24"/>
      <c r="D31" s="24" t="s">
        <v>2</v>
      </c>
      <c r="E31" s="25" t="s">
        <v>74</v>
      </c>
      <c r="H31" t="s">
        <v>323</v>
      </c>
    </row>
    <row r="32" spans="2:10" x14ac:dyDescent="0.25">
      <c r="B32" s="7" t="s">
        <v>76</v>
      </c>
      <c r="D32" t="s">
        <v>77</v>
      </c>
      <c r="E32" s="8"/>
    </row>
    <row r="33" spans="2:9" x14ac:dyDescent="0.25">
      <c r="B33" s="7" t="s">
        <v>80</v>
      </c>
      <c r="D33" t="s">
        <v>81</v>
      </c>
      <c r="E33" s="8"/>
      <c r="H33" t="s">
        <v>92</v>
      </c>
    </row>
    <row r="34" spans="2:9" x14ac:dyDescent="0.25">
      <c r="B34" s="7" t="s">
        <v>83</v>
      </c>
      <c r="D34" t="s">
        <v>84</v>
      </c>
      <c r="E34" s="8"/>
      <c r="H34" t="s">
        <v>324</v>
      </c>
    </row>
    <row r="35" spans="2:9" x14ac:dyDescent="0.25">
      <c r="B35" s="9" t="s">
        <v>85</v>
      </c>
      <c r="C35" s="26">
        <f>C21-C28</f>
        <v>160608</v>
      </c>
      <c r="D35" s="10" t="s">
        <v>86</v>
      </c>
      <c r="E35" s="11"/>
      <c r="I35" s="31" t="s">
        <v>325</v>
      </c>
    </row>
    <row r="39" spans="2:9" x14ac:dyDescent="0.25">
      <c r="B39" s="14" t="s">
        <v>95</v>
      </c>
      <c r="C39" s="15"/>
      <c r="D39" s="15"/>
      <c r="E39" s="16"/>
    </row>
    <row r="40" spans="2:9" x14ac:dyDescent="0.25">
      <c r="B40" s="7"/>
      <c r="E40" s="8"/>
    </row>
    <row r="41" spans="2:9" x14ac:dyDescent="0.25">
      <c r="B41" s="7"/>
      <c r="E41" s="8"/>
    </row>
    <row r="42" spans="2:9" x14ac:dyDescent="0.25">
      <c r="B42" s="7" t="s">
        <v>326</v>
      </c>
      <c r="C42" s="35">
        <v>0.15</v>
      </c>
      <c r="E42" s="8"/>
    </row>
    <row r="43" spans="2:9" x14ac:dyDescent="0.25">
      <c r="B43" s="7" t="s">
        <v>327</v>
      </c>
      <c r="C43" s="56">
        <v>4.3999999999999997E-2</v>
      </c>
      <c r="E43" s="8"/>
    </row>
    <row r="44" spans="2:9" x14ac:dyDescent="0.25">
      <c r="B44" s="7"/>
      <c r="C44" s="32"/>
      <c r="E44" s="8"/>
    </row>
    <row r="45" spans="2:9" x14ac:dyDescent="0.25">
      <c r="B45" s="7"/>
      <c r="E45" s="8"/>
    </row>
    <row r="46" spans="2:9" x14ac:dyDescent="0.25">
      <c r="B46" s="7"/>
      <c r="E46" s="8"/>
    </row>
    <row r="47" spans="2:9" x14ac:dyDescent="0.25">
      <c r="B47" s="29"/>
      <c r="C47" s="30"/>
      <c r="D47" s="30"/>
      <c r="E47" s="8"/>
    </row>
    <row r="48" spans="2:9" x14ac:dyDescent="0.25">
      <c r="B48" s="29"/>
      <c r="C48" s="30"/>
      <c r="D48" s="30"/>
      <c r="E48" s="8"/>
    </row>
    <row r="49" spans="2:5" x14ac:dyDescent="0.25">
      <c r="B49" s="29"/>
      <c r="C49" s="30"/>
      <c r="D49" s="30"/>
      <c r="E49" s="8"/>
    </row>
    <row r="50" spans="2:5" x14ac:dyDescent="0.25">
      <c r="B50" s="7"/>
      <c r="E50" s="8"/>
    </row>
    <row r="51" spans="2:5" x14ac:dyDescent="0.25">
      <c r="B51" s="7"/>
      <c r="D51" s="1"/>
      <c r="E51" s="8"/>
    </row>
    <row r="52" spans="2:5" x14ac:dyDescent="0.25">
      <c r="B52" s="7"/>
      <c r="E52" s="8"/>
    </row>
    <row r="53" spans="2:5" x14ac:dyDescent="0.25">
      <c r="B53" s="7"/>
      <c r="E53" s="8"/>
    </row>
    <row r="54" spans="2:5" x14ac:dyDescent="0.25">
      <c r="B54" s="7"/>
      <c r="E54" s="8"/>
    </row>
    <row r="55" spans="2:5" x14ac:dyDescent="0.25">
      <c r="B55" s="7"/>
      <c r="E55" s="8"/>
    </row>
    <row r="56" spans="2:5" x14ac:dyDescent="0.25">
      <c r="B56" s="7"/>
      <c r="E56" s="8"/>
    </row>
    <row r="57" spans="2:5" x14ac:dyDescent="0.25">
      <c r="B57" s="7"/>
      <c r="E57" s="8"/>
    </row>
    <row r="58" spans="2:5" x14ac:dyDescent="0.25">
      <c r="B58" s="7"/>
      <c r="E58" s="8"/>
    </row>
    <row r="59" spans="2:5" x14ac:dyDescent="0.25">
      <c r="B59" s="7"/>
      <c r="E59" s="8"/>
    </row>
    <row r="60" spans="2:5" x14ac:dyDescent="0.25">
      <c r="B60" s="9"/>
      <c r="C60" s="10"/>
      <c r="D60" s="10"/>
      <c r="E60" s="11"/>
    </row>
    <row r="63" spans="2:5" x14ac:dyDescent="0.25">
      <c r="C63" s="56"/>
    </row>
  </sheetData>
  <pageMargins left="0.7" right="0.7" top="0.75" bottom="0.75" header="0.3" footer="0.3"/>
  <drawing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CC3249-3186-4272-A038-CB39264B1A52}">
  <sheetPr codeName="Blad14">
    <tabColor theme="0" tint="-0.14999847407452621"/>
  </sheetPr>
  <dimension ref="B2:J65"/>
  <sheetViews>
    <sheetView workbookViewId="0">
      <selection activeCell="C33" sqref="C33"/>
    </sheetView>
  </sheetViews>
  <sheetFormatPr defaultRowHeight="15" x14ac:dyDescent="0.25"/>
  <cols>
    <col min="2" max="2" width="33" customWidth="1"/>
    <col min="3" max="3" width="9.140625" customWidth="1"/>
    <col min="4" max="4" width="10.7109375" customWidth="1"/>
    <col min="5" max="5" width="69.42578125" customWidth="1"/>
    <col min="8" max="8" width="21.85546875" customWidth="1"/>
    <col min="9" max="9" width="11" bestFit="1" customWidth="1"/>
  </cols>
  <sheetData>
    <row r="2" spans="2:10" x14ac:dyDescent="0.25">
      <c r="B2" s="14" t="s">
        <v>50</v>
      </c>
      <c r="C2" s="12"/>
      <c r="D2" s="12"/>
      <c r="E2" s="13"/>
      <c r="H2" s="14" t="s">
        <v>51</v>
      </c>
      <c r="I2" s="15"/>
      <c r="J2" s="16"/>
    </row>
    <row r="3" spans="2:10" x14ac:dyDescent="0.25">
      <c r="B3" s="7" t="s">
        <v>52</v>
      </c>
      <c r="C3" t="s">
        <v>46</v>
      </c>
      <c r="E3" s="8"/>
      <c r="H3" s="23" t="s">
        <v>53</v>
      </c>
      <c r="I3" s="24"/>
      <c r="J3" s="25"/>
    </row>
    <row r="4" spans="2:10" x14ac:dyDescent="0.25">
      <c r="B4" s="7" t="s">
        <v>9</v>
      </c>
      <c r="C4" t="str">
        <f>_xlfn.XLOOKUP(C3,'EBM''s'!$C$6:$C$24,'EBM''s'!$D$6:$D$24)</f>
        <v xml:space="preserve">Pas een frequentieregeling op pompen toe </v>
      </c>
      <c r="E4" s="8"/>
      <c r="H4" s="7" t="s">
        <v>54</v>
      </c>
      <c r="I4" s="3">
        <f>_xlfn.XLOOKUP(C3,'EBM''s'!$C$6:$C$24,'EBM''s'!$E$6:$E$24)</f>
        <v>3223</v>
      </c>
      <c r="J4" s="8"/>
    </row>
    <row r="5" spans="2:10" x14ac:dyDescent="0.25">
      <c r="B5" s="7"/>
      <c r="E5" s="8"/>
      <c r="H5" s="7" t="s">
        <v>55</v>
      </c>
      <c r="I5" s="3">
        <f>_xlfn.XLOOKUP(C3,'EBM''s'!$C$6:$C$24,'EBM''s'!$F$6:$F$24)</f>
        <v>3069</v>
      </c>
      <c r="J5" s="8"/>
    </row>
    <row r="6" spans="2:10" x14ac:dyDescent="0.25">
      <c r="B6" s="7"/>
      <c r="E6" s="8"/>
      <c r="H6" s="7"/>
      <c r="J6" s="8"/>
    </row>
    <row r="7" spans="2:10" x14ac:dyDescent="0.25">
      <c r="B7" s="18" t="s">
        <v>56</v>
      </c>
      <c r="C7" s="19"/>
      <c r="D7" s="19"/>
      <c r="E7" s="20"/>
      <c r="H7" s="7"/>
      <c r="J7" s="8"/>
    </row>
    <row r="8" spans="2:10" x14ac:dyDescent="0.25">
      <c r="B8" s="21" t="s">
        <v>328</v>
      </c>
      <c r="C8" s="22"/>
      <c r="D8" s="2"/>
      <c r="E8" s="8"/>
      <c r="H8" s="23" t="s">
        <v>59</v>
      </c>
      <c r="I8" s="24"/>
      <c r="J8" s="25" t="s">
        <v>2</v>
      </c>
    </row>
    <row r="9" spans="2:10" x14ac:dyDescent="0.25">
      <c r="B9" s="21"/>
      <c r="E9" s="8"/>
      <c r="H9" s="7" t="s">
        <v>61</v>
      </c>
      <c r="I9" s="17">
        <f>C28</f>
        <v>5184.0000000000009</v>
      </c>
      <c r="J9" s="8" t="s">
        <v>62</v>
      </c>
    </row>
    <row r="10" spans="2:10" x14ac:dyDescent="0.25">
      <c r="B10" s="7"/>
      <c r="E10" s="8"/>
      <c r="H10" s="7" t="s">
        <v>63</v>
      </c>
      <c r="I10" s="17">
        <v>0</v>
      </c>
      <c r="J10" s="8" t="s">
        <v>64</v>
      </c>
    </row>
    <row r="11" spans="2:10" x14ac:dyDescent="0.25">
      <c r="B11" s="18" t="s">
        <v>65</v>
      </c>
      <c r="C11" s="19"/>
      <c r="D11" s="19"/>
      <c r="E11" s="20"/>
      <c r="H11" s="7"/>
      <c r="J11" s="8"/>
    </row>
    <row r="12" spans="2:10" x14ac:dyDescent="0.25">
      <c r="B12" s="21"/>
      <c r="C12" s="2"/>
      <c r="D12" s="2"/>
      <c r="E12" s="8"/>
      <c r="H12" s="7" t="s">
        <v>61</v>
      </c>
      <c r="I12" s="3">
        <f>I9*Energieprijzen!$C$4</f>
        <v>984.96000000000015</v>
      </c>
      <c r="J12" s="8" t="s">
        <v>66</v>
      </c>
    </row>
    <row r="13" spans="2:10" x14ac:dyDescent="0.25">
      <c r="B13" s="7"/>
      <c r="E13" s="8"/>
      <c r="H13" s="7" t="s">
        <v>63</v>
      </c>
      <c r="I13" s="3">
        <f>I10*Energieprijzen!$C$5</f>
        <v>0</v>
      </c>
      <c r="J13" s="8" t="s">
        <v>66</v>
      </c>
    </row>
    <row r="14" spans="2:10" x14ac:dyDescent="0.25">
      <c r="B14" s="7"/>
      <c r="E14" s="8"/>
      <c r="H14" s="7" t="s">
        <v>71</v>
      </c>
      <c r="I14" s="3">
        <f>SUM(I12:I13)</f>
        <v>984.96000000000015</v>
      </c>
      <c r="J14" s="8" t="s">
        <v>66</v>
      </c>
    </row>
    <row r="15" spans="2:10" x14ac:dyDescent="0.25">
      <c r="B15" s="7"/>
      <c r="E15" s="8"/>
      <c r="H15" s="7"/>
      <c r="J15" s="8"/>
    </row>
    <row r="16" spans="2:10" x14ac:dyDescent="0.25">
      <c r="B16" s="18" t="s">
        <v>72</v>
      </c>
      <c r="C16" s="19"/>
      <c r="D16" s="19"/>
      <c r="E16" s="20"/>
      <c r="H16" s="7"/>
      <c r="J16" s="8"/>
    </row>
    <row r="17" spans="2:10" x14ac:dyDescent="0.25">
      <c r="B17" s="23" t="s">
        <v>73</v>
      </c>
      <c r="C17" s="24"/>
      <c r="D17" s="24" t="s">
        <v>2</v>
      </c>
      <c r="E17" s="25" t="s">
        <v>74</v>
      </c>
      <c r="H17" s="23" t="s">
        <v>75</v>
      </c>
      <c r="I17" s="24"/>
      <c r="J17" s="25" t="s">
        <v>2</v>
      </c>
    </row>
    <row r="18" spans="2:10" x14ac:dyDescent="0.25">
      <c r="B18" s="7" t="s">
        <v>76</v>
      </c>
      <c r="C18">
        <v>3</v>
      </c>
      <c r="D18" t="s">
        <v>77</v>
      </c>
      <c r="E18" s="8"/>
      <c r="H18" s="7" t="s">
        <v>78</v>
      </c>
      <c r="I18" s="1">
        <f>IFERROR(I4/I14,0)</f>
        <v>3.2722141000649767</v>
      </c>
      <c r="J18" s="8" t="s">
        <v>79</v>
      </c>
    </row>
    <row r="19" spans="2:10" x14ac:dyDescent="0.25">
      <c r="B19" s="7" t="s">
        <v>80</v>
      </c>
      <c r="C19" s="36">
        <v>0.8</v>
      </c>
      <c r="D19" t="s">
        <v>187</v>
      </c>
      <c r="E19" s="8"/>
      <c r="H19" s="9" t="s">
        <v>82</v>
      </c>
      <c r="I19" s="28">
        <f>IFERROR(I5/I14,0)</f>
        <v>3.1158625730994149</v>
      </c>
      <c r="J19" s="11" t="s">
        <v>79</v>
      </c>
    </row>
    <row r="20" spans="2:10" x14ac:dyDescent="0.25">
      <c r="B20" s="7" t="s">
        <v>83</v>
      </c>
      <c r="C20">
        <v>4500</v>
      </c>
      <c r="D20" t="s">
        <v>84</v>
      </c>
      <c r="E20" s="8"/>
    </row>
    <row r="21" spans="2:10" x14ac:dyDescent="0.25">
      <c r="B21" s="7" t="s">
        <v>85</v>
      </c>
      <c r="C21" s="17">
        <f>C18*C19*C20</f>
        <v>10800.000000000002</v>
      </c>
      <c r="D21" t="s">
        <v>62</v>
      </c>
      <c r="E21" s="8"/>
    </row>
    <row r="22" spans="2:10" x14ac:dyDescent="0.25">
      <c r="B22" s="7"/>
      <c r="E22" s="8"/>
    </row>
    <row r="23" spans="2:10" x14ac:dyDescent="0.25">
      <c r="B23" s="7"/>
      <c r="E23" s="8"/>
    </row>
    <row r="24" spans="2:10" x14ac:dyDescent="0.25">
      <c r="B24" s="23" t="s">
        <v>59</v>
      </c>
      <c r="C24" s="24"/>
      <c r="D24" s="24" t="s">
        <v>2</v>
      </c>
      <c r="E24" s="25" t="s">
        <v>74</v>
      </c>
    </row>
    <row r="25" spans="2:10" x14ac:dyDescent="0.25">
      <c r="B25" s="7" t="s">
        <v>76</v>
      </c>
      <c r="D25" t="s">
        <v>77</v>
      </c>
      <c r="E25" s="8"/>
    </row>
    <row r="26" spans="2:10" x14ac:dyDescent="0.25">
      <c r="B26" s="7" t="s">
        <v>80</v>
      </c>
      <c r="C26" s="36"/>
      <c r="D26" t="s">
        <v>187</v>
      </c>
      <c r="E26" s="8"/>
    </row>
    <row r="27" spans="2:10" x14ac:dyDescent="0.25">
      <c r="B27" s="7" t="s">
        <v>83</v>
      </c>
      <c r="D27" t="s">
        <v>84</v>
      </c>
      <c r="E27" s="8"/>
    </row>
    <row r="28" spans="2:10" x14ac:dyDescent="0.25">
      <c r="B28" s="7" t="s">
        <v>85</v>
      </c>
      <c r="C28" s="17">
        <f>C21-C35</f>
        <v>5184.0000000000009</v>
      </c>
      <c r="D28" t="s">
        <v>62</v>
      </c>
      <c r="E28" s="8" t="s">
        <v>329</v>
      </c>
    </row>
    <row r="29" spans="2:10" x14ac:dyDescent="0.25">
      <c r="B29" s="7"/>
      <c r="E29" s="8"/>
      <c r="H29" t="s">
        <v>88</v>
      </c>
    </row>
    <row r="30" spans="2:10" x14ac:dyDescent="0.25">
      <c r="B30" s="7"/>
      <c r="E30" s="8"/>
      <c r="H30" t="s">
        <v>330</v>
      </c>
    </row>
    <row r="31" spans="2:10" x14ac:dyDescent="0.25">
      <c r="B31" s="23" t="s">
        <v>90</v>
      </c>
      <c r="C31" s="24"/>
      <c r="D31" s="24" t="s">
        <v>2</v>
      </c>
      <c r="E31" s="25" t="s">
        <v>74</v>
      </c>
      <c r="H31" t="s">
        <v>331</v>
      </c>
    </row>
    <row r="32" spans="2:10" x14ac:dyDescent="0.25">
      <c r="B32" s="7" t="s">
        <v>76</v>
      </c>
      <c r="C32">
        <v>3</v>
      </c>
      <c r="D32" t="s">
        <v>77</v>
      </c>
      <c r="E32" s="8"/>
    </row>
    <row r="33" spans="2:8" x14ac:dyDescent="0.25">
      <c r="B33" s="7" t="s">
        <v>80</v>
      </c>
      <c r="C33" s="36">
        <f>C19*0.52</f>
        <v>0.41600000000000004</v>
      </c>
      <c r="D33" t="s">
        <v>187</v>
      </c>
      <c r="E33" s="8"/>
      <c r="H33" t="s">
        <v>92</v>
      </c>
    </row>
    <row r="34" spans="2:8" x14ac:dyDescent="0.25">
      <c r="B34" s="7" t="s">
        <v>83</v>
      </c>
      <c r="C34">
        <v>4500</v>
      </c>
      <c r="D34" t="s">
        <v>84</v>
      </c>
      <c r="E34" s="8"/>
      <c r="H34" t="s">
        <v>332</v>
      </c>
    </row>
    <row r="35" spans="2:8" x14ac:dyDescent="0.25">
      <c r="B35" s="9" t="s">
        <v>85</v>
      </c>
      <c r="C35" s="26">
        <f>C32*C33*C34</f>
        <v>5616.0000000000009</v>
      </c>
      <c r="D35" s="10" t="s">
        <v>62</v>
      </c>
      <c r="E35" s="11"/>
    </row>
    <row r="39" spans="2:8" x14ac:dyDescent="0.25">
      <c r="B39" s="14" t="s">
        <v>95</v>
      </c>
      <c r="C39" s="15"/>
      <c r="D39" s="15"/>
      <c r="E39" s="16"/>
    </row>
    <row r="40" spans="2:8" x14ac:dyDescent="0.25">
      <c r="B40" s="7"/>
      <c r="E40" s="8"/>
    </row>
    <row r="41" spans="2:8" x14ac:dyDescent="0.25">
      <c r="B41" s="7" t="s">
        <v>333</v>
      </c>
      <c r="E41" s="8"/>
    </row>
    <row r="42" spans="2:8" x14ac:dyDescent="0.25">
      <c r="B42" s="29" t="s">
        <v>334</v>
      </c>
      <c r="E42" s="8"/>
    </row>
    <row r="43" spans="2:8" x14ac:dyDescent="0.25">
      <c r="B43" s="7" t="s">
        <v>335</v>
      </c>
      <c r="C43">
        <v>40</v>
      </c>
      <c r="D43" t="s">
        <v>336</v>
      </c>
      <c r="E43" s="8" t="s">
        <v>337</v>
      </c>
    </row>
    <row r="44" spans="2:8" x14ac:dyDescent="0.25">
      <c r="B44" s="7" t="s">
        <v>338</v>
      </c>
      <c r="C44" s="33">
        <v>1000</v>
      </c>
      <c r="D44" t="s">
        <v>339</v>
      </c>
      <c r="E44" s="8"/>
    </row>
    <row r="45" spans="2:8" x14ac:dyDescent="0.25">
      <c r="B45" s="7" t="s">
        <v>340</v>
      </c>
      <c r="C45">
        <v>9.81</v>
      </c>
      <c r="D45" t="s">
        <v>341</v>
      </c>
      <c r="E45" s="8"/>
    </row>
    <row r="46" spans="2:8" x14ac:dyDescent="0.25">
      <c r="B46" s="7" t="s">
        <v>342</v>
      </c>
      <c r="C46">
        <v>5</v>
      </c>
      <c r="D46" t="s">
        <v>229</v>
      </c>
      <c r="E46" s="8" t="s">
        <v>343</v>
      </c>
    </row>
    <row r="47" spans="2:8" x14ac:dyDescent="0.25">
      <c r="B47" s="29" t="s">
        <v>344</v>
      </c>
      <c r="C47" s="30">
        <v>2</v>
      </c>
      <c r="D47" s="30" t="s">
        <v>345</v>
      </c>
      <c r="E47" s="8" t="s">
        <v>346</v>
      </c>
    </row>
    <row r="48" spans="2:8" x14ac:dyDescent="0.25">
      <c r="B48" s="34" t="s">
        <v>347</v>
      </c>
      <c r="C48" s="35">
        <v>0.93</v>
      </c>
      <c r="E48" s="8"/>
    </row>
    <row r="49" spans="2:5" x14ac:dyDescent="0.25">
      <c r="B49" s="29"/>
      <c r="C49" s="30"/>
      <c r="D49" s="30"/>
      <c r="E49" s="8"/>
    </row>
    <row r="50" spans="2:5" x14ac:dyDescent="0.25">
      <c r="B50" s="7" t="s">
        <v>348</v>
      </c>
      <c r="C50" s="1">
        <f>C43*(C44*C45*C46+C47*100000)/(3.6*10^6)</f>
        <v>2.7672222222222222</v>
      </c>
      <c r="D50" s="30" t="s">
        <v>77</v>
      </c>
      <c r="E50" s="8"/>
    </row>
    <row r="51" spans="2:5" x14ac:dyDescent="0.25">
      <c r="B51" s="7" t="s">
        <v>349</v>
      </c>
      <c r="C51" s="1">
        <f>C50/C48</f>
        <v>2.9755077658303462</v>
      </c>
      <c r="D51" s="1" t="s">
        <v>77</v>
      </c>
      <c r="E51" s="8"/>
    </row>
    <row r="52" spans="2:5" x14ac:dyDescent="0.25">
      <c r="B52" s="7"/>
      <c r="E52" s="8"/>
    </row>
    <row r="53" spans="2:5" x14ac:dyDescent="0.25">
      <c r="B53" s="7" t="s">
        <v>350</v>
      </c>
      <c r="E53" s="8"/>
    </row>
    <row r="54" spans="2:5" x14ac:dyDescent="0.25">
      <c r="B54" s="7" t="s">
        <v>335</v>
      </c>
      <c r="C54">
        <f>C43*0.6</f>
        <v>24</v>
      </c>
      <c r="D54" t="s">
        <v>336</v>
      </c>
      <c r="E54" s="8"/>
    </row>
    <row r="55" spans="2:5" x14ac:dyDescent="0.25">
      <c r="B55" s="7" t="s">
        <v>344</v>
      </c>
      <c r="C55" s="30">
        <f>C47-0.5</f>
        <v>1.5</v>
      </c>
      <c r="D55" s="30" t="s">
        <v>345</v>
      </c>
      <c r="E55" s="8"/>
    </row>
    <row r="56" spans="2:5" x14ac:dyDescent="0.25">
      <c r="B56" s="7" t="s">
        <v>348</v>
      </c>
      <c r="C56" s="1">
        <f>C54*(C44*C45*C46+C55*100000)/(3.6*10^6)</f>
        <v>1.327</v>
      </c>
      <c r="D56" s="1" t="s">
        <v>77</v>
      </c>
      <c r="E56" s="8"/>
    </row>
    <row r="57" spans="2:5" x14ac:dyDescent="0.25">
      <c r="B57" s="7" t="s">
        <v>349</v>
      </c>
      <c r="C57" s="1">
        <f>C56/C48</f>
        <v>1.4268817204301074</v>
      </c>
      <c r="D57" s="1" t="s">
        <v>77</v>
      </c>
      <c r="E57" s="8"/>
    </row>
    <row r="58" spans="2:5" x14ac:dyDescent="0.25">
      <c r="B58" s="7" t="s">
        <v>351</v>
      </c>
      <c r="C58" s="1">
        <f>(C51-C57)/C51</f>
        <v>0.52045773940975704</v>
      </c>
      <c r="E58" s="8"/>
    </row>
    <row r="59" spans="2:5" x14ac:dyDescent="0.25">
      <c r="B59" s="7"/>
      <c r="E59" s="8"/>
    </row>
    <row r="60" spans="2:5" x14ac:dyDescent="0.25">
      <c r="B60" s="9"/>
      <c r="C60" s="10"/>
      <c r="D60" s="10"/>
      <c r="E60" s="11"/>
    </row>
    <row r="65" spans="3:3" x14ac:dyDescent="0.25">
      <c r="C65" s="35"/>
    </row>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967B94-91FF-4878-8F0D-2D569B39F2F2}">
  <sheetPr codeName="Blad5">
    <tabColor theme="0" tint="-0.14999847407452621"/>
  </sheetPr>
  <dimension ref="B2:J63"/>
  <sheetViews>
    <sheetView topLeftCell="A10" workbookViewId="0">
      <selection activeCell="E41" sqref="E41"/>
    </sheetView>
  </sheetViews>
  <sheetFormatPr defaultRowHeight="15" x14ac:dyDescent="0.25"/>
  <cols>
    <col min="2" max="2" width="33" customWidth="1"/>
    <col min="3" max="3" width="9.140625" customWidth="1"/>
    <col min="4" max="4" width="10.7109375" customWidth="1"/>
    <col min="5" max="5" width="69.42578125" customWidth="1"/>
    <col min="8" max="8" width="21.85546875" customWidth="1"/>
    <col min="9" max="9" width="11" bestFit="1" customWidth="1"/>
  </cols>
  <sheetData>
    <row r="2" spans="2:10" x14ac:dyDescent="0.25">
      <c r="B2" s="14" t="s">
        <v>50</v>
      </c>
      <c r="C2" s="12"/>
      <c r="D2" s="12"/>
      <c r="E2" s="13"/>
      <c r="H2" s="14" t="s">
        <v>51</v>
      </c>
      <c r="I2" s="15"/>
      <c r="J2" s="16"/>
    </row>
    <row r="3" spans="2:10" x14ac:dyDescent="0.25">
      <c r="B3" s="7" t="s">
        <v>52</v>
      </c>
      <c r="C3" t="s">
        <v>15</v>
      </c>
      <c r="E3" s="8"/>
      <c r="H3" s="23" t="s">
        <v>53</v>
      </c>
      <c r="I3" s="24"/>
      <c r="J3" s="25"/>
    </row>
    <row r="4" spans="2:10" x14ac:dyDescent="0.25">
      <c r="B4" s="7" t="s">
        <v>9</v>
      </c>
      <c r="C4" t="str">
        <f>_xlfn.XLOOKUP(C3,'EBM''s'!$C$6:$C$24,'EBM''s'!$D$6:$D$24)</f>
        <v>Breng beweegbare gevelschermen aan</v>
      </c>
      <c r="E4" s="8"/>
      <c r="H4" s="7" t="s">
        <v>54</v>
      </c>
      <c r="I4" s="3">
        <f>_xlfn.XLOOKUP(C3,'EBM''s'!$C$6:$C$24,'EBM''s'!$E$6:$E$24)</f>
        <v>185460</v>
      </c>
      <c r="J4" s="8"/>
    </row>
    <row r="5" spans="2:10" x14ac:dyDescent="0.25">
      <c r="B5" s="7"/>
      <c r="E5" s="8"/>
      <c r="H5" s="7" t="s">
        <v>55</v>
      </c>
      <c r="I5" s="3">
        <f>_xlfn.XLOOKUP(C3,'EBM''s'!$C$6:$C$24,'EBM''s'!$F$6:$F$24)</f>
        <v>94336</v>
      </c>
      <c r="J5" s="8"/>
    </row>
    <row r="6" spans="2:10" x14ac:dyDescent="0.25">
      <c r="B6" s="7"/>
      <c r="E6" s="8"/>
      <c r="H6" s="7"/>
      <c r="J6" s="8"/>
    </row>
    <row r="7" spans="2:10" x14ac:dyDescent="0.25">
      <c r="B7" s="18" t="s">
        <v>56</v>
      </c>
      <c r="C7" s="19"/>
      <c r="D7" s="19"/>
      <c r="E7" s="20"/>
      <c r="H7" s="7"/>
      <c r="J7" s="8"/>
    </row>
    <row r="8" spans="2:10" x14ac:dyDescent="0.25">
      <c r="B8" s="21" t="s">
        <v>57</v>
      </c>
      <c r="C8" s="22">
        <f>100*120</f>
        <v>12000</v>
      </c>
      <c r="D8" s="2" t="s">
        <v>58</v>
      </c>
      <c r="E8" s="8"/>
      <c r="H8" s="23" t="s">
        <v>59</v>
      </c>
      <c r="I8" s="24"/>
      <c r="J8" s="25" t="s">
        <v>2</v>
      </c>
    </row>
    <row r="9" spans="2:10" x14ac:dyDescent="0.25">
      <c r="B9" s="21" t="s">
        <v>60</v>
      </c>
      <c r="E9" s="8"/>
      <c r="H9" s="7" t="s">
        <v>61</v>
      </c>
      <c r="I9" s="17"/>
      <c r="J9" s="8" t="s">
        <v>62</v>
      </c>
    </row>
    <row r="10" spans="2:10" x14ac:dyDescent="0.25">
      <c r="B10" s="7"/>
      <c r="E10" s="8"/>
      <c r="H10" s="7" t="s">
        <v>63</v>
      </c>
      <c r="I10" s="17">
        <f>C28</f>
        <v>41642.901521414286</v>
      </c>
      <c r="J10" s="8" t="s">
        <v>64</v>
      </c>
    </row>
    <row r="11" spans="2:10" x14ac:dyDescent="0.25">
      <c r="B11" s="18" t="s">
        <v>65</v>
      </c>
      <c r="C11" s="19"/>
      <c r="D11" s="19"/>
      <c r="E11" s="20"/>
      <c r="H11" s="7"/>
      <c r="J11" s="8"/>
    </row>
    <row r="12" spans="2:10" x14ac:dyDescent="0.25">
      <c r="B12" s="21"/>
      <c r="C12" s="2"/>
      <c r="D12" s="2"/>
      <c r="E12" s="8"/>
      <c r="H12" s="7" t="s">
        <v>61</v>
      </c>
      <c r="I12" s="3">
        <f>I9*Energieprijzen!$C$4</f>
        <v>0</v>
      </c>
      <c r="J12" s="8" t="s">
        <v>66</v>
      </c>
    </row>
    <row r="13" spans="2:10" x14ac:dyDescent="0.25">
      <c r="B13" s="21" t="s">
        <v>67</v>
      </c>
      <c r="C13" s="2">
        <v>4000</v>
      </c>
      <c r="D13" s="2" t="s">
        <v>68</v>
      </c>
      <c r="E13" s="8"/>
      <c r="H13" s="7" t="s">
        <v>63</v>
      </c>
      <c r="I13" s="3">
        <f>I10*Energieprijzen!$C$5</f>
        <v>29982.889095418286</v>
      </c>
      <c r="J13" s="8" t="s">
        <v>66</v>
      </c>
    </row>
    <row r="14" spans="2:10" x14ac:dyDescent="0.25">
      <c r="B14" s="21" t="s">
        <v>69</v>
      </c>
      <c r="C14" s="48">
        <v>8</v>
      </c>
      <c r="D14" s="2" t="s">
        <v>70</v>
      </c>
      <c r="E14" s="8"/>
      <c r="H14" s="7" t="s">
        <v>71</v>
      </c>
      <c r="I14" s="3">
        <f>SUM(I12:I13)</f>
        <v>29982.889095418286</v>
      </c>
      <c r="J14" s="8" t="s">
        <v>66</v>
      </c>
    </row>
    <row r="15" spans="2:10" x14ac:dyDescent="0.25">
      <c r="B15" s="7"/>
      <c r="E15" s="8"/>
      <c r="H15" s="7"/>
      <c r="J15" s="8"/>
    </row>
    <row r="16" spans="2:10" x14ac:dyDescent="0.25">
      <c r="B16" s="18" t="s">
        <v>72</v>
      </c>
      <c r="C16" s="19"/>
      <c r="D16" s="19"/>
      <c r="E16" s="20"/>
      <c r="H16" s="7"/>
      <c r="J16" s="8"/>
    </row>
    <row r="17" spans="2:10" x14ac:dyDescent="0.25">
      <c r="B17" s="23" t="s">
        <v>73</v>
      </c>
      <c r="C17" s="24"/>
      <c r="D17" s="24" t="s">
        <v>2</v>
      </c>
      <c r="E17" s="25" t="s">
        <v>74</v>
      </c>
      <c r="H17" s="23" t="s">
        <v>75</v>
      </c>
      <c r="I17" s="24"/>
      <c r="J17" s="25" t="s">
        <v>2</v>
      </c>
    </row>
    <row r="18" spans="2:10" x14ac:dyDescent="0.25">
      <c r="B18" s="7" t="s">
        <v>76</v>
      </c>
      <c r="D18" t="s">
        <v>77</v>
      </c>
      <c r="E18" s="8"/>
      <c r="H18" s="7" t="s">
        <v>78</v>
      </c>
      <c r="I18" s="1">
        <f>IFERROR(I4/I14,0)</f>
        <v>6.1855279993127921</v>
      </c>
      <c r="J18" s="8" t="s">
        <v>79</v>
      </c>
    </row>
    <row r="19" spans="2:10" x14ac:dyDescent="0.25">
      <c r="B19" s="7" t="s">
        <v>80</v>
      </c>
      <c r="D19" t="s">
        <v>81</v>
      </c>
      <c r="E19" s="8"/>
      <c r="H19" s="9" t="s">
        <v>82</v>
      </c>
      <c r="I19" s="28">
        <f>IFERROR(I5/I14,0)</f>
        <v>3.1463278838734583</v>
      </c>
      <c r="J19" s="11" t="s">
        <v>79</v>
      </c>
    </row>
    <row r="20" spans="2:10" x14ac:dyDescent="0.25">
      <c r="B20" s="7" t="s">
        <v>83</v>
      </c>
      <c r="D20" t="s">
        <v>84</v>
      </c>
      <c r="E20" s="8"/>
    </row>
    <row r="21" spans="2:10" x14ac:dyDescent="0.25">
      <c r="B21" s="7" t="s">
        <v>85</v>
      </c>
      <c r="C21" s="17">
        <f>C57</f>
        <v>164868.03284159934</v>
      </c>
      <c r="D21" t="s">
        <v>86</v>
      </c>
      <c r="E21" s="8" t="s">
        <v>87</v>
      </c>
    </row>
    <row r="22" spans="2:10" x14ac:dyDescent="0.25">
      <c r="B22" s="7"/>
      <c r="E22" s="8"/>
    </row>
    <row r="23" spans="2:10" x14ac:dyDescent="0.25">
      <c r="B23" s="7"/>
      <c r="E23" s="8"/>
    </row>
    <row r="24" spans="2:10" x14ac:dyDescent="0.25">
      <c r="B24" s="23" t="s">
        <v>59</v>
      </c>
      <c r="C24" s="24"/>
      <c r="D24" s="24" t="s">
        <v>2</v>
      </c>
      <c r="E24" s="25" t="s">
        <v>74</v>
      </c>
    </row>
    <row r="25" spans="2:10" x14ac:dyDescent="0.25">
      <c r="B25" s="7" t="s">
        <v>76</v>
      </c>
      <c r="D25" t="s">
        <v>77</v>
      </c>
      <c r="E25" s="8"/>
    </row>
    <row r="26" spans="2:10" x14ac:dyDescent="0.25">
      <c r="B26" s="7" t="s">
        <v>80</v>
      </c>
      <c r="D26" t="s">
        <v>81</v>
      </c>
      <c r="E26" s="8"/>
    </row>
    <row r="27" spans="2:10" x14ac:dyDescent="0.25">
      <c r="B27" s="7" t="s">
        <v>83</v>
      </c>
      <c r="D27" t="s">
        <v>84</v>
      </c>
      <c r="E27" s="8"/>
    </row>
    <row r="28" spans="2:10" x14ac:dyDescent="0.25">
      <c r="B28" s="7" t="s">
        <v>85</v>
      </c>
      <c r="C28" s="17">
        <f>C21-C35</f>
        <v>41642.901521414286</v>
      </c>
      <c r="D28" t="s">
        <v>86</v>
      </c>
      <c r="E28" s="8"/>
    </row>
    <row r="29" spans="2:10" x14ac:dyDescent="0.25">
      <c r="B29" s="7"/>
      <c r="E29" s="8"/>
      <c r="H29" t="s">
        <v>88</v>
      </c>
    </row>
    <row r="30" spans="2:10" x14ac:dyDescent="0.25">
      <c r="B30" s="7"/>
      <c r="E30" s="8"/>
      <c r="H30" t="s">
        <v>89</v>
      </c>
    </row>
    <row r="31" spans="2:10" x14ac:dyDescent="0.25">
      <c r="B31" s="23" t="s">
        <v>90</v>
      </c>
      <c r="C31" s="24"/>
      <c r="D31" s="24" t="s">
        <v>2</v>
      </c>
      <c r="E31" s="25" t="s">
        <v>74</v>
      </c>
      <c r="H31" t="s">
        <v>91</v>
      </c>
    </row>
    <row r="32" spans="2:10" x14ac:dyDescent="0.25">
      <c r="B32" s="7" t="s">
        <v>76</v>
      </c>
      <c r="D32" t="s">
        <v>77</v>
      </c>
      <c r="E32" s="8"/>
    </row>
    <row r="33" spans="2:8" x14ac:dyDescent="0.25">
      <c r="B33" s="7" t="s">
        <v>80</v>
      </c>
      <c r="D33" t="s">
        <v>81</v>
      </c>
      <c r="E33" s="8"/>
      <c r="H33" t="s">
        <v>92</v>
      </c>
    </row>
    <row r="34" spans="2:8" x14ac:dyDescent="0.25">
      <c r="B34" s="7" t="s">
        <v>83</v>
      </c>
      <c r="D34" t="s">
        <v>84</v>
      </c>
      <c r="E34" s="8"/>
      <c r="H34" t="s">
        <v>93</v>
      </c>
    </row>
    <row r="35" spans="2:8" x14ac:dyDescent="0.25">
      <c r="B35" s="9" t="s">
        <v>85</v>
      </c>
      <c r="C35" s="26">
        <f>C58</f>
        <v>123225.13132018506</v>
      </c>
      <c r="D35" s="10" t="s">
        <v>86</v>
      </c>
      <c r="E35" s="11"/>
      <c r="H35" t="s">
        <v>94</v>
      </c>
    </row>
    <row r="39" spans="2:8" x14ac:dyDescent="0.25">
      <c r="B39" s="14" t="s">
        <v>95</v>
      </c>
      <c r="C39" s="15"/>
      <c r="D39" s="15"/>
      <c r="E39" s="16"/>
    </row>
    <row r="40" spans="2:8" x14ac:dyDescent="0.25">
      <c r="B40" s="7" t="s">
        <v>96</v>
      </c>
      <c r="E40" s="8"/>
    </row>
    <row r="41" spans="2:8" x14ac:dyDescent="0.25">
      <c r="B41" s="7" t="s">
        <v>97</v>
      </c>
      <c r="C41" s="17">
        <f>(5*120+5*100)*2</f>
        <v>2200</v>
      </c>
      <c r="D41" t="s">
        <v>58</v>
      </c>
      <c r="E41" s="82"/>
    </row>
    <row r="42" spans="2:8" x14ac:dyDescent="0.25">
      <c r="B42" s="7" t="s">
        <v>98</v>
      </c>
      <c r="C42" s="17">
        <f>120*100</f>
        <v>12000</v>
      </c>
      <c r="D42" t="s">
        <v>58</v>
      </c>
      <c r="E42" s="8"/>
    </row>
    <row r="43" spans="2:8" x14ac:dyDescent="0.25">
      <c r="B43" s="7" t="s">
        <v>99</v>
      </c>
      <c r="C43" s="17">
        <f>SUM(C41:C42)</f>
        <v>14200</v>
      </c>
      <c r="D43" s="1" t="s">
        <v>58</v>
      </c>
      <c r="E43" s="8"/>
    </row>
    <row r="44" spans="2:8" x14ac:dyDescent="0.25">
      <c r="B44" s="7"/>
      <c r="E44" s="8"/>
    </row>
    <row r="45" spans="2:8" x14ac:dyDescent="0.25">
      <c r="B45" s="7" t="s">
        <v>100</v>
      </c>
      <c r="E45" s="8"/>
    </row>
    <row r="46" spans="2:8" x14ac:dyDescent="0.25">
      <c r="B46" s="7" t="s">
        <v>97</v>
      </c>
      <c r="C46" s="1">
        <v>8</v>
      </c>
      <c r="D46" t="s">
        <v>101</v>
      </c>
      <c r="E46" s="8"/>
    </row>
    <row r="47" spans="2:8" x14ac:dyDescent="0.25">
      <c r="B47" s="7" t="s">
        <v>102</v>
      </c>
      <c r="C47" s="1">
        <v>8</v>
      </c>
      <c r="D47" t="s">
        <v>101</v>
      </c>
      <c r="E47" s="8"/>
    </row>
    <row r="48" spans="2:8" x14ac:dyDescent="0.25">
      <c r="B48" s="7" t="s">
        <v>103</v>
      </c>
      <c r="C48" s="1">
        <f>1/(1/C47+1/4.8)</f>
        <v>2.9999999999999996</v>
      </c>
      <c r="D48" t="s">
        <v>101</v>
      </c>
      <c r="E48" s="8" t="s">
        <v>104</v>
      </c>
    </row>
    <row r="49" spans="2:5" x14ac:dyDescent="0.25">
      <c r="B49" s="7" t="s">
        <v>105</v>
      </c>
      <c r="C49" s="1">
        <f>1/(1/$C$47+1/2.4)</f>
        <v>1.8461538461538458</v>
      </c>
      <c r="D49" t="s">
        <v>101</v>
      </c>
      <c r="E49" s="8" t="s">
        <v>106</v>
      </c>
    </row>
    <row r="50" spans="2:5" x14ac:dyDescent="0.25">
      <c r="B50" s="7"/>
      <c r="C50" s="1"/>
      <c r="E50" s="8"/>
    </row>
    <row r="51" spans="2:5" x14ac:dyDescent="0.25">
      <c r="B51" s="7"/>
      <c r="C51" s="1"/>
      <c r="E51" s="8"/>
    </row>
    <row r="52" spans="2:5" x14ac:dyDescent="0.25">
      <c r="B52" s="7" t="s">
        <v>99</v>
      </c>
      <c r="C52" s="1">
        <f>($C$41*C49+$C$42*$C$48)/$C$43</f>
        <v>2.8212351029252432</v>
      </c>
      <c r="D52" t="s">
        <v>101</v>
      </c>
      <c r="E52" s="8"/>
    </row>
    <row r="53" spans="2:5" x14ac:dyDescent="0.25">
      <c r="B53" s="7"/>
      <c r="C53" s="1"/>
      <c r="E53" s="8"/>
    </row>
    <row r="54" spans="2:5" x14ac:dyDescent="0.25">
      <c r="B54" s="7"/>
      <c r="C54" s="1"/>
      <c r="E54" s="8"/>
    </row>
    <row r="55" spans="2:5" x14ac:dyDescent="0.25">
      <c r="B55" s="7" t="s">
        <v>107</v>
      </c>
      <c r="C55" s="51">
        <f>($C$41*C46+$C$42*$C$48)/$C$43</f>
        <v>3.7746478873239431</v>
      </c>
      <c r="D55" t="s">
        <v>101</v>
      </c>
      <c r="E55" s="8"/>
    </row>
    <row r="56" spans="2:5" x14ac:dyDescent="0.25">
      <c r="B56" s="7"/>
      <c r="C56" s="1"/>
      <c r="E56" s="8"/>
    </row>
    <row r="57" spans="2:5" x14ac:dyDescent="0.25">
      <c r="B57" s="7" t="s">
        <v>108</v>
      </c>
      <c r="C57" s="17">
        <f>$C$55*$C$8*$C$13*$C$14/31.65*3.6/1000</f>
        <v>164868.03284159934</v>
      </c>
      <c r="D57" t="s">
        <v>64</v>
      </c>
      <c r="E57" s="8"/>
    </row>
    <row r="58" spans="2:5" x14ac:dyDescent="0.25">
      <c r="B58" s="7" t="s">
        <v>109</v>
      </c>
      <c r="C58" s="17">
        <f>C52*$C$8*$C$13*$C$14/31.65*3.6/1000</f>
        <v>123225.13132018506</v>
      </c>
      <c r="D58" t="s">
        <v>64</v>
      </c>
      <c r="E58" s="8"/>
    </row>
    <row r="59" spans="2:5" x14ac:dyDescent="0.25">
      <c r="B59" s="7"/>
      <c r="C59" s="17"/>
      <c r="E59" s="8"/>
    </row>
    <row r="60" spans="2:5" x14ac:dyDescent="0.25">
      <c r="B60" s="9"/>
      <c r="C60" s="26"/>
      <c r="D60" s="10"/>
      <c r="E60" s="11"/>
    </row>
    <row r="63" spans="2:5" x14ac:dyDescent="0.25">
      <c r="C63" s="51"/>
    </row>
  </sheetData>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0F2207-6E0A-48CC-AB81-8FFF34DD5472}">
  <sheetPr>
    <tabColor theme="0" tint="-0.14999847407452621"/>
  </sheetPr>
  <dimension ref="B1:M64"/>
  <sheetViews>
    <sheetView workbookViewId="0">
      <selection activeCell="I10" sqref="I10"/>
    </sheetView>
  </sheetViews>
  <sheetFormatPr defaultRowHeight="15" x14ac:dyDescent="0.25"/>
  <cols>
    <col min="2" max="2" width="33" customWidth="1"/>
    <col min="3" max="3" width="9.140625" customWidth="1"/>
    <col min="4" max="4" width="10.7109375" customWidth="1"/>
    <col min="5" max="5" width="69.42578125" customWidth="1"/>
    <col min="8" max="8" width="21.85546875" customWidth="1"/>
    <col min="9" max="9" width="11" bestFit="1" customWidth="1"/>
  </cols>
  <sheetData>
    <row r="1" spans="2:12" x14ac:dyDescent="0.25">
      <c r="L1" t="str" cm="1">
        <f t="array" aca="1" ref="L1" ca="1">RIGHT(CELL("bestandsnaam"),LEN(CELL("bestandsnaam"))-FIND("]",CELL("bestandsnaam")))</f>
        <v>PT1</v>
      </c>
    </row>
    <row r="2" spans="2:12" x14ac:dyDescent="0.25">
      <c r="B2" s="14" t="s">
        <v>50</v>
      </c>
      <c r="C2" s="12"/>
      <c r="D2" s="12"/>
      <c r="E2" s="13"/>
      <c r="H2" s="14" t="s">
        <v>51</v>
      </c>
      <c r="I2" s="15"/>
      <c r="J2" s="16"/>
    </row>
    <row r="3" spans="2:12" x14ac:dyDescent="0.25">
      <c r="B3" s="7" t="s">
        <v>52</v>
      </c>
      <c r="C3" t="s">
        <v>17</v>
      </c>
      <c r="E3" s="8"/>
      <c r="H3" s="23" t="s">
        <v>53</v>
      </c>
      <c r="I3" s="24"/>
      <c r="J3" s="25"/>
    </row>
    <row r="4" spans="2:12" x14ac:dyDescent="0.25">
      <c r="B4" s="7" t="s">
        <v>9</v>
      </c>
      <c r="C4" t="str">
        <f>_xlfn.XLOOKUP(C3,'EBM''s'!$C$6:$C$24,'EBM''s'!$D$6:$D$24)</f>
        <v xml:space="preserve">Vervang de gevel met enkel glas door een gevel met isolerende beplating </v>
      </c>
      <c r="E4" s="8"/>
      <c r="G4" s="80"/>
      <c r="H4" s="7" t="s">
        <v>54</v>
      </c>
      <c r="I4" s="3">
        <f>_xlfn.XLOOKUP(C3,'EBM''s'!$C$6:$C$24,'EBM''s'!$E$6:$E$24)</f>
        <v>130057.40000000001</v>
      </c>
      <c r="J4" s="8"/>
    </row>
    <row r="5" spans="2:12" x14ac:dyDescent="0.25">
      <c r="B5" s="7"/>
      <c r="E5" s="8"/>
      <c r="H5" s="7" t="s">
        <v>55</v>
      </c>
      <c r="I5" s="3">
        <f>_xlfn.XLOOKUP(C3,'EBM''s'!$C$6:$C$24,'EBM''s'!$F$6:$F$24)</f>
        <v>70879.600000000006</v>
      </c>
      <c r="J5" s="8"/>
    </row>
    <row r="6" spans="2:12" x14ac:dyDescent="0.25">
      <c r="B6" s="7"/>
      <c r="E6" s="8"/>
      <c r="H6" s="7"/>
      <c r="J6" s="8"/>
    </row>
    <row r="7" spans="2:12" x14ac:dyDescent="0.25">
      <c r="B7" s="18" t="s">
        <v>56</v>
      </c>
      <c r="C7" s="19"/>
      <c r="D7" s="19"/>
      <c r="E7" s="20"/>
      <c r="H7" s="7"/>
      <c r="J7" s="8"/>
    </row>
    <row r="8" spans="2:12" x14ac:dyDescent="0.25">
      <c r="B8" s="21" t="s">
        <v>57</v>
      </c>
      <c r="C8" s="22">
        <f>100*120</f>
        <v>12000</v>
      </c>
      <c r="D8" s="2" t="s">
        <v>58</v>
      </c>
      <c r="E8" s="8"/>
      <c r="H8" s="23" t="s">
        <v>59</v>
      </c>
      <c r="I8" s="24"/>
      <c r="J8" s="25" t="s">
        <v>2</v>
      </c>
    </row>
    <row r="9" spans="2:12" x14ac:dyDescent="0.25">
      <c r="B9" s="21" t="s">
        <v>60</v>
      </c>
      <c r="E9" s="8"/>
      <c r="H9" s="7" t="s">
        <v>61</v>
      </c>
      <c r="I9" s="17"/>
      <c r="J9" s="8" t="s">
        <v>62</v>
      </c>
    </row>
    <row r="10" spans="2:12" x14ac:dyDescent="0.25">
      <c r="B10" s="7"/>
      <c r="E10" s="8"/>
      <c r="H10" s="7" t="s">
        <v>63</v>
      </c>
      <c r="I10" s="17">
        <f>C28</f>
        <v>33314.321217131452</v>
      </c>
      <c r="J10" s="8" t="s">
        <v>64</v>
      </c>
    </row>
    <row r="11" spans="2:12" x14ac:dyDescent="0.25">
      <c r="B11" s="18" t="s">
        <v>65</v>
      </c>
      <c r="C11" s="19"/>
      <c r="D11" s="19"/>
      <c r="E11" s="20"/>
      <c r="H11" s="7"/>
      <c r="J11" s="8"/>
    </row>
    <row r="12" spans="2:12" x14ac:dyDescent="0.25">
      <c r="B12" s="21"/>
      <c r="C12" s="2"/>
      <c r="D12" s="2"/>
      <c r="E12" s="8"/>
      <c r="H12" s="7" t="s">
        <v>61</v>
      </c>
      <c r="I12" s="3">
        <f>I9*Energieprijzen!$C$4</f>
        <v>0</v>
      </c>
      <c r="J12" s="8" t="s">
        <v>66</v>
      </c>
    </row>
    <row r="13" spans="2:12" x14ac:dyDescent="0.25">
      <c r="B13" s="21" t="s">
        <v>67</v>
      </c>
      <c r="C13" s="2">
        <v>4000</v>
      </c>
      <c r="D13" s="2" t="s">
        <v>68</v>
      </c>
      <c r="E13" s="8"/>
      <c r="H13" s="7" t="s">
        <v>63</v>
      </c>
      <c r="I13" s="3">
        <f>I10*Energieprijzen!$C$5</f>
        <v>23986.311276334643</v>
      </c>
      <c r="J13" s="8" t="s">
        <v>66</v>
      </c>
    </row>
    <row r="14" spans="2:12" x14ac:dyDescent="0.25">
      <c r="B14" s="21" t="s">
        <v>69</v>
      </c>
      <c r="C14" s="48">
        <v>8</v>
      </c>
      <c r="D14" s="2" t="s">
        <v>70</v>
      </c>
      <c r="E14" s="8"/>
      <c r="H14" s="7" t="s">
        <v>71</v>
      </c>
      <c r="I14" s="3">
        <f>SUM(I12:I13)</f>
        <v>23986.311276334643</v>
      </c>
      <c r="J14" s="8" t="s">
        <v>66</v>
      </c>
    </row>
    <row r="15" spans="2:12" x14ac:dyDescent="0.25">
      <c r="B15" s="7"/>
      <c r="E15" s="8"/>
      <c r="H15" s="7"/>
      <c r="J15" s="8"/>
    </row>
    <row r="16" spans="2:12" x14ac:dyDescent="0.25">
      <c r="B16" s="18" t="s">
        <v>72</v>
      </c>
      <c r="C16" s="19"/>
      <c r="D16" s="19"/>
      <c r="E16" s="20"/>
      <c r="H16" s="7"/>
      <c r="J16" s="8"/>
    </row>
    <row r="17" spans="2:10" x14ac:dyDescent="0.25">
      <c r="B17" s="23" t="s">
        <v>73</v>
      </c>
      <c r="C17" s="24"/>
      <c r="D17" s="24" t="s">
        <v>2</v>
      </c>
      <c r="E17" s="25" t="s">
        <v>74</v>
      </c>
      <c r="H17" s="23" t="s">
        <v>75</v>
      </c>
      <c r="I17" s="24"/>
      <c r="J17" s="25" t="s">
        <v>2</v>
      </c>
    </row>
    <row r="18" spans="2:10" x14ac:dyDescent="0.25">
      <c r="B18" s="7" t="s">
        <v>76</v>
      </c>
      <c r="D18" t="s">
        <v>77</v>
      </c>
      <c r="E18" s="8"/>
      <c r="H18" s="7" t="s">
        <v>78</v>
      </c>
      <c r="I18" s="1">
        <f>IFERROR(I4/I14,0)</f>
        <v>5.4221509302398303</v>
      </c>
      <c r="J18" s="8" t="s">
        <v>79</v>
      </c>
    </row>
    <row r="19" spans="2:10" x14ac:dyDescent="0.25">
      <c r="B19" s="7" t="s">
        <v>80</v>
      </c>
      <c r="D19" t="s">
        <v>81</v>
      </c>
      <c r="E19" s="8"/>
      <c r="H19" s="9" t="s">
        <v>82</v>
      </c>
      <c r="I19" s="28">
        <f>IFERROR(I5/I14,0)</f>
        <v>2.9550020919611422</v>
      </c>
      <c r="J19" s="11" t="s">
        <v>79</v>
      </c>
    </row>
    <row r="20" spans="2:10" x14ac:dyDescent="0.25">
      <c r="B20" s="7" t="s">
        <v>83</v>
      </c>
      <c r="D20" t="s">
        <v>84</v>
      </c>
      <c r="E20" s="8"/>
    </row>
    <row r="21" spans="2:10" x14ac:dyDescent="0.25">
      <c r="B21" s="7" t="s">
        <v>85</v>
      </c>
      <c r="C21" s="17">
        <f>C57</f>
        <v>164868.03284159934</v>
      </c>
      <c r="D21" t="s">
        <v>86</v>
      </c>
      <c r="E21" s="8"/>
    </row>
    <row r="22" spans="2:10" x14ac:dyDescent="0.25">
      <c r="B22" s="7"/>
      <c r="E22" s="8"/>
    </row>
    <row r="23" spans="2:10" x14ac:dyDescent="0.25">
      <c r="B23" s="7"/>
      <c r="E23" s="8"/>
    </row>
    <row r="24" spans="2:10" x14ac:dyDescent="0.25">
      <c r="B24" s="23" t="s">
        <v>59</v>
      </c>
      <c r="C24" s="24"/>
      <c r="D24" s="24" t="s">
        <v>2</v>
      </c>
      <c r="E24" s="25" t="s">
        <v>74</v>
      </c>
    </row>
    <row r="25" spans="2:10" x14ac:dyDescent="0.25">
      <c r="B25" s="7" t="s">
        <v>76</v>
      </c>
      <c r="D25" t="s">
        <v>77</v>
      </c>
      <c r="E25" s="8"/>
    </row>
    <row r="26" spans="2:10" x14ac:dyDescent="0.25">
      <c r="B26" s="7" t="s">
        <v>80</v>
      </c>
      <c r="D26" t="s">
        <v>81</v>
      </c>
      <c r="E26" s="8"/>
    </row>
    <row r="27" spans="2:10" x14ac:dyDescent="0.25">
      <c r="B27" s="7" t="s">
        <v>83</v>
      </c>
      <c r="D27" t="s">
        <v>84</v>
      </c>
      <c r="E27" s="8"/>
    </row>
    <row r="28" spans="2:10" x14ac:dyDescent="0.25">
      <c r="B28" s="7" t="s">
        <v>85</v>
      </c>
      <c r="C28" s="17">
        <f>C21-C35</f>
        <v>33314.321217131452</v>
      </c>
      <c r="D28" t="s">
        <v>86</v>
      </c>
      <c r="E28" s="8"/>
    </row>
    <row r="29" spans="2:10" x14ac:dyDescent="0.25">
      <c r="B29" s="7"/>
      <c r="E29" s="8"/>
      <c r="H29" t="s">
        <v>88</v>
      </c>
    </row>
    <row r="30" spans="2:10" x14ac:dyDescent="0.25">
      <c r="B30" s="7"/>
      <c r="E30" s="8"/>
      <c r="H30" t="s">
        <v>89</v>
      </c>
    </row>
    <row r="31" spans="2:10" x14ac:dyDescent="0.25">
      <c r="B31" s="23" t="s">
        <v>90</v>
      </c>
      <c r="C31" s="24"/>
      <c r="D31" s="24" t="s">
        <v>2</v>
      </c>
      <c r="E31" s="25" t="s">
        <v>74</v>
      </c>
      <c r="H31" t="s">
        <v>91</v>
      </c>
    </row>
    <row r="32" spans="2:10" x14ac:dyDescent="0.25">
      <c r="B32" s="7" t="s">
        <v>76</v>
      </c>
      <c r="D32" t="s">
        <v>77</v>
      </c>
      <c r="E32" s="8"/>
    </row>
    <row r="33" spans="2:13" x14ac:dyDescent="0.25">
      <c r="B33" s="7" t="s">
        <v>80</v>
      </c>
      <c r="D33" t="s">
        <v>81</v>
      </c>
      <c r="E33" s="8"/>
      <c r="H33" t="s">
        <v>92</v>
      </c>
    </row>
    <row r="34" spans="2:13" x14ac:dyDescent="0.25">
      <c r="B34" s="7" t="s">
        <v>83</v>
      </c>
      <c r="D34" t="s">
        <v>84</v>
      </c>
      <c r="E34" s="8"/>
      <c r="H34" t="s">
        <v>110</v>
      </c>
    </row>
    <row r="35" spans="2:13" x14ac:dyDescent="0.25">
      <c r="B35" s="9" t="s">
        <v>85</v>
      </c>
      <c r="C35" s="26">
        <f>C58</f>
        <v>131553.71162446789</v>
      </c>
      <c r="D35" s="10" t="s">
        <v>86</v>
      </c>
      <c r="E35" s="11"/>
      <c r="H35" t="s">
        <v>94</v>
      </c>
    </row>
    <row r="38" spans="2:13" x14ac:dyDescent="0.25">
      <c r="H38" s="17"/>
      <c r="K38" s="1"/>
      <c r="L38" s="1"/>
      <c r="M38" s="1"/>
    </row>
    <row r="39" spans="2:13" x14ac:dyDescent="0.25">
      <c r="B39" s="14" t="s">
        <v>95</v>
      </c>
      <c r="C39" s="15"/>
      <c r="D39" s="15"/>
      <c r="E39" s="16"/>
      <c r="H39" s="17"/>
      <c r="J39" s="1"/>
      <c r="K39" s="1"/>
      <c r="L39" s="1"/>
      <c r="M39" s="1"/>
    </row>
    <row r="40" spans="2:13" x14ac:dyDescent="0.25">
      <c r="B40" s="7" t="s">
        <v>96</v>
      </c>
      <c r="E40" s="8"/>
      <c r="H40" s="17"/>
      <c r="I40" s="1"/>
      <c r="J40" s="1"/>
      <c r="K40" s="1"/>
      <c r="L40" s="1"/>
      <c r="M40" s="1"/>
    </row>
    <row r="41" spans="2:13" x14ac:dyDescent="0.25">
      <c r="B41" s="7" t="s">
        <v>97</v>
      </c>
      <c r="C41" s="17">
        <f>(5*120+5*100)*2</f>
        <v>2200</v>
      </c>
      <c r="D41" t="s">
        <v>58</v>
      </c>
      <c r="E41" s="8"/>
    </row>
    <row r="42" spans="2:13" x14ac:dyDescent="0.25">
      <c r="B42" s="7" t="s">
        <v>98</v>
      </c>
      <c r="C42" s="17">
        <f>120*100</f>
        <v>12000</v>
      </c>
      <c r="D42" t="s">
        <v>58</v>
      </c>
      <c r="E42" s="82"/>
    </row>
    <row r="43" spans="2:13" x14ac:dyDescent="0.25">
      <c r="B43" s="7" t="s">
        <v>99</v>
      </c>
      <c r="C43" s="17">
        <f>SUM(C41:C42)</f>
        <v>14200</v>
      </c>
      <c r="D43" s="1" t="s">
        <v>58</v>
      </c>
      <c r="E43" s="8"/>
    </row>
    <row r="44" spans="2:13" x14ac:dyDescent="0.25">
      <c r="B44" s="7"/>
      <c r="E44" s="8"/>
      <c r="I44" s="17"/>
      <c r="J44" s="17"/>
      <c r="K44" s="17"/>
      <c r="L44" s="17"/>
      <c r="M44" s="17"/>
    </row>
    <row r="45" spans="2:13" x14ac:dyDescent="0.25">
      <c r="B45" s="7" t="s">
        <v>100</v>
      </c>
      <c r="E45" s="8"/>
    </row>
    <row r="46" spans="2:13" x14ac:dyDescent="0.25">
      <c r="B46" s="7" t="s">
        <v>97</v>
      </c>
      <c r="C46" s="1">
        <v>8</v>
      </c>
      <c r="D46" t="s">
        <v>101</v>
      </c>
      <c r="E46" s="8"/>
    </row>
    <row r="47" spans="2:13" x14ac:dyDescent="0.25">
      <c r="B47" s="7" t="s">
        <v>102</v>
      </c>
      <c r="C47" s="1">
        <v>8</v>
      </c>
      <c r="D47" t="s">
        <v>101</v>
      </c>
      <c r="E47" s="8"/>
    </row>
    <row r="48" spans="2:13" x14ac:dyDescent="0.25">
      <c r="B48" s="7" t="s">
        <v>103</v>
      </c>
      <c r="C48" s="1">
        <f>1/(1/C47+1/4.8)</f>
        <v>2.9999999999999996</v>
      </c>
      <c r="D48" t="s">
        <v>101</v>
      </c>
      <c r="E48" s="8" t="s">
        <v>104</v>
      </c>
    </row>
    <row r="49" spans="2:5" x14ac:dyDescent="0.25">
      <c r="B49" s="7" t="s">
        <v>111</v>
      </c>
      <c r="C49" s="1">
        <f>1/(1/$C$47+1/5)</f>
        <v>3.0769230769230766</v>
      </c>
      <c r="D49" t="s">
        <v>101</v>
      </c>
      <c r="E49" s="8" t="s">
        <v>112</v>
      </c>
    </row>
    <row r="50" spans="2:5" x14ac:dyDescent="0.25">
      <c r="B50" s="7" t="s">
        <v>113</v>
      </c>
      <c r="C50" s="1">
        <f>1/(1/$C$47+1/0.8)</f>
        <v>0.72727272727272729</v>
      </c>
      <c r="D50" t="s">
        <v>101</v>
      </c>
      <c r="E50" s="8" t="s">
        <v>114</v>
      </c>
    </row>
    <row r="51" spans="2:5" x14ac:dyDescent="0.25">
      <c r="B51" s="7" t="s">
        <v>115</v>
      </c>
      <c r="C51" s="1">
        <f>1/(1/$C$47+1/1.8)</f>
        <v>1.4693877551020407</v>
      </c>
      <c r="D51" t="s">
        <v>101</v>
      </c>
      <c r="E51" s="8" t="s">
        <v>116</v>
      </c>
    </row>
    <row r="52" spans="2:5" x14ac:dyDescent="0.25">
      <c r="B52" s="7" t="s">
        <v>117</v>
      </c>
      <c r="C52" s="1">
        <f>($C$41*C49+$C$42*$C$48)/$C$43</f>
        <v>3.011917659804983</v>
      </c>
      <c r="D52" t="s">
        <v>101</v>
      </c>
      <c r="E52" s="8"/>
    </row>
    <row r="53" spans="2:5" x14ac:dyDescent="0.25">
      <c r="B53" s="7" t="s">
        <v>118</v>
      </c>
      <c r="C53" s="1">
        <f>($C$41*C50+$C$42*$C$48)/$C$43</f>
        <v>2.6478873239436616</v>
      </c>
      <c r="D53" t="s">
        <v>101</v>
      </c>
      <c r="E53" s="8"/>
    </row>
    <row r="54" spans="2:5" x14ac:dyDescent="0.25">
      <c r="B54" s="7" t="s">
        <v>119</v>
      </c>
      <c r="C54" s="1">
        <f>($C$41*C51+$C$42*$C$48)/$C$43</f>
        <v>2.7628628916355269</v>
      </c>
      <c r="D54" t="s">
        <v>101</v>
      </c>
      <c r="E54" s="8"/>
    </row>
    <row r="55" spans="2:5" x14ac:dyDescent="0.25">
      <c r="B55" s="7" t="s">
        <v>107</v>
      </c>
      <c r="C55" s="61">
        <f>($C$41*C46+$C$42*$C$48)/$C$43</f>
        <v>3.7746478873239431</v>
      </c>
      <c r="D55" t="s">
        <v>101</v>
      </c>
      <c r="E55" s="8"/>
    </row>
    <row r="56" spans="2:5" x14ac:dyDescent="0.25">
      <c r="B56" s="7"/>
      <c r="E56" s="8"/>
    </row>
    <row r="57" spans="2:5" x14ac:dyDescent="0.25">
      <c r="B57" s="7" t="s">
        <v>108</v>
      </c>
      <c r="C57" s="17">
        <f>$C$55*$C$8*$C$13*$C$14/31.65*3.6/1000</f>
        <v>164868.03284159934</v>
      </c>
      <c r="D57" t="s">
        <v>64</v>
      </c>
      <c r="E57" s="8"/>
    </row>
    <row r="58" spans="2:5" x14ac:dyDescent="0.25">
      <c r="B58" s="7" t="s">
        <v>109</v>
      </c>
      <c r="C58" s="17">
        <f>C52*$C$8*$C$13*$C$14/31.65*3.6/1000</f>
        <v>131553.71162446789</v>
      </c>
      <c r="D58" t="s">
        <v>64</v>
      </c>
      <c r="E58" s="8"/>
    </row>
    <row r="59" spans="2:5" x14ac:dyDescent="0.25">
      <c r="B59" s="7" t="s">
        <v>120</v>
      </c>
      <c r="C59" s="17">
        <f t="shared" ref="C59:C60" si="0">C53*$C$8*$C$13*$C$14/31.65*3.6/1000</f>
        <v>115653.6946799279</v>
      </c>
      <c r="D59" t="s">
        <v>64</v>
      </c>
      <c r="E59" s="8"/>
    </row>
    <row r="60" spans="2:5" x14ac:dyDescent="0.25">
      <c r="B60" s="9" t="s">
        <v>121</v>
      </c>
      <c r="C60" s="26">
        <f t="shared" si="0"/>
        <v>120675.56592091479</v>
      </c>
      <c r="D60" s="10" t="s">
        <v>64</v>
      </c>
      <c r="E60" s="11"/>
    </row>
    <row r="61" spans="2:5" x14ac:dyDescent="0.25">
      <c r="C61" s="17"/>
    </row>
    <row r="64" spans="2:5" x14ac:dyDescent="0.25">
      <c r="C64" s="56"/>
    </row>
  </sheetData>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C402C0-C6FE-4588-9823-61D35DE2A8D7}">
  <sheetPr codeName="Blad3">
    <tabColor rgb="FFFF0000"/>
  </sheetPr>
  <dimension ref="B1:M75"/>
  <sheetViews>
    <sheetView topLeftCell="A13" workbookViewId="0">
      <selection activeCell="H26" sqref="H26"/>
    </sheetView>
  </sheetViews>
  <sheetFormatPr defaultRowHeight="15" x14ac:dyDescent="0.25"/>
  <cols>
    <col min="2" max="2" width="33" customWidth="1"/>
    <col min="3" max="3" width="9.140625" customWidth="1"/>
    <col min="4" max="4" width="10.7109375" customWidth="1"/>
    <col min="5" max="5" width="69.42578125" customWidth="1"/>
    <col min="8" max="8" width="21.85546875" customWidth="1"/>
    <col min="9" max="9" width="11" bestFit="1" customWidth="1"/>
  </cols>
  <sheetData>
    <row r="1" spans="2:12" x14ac:dyDescent="0.25">
      <c r="L1" t="str" cm="1">
        <f t="array" aca="1" ref="L1" ca="1">RIGHT(CELL("bestandsnaam"),LEN(CELL("bestandsnaam"))-FIND("]",CELL("bestandsnaam")))</f>
        <v>PT1</v>
      </c>
    </row>
    <row r="2" spans="2:12" x14ac:dyDescent="0.25">
      <c r="B2" s="14" t="s">
        <v>50</v>
      </c>
      <c r="C2" s="12"/>
      <c r="D2" s="12"/>
      <c r="E2" s="13"/>
      <c r="H2" s="14" t="s">
        <v>51</v>
      </c>
      <c r="I2" s="15"/>
      <c r="J2" s="16"/>
    </row>
    <row r="3" spans="2:12" x14ac:dyDescent="0.25">
      <c r="B3" s="7" t="s">
        <v>52</v>
      </c>
      <c r="C3" t="s">
        <v>19</v>
      </c>
      <c r="E3" s="8"/>
      <c r="H3" s="23" t="s">
        <v>53</v>
      </c>
      <c r="I3" s="24"/>
      <c r="J3" s="25"/>
    </row>
    <row r="4" spans="2:12" x14ac:dyDescent="0.25">
      <c r="B4" s="7" t="s">
        <v>9</v>
      </c>
      <c r="C4" t="str">
        <f>_xlfn.XLOOKUP(C3,'EBM''s'!$C$6:$C$24,'EBM''s'!$D$6:$D$24)</f>
        <v xml:space="preserve">Vervang de gevel met enkel glas door een gevel met isolerende beplating </v>
      </c>
      <c r="E4" s="8"/>
      <c r="H4" s="7" t="s">
        <v>54</v>
      </c>
      <c r="I4" s="3">
        <f>_xlfn.XLOOKUP(C3,'EBM''s'!$C$6:$C$24,'EBM''s'!$E$6:$E$24)</f>
        <v>130057.40000000001</v>
      </c>
      <c r="J4" s="8"/>
    </row>
    <row r="5" spans="2:12" x14ac:dyDescent="0.25">
      <c r="B5" s="7"/>
      <c r="E5" s="8"/>
      <c r="H5" s="7" t="s">
        <v>55</v>
      </c>
      <c r="I5" s="3">
        <f>_xlfn.XLOOKUP(C3,'EBM''s'!$C$6:$C$24,'EBM''s'!$F$6:$F$24)</f>
        <v>70879.600000000006</v>
      </c>
      <c r="J5" s="8"/>
    </row>
    <row r="6" spans="2:12" x14ac:dyDescent="0.25">
      <c r="B6" s="7"/>
      <c r="E6" s="8"/>
      <c r="H6" s="7"/>
      <c r="J6" s="8"/>
    </row>
    <row r="7" spans="2:12" x14ac:dyDescent="0.25">
      <c r="B7" s="18" t="s">
        <v>56</v>
      </c>
      <c r="C7" s="19"/>
      <c r="D7" s="19"/>
      <c r="E7" s="20"/>
      <c r="H7" s="7"/>
      <c r="J7" s="8"/>
    </row>
    <row r="8" spans="2:12" x14ac:dyDescent="0.25">
      <c r="B8" s="21" t="s">
        <v>57</v>
      </c>
      <c r="C8" s="22">
        <f>100*120</f>
        <v>12000</v>
      </c>
      <c r="D8" s="2" t="s">
        <v>58</v>
      </c>
      <c r="E8" s="8"/>
      <c r="H8" s="23" t="s">
        <v>59</v>
      </c>
      <c r="I8" s="24"/>
      <c r="J8" s="25" t="s">
        <v>2</v>
      </c>
    </row>
    <row r="9" spans="2:12" x14ac:dyDescent="0.25">
      <c r="B9" s="21" t="s">
        <v>60</v>
      </c>
      <c r="E9" s="8"/>
      <c r="H9" s="7" t="s">
        <v>61</v>
      </c>
      <c r="I9" s="17"/>
      <c r="J9" s="8" t="s">
        <v>62</v>
      </c>
    </row>
    <row r="10" spans="2:12" x14ac:dyDescent="0.25">
      <c r="B10" s="7"/>
      <c r="E10" s="8"/>
      <c r="H10" s="7" t="s">
        <v>63</v>
      </c>
      <c r="I10" s="17">
        <f>C28</f>
        <v>33314.321217131452</v>
      </c>
      <c r="J10" s="8" t="s">
        <v>64</v>
      </c>
    </row>
    <row r="11" spans="2:12" x14ac:dyDescent="0.25">
      <c r="B11" s="18" t="s">
        <v>65</v>
      </c>
      <c r="C11" s="19"/>
      <c r="D11" s="19"/>
      <c r="E11" s="20"/>
      <c r="H11" s="7"/>
      <c r="J11" s="8"/>
    </row>
    <row r="12" spans="2:12" x14ac:dyDescent="0.25">
      <c r="B12" s="21"/>
      <c r="C12" s="2"/>
      <c r="D12" s="2"/>
      <c r="E12" s="8"/>
      <c r="H12" s="7" t="s">
        <v>61</v>
      </c>
      <c r="I12" s="3">
        <f>I9*Energieprijzen!$C$4</f>
        <v>0</v>
      </c>
      <c r="J12" s="8" t="s">
        <v>66</v>
      </c>
    </row>
    <row r="13" spans="2:12" x14ac:dyDescent="0.25">
      <c r="B13" s="21" t="s">
        <v>67</v>
      </c>
      <c r="C13" s="2">
        <v>4000</v>
      </c>
      <c r="D13" s="2" t="s">
        <v>68</v>
      </c>
      <c r="E13" s="8"/>
      <c r="H13" s="7" t="s">
        <v>63</v>
      </c>
      <c r="I13" s="3">
        <f>I10*Energieprijzen!$C$5</f>
        <v>23986.311276334643</v>
      </c>
      <c r="J13" s="8" t="s">
        <v>66</v>
      </c>
    </row>
    <row r="14" spans="2:12" x14ac:dyDescent="0.25">
      <c r="B14" s="21" t="s">
        <v>69</v>
      </c>
      <c r="C14" s="57">
        <v>8</v>
      </c>
      <c r="D14" s="2" t="s">
        <v>70</v>
      </c>
      <c r="E14" s="8"/>
      <c r="H14" s="7" t="s">
        <v>71</v>
      </c>
      <c r="I14" s="3">
        <f>SUM(I12:I13)</f>
        <v>23986.311276334643</v>
      </c>
      <c r="J14" s="8" t="s">
        <v>66</v>
      </c>
    </row>
    <row r="15" spans="2:12" x14ac:dyDescent="0.25">
      <c r="B15" s="7"/>
      <c r="E15" s="8"/>
      <c r="H15" s="7"/>
      <c r="J15" s="8"/>
    </row>
    <row r="16" spans="2:12" x14ac:dyDescent="0.25">
      <c r="B16" s="18" t="s">
        <v>72</v>
      </c>
      <c r="C16" s="19"/>
      <c r="D16" s="19"/>
      <c r="E16" s="20"/>
      <c r="H16" s="7"/>
      <c r="J16" s="8"/>
    </row>
    <row r="17" spans="2:10" x14ac:dyDescent="0.25">
      <c r="B17" s="23" t="s">
        <v>73</v>
      </c>
      <c r="C17" s="24"/>
      <c r="D17" s="24" t="s">
        <v>2</v>
      </c>
      <c r="E17" s="25" t="s">
        <v>74</v>
      </c>
      <c r="H17" s="23" t="s">
        <v>75</v>
      </c>
      <c r="I17" s="24"/>
      <c r="J17" s="25" t="s">
        <v>2</v>
      </c>
    </row>
    <row r="18" spans="2:10" x14ac:dyDescent="0.25">
      <c r="B18" s="7" t="s">
        <v>76</v>
      </c>
      <c r="D18" t="s">
        <v>77</v>
      </c>
      <c r="E18" s="8"/>
      <c r="H18" s="7" t="s">
        <v>78</v>
      </c>
      <c r="I18" s="1">
        <f>IFERROR(I4/I14,0)</f>
        <v>5.4221509302398303</v>
      </c>
      <c r="J18" s="8" t="s">
        <v>79</v>
      </c>
    </row>
    <row r="19" spans="2:10" x14ac:dyDescent="0.25">
      <c r="B19" s="7" t="s">
        <v>80</v>
      </c>
      <c r="D19" t="s">
        <v>81</v>
      </c>
      <c r="E19" s="8"/>
      <c r="H19" s="9" t="s">
        <v>82</v>
      </c>
      <c r="I19" s="28">
        <f>IFERROR(I5/I14,0)</f>
        <v>2.9550020919611422</v>
      </c>
      <c r="J19" s="11" t="s">
        <v>79</v>
      </c>
    </row>
    <row r="20" spans="2:10" x14ac:dyDescent="0.25">
      <c r="B20" s="7" t="s">
        <v>83</v>
      </c>
      <c r="D20" t="s">
        <v>84</v>
      </c>
      <c r="E20" s="8"/>
    </row>
    <row r="21" spans="2:10" x14ac:dyDescent="0.25">
      <c r="B21" s="7" t="s">
        <v>85</v>
      </c>
      <c r="C21" s="17">
        <f>C57</f>
        <v>164868.03284159934</v>
      </c>
      <c r="D21" t="s">
        <v>86</v>
      </c>
      <c r="E21" s="8"/>
    </row>
    <row r="22" spans="2:10" x14ac:dyDescent="0.25">
      <c r="B22" s="7"/>
      <c r="E22" s="8"/>
    </row>
    <row r="23" spans="2:10" x14ac:dyDescent="0.25">
      <c r="B23" s="7"/>
      <c r="E23" s="8"/>
    </row>
    <row r="24" spans="2:10" x14ac:dyDescent="0.25">
      <c r="B24" s="23" t="s">
        <v>59</v>
      </c>
      <c r="C24" s="24"/>
      <c r="D24" s="24" t="s">
        <v>2</v>
      </c>
      <c r="E24" s="25" t="s">
        <v>74</v>
      </c>
    </row>
    <row r="25" spans="2:10" x14ac:dyDescent="0.25">
      <c r="B25" s="7" t="s">
        <v>76</v>
      </c>
      <c r="D25" t="s">
        <v>77</v>
      </c>
      <c r="E25" s="8"/>
    </row>
    <row r="26" spans="2:10" x14ac:dyDescent="0.25">
      <c r="B26" s="7" t="s">
        <v>80</v>
      </c>
      <c r="D26" t="s">
        <v>81</v>
      </c>
      <c r="E26" s="8"/>
    </row>
    <row r="27" spans="2:10" x14ac:dyDescent="0.25">
      <c r="B27" s="7" t="s">
        <v>83</v>
      </c>
      <c r="D27" t="s">
        <v>84</v>
      </c>
      <c r="E27" s="8"/>
      <c r="H27" s="31" t="s">
        <v>122</v>
      </c>
      <c r="J27">
        <v>8</v>
      </c>
    </row>
    <row r="28" spans="2:10" x14ac:dyDescent="0.25">
      <c r="B28" s="7" t="s">
        <v>85</v>
      </c>
      <c r="C28" s="17">
        <f>C21-C35</f>
        <v>33314.321217131452</v>
      </c>
      <c r="D28" t="s">
        <v>86</v>
      </c>
      <c r="E28" s="8"/>
      <c r="H28" s="31" t="s">
        <v>123</v>
      </c>
      <c r="J28">
        <v>5</v>
      </c>
    </row>
    <row r="29" spans="2:10" x14ac:dyDescent="0.25">
      <c r="B29" s="7"/>
      <c r="E29" s="8"/>
    </row>
    <row r="30" spans="2:10" x14ac:dyDescent="0.25">
      <c r="B30" s="7"/>
      <c r="E30" s="8"/>
      <c r="H30" s="31" t="s">
        <v>124</v>
      </c>
      <c r="J30" t="s">
        <v>125</v>
      </c>
    </row>
    <row r="31" spans="2:10" x14ac:dyDescent="0.25">
      <c r="B31" s="23" t="s">
        <v>90</v>
      </c>
      <c r="C31" s="24"/>
      <c r="D31" s="24" t="s">
        <v>2</v>
      </c>
      <c r="E31" s="25" t="s">
        <v>74</v>
      </c>
      <c r="I31" t="s">
        <v>126</v>
      </c>
      <c r="J31">
        <v>5</v>
      </c>
    </row>
    <row r="32" spans="2:10" x14ac:dyDescent="0.25">
      <c r="B32" s="7" t="s">
        <v>76</v>
      </c>
      <c r="D32" t="s">
        <v>77</v>
      </c>
      <c r="E32" s="8"/>
      <c r="I32" t="s">
        <v>127</v>
      </c>
      <c r="J32">
        <v>0.8</v>
      </c>
    </row>
    <row r="33" spans="2:13" x14ac:dyDescent="0.25">
      <c r="B33" s="7" t="s">
        <v>80</v>
      </c>
      <c r="D33" t="s">
        <v>81</v>
      </c>
      <c r="E33" s="8"/>
      <c r="I33" t="s">
        <v>128</v>
      </c>
      <c r="J33">
        <v>1.8</v>
      </c>
    </row>
    <row r="34" spans="2:13" x14ac:dyDescent="0.25">
      <c r="B34" s="7" t="s">
        <v>83</v>
      </c>
      <c r="D34" t="s">
        <v>84</v>
      </c>
      <c r="E34" s="8"/>
    </row>
    <row r="35" spans="2:13" x14ac:dyDescent="0.25">
      <c r="B35" s="9" t="s">
        <v>85</v>
      </c>
      <c r="C35" s="26">
        <f>C58</f>
        <v>131553.71162446789</v>
      </c>
      <c r="D35" s="10" t="s">
        <v>86</v>
      </c>
      <c r="E35" s="11"/>
    </row>
    <row r="36" spans="2:13" x14ac:dyDescent="0.25">
      <c r="K36" t="s">
        <v>129</v>
      </c>
    </row>
    <row r="37" spans="2:13" x14ac:dyDescent="0.25">
      <c r="H37" t="s">
        <v>96</v>
      </c>
      <c r="I37" t="s">
        <v>101</v>
      </c>
      <c r="J37" t="s">
        <v>130</v>
      </c>
      <c r="K37" t="s">
        <v>126</v>
      </c>
      <c r="L37" t="s">
        <v>127</v>
      </c>
      <c r="M37" t="s">
        <v>128</v>
      </c>
    </row>
    <row r="38" spans="2:13" x14ac:dyDescent="0.25">
      <c r="G38" t="s">
        <v>97</v>
      </c>
      <c r="H38" s="17">
        <f>5*120+5*100</f>
        <v>1100</v>
      </c>
      <c r="I38">
        <v>8</v>
      </c>
      <c r="J38">
        <v>8</v>
      </c>
      <c r="K38" s="1">
        <f>1/(1/8+1/5)</f>
        <v>3.0769230769230766</v>
      </c>
      <c r="L38" s="1">
        <f>1/(1/8+1/0.8)</f>
        <v>0.72727272727272729</v>
      </c>
      <c r="M38" s="1">
        <f>1/(1/8+1/1.8)</f>
        <v>1.4693877551020407</v>
      </c>
    </row>
    <row r="39" spans="2:13" x14ac:dyDescent="0.25">
      <c r="B39" s="14" t="s">
        <v>95</v>
      </c>
      <c r="C39" s="15"/>
      <c r="D39" s="15"/>
      <c r="E39" s="16"/>
      <c r="G39" t="s">
        <v>98</v>
      </c>
      <c r="H39" s="17">
        <f>120*100</f>
        <v>12000</v>
      </c>
      <c r="I39">
        <v>8</v>
      </c>
      <c r="J39" s="1">
        <f>1/(1/8+1/4.8)</f>
        <v>2.9999999999999996</v>
      </c>
      <c r="K39" s="1">
        <f t="shared" ref="K39:M39" si="0">1/(1/8+1/4.8)</f>
        <v>2.9999999999999996</v>
      </c>
      <c r="L39" s="1">
        <f t="shared" si="0"/>
        <v>2.9999999999999996</v>
      </c>
      <c r="M39" s="1">
        <f t="shared" si="0"/>
        <v>2.9999999999999996</v>
      </c>
    </row>
    <row r="40" spans="2:13" x14ac:dyDescent="0.25">
      <c r="B40" s="7" t="s">
        <v>96</v>
      </c>
      <c r="E40" s="8"/>
      <c r="G40" t="s">
        <v>99</v>
      </c>
      <c r="H40" s="17">
        <f>SUM(H38:H39)</f>
        <v>13100</v>
      </c>
      <c r="I40" s="1">
        <f>SUMPRODUCT(H38:H39,I38:I39)/H40</f>
        <v>8</v>
      </c>
      <c r="J40" s="1">
        <f>SUMPRODUCT($H$38:$H$39,J38:J39)/$H$40</f>
        <v>3.4198473282442743</v>
      </c>
      <c r="K40" s="1">
        <f>SUMPRODUCT($H$38:$H$39,K38:K39)/$H$40</f>
        <v>3.0064591896652959</v>
      </c>
      <c r="L40" s="1">
        <f>SUMPRODUCT($H$38:$H$39,L38:L39)/$H$40</f>
        <v>2.8091603053435108</v>
      </c>
      <c r="M40" s="1">
        <f>SUMPRODUCT($H$38:$H$39,M38:M39)/$H$40</f>
        <v>2.8714753076803232</v>
      </c>
    </row>
    <row r="41" spans="2:13" x14ac:dyDescent="0.25">
      <c r="B41" s="7" t="s">
        <v>97</v>
      </c>
      <c r="C41" s="17">
        <f>(5*120+5*100)*2</f>
        <v>2200</v>
      </c>
      <c r="D41" t="s">
        <v>58</v>
      </c>
      <c r="E41" s="8"/>
    </row>
    <row r="42" spans="2:13" x14ac:dyDescent="0.25">
      <c r="B42" s="7" t="s">
        <v>98</v>
      </c>
      <c r="C42" s="17">
        <f>120*100</f>
        <v>12000</v>
      </c>
      <c r="D42" t="s">
        <v>58</v>
      </c>
      <c r="E42" s="8"/>
      <c r="G42" t="s">
        <v>131</v>
      </c>
    </row>
    <row r="43" spans="2:13" x14ac:dyDescent="0.25">
      <c r="B43" s="7" t="s">
        <v>99</v>
      </c>
      <c r="C43" s="17">
        <f>SUM(C41:C42)</f>
        <v>14200</v>
      </c>
      <c r="D43" s="1" t="s">
        <v>58</v>
      </c>
      <c r="E43" s="8"/>
    </row>
    <row r="44" spans="2:13" x14ac:dyDescent="0.25">
      <c r="B44" s="7"/>
      <c r="E44" s="8"/>
      <c r="I44" s="17">
        <f>I40*$C$8/1000*8*4000/8.79</f>
        <v>349488.05460750859</v>
      </c>
      <c r="J44" s="17">
        <f>J40*$C$8/1000*8*4000/8.79</f>
        <v>149399.47372534714</v>
      </c>
      <c r="K44" s="17">
        <f>K40*$C$8/1000*8*4000/8.79</f>
        <v>131340.19668162387</v>
      </c>
      <c r="L44" s="17">
        <f>L40*$C$8/1000*8*4000/8.79</f>
        <v>122720.9962743923</v>
      </c>
      <c r="M44" s="17">
        <f>M40*$C$8/1000*8*4000/8.79</f>
        <v>125443.28989183666</v>
      </c>
    </row>
    <row r="45" spans="2:13" x14ac:dyDescent="0.25">
      <c r="B45" s="7" t="s">
        <v>100</v>
      </c>
      <c r="E45" s="8"/>
    </row>
    <row r="46" spans="2:13" x14ac:dyDescent="0.25">
      <c r="B46" s="7" t="s">
        <v>97</v>
      </c>
      <c r="C46" s="1">
        <v>8</v>
      </c>
      <c r="D46" t="s">
        <v>101</v>
      </c>
      <c r="E46" s="8"/>
    </row>
    <row r="47" spans="2:13" x14ac:dyDescent="0.25">
      <c r="B47" s="7" t="s">
        <v>102</v>
      </c>
      <c r="C47" s="1">
        <v>8</v>
      </c>
      <c r="D47" t="s">
        <v>101</v>
      </c>
      <c r="E47" s="8"/>
    </row>
    <row r="48" spans="2:13" x14ac:dyDescent="0.25">
      <c r="B48" s="7" t="s">
        <v>103</v>
      </c>
      <c r="C48" s="1">
        <f>1/(1/C47+1/4.8)</f>
        <v>2.9999999999999996</v>
      </c>
      <c r="D48" t="s">
        <v>101</v>
      </c>
      <c r="E48" s="8" t="s">
        <v>104</v>
      </c>
    </row>
    <row r="49" spans="2:5" x14ac:dyDescent="0.25">
      <c r="B49" s="7" t="s">
        <v>111</v>
      </c>
      <c r="C49" s="1">
        <f>1/(1/$C$47+1/5)</f>
        <v>3.0769230769230766</v>
      </c>
      <c r="D49" t="s">
        <v>101</v>
      </c>
      <c r="E49" s="8" t="s">
        <v>112</v>
      </c>
    </row>
    <row r="50" spans="2:5" x14ac:dyDescent="0.25">
      <c r="B50" s="7" t="s">
        <v>113</v>
      </c>
      <c r="C50" s="1">
        <f>1/(1/$C$47+1/0.8)</f>
        <v>0.72727272727272729</v>
      </c>
      <c r="D50" t="s">
        <v>101</v>
      </c>
      <c r="E50" s="8" t="s">
        <v>114</v>
      </c>
    </row>
    <row r="51" spans="2:5" x14ac:dyDescent="0.25">
      <c r="B51" s="7" t="s">
        <v>115</v>
      </c>
      <c r="C51" s="1">
        <f>1/(1/$C$47+1/1.8)</f>
        <v>1.4693877551020407</v>
      </c>
      <c r="D51" t="s">
        <v>101</v>
      </c>
      <c r="E51" s="8" t="s">
        <v>116</v>
      </c>
    </row>
    <row r="52" spans="2:5" x14ac:dyDescent="0.25">
      <c r="B52" s="7" t="s">
        <v>117</v>
      </c>
      <c r="C52" s="1">
        <f>($C$41*C49+$C$42*$C$48)/$C$43</f>
        <v>3.011917659804983</v>
      </c>
      <c r="D52" t="s">
        <v>101</v>
      </c>
      <c r="E52" s="8"/>
    </row>
    <row r="53" spans="2:5" x14ac:dyDescent="0.25">
      <c r="B53" s="7" t="s">
        <v>118</v>
      </c>
      <c r="C53" s="1">
        <f>($C$41*C50+$C$42*$C$48)/$C$43</f>
        <v>2.6478873239436616</v>
      </c>
      <c r="D53" t="s">
        <v>101</v>
      </c>
      <c r="E53" s="8"/>
    </row>
    <row r="54" spans="2:5" x14ac:dyDescent="0.25">
      <c r="B54" s="7" t="s">
        <v>119</v>
      </c>
      <c r="C54" s="1">
        <f>($C$41*C51+$C$42*$C$48)/$C$43</f>
        <v>2.7628628916355269</v>
      </c>
      <c r="D54" t="s">
        <v>101</v>
      </c>
      <c r="E54" s="8"/>
    </row>
    <row r="55" spans="2:5" x14ac:dyDescent="0.25">
      <c r="B55" s="7" t="s">
        <v>107</v>
      </c>
      <c r="C55" s="61">
        <f>($C$41*C46+$C$42*$C$48)/$C$43</f>
        <v>3.7746478873239431</v>
      </c>
      <c r="D55" t="s">
        <v>101</v>
      </c>
      <c r="E55" s="8"/>
    </row>
    <row r="56" spans="2:5" x14ac:dyDescent="0.25">
      <c r="B56" s="7"/>
      <c r="E56" s="8"/>
    </row>
    <row r="57" spans="2:5" x14ac:dyDescent="0.25">
      <c r="B57" s="7" t="s">
        <v>108</v>
      </c>
      <c r="C57" s="17">
        <f>$C$55*$C$8*$C$13*$C$14/31.65*3.6/1000</f>
        <v>164868.03284159934</v>
      </c>
      <c r="D57" t="s">
        <v>64</v>
      </c>
      <c r="E57" s="8"/>
    </row>
    <row r="58" spans="2:5" x14ac:dyDescent="0.25">
      <c r="B58" s="7" t="s">
        <v>109</v>
      </c>
      <c r="C58" s="17">
        <f>C52*$C$8*$C$13*$C$14/31.65*3.6/1000</f>
        <v>131553.71162446789</v>
      </c>
      <c r="D58" t="s">
        <v>64</v>
      </c>
      <c r="E58" s="8"/>
    </row>
    <row r="59" spans="2:5" x14ac:dyDescent="0.25">
      <c r="B59" s="7" t="s">
        <v>120</v>
      </c>
      <c r="C59" s="17">
        <f t="shared" ref="C59:C60" si="1">C53*$C$8*$C$13*$C$14/31.65*3.6/1000</f>
        <v>115653.6946799279</v>
      </c>
      <c r="D59" t="s">
        <v>64</v>
      </c>
      <c r="E59" s="8"/>
    </row>
    <row r="60" spans="2:5" x14ac:dyDescent="0.25">
      <c r="B60" s="9" t="s">
        <v>121</v>
      </c>
      <c r="C60" s="26">
        <f t="shared" si="1"/>
        <v>120675.56592091479</v>
      </c>
      <c r="D60" s="10" t="s">
        <v>64</v>
      </c>
      <c r="E60" s="11"/>
    </row>
    <row r="61" spans="2:5" x14ac:dyDescent="0.25">
      <c r="C61" s="17"/>
    </row>
    <row r="62" spans="2:5" x14ac:dyDescent="0.25">
      <c r="B62" s="65" t="s">
        <v>132</v>
      </c>
      <c r="C62" s="31"/>
    </row>
    <row r="63" spans="2:5" x14ac:dyDescent="0.25">
      <c r="B63" t="s">
        <v>133</v>
      </c>
    </row>
    <row r="64" spans="2:5" x14ac:dyDescent="0.25">
      <c r="B64" t="s">
        <v>134</v>
      </c>
      <c r="C64" s="56">
        <f>1-(C35/C21)</f>
        <v>0.20206659012629169</v>
      </c>
    </row>
    <row r="65" spans="2:5" x14ac:dyDescent="0.25">
      <c r="B65" t="s">
        <v>135</v>
      </c>
      <c r="C65">
        <v>3.42</v>
      </c>
    </row>
    <row r="66" spans="2:5" x14ac:dyDescent="0.25">
      <c r="B66" t="s">
        <v>136</v>
      </c>
      <c r="C66">
        <v>5000</v>
      </c>
    </row>
    <row r="67" spans="2:5" x14ac:dyDescent="0.25">
      <c r="B67" t="s">
        <v>137</v>
      </c>
      <c r="C67">
        <v>12000</v>
      </c>
    </row>
    <row r="68" spans="2:5" x14ac:dyDescent="0.25">
      <c r="B68" t="s">
        <v>138</v>
      </c>
      <c r="C68">
        <v>8</v>
      </c>
    </row>
    <row r="69" spans="2:5" x14ac:dyDescent="0.25">
      <c r="B69" t="s">
        <v>139</v>
      </c>
      <c r="C69">
        <f>3.6/31.65</f>
        <v>0.11374407582938389</v>
      </c>
    </row>
    <row r="70" spans="2:5" x14ac:dyDescent="0.25">
      <c r="C70">
        <v>1000</v>
      </c>
      <c r="E70" t="s">
        <v>140</v>
      </c>
    </row>
    <row r="71" spans="2:5" x14ac:dyDescent="0.25">
      <c r="C71">
        <f>C64*C65*C66*C67*C68*C69/C70</f>
        <v>37730.333385932187</v>
      </c>
    </row>
    <row r="73" spans="2:5" x14ac:dyDescent="0.25">
      <c r="B73" t="s">
        <v>141</v>
      </c>
      <c r="C73" t="s">
        <v>142</v>
      </c>
    </row>
    <row r="74" spans="2:5" x14ac:dyDescent="0.25">
      <c r="B74" t="s">
        <v>143</v>
      </c>
      <c r="C74" t="s">
        <v>144</v>
      </c>
    </row>
    <row r="75" spans="2:5" x14ac:dyDescent="0.25">
      <c r="B75" t="s">
        <v>145</v>
      </c>
      <c r="C75" t="s">
        <v>146</v>
      </c>
    </row>
  </sheetData>
  <phoneticPr fontId="4" type="noConversion"/>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D0ED3F-D017-4F7C-8013-F43C2A833C85}">
  <sheetPr codeName="Blad15">
    <tabColor rgb="FFFF0000"/>
  </sheetPr>
  <dimension ref="B1:M70"/>
  <sheetViews>
    <sheetView workbookViewId="0">
      <selection activeCell="C65" sqref="C65"/>
    </sheetView>
  </sheetViews>
  <sheetFormatPr defaultRowHeight="15" x14ac:dyDescent="0.25"/>
  <cols>
    <col min="2" max="2" width="33" customWidth="1"/>
    <col min="3" max="3" width="9.140625" customWidth="1"/>
    <col min="4" max="4" width="10.7109375" customWidth="1"/>
    <col min="5" max="5" width="69.42578125" customWidth="1"/>
    <col min="8" max="8" width="21.85546875" customWidth="1"/>
    <col min="9" max="9" width="11" bestFit="1" customWidth="1"/>
  </cols>
  <sheetData>
    <row r="1" spans="2:12" x14ac:dyDescent="0.25">
      <c r="L1" t="str" cm="1">
        <f t="array" aca="1" ref="L1" ca="1">RIGHT(CELL("bestandsnaam"),LEN(CELL("bestandsnaam"))-FIND("]",CELL("bestandsnaam")))</f>
        <v>PT1</v>
      </c>
    </row>
    <row r="2" spans="2:12" x14ac:dyDescent="0.25">
      <c r="B2" s="14" t="s">
        <v>50</v>
      </c>
      <c r="C2" s="12"/>
      <c r="D2" s="12"/>
      <c r="E2" s="13"/>
      <c r="H2" s="14" t="s">
        <v>51</v>
      </c>
      <c r="I2" s="15"/>
      <c r="J2" s="16"/>
    </row>
    <row r="3" spans="2:12" x14ac:dyDescent="0.25">
      <c r="B3" s="7" t="s">
        <v>52</v>
      </c>
      <c r="C3" t="s">
        <v>20</v>
      </c>
      <c r="E3" s="8"/>
      <c r="H3" s="23" t="s">
        <v>53</v>
      </c>
      <c r="I3" s="24"/>
      <c r="J3" s="25"/>
    </row>
    <row r="4" spans="2:12" x14ac:dyDescent="0.25">
      <c r="B4" s="7" t="s">
        <v>9</v>
      </c>
      <c r="C4" t="str">
        <f>_xlfn.XLOOKUP(C3,'EBM''s'!$C$6:$C$24,'EBM''s'!$D$6:$D$24)</f>
        <v xml:space="preserve">Vervang de gevel met enkel glas door een gevel met isolerende beplating </v>
      </c>
      <c r="E4" s="8"/>
      <c r="H4" s="7" t="s">
        <v>54</v>
      </c>
      <c r="I4" s="3">
        <f>_xlfn.XLOOKUP(C3,'EBM''s'!$C$6:$C$24,'EBM''s'!$E$6:$E$24)</f>
        <v>206360</v>
      </c>
      <c r="J4" s="8"/>
    </row>
    <row r="5" spans="2:12" x14ac:dyDescent="0.25">
      <c r="B5" s="7"/>
      <c r="E5" s="8"/>
      <c r="H5" s="7" t="s">
        <v>55</v>
      </c>
      <c r="I5" s="3">
        <f>_xlfn.XLOOKUP(C3,'EBM''s'!$C$6:$C$24,'EBM''s'!$F$6:$F$24)</f>
        <v>145802.79999999999</v>
      </c>
      <c r="J5" s="8"/>
    </row>
    <row r="6" spans="2:12" x14ac:dyDescent="0.25">
      <c r="B6" s="7"/>
      <c r="E6" s="8"/>
      <c r="H6" s="7"/>
      <c r="J6" s="8"/>
    </row>
    <row r="7" spans="2:12" x14ac:dyDescent="0.25">
      <c r="B7" s="18" t="s">
        <v>56</v>
      </c>
      <c r="C7" s="19"/>
      <c r="D7" s="19"/>
      <c r="E7" s="20"/>
      <c r="H7" s="7"/>
      <c r="J7" s="8"/>
    </row>
    <row r="8" spans="2:12" x14ac:dyDescent="0.25">
      <c r="B8" s="21" t="s">
        <v>57</v>
      </c>
      <c r="C8" s="22">
        <f>100*120</f>
        <v>12000</v>
      </c>
      <c r="D8" s="2" t="s">
        <v>58</v>
      </c>
      <c r="E8" s="8"/>
      <c r="H8" s="23" t="s">
        <v>59</v>
      </c>
      <c r="I8" s="24"/>
      <c r="J8" s="25" t="s">
        <v>2</v>
      </c>
    </row>
    <row r="9" spans="2:12" x14ac:dyDescent="0.25">
      <c r="B9" s="21" t="s">
        <v>60</v>
      </c>
      <c r="E9" s="8"/>
      <c r="H9" s="7" t="s">
        <v>61</v>
      </c>
      <c r="I9" s="17"/>
      <c r="J9" s="8" t="s">
        <v>62</v>
      </c>
    </row>
    <row r="10" spans="2:12" x14ac:dyDescent="0.25">
      <c r="B10" s="7"/>
      <c r="E10" s="8"/>
      <c r="H10" s="7" t="s">
        <v>63</v>
      </c>
      <c r="I10" s="17">
        <f>C28</f>
        <v>49214.338161671447</v>
      </c>
      <c r="J10" s="8" t="s">
        <v>64</v>
      </c>
    </row>
    <row r="11" spans="2:12" x14ac:dyDescent="0.25">
      <c r="B11" s="18" t="s">
        <v>65</v>
      </c>
      <c r="C11" s="19"/>
      <c r="D11" s="19"/>
      <c r="E11" s="20"/>
      <c r="H11" s="7"/>
      <c r="J11" s="8"/>
    </row>
    <row r="12" spans="2:12" x14ac:dyDescent="0.25">
      <c r="B12" s="21"/>
      <c r="C12" s="2"/>
      <c r="D12" s="2"/>
      <c r="E12" s="8"/>
      <c r="H12" s="7" t="s">
        <v>61</v>
      </c>
      <c r="I12" s="3">
        <f>I9*Energieprijzen!$C$4</f>
        <v>0</v>
      </c>
      <c r="J12" s="8" t="s">
        <v>66</v>
      </c>
    </row>
    <row r="13" spans="2:12" x14ac:dyDescent="0.25">
      <c r="B13" s="21" t="s">
        <v>67</v>
      </c>
      <c r="C13" s="2">
        <v>4000</v>
      </c>
      <c r="D13" s="2" t="s">
        <v>68</v>
      </c>
      <c r="E13" s="8"/>
      <c r="H13" s="7" t="s">
        <v>63</v>
      </c>
      <c r="I13" s="3">
        <f>I10*Energieprijzen!$C$5</f>
        <v>35434.323476403442</v>
      </c>
      <c r="J13" s="8" t="s">
        <v>66</v>
      </c>
    </row>
    <row r="14" spans="2:12" x14ac:dyDescent="0.25">
      <c r="B14" s="21" t="s">
        <v>69</v>
      </c>
      <c r="C14" s="57">
        <v>8</v>
      </c>
      <c r="D14" s="2" t="s">
        <v>70</v>
      </c>
      <c r="E14" s="8"/>
      <c r="H14" s="7" t="s">
        <v>71</v>
      </c>
      <c r="I14" s="3">
        <f>SUM(I12:I13)</f>
        <v>35434.323476403442</v>
      </c>
      <c r="J14" s="8" t="s">
        <v>66</v>
      </c>
    </row>
    <row r="15" spans="2:12" x14ac:dyDescent="0.25">
      <c r="B15" s="7"/>
      <c r="E15" s="8"/>
      <c r="H15" s="7"/>
      <c r="J15" s="8"/>
    </row>
    <row r="16" spans="2:12" x14ac:dyDescent="0.25">
      <c r="B16" s="18" t="s">
        <v>72</v>
      </c>
      <c r="C16" s="19"/>
      <c r="D16" s="19"/>
      <c r="E16" s="20"/>
      <c r="H16" s="7"/>
      <c r="J16" s="8"/>
    </row>
    <row r="17" spans="2:10" x14ac:dyDescent="0.25">
      <c r="B17" s="23" t="s">
        <v>73</v>
      </c>
      <c r="C17" s="24"/>
      <c r="D17" s="24" t="s">
        <v>2</v>
      </c>
      <c r="E17" s="25" t="s">
        <v>74</v>
      </c>
      <c r="H17" s="23" t="s">
        <v>75</v>
      </c>
      <c r="I17" s="24"/>
      <c r="J17" s="25" t="s">
        <v>2</v>
      </c>
    </row>
    <row r="18" spans="2:10" x14ac:dyDescent="0.25">
      <c r="B18" s="7" t="s">
        <v>76</v>
      </c>
      <c r="D18" t="s">
        <v>77</v>
      </c>
      <c r="E18" s="8"/>
      <c r="H18" s="7" t="s">
        <v>78</v>
      </c>
      <c r="I18" s="1">
        <f>IFERROR(I4/I14,0)</f>
        <v>5.823731900438851</v>
      </c>
      <c r="J18" s="8" t="s">
        <v>79</v>
      </c>
    </row>
    <row r="19" spans="2:10" x14ac:dyDescent="0.25">
      <c r="B19" s="7" t="s">
        <v>80</v>
      </c>
      <c r="D19" t="s">
        <v>81</v>
      </c>
      <c r="E19" s="8"/>
      <c r="H19" s="9" t="s">
        <v>82</v>
      </c>
      <c r="I19" s="28">
        <f>IFERROR(I5/I14,0)</f>
        <v>4.114733560444396</v>
      </c>
      <c r="J19" s="11" t="s">
        <v>79</v>
      </c>
    </row>
    <row r="20" spans="2:10" x14ac:dyDescent="0.25">
      <c r="B20" s="7" t="s">
        <v>83</v>
      </c>
      <c r="D20" t="s">
        <v>84</v>
      </c>
      <c r="E20" s="8"/>
    </row>
    <row r="21" spans="2:10" x14ac:dyDescent="0.25">
      <c r="B21" s="7" t="s">
        <v>85</v>
      </c>
      <c r="C21" s="17">
        <f>C57</f>
        <v>164868.03284159934</v>
      </c>
      <c r="D21" t="s">
        <v>86</v>
      </c>
      <c r="E21" s="8"/>
    </row>
    <row r="22" spans="2:10" x14ac:dyDescent="0.25">
      <c r="B22" s="7"/>
      <c r="E22" s="8"/>
    </row>
    <row r="23" spans="2:10" x14ac:dyDescent="0.25">
      <c r="B23" s="7"/>
      <c r="E23" s="8"/>
    </row>
    <row r="24" spans="2:10" x14ac:dyDescent="0.25">
      <c r="B24" s="23" t="s">
        <v>59</v>
      </c>
      <c r="C24" s="24"/>
      <c r="D24" s="24" t="s">
        <v>2</v>
      </c>
      <c r="E24" s="25" t="s">
        <v>74</v>
      </c>
    </row>
    <row r="25" spans="2:10" x14ac:dyDescent="0.25">
      <c r="B25" s="7" t="s">
        <v>76</v>
      </c>
      <c r="D25" t="s">
        <v>77</v>
      </c>
      <c r="E25" s="8"/>
    </row>
    <row r="26" spans="2:10" x14ac:dyDescent="0.25">
      <c r="B26" s="7" t="s">
        <v>80</v>
      </c>
      <c r="D26" t="s">
        <v>81</v>
      </c>
      <c r="E26" s="8"/>
    </row>
    <row r="27" spans="2:10" x14ac:dyDescent="0.25">
      <c r="B27" s="7" t="s">
        <v>83</v>
      </c>
      <c r="D27" t="s">
        <v>84</v>
      </c>
      <c r="E27" s="8"/>
      <c r="H27" s="31" t="s">
        <v>122</v>
      </c>
      <c r="J27">
        <v>8</v>
      </c>
    </row>
    <row r="28" spans="2:10" x14ac:dyDescent="0.25">
      <c r="B28" s="7" t="s">
        <v>85</v>
      </c>
      <c r="C28" s="17">
        <f>C21-C35</f>
        <v>49214.338161671447</v>
      </c>
      <c r="D28" t="s">
        <v>86</v>
      </c>
      <c r="E28" s="8"/>
      <c r="H28" s="31" t="s">
        <v>123</v>
      </c>
      <c r="J28">
        <v>5</v>
      </c>
    </row>
    <row r="29" spans="2:10" x14ac:dyDescent="0.25">
      <c r="B29" s="7"/>
      <c r="E29" s="8"/>
    </row>
    <row r="30" spans="2:10" x14ac:dyDescent="0.25">
      <c r="B30" s="7"/>
      <c r="E30" s="8"/>
      <c r="H30" s="31" t="s">
        <v>124</v>
      </c>
      <c r="J30" t="s">
        <v>125</v>
      </c>
    </row>
    <row r="31" spans="2:10" x14ac:dyDescent="0.25">
      <c r="B31" s="23" t="s">
        <v>90</v>
      </c>
      <c r="C31" s="24"/>
      <c r="D31" s="24" t="s">
        <v>2</v>
      </c>
      <c r="E31" s="25" t="s">
        <v>74</v>
      </c>
      <c r="I31" t="s">
        <v>126</v>
      </c>
      <c r="J31">
        <v>5</v>
      </c>
    </row>
    <row r="32" spans="2:10" x14ac:dyDescent="0.25">
      <c r="B32" s="7" t="s">
        <v>76</v>
      </c>
      <c r="D32" t="s">
        <v>77</v>
      </c>
      <c r="E32" s="8"/>
      <c r="I32" t="s">
        <v>127</v>
      </c>
      <c r="J32">
        <v>0.8</v>
      </c>
    </row>
    <row r="33" spans="2:13" x14ac:dyDescent="0.25">
      <c r="B33" s="7" t="s">
        <v>80</v>
      </c>
      <c r="D33" t="s">
        <v>81</v>
      </c>
      <c r="E33" s="8"/>
      <c r="I33" t="s">
        <v>128</v>
      </c>
      <c r="J33">
        <v>1.8</v>
      </c>
    </row>
    <row r="34" spans="2:13" x14ac:dyDescent="0.25">
      <c r="B34" s="7" t="s">
        <v>83</v>
      </c>
      <c r="D34" t="s">
        <v>84</v>
      </c>
      <c r="E34" s="8"/>
    </row>
    <row r="35" spans="2:13" x14ac:dyDescent="0.25">
      <c r="B35" s="9" t="s">
        <v>85</v>
      </c>
      <c r="C35" s="26">
        <f>C59</f>
        <v>115653.6946799279</v>
      </c>
      <c r="D35" s="10" t="s">
        <v>86</v>
      </c>
      <c r="E35" s="11"/>
    </row>
    <row r="36" spans="2:13" x14ac:dyDescent="0.25">
      <c r="K36" t="s">
        <v>129</v>
      </c>
    </row>
    <row r="37" spans="2:13" x14ac:dyDescent="0.25">
      <c r="H37" t="s">
        <v>96</v>
      </c>
      <c r="I37" t="s">
        <v>101</v>
      </c>
      <c r="J37" t="s">
        <v>130</v>
      </c>
      <c r="K37" t="s">
        <v>126</v>
      </c>
      <c r="L37" t="s">
        <v>127</v>
      </c>
      <c r="M37" t="s">
        <v>128</v>
      </c>
    </row>
    <row r="38" spans="2:13" x14ac:dyDescent="0.25">
      <c r="G38" t="s">
        <v>97</v>
      </c>
      <c r="H38" s="17">
        <f>5*120+5*100</f>
        <v>1100</v>
      </c>
      <c r="I38">
        <v>8</v>
      </c>
      <c r="J38">
        <v>8</v>
      </c>
      <c r="K38" s="1">
        <f>1/(1/8+1/5)</f>
        <v>3.0769230769230766</v>
      </c>
      <c r="L38" s="1">
        <f>1/(1/8+1/0.8)</f>
        <v>0.72727272727272729</v>
      </c>
      <c r="M38" s="1">
        <f>1/(1/8+1/1.8)</f>
        <v>1.4693877551020407</v>
      </c>
    </row>
    <row r="39" spans="2:13" x14ac:dyDescent="0.25">
      <c r="B39" s="14" t="s">
        <v>95</v>
      </c>
      <c r="C39" s="15"/>
      <c r="D39" s="15"/>
      <c r="E39" s="16"/>
      <c r="G39" t="s">
        <v>98</v>
      </c>
      <c r="H39" s="17">
        <f>120*100</f>
        <v>12000</v>
      </c>
      <c r="I39">
        <v>8</v>
      </c>
      <c r="J39" s="1">
        <f>1/(1/8+1/4.8)</f>
        <v>2.9999999999999996</v>
      </c>
      <c r="K39" s="1">
        <f t="shared" ref="K39:M39" si="0">1/(1/8+1/4.8)</f>
        <v>2.9999999999999996</v>
      </c>
      <c r="L39" s="1">
        <f t="shared" si="0"/>
        <v>2.9999999999999996</v>
      </c>
      <c r="M39" s="1">
        <f t="shared" si="0"/>
        <v>2.9999999999999996</v>
      </c>
    </row>
    <row r="40" spans="2:13" x14ac:dyDescent="0.25">
      <c r="B40" s="7" t="s">
        <v>96</v>
      </c>
      <c r="E40" s="8"/>
      <c r="G40" t="s">
        <v>99</v>
      </c>
      <c r="H40" s="17">
        <f>SUM(H38:H39)</f>
        <v>13100</v>
      </c>
      <c r="I40" s="1">
        <f>SUMPRODUCT(H38:H39,I38:I39)/H40</f>
        <v>8</v>
      </c>
      <c r="J40" s="1">
        <f>SUMPRODUCT($H$38:$H$39,J38:J39)/$H$40</f>
        <v>3.4198473282442743</v>
      </c>
      <c r="K40" s="1">
        <f>SUMPRODUCT($H$38:$H$39,K38:K39)/$H$40</f>
        <v>3.0064591896652959</v>
      </c>
      <c r="L40" s="1">
        <f>SUMPRODUCT($H$38:$H$39,L38:L39)/$H$40</f>
        <v>2.8091603053435108</v>
      </c>
      <c r="M40" s="1">
        <f>SUMPRODUCT($H$38:$H$39,M38:M39)/$H$40</f>
        <v>2.8714753076803232</v>
      </c>
    </row>
    <row r="41" spans="2:13" x14ac:dyDescent="0.25">
      <c r="B41" s="7" t="s">
        <v>97</v>
      </c>
      <c r="C41" s="17">
        <f>(5*120+5*100)*2</f>
        <v>2200</v>
      </c>
      <c r="D41" t="s">
        <v>58</v>
      </c>
      <c r="E41" s="8"/>
    </row>
    <row r="42" spans="2:13" x14ac:dyDescent="0.25">
      <c r="B42" s="7" t="s">
        <v>98</v>
      </c>
      <c r="C42" s="17">
        <f>120*100</f>
        <v>12000</v>
      </c>
      <c r="D42" t="s">
        <v>58</v>
      </c>
      <c r="E42" s="8"/>
      <c r="G42" t="s">
        <v>131</v>
      </c>
    </row>
    <row r="43" spans="2:13" x14ac:dyDescent="0.25">
      <c r="B43" s="7" t="s">
        <v>99</v>
      </c>
      <c r="C43" s="17">
        <f>SUM(C41:C42)</f>
        <v>14200</v>
      </c>
      <c r="D43" s="1" t="s">
        <v>58</v>
      </c>
      <c r="E43" s="8"/>
    </row>
    <row r="44" spans="2:13" x14ac:dyDescent="0.25">
      <c r="B44" s="7"/>
      <c r="E44" s="8"/>
      <c r="I44" s="17">
        <f>I40*$C$8/1000*8*4000/8.79</f>
        <v>349488.05460750859</v>
      </c>
      <c r="J44" s="17">
        <f>J40*$C$8/1000*8*4000/8.79</f>
        <v>149399.47372534714</v>
      </c>
      <c r="K44" s="17">
        <f>K40*$C$8/1000*8*4000/8.79</f>
        <v>131340.19668162387</v>
      </c>
      <c r="L44" s="17">
        <f>L40*$C$8/1000*8*4000/8.79</f>
        <v>122720.9962743923</v>
      </c>
      <c r="M44" s="17">
        <f>M40*$C$8/1000*8*4000/8.79</f>
        <v>125443.28989183666</v>
      </c>
    </row>
    <row r="45" spans="2:13" x14ac:dyDescent="0.25">
      <c r="B45" s="7" t="s">
        <v>100</v>
      </c>
      <c r="E45" s="8"/>
    </row>
    <row r="46" spans="2:13" x14ac:dyDescent="0.25">
      <c r="B46" s="7" t="s">
        <v>97</v>
      </c>
      <c r="C46" s="1">
        <v>8</v>
      </c>
      <c r="D46" t="s">
        <v>101</v>
      </c>
      <c r="E46" s="8"/>
    </row>
    <row r="47" spans="2:13" x14ac:dyDescent="0.25">
      <c r="B47" s="7" t="s">
        <v>102</v>
      </c>
      <c r="C47" s="1">
        <v>8</v>
      </c>
      <c r="D47" t="s">
        <v>101</v>
      </c>
      <c r="E47" s="8"/>
    </row>
    <row r="48" spans="2:13" x14ac:dyDescent="0.25">
      <c r="B48" s="7" t="s">
        <v>103</v>
      </c>
      <c r="C48" s="1">
        <f>1/(1/C47+1/4.8)</f>
        <v>2.9999999999999996</v>
      </c>
      <c r="D48" t="s">
        <v>101</v>
      </c>
      <c r="E48" s="8" t="s">
        <v>104</v>
      </c>
    </row>
    <row r="49" spans="2:5" x14ac:dyDescent="0.25">
      <c r="B49" s="7" t="s">
        <v>111</v>
      </c>
      <c r="C49" s="1">
        <f>1/(1/$C$47+1/5)</f>
        <v>3.0769230769230766</v>
      </c>
      <c r="D49" t="s">
        <v>101</v>
      </c>
      <c r="E49" s="8" t="s">
        <v>112</v>
      </c>
    </row>
    <row r="50" spans="2:5" x14ac:dyDescent="0.25">
      <c r="B50" s="7" t="s">
        <v>113</v>
      </c>
      <c r="C50" s="1">
        <f>1/(1/$C$47+1/0.8)</f>
        <v>0.72727272727272729</v>
      </c>
      <c r="D50" t="s">
        <v>101</v>
      </c>
      <c r="E50" s="8" t="s">
        <v>114</v>
      </c>
    </row>
    <row r="51" spans="2:5" x14ac:dyDescent="0.25">
      <c r="B51" s="7" t="s">
        <v>115</v>
      </c>
      <c r="C51" s="1">
        <f>1/(1/$C$47+1/1.8)</f>
        <v>1.4693877551020407</v>
      </c>
      <c r="D51" t="s">
        <v>101</v>
      </c>
      <c r="E51" s="8" t="s">
        <v>116</v>
      </c>
    </row>
    <row r="52" spans="2:5" x14ac:dyDescent="0.25">
      <c r="B52" s="7" t="s">
        <v>117</v>
      </c>
      <c r="C52" s="1">
        <f>($C$41*C49+$C$42*$C$48)/$C$43</f>
        <v>3.011917659804983</v>
      </c>
      <c r="D52" t="s">
        <v>101</v>
      </c>
      <c r="E52" s="8"/>
    </row>
    <row r="53" spans="2:5" x14ac:dyDescent="0.25">
      <c r="B53" s="7" t="s">
        <v>118</v>
      </c>
      <c r="C53" s="1">
        <f>($C$41*C50+$C$42*$C$48)/$C$43</f>
        <v>2.6478873239436616</v>
      </c>
      <c r="D53" t="s">
        <v>101</v>
      </c>
      <c r="E53" s="8"/>
    </row>
    <row r="54" spans="2:5" x14ac:dyDescent="0.25">
      <c r="B54" s="7" t="s">
        <v>119</v>
      </c>
      <c r="C54" s="1">
        <f>($C$41*C51+$C$42*$C$48)/$C$43</f>
        <v>2.7628628916355269</v>
      </c>
      <c r="D54" t="s">
        <v>101</v>
      </c>
      <c r="E54" s="8"/>
    </row>
    <row r="55" spans="2:5" x14ac:dyDescent="0.25">
      <c r="B55" s="7" t="s">
        <v>107</v>
      </c>
      <c r="C55" s="61">
        <f>($C$41*C46+$C$42*$C$48)/$C$43</f>
        <v>3.7746478873239431</v>
      </c>
      <c r="D55" t="s">
        <v>101</v>
      </c>
      <c r="E55" s="8"/>
    </row>
    <row r="56" spans="2:5" x14ac:dyDescent="0.25">
      <c r="B56" s="7"/>
      <c r="E56" s="8"/>
    </row>
    <row r="57" spans="2:5" x14ac:dyDescent="0.25">
      <c r="B57" s="7" t="s">
        <v>108</v>
      </c>
      <c r="C57" s="17">
        <f>$C$55*$C$8*$C$13*$C$14/31.65*3.6/1000</f>
        <v>164868.03284159934</v>
      </c>
      <c r="D57" t="s">
        <v>64</v>
      </c>
      <c r="E57" s="8"/>
    </row>
    <row r="58" spans="2:5" x14ac:dyDescent="0.25">
      <c r="B58" s="7" t="s">
        <v>109</v>
      </c>
      <c r="C58" s="17">
        <f>C52*$C$8*$C$13*$C$14/31.65*3.6/1000</f>
        <v>131553.71162446789</v>
      </c>
      <c r="D58" t="s">
        <v>64</v>
      </c>
      <c r="E58" s="8"/>
    </row>
    <row r="59" spans="2:5" x14ac:dyDescent="0.25">
      <c r="B59" s="7" t="s">
        <v>120</v>
      </c>
      <c r="C59" s="17">
        <f t="shared" ref="C59:C60" si="1">C53*$C$8*$C$13*$C$14/31.65*3.6/1000</f>
        <v>115653.6946799279</v>
      </c>
      <c r="D59" t="s">
        <v>64</v>
      </c>
      <c r="E59" s="8"/>
    </row>
    <row r="60" spans="2:5" x14ac:dyDescent="0.25">
      <c r="B60" s="9" t="s">
        <v>121</v>
      </c>
      <c r="C60" s="26">
        <f t="shared" si="1"/>
        <v>120675.56592091479</v>
      </c>
      <c r="D60" s="10" t="s">
        <v>64</v>
      </c>
      <c r="E60" s="11"/>
    </row>
    <row r="62" spans="2:5" x14ac:dyDescent="0.25">
      <c r="B62" t="s">
        <v>133</v>
      </c>
    </row>
    <row r="63" spans="2:5" x14ac:dyDescent="0.25">
      <c r="B63" t="s">
        <v>134</v>
      </c>
      <c r="C63" s="56">
        <f>1-(C35/C21)</f>
        <v>0.29850746268656714</v>
      </c>
    </row>
    <row r="64" spans="2:5" x14ac:dyDescent="0.25">
      <c r="B64" t="s">
        <v>135</v>
      </c>
      <c r="C64">
        <v>3.42</v>
      </c>
    </row>
    <row r="65" spans="2:3" x14ac:dyDescent="0.25">
      <c r="B65" t="s">
        <v>136</v>
      </c>
      <c r="C65">
        <v>5000</v>
      </c>
    </row>
    <row r="66" spans="2:3" x14ac:dyDescent="0.25">
      <c r="B66" t="s">
        <v>137</v>
      </c>
      <c r="C66">
        <v>12000</v>
      </c>
    </row>
    <row r="67" spans="2:3" x14ac:dyDescent="0.25">
      <c r="B67" t="s">
        <v>138</v>
      </c>
      <c r="C67">
        <v>8</v>
      </c>
    </row>
    <row r="68" spans="2:3" x14ac:dyDescent="0.25">
      <c r="B68" t="s">
        <v>139</v>
      </c>
      <c r="C68">
        <f>3.6/31.65</f>
        <v>0.11374407582938389</v>
      </c>
    </row>
    <row r="69" spans="2:3" x14ac:dyDescent="0.25">
      <c r="C69">
        <v>1000</v>
      </c>
    </row>
    <row r="70" spans="2:3" x14ac:dyDescent="0.25">
      <c r="C70">
        <f>C63*C64*C65*C66*C67*C68/C69</f>
        <v>55737.992501945242</v>
      </c>
    </row>
  </sheetData>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FFD5DE-782D-4033-B41B-25659389064C}">
  <sheetPr codeName="Blad16">
    <tabColor rgb="FFFF0000"/>
  </sheetPr>
  <dimension ref="B1:M70"/>
  <sheetViews>
    <sheetView workbookViewId="0">
      <selection activeCell="C65" sqref="C65"/>
    </sheetView>
  </sheetViews>
  <sheetFormatPr defaultRowHeight="15" x14ac:dyDescent="0.25"/>
  <cols>
    <col min="2" max="2" width="33" customWidth="1"/>
    <col min="3" max="3" width="9.140625" customWidth="1"/>
    <col min="4" max="4" width="10.7109375" customWidth="1"/>
    <col min="5" max="5" width="69.42578125" customWidth="1"/>
    <col min="8" max="8" width="21.85546875" customWidth="1"/>
    <col min="9" max="9" width="11" bestFit="1" customWidth="1"/>
  </cols>
  <sheetData>
    <row r="1" spans="2:12" x14ac:dyDescent="0.25">
      <c r="L1" t="str" cm="1">
        <f t="array" aca="1" ref="L1" ca="1">RIGHT(CELL("bestandsnaam"),LEN(CELL("bestandsnaam"))-FIND("]",CELL("bestandsnaam")))</f>
        <v>PT1</v>
      </c>
    </row>
    <row r="2" spans="2:12" x14ac:dyDescent="0.25">
      <c r="B2" s="14" t="s">
        <v>50</v>
      </c>
      <c r="C2" s="12"/>
      <c r="D2" s="12"/>
      <c r="E2" s="13"/>
      <c r="H2" s="14" t="s">
        <v>51</v>
      </c>
      <c r="I2" s="15"/>
      <c r="J2" s="16"/>
    </row>
    <row r="3" spans="2:12" x14ac:dyDescent="0.25">
      <c r="B3" s="7" t="s">
        <v>52</v>
      </c>
      <c r="C3" t="s">
        <v>21</v>
      </c>
      <c r="E3" s="8"/>
      <c r="H3" s="23" t="s">
        <v>53</v>
      </c>
      <c r="I3" s="24"/>
      <c r="J3" s="25"/>
    </row>
    <row r="4" spans="2:12" x14ac:dyDescent="0.25">
      <c r="B4" s="7" t="s">
        <v>9</v>
      </c>
      <c r="C4" t="str">
        <f>_xlfn.XLOOKUP(C3,'EBM''s'!$C$6:$C$24,'EBM''s'!$D$6:$D$24)</f>
        <v xml:space="preserve">Vervang de gevel met enkel glas door een gevel met isolerende beplating </v>
      </c>
      <c r="E4" s="8"/>
      <c r="H4" s="7" t="s">
        <v>54</v>
      </c>
      <c r="I4" s="3">
        <f>_xlfn.XLOOKUP(C3,'EBM''s'!$C$6:$C$24,'EBM''s'!$E$6:$E$24)</f>
        <v>220928.40000000002</v>
      </c>
      <c r="J4" s="8"/>
    </row>
    <row r="5" spans="2:12" x14ac:dyDescent="0.25">
      <c r="B5" s="7"/>
      <c r="E5" s="8"/>
      <c r="H5" s="7" t="s">
        <v>55</v>
      </c>
      <c r="I5" s="3">
        <f>_xlfn.XLOOKUP(C3,'EBM''s'!$C$6:$C$24,'EBM''s'!$F$6:$F$24)</f>
        <v>149142.40000000002</v>
      </c>
      <c r="J5" s="8"/>
    </row>
    <row r="6" spans="2:12" x14ac:dyDescent="0.25">
      <c r="B6" s="7"/>
      <c r="E6" s="8"/>
      <c r="H6" s="7"/>
      <c r="J6" s="8"/>
    </row>
    <row r="7" spans="2:12" x14ac:dyDescent="0.25">
      <c r="B7" s="18" t="s">
        <v>56</v>
      </c>
      <c r="C7" s="19"/>
      <c r="D7" s="19"/>
      <c r="E7" s="20"/>
      <c r="H7" s="7"/>
      <c r="J7" s="8"/>
    </row>
    <row r="8" spans="2:12" x14ac:dyDescent="0.25">
      <c r="B8" s="21" t="s">
        <v>57</v>
      </c>
      <c r="C8" s="22">
        <f>100*120</f>
        <v>12000</v>
      </c>
      <c r="D8" s="2" t="s">
        <v>58</v>
      </c>
      <c r="E8" s="8"/>
      <c r="H8" s="23" t="s">
        <v>59</v>
      </c>
      <c r="I8" s="24"/>
      <c r="J8" s="25" t="s">
        <v>2</v>
      </c>
    </row>
    <row r="9" spans="2:12" x14ac:dyDescent="0.25">
      <c r="B9" s="21" t="s">
        <v>60</v>
      </c>
      <c r="E9" s="8"/>
      <c r="H9" s="7" t="s">
        <v>61</v>
      </c>
      <c r="I9" s="17"/>
      <c r="J9" s="8" t="s">
        <v>62</v>
      </c>
    </row>
    <row r="10" spans="2:12" x14ac:dyDescent="0.25">
      <c r="B10" s="7"/>
      <c r="E10" s="8"/>
      <c r="H10" s="7" t="s">
        <v>63</v>
      </c>
      <c r="I10" s="17">
        <f>C28</f>
        <v>44192.466920684557</v>
      </c>
      <c r="J10" s="8" t="s">
        <v>64</v>
      </c>
    </row>
    <row r="11" spans="2:12" x14ac:dyDescent="0.25">
      <c r="B11" s="18" t="s">
        <v>65</v>
      </c>
      <c r="C11" s="19"/>
      <c r="D11" s="19"/>
      <c r="E11" s="20"/>
      <c r="H11" s="7"/>
      <c r="J11" s="8"/>
    </row>
    <row r="12" spans="2:12" x14ac:dyDescent="0.25">
      <c r="B12" s="21"/>
      <c r="C12" s="2"/>
      <c r="D12" s="2"/>
      <c r="E12" s="8"/>
      <c r="H12" s="7" t="s">
        <v>61</v>
      </c>
      <c r="I12" s="3">
        <f>I9*Energieprijzen!$C$4</f>
        <v>0</v>
      </c>
      <c r="J12" s="8" t="s">
        <v>66</v>
      </c>
    </row>
    <row r="13" spans="2:12" x14ac:dyDescent="0.25">
      <c r="B13" s="21" t="s">
        <v>67</v>
      </c>
      <c r="C13" s="2">
        <v>4000</v>
      </c>
      <c r="D13" s="2" t="s">
        <v>68</v>
      </c>
      <c r="E13" s="8"/>
      <c r="H13" s="7" t="s">
        <v>63</v>
      </c>
      <c r="I13" s="3">
        <f>I10*Energieprijzen!$C$5</f>
        <v>31818.576182892881</v>
      </c>
      <c r="J13" s="8" t="s">
        <v>66</v>
      </c>
    </row>
    <row r="14" spans="2:12" x14ac:dyDescent="0.25">
      <c r="B14" s="21" t="s">
        <v>69</v>
      </c>
      <c r="C14" s="57">
        <v>8</v>
      </c>
      <c r="D14" s="2" t="s">
        <v>70</v>
      </c>
      <c r="E14" s="8"/>
      <c r="H14" s="7" t="s">
        <v>71</v>
      </c>
      <c r="I14" s="3">
        <f>SUM(I12:I13)</f>
        <v>31818.576182892881</v>
      </c>
      <c r="J14" s="8" t="s">
        <v>66</v>
      </c>
    </row>
    <row r="15" spans="2:12" x14ac:dyDescent="0.25">
      <c r="B15" s="7"/>
      <c r="E15" s="8"/>
      <c r="H15" s="7"/>
      <c r="J15" s="8"/>
    </row>
    <row r="16" spans="2:12" x14ac:dyDescent="0.25">
      <c r="B16" s="18" t="s">
        <v>72</v>
      </c>
      <c r="C16" s="19"/>
      <c r="D16" s="19"/>
      <c r="E16" s="20"/>
      <c r="H16" s="7"/>
      <c r="J16" s="8"/>
    </row>
    <row r="17" spans="2:10" x14ac:dyDescent="0.25">
      <c r="B17" s="23" t="s">
        <v>73</v>
      </c>
      <c r="C17" s="24"/>
      <c r="D17" s="24" t="s">
        <v>2</v>
      </c>
      <c r="E17" s="25" t="s">
        <v>74</v>
      </c>
      <c r="H17" s="23" t="s">
        <v>75</v>
      </c>
      <c r="I17" s="24"/>
      <c r="J17" s="25" t="s">
        <v>2</v>
      </c>
    </row>
    <row r="18" spans="2:10" x14ac:dyDescent="0.25">
      <c r="B18" s="7" t="s">
        <v>76</v>
      </c>
      <c r="D18" t="s">
        <v>77</v>
      </c>
      <c r="E18" s="8"/>
      <c r="H18" s="7" t="s">
        <v>78</v>
      </c>
      <c r="I18" s="1">
        <f>IFERROR(I4/I14,0)</f>
        <v>6.9433779415554495</v>
      </c>
      <c r="J18" s="8" t="s">
        <v>79</v>
      </c>
    </row>
    <row r="19" spans="2:10" x14ac:dyDescent="0.25">
      <c r="B19" s="7" t="s">
        <v>80</v>
      </c>
      <c r="D19" t="s">
        <v>81</v>
      </c>
      <c r="E19" s="8"/>
      <c r="H19" s="9" t="s">
        <v>82</v>
      </c>
      <c r="I19" s="28">
        <f>IFERROR(I5/I14,0)</f>
        <v>4.6872744758511784</v>
      </c>
      <c r="J19" s="11" t="s">
        <v>79</v>
      </c>
    </row>
    <row r="20" spans="2:10" x14ac:dyDescent="0.25">
      <c r="B20" s="7" t="s">
        <v>83</v>
      </c>
      <c r="D20" t="s">
        <v>84</v>
      </c>
      <c r="E20" s="8"/>
    </row>
    <row r="21" spans="2:10" x14ac:dyDescent="0.25">
      <c r="B21" s="7" t="s">
        <v>85</v>
      </c>
      <c r="C21" s="17">
        <f>C57</f>
        <v>164868.03284159934</v>
      </c>
      <c r="D21" t="s">
        <v>86</v>
      </c>
      <c r="E21" s="8"/>
    </row>
    <row r="22" spans="2:10" x14ac:dyDescent="0.25">
      <c r="B22" s="7"/>
      <c r="E22" s="8"/>
    </row>
    <row r="23" spans="2:10" x14ac:dyDescent="0.25">
      <c r="B23" s="7"/>
      <c r="E23" s="8"/>
    </row>
    <row r="24" spans="2:10" x14ac:dyDescent="0.25">
      <c r="B24" s="23" t="s">
        <v>59</v>
      </c>
      <c r="C24" s="24"/>
      <c r="D24" s="24" t="s">
        <v>2</v>
      </c>
      <c r="E24" s="25" t="s">
        <v>74</v>
      </c>
    </row>
    <row r="25" spans="2:10" x14ac:dyDescent="0.25">
      <c r="B25" s="7" t="s">
        <v>76</v>
      </c>
      <c r="D25" t="s">
        <v>77</v>
      </c>
      <c r="E25" s="8"/>
    </row>
    <row r="26" spans="2:10" x14ac:dyDescent="0.25">
      <c r="B26" s="7" t="s">
        <v>80</v>
      </c>
      <c r="D26" t="s">
        <v>81</v>
      </c>
      <c r="E26" s="8"/>
    </row>
    <row r="27" spans="2:10" x14ac:dyDescent="0.25">
      <c r="B27" s="7" t="s">
        <v>83</v>
      </c>
      <c r="D27" t="s">
        <v>84</v>
      </c>
      <c r="E27" s="8"/>
      <c r="H27" s="31" t="s">
        <v>122</v>
      </c>
      <c r="J27">
        <v>8</v>
      </c>
    </row>
    <row r="28" spans="2:10" x14ac:dyDescent="0.25">
      <c r="B28" s="7" t="s">
        <v>85</v>
      </c>
      <c r="C28" s="17">
        <f>C21-C35</f>
        <v>44192.466920684557</v>
      </c>
      <c r="D28" t="s">
        <v>86</v>
      </c>
      <c r="E28" s="8"/>
      <c r="H28" s="31" t="s">
        <v>123</v>
      </c>
      <c r="J28">
        <v>5</v>
      </c>
    </row>
    <row r="29" spans="2:10" x14ac:dyDescent="0.25">
      <c r="B29" s="7"/>
      <c r="E29" s="8"/>
    </row>
    <row r="30" spans="2:10" x14ac:dyDescent="0.25">
      <c r="B30" s="7"/>
      <c r="E30" s="8"/>
      <c r="H30" s="31" t="s">
        <v>124</v>
      </c>
      <c r="J30" t="s">
        <v>125</v>
      </c>
    </row>
    <row r="31" spans="2:10" x14ac:dyDescent="0.25">
      <c r="B31" s="23" t="s">
        <v>90</v>
      </c>
      <c r="C31" s="24"/>
      <c r="D31" s="24" t="s">
        <v>2</v>
      </c>
      <c r="E31" s="25" t="s">
        <v>74</v>
      </c>
      <c r="I31" t="s">
        <v>126</v>
      </c>
      <c r="J31">
        <v>5</v>
      </c>
    </row>
    <row r="32" spans="2:10" x14ac:dyDescent="0.25">
      <c r="B32" s="7" t="s">
        <v>76</v>
      </c>
      <c r="D32" t="s">
        <v>77</v>
      </c>
      <c r="E32" s="8"/>
      <c r="I32" t="s">
        <v>127</v>
      </c>
      <c r="J32">
        <v>0.8</v>
      </c>
    </row>
    <row r="33" spans="2:13" x14ac:dyDescent="0.25">
      <c r="B33" s="7" t="s">
        <v>80</v>
      </c>
      <c r="D33" t="s">
        <v>81</v>
      </c>
      <c r="E33" s="8"/>
      <c r="I33" t="s">
        <v>128</v>
      </c>
      <c r="J33">
        <v>1.8</v>
      </c>
    </row>
    <row r="34" spans="2:13" x14ac:dyDescent="0.25">
      <c r="B34" s="7" t="s">
        <v>83</v>
      </c>
      <c r="D34" t="s">
        <v>84</v>
      </c>
      <c r="E34" s="8"/>
    </row>
    <row r="35" spans="2:13" x14ac:dyDescent="0.25">
      <c r="B35" s="9" t="s">
        <v>85</v>
      </c>
      <c r="C35" s="26">
        <f>C60</f>
        <v>120675.56592091479</v>
      </c>
      <c r="D35" s="10" t="s">
        <v>86</v>
      </c>
      <c r="E35" s="11"/>
    </row>
    <row r="36" spans="2:13" x14ac:dyDescent="0.25">
      <c r="K36" t="s">
        <v>129</v>
      </c>
    </row>
    <row r="37" spans="2:13" x14ac:dyDescent="0.25">
      <c r="H37" t="s">
        <v>96</v>
      </c>
      <c r="I37" t="s">
        <v>101</v>
      </c>
      <c r="J37" t="s">
        <v>130</v>
      </c>
      <c r="K37" t="s">
        <v>126</v>
      </c>
      <c r="L37" t="s">
        <v>127</v>
      </c>
      <c r="M37" t="s">
        <v>128</v>
      </c>
    </row>
    <row r="38" spans="2:13" x14ac:dyDescent="0.25">
      <c r="G38" t="s">
        <v>97</v>
      </c>
      <c r="H38" s="17">
        <f>5*120+5*100</f>
        <v>1100</v>
      </c>
      <c r="I38">
        <v>8</v>
      </c>
      <c r="J38">
        <v>8</v>
      </c>
      <c r="K38" s="1">
        <f>1/(1/8+1/5)</f>
        <v>3.0769230769230766</v>
      </c>
      <c r="L38" s="1">
        <f>1/(1/8+1/0.8)</f>
        <v>0.72727272727272729</v>
      </c>
      <c r="M38" s="1">
        <f>1/(1/8+1/1.8)</f>
        <v>1.4693877551020407</v>
      </c>
    </row>
    <row r="39" spans="2:13" x14ac:dyDescent="0.25">
      <c r="B39" s="14" t="s">
        <v>95</v>
      </c>
      <c r="C39" s="15"/>
      <c r="D39" s="15"/>
      <c r="E39" s="16"/>
      <c r="G39" t="s">
        <v>98</v>
      </c>
      <c r="H39" s="17">
        <f>120*100</f>
        <v>12000</v>
      </c>
      <c r="I39">
        <v>8</v>
      </c>
      <c r="J39" s="1">
        <f>1/(1/8+1/4.8)</f>
        <v>2.9999999999999996</v>
      </c>
      <c r="K39" s="1">
        <f t="shared" ref="K39:M39" si="0">1/(1/8+1/4.8)</f>
        <v>2.9999999999999996</v>
      </c>
      <c r="L39" s="1">
        <f t="shared" si="0"/>
        <v>2.9999999999999996</v>
      </c>
      <c r="M39" s="1">
        <f t="shared" si="0"/>
        <v>2.9999999999999996</v>
      </c>
    </row>
    <row r="40" spans="2:13" x14ac:dyDescent="0.25">
      <c r="B40" s="7" t="s">
        <v>96</v>
      </c>
      <c r="E40" s="8"/>
      <c r="G40" t="s">
        <v>99</v>
      </c>
      <c r="H40" s="17">
        <f>SUM(H38:H39)</f>
        <v>13100</v>
      </c>
      <c r="I40" s="1">
        <f>SUMPRODUCT(H38:H39,I38:I39)/H40</f>
        <v>8</v>
      </c>
      <c r="J40" s="1">
        <f>SUMPRODUCT($H$38:$H$39,J38:J39)/$H$40</f>
        <v>3.4198473282442743</v>
      </c>
      <c r="K40" s="1">
        <f>SUMPRODUCT($H$38:$H$39,K38:K39)/$H$40</f>
        <v>3.0064591896652959</v>
      </c>
      <c r="L40" s="1">
        <f>SUMPRODUCT($H$38:$H$39,L38:L39)/$H$40</f>
        <v>2.8091603053435108</v>
      </c>
      <c r="M40" s="1">
        <f>SUMPRODUCT($H$38:$H$39,M38:M39)/$H$40</f>
        <v>2.8714753076803232</v>
      </c>
    </row>
    <row r="41" spans="2:13" x14ac:dyDescent="0.25">
      <c r="B41" s="7" t="s">
        <v>97</v>
      </c>
      <c r="C41" s="17">
        <f>(5*120+5*100)*2</f>
        <v>2200</v>
      </c>
      <c r="D41" t="s">
        <v>58</v>
      </c>
      <c r="E41" s="8"/>
    </row>
    <row r="42" spans="2:13" x14ac:dyDescent="0.25">
      <c r="B42" s="7" t="s">
        <v>98</v>
      </c>
      <c r="C42" s="17">
        <f>120*100</f>
        <v>12000</v>
      </c>
      <c r="D42" t="s">
        <v>58</v>
      </c>
      <c r="E42" s="8"/>
      <c r="G42" t="s">
        <v>131</v>
      </c>
    </row>
    <row r="43" spans="2:13" x14ac:dyDescent="0.25">
      <c r="B43" s="7" t="s">
        <v>99</v>
      </c>
      <c r="C43" s="17">
        <f>SUM(C41:C42)</f>
        <v>14200</v>
      </c>
      <c r="D43" s="1" t="s">
        <v>58</v>
      </c>
      <c r="E43" s="8"/>
    </row>
    <row r="44" spans="2:13" x14ac:dyDescent="0.25">
      <c r="B44" s="7"/>
      <c r="E44" s="8"/>
      <c r="I44" s="17">
        <f>I40*$C$8/1000*8*4000/8.79</f>
        <v>349488.05460750859</v>
      </c>
      <c r="J44" s="17">
        <f>J40*$C$8/1000*8*4000/8.79</f>
        <v>149399.47372534714</v>
      </c>
      <c r="K44" s="17">
        <f>K40*$C$8/1000*8*4000/8.79</f>
        <v>131340.19668162387</v>
      </c>
      <c r="L44" s="17">
        <f>L40*$C$8/1000*8*4000/8.79</f>
        <v>122720.9962743923</v>
      </c>
      <c r="M44" s="17">
        <f>M40*$C$8/1000*8*4000/8.79</f>
        <v>125443.28989183666</v>
      </c>
    </row>
    <row r="45" spans="2:13" x14ac:dyDescent="0.25">
      <c r="B45" s="7" t="s">
        <v>100</v>
      </c>
      <c r="E45" s="8"/>
    </row>
    <row r="46" spans="2:13" x14ac:dyDescent="0.25">
      <c r="B46" s="7" t="s">
        <v>97</v>
      </c>
      <c r="C46" s="1">
        <v>8</v>
      </c>
      <c r="D46" t="s">
        <v>101</v>
      </c>
      <c r="E46" s="8"/>
    </row>
    <row r="47" spans="2:13" x14ac:dyDescent="0.25">
      <c r="B47" s="7" t="s">
        <v>102</v>
      </c>
      <c r="C47" s="1">
        <v>8</v>
      </c>
      <c r="D47" t="s">
        <v>101</v>
      </c>
      <c r="E47" s="8"/>
    </row>
    <row r="48" spans="2:13" x14ac:dyDescent="0.25">
      <c r="B48" s="7" t="s">
        <v>103</v>
      </c>
      <c r="C48" s="1">
        <f>1/(1/C47+1/4.8)</f>
        <v>2.9999999999999996</v>
      </c>
      <c r="D48" t="s">
        <v>101</v>
      </c>
      <c r="E48" s="8" t="s">
        <v>104</v>
      </c>
    </row>
    <row r="49" spans="2:5" x14ac:dyDescent="0.25">
      <c r="B49" s="7" t="s">
        <v>111</v>
      </c>
      <c r="C49" s="1">
        <f>1/(1/$C$47+1/5)</f>
        <v>3.0769230769230766</v>
      </c>
      <c r="D49" t="s">
        <v>101</v>
      </c>
      <c r="E49" s="8" t="s">
        <v>112</v>
      </c>
    </row>
    <row r="50" spans="2:5" x14ac:dyDescent="0.25">
      <c r="B50" s="7" t="s">
        <v>113</v>
      </c>
      <c r="C50" s="1">
        <f>1/(1/$C$47+1/0.8)</f>
        <v>0.72727272727272729</v>
      </c>
      <c r="D50" t="s">
        <v>101</v>
      </c>
      <c r="E50" s="8" t="s">
        <v>114</v>
      </c>
    </row>
    <row r="51" spans="2:5" x14ac:dyDescent="0.25">
      <c r="B51" s="7" t="s">
        <v>115</v>
      </c>
      <c r="C51" s="1">
        <f>1/(1/$C$47+1/1.8)</f>
        <v>1.4693877551020407</v>
      </c>
      <c r="D51" t="s">
        <v>101</v>
      </c>
      <c r="E51" s="8" t="s">
        <v>116</v>
      </c>
    </row>
    <row r="52" spans="2:5" x14ac:dyDescent="0.25">
      <c r="B52" s="7" t="s">
        <v>117</v>
      </c>
      <c r="C52" s="1">
        <f>($C$41*C49+$C$42*$C$48)/$C$43</f>
        <v>3.011917659804983</v>
      </c>
      <c r="D52" t="s">
        <v>101</v>
      </c>
      <c r="E52" s="8"/>
    </row>
    <row r="53" spans="2:5" x14ac:dyDescent="0.25">
      <c r="B53" s="7" t="s">
        <v>118</v>
      </c>
      <c r="C53" s="1">
        <f>($C$41*C50+$C$42*$C$48)/$C$43</f>
        <v>2.6478873239436616</v>
      </c>
      <c r="D53" t="s">
        <v>101</v>
      </c>
      <c r="E53" s="8"/>
    </row>
    <row r="54" spans="2:5" x14ac:dyDescent="0.25">
      <c r="B54" s="7" t="s">
        <v>119</v>
      </c>
      <c r="C54" s="1">
        <f>($C$41*C51+$C$42*$C$48)/$C$43</f>
        <v>2.7628628916355269</v>
      </c>
      <c r="D54" t="s">
        <v>101</v>
      </c>
      <c r="E54" s="8"/>
    </row>
    <row r="55" spans="2:5" x14ac:dyDescent="0.25">
      <c r="B55" s="7" t="s">
        <v>107</v>
      </c>
      <c r="C55" s="1">
        <f>($C$41*C46+$C$42*$C$48)/$C$43</f>
        <v>3.7746478873239431</v>
      </c>
      <c r="D55" t="s">
        <v>101</v>
      </c>
      <c r="E55" s="8"/>
    </row>
    <row r="56" spans="2:5" x14ac:dyDescent="0.25">
      <c r="B56" s="7"/>
      <c r="E56" s="8"/>
    </row>
    <row r="57" spans="2:5" x14ac:dyDescent="0.25">
      <c r="B57" s="7" t="s">
        <v>108</v>
      </c>
      <c r="C57" s="17">
        <f>$C$55*$C$8*$C$13*$C$14/31.65*3.6/1000</f>
        <v>164868.03284159934</v>
      </c>
      <c r="D57" t="s">
        <v>64</v>
      </c>
      <c r="E57" s="8"/>
    </row>
    <row r="58" spans="2:5" x14ac:dyDescent="0.25">
      <c r="B58" s="7" t="s">
        <v>109</v>
      </c>
      <c r="C58" s="17">
        <f>C52*$C$8*$C$13*$C$14/31.65*3.6/1000</f>
        <v>131553.71162446789</v>
      </c>
      <c r="D58" t="s">
        <v>64</v>
      </c>
      <c r="E58" s="8"/>
    </row>
    <row r="59" spans="2:5" x14ac:dyDescent="0.25">
      <c r="B59" s="7" t="s">
        <v>120</v>
      </c>
      <c r="C59" s="17">
        <f t="shared" ref="C59" si="1">C53*$C$8*$C$13*$C$14/31.65*3.6/1000</f>
        <v>115653.6946799279</v>
      </c>
      <c r="D59" t="s">
        <v>64</v>
      </c>
      <c r="E59" s="8"/>
    </row>
    <row r="60" spans="2:5" x14ac:dyDescent="0.25">
      <c r="B60" s="9" t="s">
        <v>121</v>
      </c>
      <c r="C60" s="26">
        <f>C54*$C$8*$C$13*$C$14/31.65*3.6/1000</f>
        <v>120675.56592091479</v>
      </c>
      <c r="D60" s="10" t="s">
        <v>64</v>
      </c>
      <c r="E60" s="11"/>
    </row>
    <row r="62" spans="2:5" x14ac:dyDescent="0.25">
      <c r="B62" t="s">
        <v>133</v>
      </c>
    </row>
    <row r="63" spans="2:5" x14ac:dyDescent="0.25">
      <c r="B63" t="s">
        <v>134</v>
      </c>
      <c r="C63" s="66">
        <f>1-(C35/C21)</f>
        <v>0.26804751751446843</v>
      </c>
    </row>
    <row r="64" spans="2:5" x14ac:dyDescent="0.25">
      <c r="B64" t="s">
        <v>135</v>
      </c>
      <c r="C64">
        <v>3.42</v>
      </c>
    </row>
    <row r="65" spans="2:3" x14ac:dyDescent="0.25">
      <c r="B65" t="s">
        <v>136</v>
      </c>
      <c r="C65">
        <v>5000</v>
      </c>
    </row>
    <row r="66" spans="2:3" x14ac:dyDescent="0.25">
      <c r="B66" t="s">
        <v>137</v>
      </c>
      <c r="C66">
        <v>12000</v>
      </c>
    </row>
    <row r="67" spans="2:3" x14ac:dyDescent="0.25">
      <c r="B67" t="s">
        <v>138</v>
      </c>
      <c r="C67">
        <v>8</v>
      </c>
    </row>
    <row r="68" spans="2:3" x14ac:dyDescent="0.25">
      <c r="B68" t="s">
        <v>139</v>
      </c>
      <c r="C68">
        <f>3.6/31.65</f>
        <v>0.11374407582938389</v>
      </c>
    </row>
    <row r="69" spans="2:3" x14ac:dyDescent="0.25">
      <c r="C69">
        <v>1000</v>
      </c>
    </row>
    <row r="70" spans="2:3" x14ac:dyDescent="0.25">
      <c r="C70">
        <f>C63*C64*C65*C66*C67*C68/C69</f>
        <v>50050.442246644707</v>
      </c>
    </row>
  </sheetData>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C93081-B240-44C9-B191-CE1E6362C7E4}">
  <sheetPr codeName="Blad4">
    <tabColor theme="0" tint="-0.14999847407452621"/>
  </sheetPr>
  <dimension ref="B2:J69"/>
  <sheetViews>
    <sheetView workbookViewId="0">
      <selection activeCell="I19" sqref="I19"/>
    </sheetView>
  </sheetViews>
  <sheetFormatPr defaultRowHeight="15" x14ac:dyDescent="0.25"/>
  <cols>
    <col min="2" max="2" width="33" customWidth="1"/>
    <col min="3" max="3" width="9.140625" customWidth="1"/>
    <col min="4" max="4" width="10.7109375" customWidth="1"/>
    <col min="5" max="5" width="69.42578125" customWidth="1"/>
    <col min="8" max="8" width="21.85546875" customWidth="1"/>
    <col min="9" max="9" width="11" bestFit="1" customWidth="1"/>
  </cols>
  <sheetData>
    <row r="2" spans="2:10" x14ac:dyDescent="0.25">
      <c r="B2" s="14" t="s">
        <v>50</v>
      </c>
      <c r="C2" s="12"/>
      <c r="D2" s="12"/>
      <c r="E2" s="13"/>
      <c r="H2" s="14" t="s">
        <v>51</v>
      </c>
      <c r="I2" s="15"/>
      <c r="J2" s="16"/>
    </row>
    <row r="3" spans="2:10" x14ac:dyDescent="0.25">
      <c r="B3" s="7" t="s">
        <v>52</v>
      </c>
      <c r="C3" t="s">
        <v>22</v>
      </c>
      <c r="E3" s="8"/>
      <c r="H3" s="23" t="s">
        <v>53</v>
      </c>
      <c r="I3" s="24"/>
      <c r="J3" s="25"/>
    </row>
    <row r="4" spans="2:10" x14ac:dyDescent="0.25">
      <c r="B4" s="7" t="s">
        <v>9</v>
      </c>
      <c r="C4" t="str">
        <f>_xlfn.XLOOKUP(C3,'EBM''s'!$C$6:$C$24,'EBM''s'!$D$6:$D$24)</f>
        <v xml:space="preserve">Breng horizontale beweegbare energieschermen aan </v>
      </c>
      <c r="E4" s="8"/>
      <c r="H4" s="7" t="s">
        <v>54</v>
      </c>
      <c r="I4" s="3">
        <f>_xlfn.XLOOKUP(C3,'EBM''s'!$C$8:$C$24,'EBM''s'!$E$8:$E$24)</f>
        <v>138600</v>
      </c>
      <c r="J4" s="8"/>
    </row>
    <row r="5" spans="2:10" x14ac:dyDescent="0.25">
      <c r="B5" s="7"/>
      <c r="E5" s="8"/>
      <c r="H5" s="7" t="s">
        <v>55</v>
      </c>
      <c r="I5" s="3">
        <f>_xlfn.XLOOKUP(C3,'EBM''s'!$C$8:$C$24,'EBM''s'!$F$8:$F$24)</f>
        <v>109670.00000000001</v>
      </c>
      <c r="J5" s="8"/>
    </row>
    <row r="6" spans="2:10" x14ac:dyDescent="0.25">
      <c r="B6" s="7"/>
      <c r="E6" s="8"/>
      <c r="H6" s="7"/>
      <c r="J6" s="8"/>
    </row>
    <row r="7" spans="2:10" x14ac:dyDescent="0.25">
      <c r="B7" s="18" t="s">
        <v>56</v>
      </c>
      <c r="C7" s="19"/>
      <c r="D7" s="19"/>
      <c r="E7" s="20"/>
      <c r="H7" s="7"/>
      <c r="J7" s="8"/>
    </row>
    <row r="8" spans="2:10" x14ac:dyDescent="0.25">
      <c r="B8" s="21" t="s">
        <v>147</v>
      </c>
      <c r="C8" s="22">
        <f>100*120</f>
        <v>12000</v>
      </c>
      <c r="D8" s="2" t="s">
        <v>58</v>
      </c>
      <c r="E8" s="8"/>
      <c r="H8" s="23" t="s">
        <v>59</v>
      </c>
      <c r="I8" s="24"/>
      <c r="J8" s="25" t="s">
        <v>2</v>
      </c>
    </row>
    <row r="9" spans="2:10" x14ac:dyDescent="0.25">
      <c r="B9" s="21"/>
      <c r="E9" s="8"/>
      <c r="H9" s="7" t="s">
        <v>61</v>
      </c>
      <c r="I9" s="17"/>
      <c r="J9" s="8" t="s">
        <v>62</v>
      </c>
    </row>
    <row r="10" spans="2:10" x14ac:dyDescent="0.25">
      <c r="B10" s="7"/>
      <c r="E10" s="8"/>
      <c r="H10" s="7" t="s">
        <v>63</v>
      </c>
      <c r="I10" s="17">
        <f>C28</f>
        <v>28078.537576167888</v>
      </c>
      <c r="J10" s="8" t="s">
        <v>64</v>
      </c>
    </row>
    <row r="11" spans="2:10" x14ac:dyDescent="0.25">
      <c r="B11" s="18" t="s">
        <v>65</v>
      </c>
      <c r="C11" s="19"/>
      <c r="D11" s="19"/>
      <c r="E11" s="20"/>
      <c r="H11" s="7"/>
      <c r="J11" s="8"/>
    </row>
    <row r="12" spans="2:10" x14ac:dyDescent="0.25">
      <c r="B12" s="21"/>
      <c r="C12" s="2"/>
      <c r="D12" s="2"/>
      <c r="E12" s="8"/>
      <c r="H12" s="7" t="s">
        <v>61</v>
      </c>
      <c r="I12" s="3">
        <f>I9*Energieprijzen!$C$4</f>
        <v>0</v>
      </c>
      <c r="J12" s="8" t="s">
        <v>66</v>
      </c>
    </row>
    <row r="13" spans="2:10" x14ac:dyDescent="0.25">
      <c r="B13" s="21" t="s">
        <v>67</v>
      </c>
      <c r="C13" s="2">
        <v>4000</v>
      </c>
      <c r="D13" s="2" t="s">
        <v>68</v>
      </c>
      <c r="E13" s="8"/>
      <c r="H13" s="7" t="s">
        <v>63</v>
      </c>
      <c r="I13" s="3">
        <f>I10*Energieprijzen!$C$5</f>
        <v>20216.547054840878</v>
      </c>
      <c r="J13" s="8" t="s">
        <v>66</v>
      </c>
    </row>
    <row r="14" spans="2:10" x14ac:dyDescent="0.25">
      <c r="B14" s="21" t="s">
        <v>69</v>
      </c>
      <c r="C14" s="57">
        <v>8</v>
      </c>
      <c r="D14" s="2" t="s">
        <v>70</v>
      </c>
      <c r="E14" s="8"/>
      <c r="H14" s="7" t="s">
        <v>71</v>
      </c>
      <c r="I14" s="3">
        <f>SUM(I12:I13)</f>
        <v>20216.547054840878</v>
      </c>
      <c r="J14" s="8" t="s">
        <v>66</v>
      </c>
    </row>
    <row r="15" spans="2:10" x14ac:dyDescent="0.25">
      <c r="B15" s="7"/>
      <c r="E15" s="8"/>
      <c r="H15" s="7"/>
      <c r="J15" s="8"/>
    </row>
    <row r="16" spans="2:10" x14ac:dyDescent="0.25">
      <c r="B16" s="18" t="s">
        <v>72</v>
      </c>
      <c r="C16" s="19"/>
      <c r="D16" s="19"/>
      <c r="E16" s="20"/>
      <c r="H16" s="7"/>
      <c r="J16" s="8"/>
    </row>
    <row r="17" spans="2:10" x14ac:dyDescent="0.25">
      <c r="B17" s="23" t="s">
        <v>73</v>
      </c>
      <c r="C17" s="24"/>
      <c r="D17" s="24" t="s">
        <v>2</v>
      </c>
      <c r="E17" s="25" t="s">
        <v>74</v>
      </c>
      <c r="H17" s="23" t="s">
        <v>75</v>
      </c>
      <c r="I17" s="24"/>
      <c r="J17" s="25" t="s">
        <v>2</v>
      </c>
    </row>
    <row r="18" spans="2:10" x14ac:dyDescent="0.25">
      <c r="B18" s="7" t="s">
        <v>76</v>
      </c>
      <c r="D18" t="s">
        <v>77</v>
      </c>
      <c r="E18" s="8"/>
      <c r="H18" s="7" t="s">
        <v>78</v>
      </c>
      <c r="I18" s="1">
        <f>IFERROR(I4/I14,0)</f>
        <v>6.855770158179018</v>
      </c>
      <c r="J18" s="8" t="s">
        <v>79</v>
      </c>
    </row>
    <row r="19" spans="2:10" x14ac:dyDescent="0.25">
      <c r="B19" s="7" t="s">
        <v>80</v>
      </c>
      <c r="D19" t="s">
        <v>81</v>
      </c>
      <c r="E19" s="8"/>
      <c r="H19" s="9" t="s">
        <v>82</v>
      </c>
      <c r="I19" s="28">
        <f>IFERROR(I5/I14,0)</f>
        <v>5.4247641648448264</v>
      </c>
      <c r="J19" s="11" t="s">
        <v>79</v>
      </c>
    </row>
    <row r="20" spans="2:10" x14ac:dyDescent="0.25">
      <c r="B20" s="7" t="s">
        <v>83</v>
      </c>
      <c r="D20" t="s">
        <v>84</v>
      </c>
      <c r="E20" s="8"/>
    </row>
    <row r="21" spans="2:10" x14ac:dyDescent="0.25">
      <c r="B21" s="7" t="s">
        <v>85</v>
      </c>
      <c r="C21" s="17">
        <f>C54</f>
        <v>131033.17535545021</v>
      </c>
      <c r="D21" t="s">
        <v>86</v>
      </c>
      <c r="E21" s="8"/>
    </row>
    <row r="22" spans="2:10" x14ac:dyDescent="0.25">
      <c r="B22" s="7"/>
      <c r="E22" s="8"/>
    </row>
    <row r="23" spans="2:10" x14ac:dyDescent="0.25">
      <c r="B23" s="7"/>
      <c r="E23" s="8"/>
    </row>
    <row r="24" spans="2:10" x14ac:dyDescent="0.25">
      <c r="B24" s="23" t="s">
        <v>59</v>
      </c>
      <c r="C24" s="24"/>
      <c r="D24" s="24" t="s">
        <v>2</v>
      </c>
      <c r="E24" s="25" t="s">
        <v>74</v>
      </c>
    </row>
    <row r="25" spans="2:10" x14ac:dyDescent="0.25">
      <c r="B25" s="7" t="s">
        <v>76</v>
      </c>
      <c r="D25" t="s">
        <v>77</v>
      </c>
      <c r="E25" s="8"/>
    </row>
    <row r="26" spans="2:10" x14ac:dyDescent="0.25">
      <c r="B26" s="7" t="s">
        <v>80</v>
      </c>
      <c r="D26" t="s">
        <v>81</v>
      </c>
      <c r="E26" s="8"/>
    </row>
    <row r="27" spans="2:10" x14ac:dyDescent="0.25">
      <c r="B27" s="7" t="s">
        <v>83</v>
      </c>
      <c r="D27" t="s">
        <v>84</v>
      </c>
      <c r="E27" s="8"/>
    </row>
    <row r="28" spans="2:10" x14ac:dyDescent="0.25">
      <c r="B28" s="7" t="s">
        <v>85</v>
      </c>
      <c r="C28" s="17">
        <f>C21-C35</f>
        <v>28078.537576167888</v>
      </c>
      <c r="D28" t="s">
        <v>86</v>
      </c>
      <c r="E28" s="8"/>
    </row>
    <row r="29" spans="2:10" x14ac:dyDescent="0.25">
      <c r="B29" s="7"/>
      <c r="E29" s="8"/>
      <c r="H29" t="s">
        <v>88</v>
      </c>
    </row>
    <row r="30" spans="2:10" x14ac:dyDescent="0.25">
      <c r="B30" s="7"/>
      <c r="E30" s="8"/>
      <c r="H30" t="s">
        <v>148</v>
      </c>
    </row>
    <row r="31" spans="2:10" x14ac:dyDescent="0.25">
      <c r="B31" s="23" t="s">
        <v>90</v>
      </c>
      <c r="C31" s="24"/>
      <c r="D31" s="24" t="s">
        <v>2</v>
      </c>
      <c r="E31" s="25" t="s">
        <v>74</v>
      </c>
    </row>
    <row r="32" spans="2:10" x14ac:dyDescent="0.25">
      <c r="B32" s="7" t="s">
        <v>76</v>
      </c>
      <c r="D32" t="s">
        <v>77</v>
      </c>
      <c r="E32" s="8"/>
    </row>
    <row r="33" spans="2:8" x14ac:dyDescent="0.25">
      <c r="B33" s="7" t="s">
        <v>80</v>
      </c>
      <c r="D33" t="s">
        <v>81</v>
      </c>
      <c r="E33" s="8"/>
      <c r="H33" t="s">
        <v>92</v>
      </c>
    </row>
    <row r="34" spans="2:8" x14ac:dyDescent="0.25">
      <c r="B34" s="7" t="s">
        <v>83</v>
      </c>
      <c r="D34" t="s">
        <v>84</v>
      </c>
      <c r="E34" s="8"/>
      <c r="H34" t="s">
        <v>93</v>
      </c>
    </row>
    <row r="35" spans="2:8" x14ac:dyDescent="0.25">
      <c r="B35" s="9" t="s">
        <v>85</v>
      </c>
      <c r="C35" s="26">
        <f>C55</f>
        <v>102954.63777928232</v>
      </c>
      <c r="D35" s="10" t="s">
        <v>86</v>
      </c>
      <c r="E35" s="11"/>
      <c r="H35" t="s">
        <v>94</v>
      </c>
    </row>
    <row r="39" spans="2:8" x14ac:dyDescent="0.25">
      <c r="B39" s="14" t="s">
        <v>95</v>
      </c>
      <c r="C39" s="15"/>
      <c r="D39" s="15"/>
      <c r="E39" s="16"/>
    </row>
    <row r="40" spans="2:8" x14ac:dyDescent="0.25">
      <c r="B40" s="7"/>
      <c r="E40" s="8"/>
    </row>
    <row r="41" spans="2:8" x14ac:dyDescent="0.25">
      <c r="B41" s="7"/>
      <c r="E41" s="8"/>
    </row>
    <row r="42" spans="2:8" x14ac:dyDescent="0.25">
      <c r="B42" s="7" t="s">
        <v>149</v>
      </c>
      <c r="E42" s="8"/>
    </row>
    <row r="43" spans="2:8" x14ac:dyDescent="0.25">
      <c r="B43" s="7"/>
      <c r="E43" s="8"/>
    </row>
    <row r="44" spans="2:8" x14ac:dyDescent="0.25">
      <c r="B44" s="7"/>
      <c r="C44" s="32"/>
      <c r="E44" s="8"/>
    </row>
    <row r="45" spans="2:8" x14ac:dyDescent="0.25">
      <c r="B45" s="7"/>
      <c r="E45" s="8"/>
    </row>
    <row r="46" spans="2:8" x14ac:dyDescent="0.25">
      <c r="B46" s="7" t="s">
        <v>150</v>
      </c>
      <c r="C46" t="s">
        <v>125</v>
      </c>
      <c r="D46" t="s">
        <v>151</v>
      </c>
      <c r="E46" s="8"/>
    </row>
    <row r="47" spans="2:8" x14ac:dyDescent="0.25">
      <c r="B47" s="29" t="s">
        <v>152</v>
      </c>
      <c r="C47" s="30">
        <v>8</v>
      </c>
      <c r="D47" s="30">
        <f>C47*$C$14</f>
        <v>64</v>
      </c>
      <c r="E47" s="8"/>
    </row>
    <row r="48" spans="2:8" x14ac:dyDescent="0.25">
      <c r="B48" s="29" t="s">
        <v>153</v>
      </c>
      <c r="C48" s="30">
        <f>1/(1/8+1/4.8)</f>
        <v>2.9999999999999996</v>
      </c>
      <c r="D48" s="30">
        <f>C48*$C$14</f>
        <v>23.999999999999996</v>
      </c>
      <c r="E48" s="8"/>
    </row>
    <row r="49" spans="2:5" x14ac:dyDescent="0.25">
      <c r="B49" s="29" t="s">
        <v>154</v>
      </c>
      <c r="C49" s="30">
        <f>1/(1/8+1/4.8+1/4)</f>
        <v>1.7142857142857142</v>
      </c>
      <c r="D49" s="62">
        <f>C49*$C$14</f>
        <v>13.714285714285714</v>
      </c>
      <c r="E49" s="8"/>
    </row>
    <row r="50" spans="2:5" x14ac:dyDescent="0.25">
      <c r="B50" s="7"/>
      <c r="E50" s="8"/>
    </row>
    <row r="51" spans="2:5" x14ac:dyDescent="0.25">
      <c r="B51" s="45" t="s">
        <v>67</v>
      </c>
      <c r="C51" s="46">
        <f>C13</f>
        <v>4000</v>
      </c>
      <c r="D51" s="46" t="s">
        <v>68</v>
      </c>
      <c r="E51" s="53"/>
    </row>
    <row r="52" spans="2:5" x14ac:dyDescent="0.25">
      <c r="B52" s="7" t="s">
        <v>155</v>
      </c>
      <c r="C52" s="35">
        <v>0.5</v>
      </c>
      <c r="D52" t="s">
        <v>81</v>
      </c>
      <c r="E52" s="8"/>
    </row>
    <row r="53" spans="2:5" x14ac:dyDescent="0.25">
      <c r="B53" s="7"/>
      <c r="D53" s="17"/>
      <c r="E53" s="8"/>
    </row>
    <row r="54" spans="2:5" x14ac:dyDescent="0.25">
      <c r="B54" s="7" t="s">
        <v>156</v>
      </c>
      <c r="C54" s="17">
        <f>C48*$C$13*$C$14*$C$8/1000/31.65*3.6</f>
        <v>131033.17535545021</v>
      </c>
      <c r="D54" t="s">
        <v>64</v>
      </c>
      <c r="E54" s="8"/>
    </row>
    <row r="55" spans="2:5" x14ac:dyDescent="0.25">
      <c r="B55" s="7" t="s">
        <v>90</v>
      </c>
      <c r="C55" s="17">
        <f>(C49*$C$13*$C$52+C48*$C$13*(100%-$C$52))*$C$14*$C$8/1000/31.65*3.6</f>
        <v>102954.63777928232</v>
      </c>
      <c r="D55" t="s">
        <v>64</v>
      </c>
      <c r="E55" s="8"/>
    </row>
    <row r="56" spans="2:5" x14ac:dyDescent="0.25">
      <c r="B56" s="7"/>
      <c r="E56" s="8"/>
    </row>
    <row r="57" spans="2:5" x14ac:dyDescent="0.25">
      <c r="B57" s="7"/>
      <c r="E57" s="8"/>
    </row>
    <row r="58" spans="2:5" x14ac:dyDescent="0.25">
      <c r="B58" s="7"/>
      <c r="E58" s="8"/>
    </row>
    <row r="59" spans="2:5" x14ac:dyDescent="0.25">
      <c r="B59" s="7"/>
      <c r="E59" s="8"/>
    </row>
    <row r="60" spans="2:5" x14ac:dyDescent="0.25">
      <c r="B60" s="9"/>
      <c r="C60" s="10"/>
      <c r="D60" s="10"/>
      <c r="E60" s="11"/>
    </row>
    <row r="66" spans="2:3" x14ac:dyDescent="0.25">
      <c r="B66" s="7"/>
      <c r="C66" s="17"/>
    </row>
    <row r="67" spans="2:3" x14ac:dyDescent="0.25">
      <c r="C67" s="66"/>
    </row>
    <row r="69" spans="2:3" x14ac:dyDescent="0.25">
      <c r="C69" s="30"/>
    </row>
  </sheetData>
  <phoneticPr fontId="4" type="noConversion"/>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730042-FA4F-4B29-96AE-083348E70E0D}">
  <sheetPr codeName="Blad22">
    <tabColor theme="0" tint="-0.14999847407452621"/>
  </sheetPr>
  <dimension ref="B2:J60"/>
  <sheetViews>
    <sheetView zoomScaleNormal="100" workbookViewId="0">
      <selection activeCell="H29" sqref="H29:H34"/>
    </sheetView>
  </sheetViews>
  <sheetFormatPr defaultRowHeight="15" x14ac:dyDescent="0.25"/>
  <cols>
    <col min="2" max="2" width="33" customWidth="1"/>
    <col min="3" max="3" width="9.140625" customWidth="1"/>
    <col min="4" max="4" width="10.7109375" customWidth="1"/>
    <col min="5" max="5" width="69.42578125" customWidth="1"/>
    <col min="8" max="8" width="21.85546875" customWidth="1"/>
    <col min="9" max="9" width="11" bestFit="1" customWidth="1"/>
  </cols>
  <sheetData>
    <row r="2" spans="2:10" x14ac:dyDescent="0.25">
      <c r="B2" s="14" t="s">
        <v>50</v>
      </c>
      <c r="C2" s="12"/>
      <c r="D2" s="12"/>
      <c r="E2" s="13"/>
      <c r="H2" s="14" t="s">
        <v>51</v>
      </c>
      <c r="I2" s="15"/>
      <c r="J2" s="16"/>
    </row>
    <row r="3" spans="2:10" x14ac:dyDescent="0.25">
      <c r="B3" s="7" t="s">
        <v>52</v>
      </c>
      <c r="C3" t="s">
        <v>24</v>
      </c>
      <c r="E3" s="8"/>
      <c r="H3" s="23" t="s">
        <v>53</v>
      </c>
      <c r="I3" s="24"/>
      <c r="J3" s="25"/>
    </row>
    <row r="4" spans="2:10" x14ac:dyDescent="0.25">
      <c r="B4" s="7" t="s">
        <v>9</v>
      </c>
      <c r="C4" t="str">
        <f>_xlfn.XLOOKUP(C3,'EBM''s'!$C$6:$C$24,'EBM''s'!$D$6:$D$24)</f>
        <v>Vervang ventilatoren van IE2/IE3 klasse door ventilatoren met een EC motor</v>
      </c>
      <c r="E4" s="8"/>
      <c r="H4" s="7" t="s">
        <v>54</v>
      </c>
      <c r="I4" s="3">
        <f>_xlfn.XLOOKUP(C3,'EBM''s'!$C$8:$C$24,'EBM''s'!$E$8:$E$24)</f>
        <v>911.90000000000009</v>
      </c>
      <c r="J4" s="8"/>
    </row>
    <row r="5" spans="2:10" x14ac:dyDescent="0.25">
      <c r="B5" s="7"/>
      <c r="E5" s="8"/>
      <c r="H5" s="7" t="s">
        <v>55</v>
      </c>
      <c r="I5" s="3">
        <f>_xlfn.XLOOKUP(C3,'EBM''s'!$C$8:$C$24,'EBM''s'!$F$8:$F$24)</f>
        <v>225.50000000000003</v>
      </c>
      <c r="J5" s="8"/>
    </row>
    <row r="6" spans="2:10" x14ac:dyDescent="0.25">
      <c r="B6" s="7"/>
      <c r="E6" s="8"/>
      <c r="H6" s="7"/>
      <c r="J6" s="8"/>
    </row>
    <row r="7" spans="2:10" x14ac:dyDescent="0.25">
      <c r="B7" s="18" t="s">
        <v>56</v>
      </c>
      <c r="C7" s="19"/>
      <c r="D7" s="19"/>
      <c r="E7" s="20"/>
      <c r="H7" s="7"/>
      <c r="J7" s="8"/>
    </row>
    <row r="8" spans="2:10" x14ac:dyDescent="0.25">
      <c r="B8" s="21" t="s">
        <v>147</v>
      </c>
      <c r="C8" s="22">
        <f>100*120</f>
        <v>12000</v>
      </c>
      <c r="D8" s="2" t="s">
        <v>58</v>
      </c>
      <c r="E8" s="8"/>
      <c r="H8" s="23" t="s">
        <v>59</v>
      </c>
      <c r="I8" s="24"/>
      <c r="J8" s="25" t="s">
        <v>2</v>
      </c>
    </row>
    <row r="9" spans="2:10" x14ac:dyDescent="0.25">
      <c r="B9" s="21"/>
      <c r="E9" s="8"/>
      <c r="H9" s="7" t="s">
        <v>61</v>
      </c>
      <c r="I9" s="17">
        <f>C28</f>
        <v>160</v>
      </c>
      <c r="J9" s="8" t="s">
        <v>62</v>
      </c>
    </row>
    <row r="10" spans="2:10" x14ac:dyDescent="0.25">
      <c r="B10" s="7"/>
      <c r="E10" s="8"/>
      <c r="H10" s="7" t="s">
        <v>63</v>
      </c>
      <c r="I10" s="17">
        <v>0</v>
      </c>
      <c r="J10" s="8" t="s">
        <v>64</v>
      </c>
    </row>
    <row r="11" spans="2:10" x14ac:dyDescent="0.25">
      <c r="B11" s="18" t="s">
        <v>65</v>
      </c>
      <c r="C11" s="19"/>
      <c r="D11" s="19"/>
      <c r="E11" s="20"/>
      <c r="H11" s="7"/>
      <c r="J11" s="8"/>
    </row>
    <row r="12" spans="2:10" x14ac:dyDescent="0.25">
      <c r="B12" s="21" t="s">
        <v>157</v>
      </c>
      <c r="C12" s="2">
        <v>0.25</v>
      </c>
      <c r="D12" s="2" t="s">
        <v>77</v>
      </c>
      <c r="E12" s="8"/>
      <c r="H12" s="7" t="s">
        <v>61</v>
      </c>
      <c r="I12" s="3">
        <f>I9*Energieprijzen!$C$4</f>
        <v>30.4</v>
      </c>
      <c r="J12" s="8" t="s">
        <v>66</v>
      </c>
    </row>
    <row r="13" spans="2:10" x14ac:dyDescent="0.25">
      <c r="B13" s="21" t="s">
        <v>158</v>
      </c>
      <c r="C13" s="44">
        <v>0.2</v>
      </c>
      <c r="D13" s="2" t="s">
        <v>81</v>
      </c>
      <c r="E13" s="8"/>
      <c r="H13" s="7" t="s">
        <v>63</v>
      </c>
      <c r="I13" s="3">
        <f>I10*Energieprijzen!$C$5</f>
        <v>0</v>
      </c>
      <c r="J13" s="8" t="s">
        <v>66</v>
      </c>
    </row>
    <row r="14" spans="2:10" x14ac:dyDescent="0.25">
      <c r="B14" s="21"/>
      <c r="E14" s="8"/>
      <c r="H14" s="7" t="s">
        <v>71</v>
      </c>
      <c r="I14" s="3">
        <f>SUM(I12:I13)</f>
        <v>30.4</v>
      </c>
      <c r="J14" s="8" t="s">
        <v>66</v>
      </c>
    </row>
    <row r="15" spans="2:10" x14ac:dyDescent="0.25">
      <c r="B15" s="7"/>
      <c r="E15" s="8"/>
      <c r="H15" s="7"/>
      <c r="J15" s="8"/>
    </row>
    <row r="16" spans="2:10" x14ac:dyDescent="0.25">
      <c r="B16" s="18" t="s">
        <v>72</v>
      </c>
      <c r="C16" s="19"/>
      <c r="D16" s="19"/>
      <c r="E16" s="20"/>
      <c r="H16" s="7"/>
      <c r="J16" s="8"/>
    </row>
    <row r="17" spans="2:10" x14ac:dyDescent="0.25">
      <c r="B17" s="23" t="s">
        <v>73</v>
      </c>
      <c r="C17" s="24"/>
      <c r="D17" s="24" t="s">
        <v>2</v>
      </c>
      <c r="E17" s="25" t="s">
        <v>74</v>
      </c>
      <c r="H17" s="23" t="s">
        <v>75</v>
      </c>
      <c r="I17" s="24"/>
      <c r="J17" s="25" t="s">
        <v>2</v>
      </c>
    </row>
    <row r="18" spans="2:10" x14ac:dyDescent="0.25">
      <c r="B18" s="7" t="s">
        <v>76</v>
      </c>
      <c r="C18">
        <f>C12</f>
        <v>0.25</v>
      </c>
      <c r="D18" t="s">
        <v>77</v>
      </c>
      <c r="E18" s="8"/>
      <c r="H18" s="7" t="s">
        <v>78</v>
      </c>
      <c r="I18" s="1">
        <f>IFERROR(I4/I14,0)</f>
        <v>29.996710526315795</v>
      </c>
      <c r="J18" s="8" t="s">
        <v>79</v>
      </c>
    </row>
    <row r="19" spans="2:10" x14ac:dyDescent="0.25">
      <c r="B19" s="7" t="s">
        <v>80</v>
      </c>
      <c r="C19" s="36">
        <v>0.8</v>
      </c>
      <c r="D19" t="s">
        <v>81</v>
      </c>
      <c r="E19" s="8"/>
      <c r="H19" s="9" t="s">
        <v>82</v>
      </c>
      <c r="I19" s="28">
        <f>IFERROR(I5/I14,0)</f>
        <v>7.4177631578947381</v>
      </c>
      <c r="J19" s="11" t="s">
        <v>79</v>
      </c>
    </row>
    <row r="20" spans="2:10" x14ac:dyDescent="0.25">
      <c r="B20" s="7" t="s">
        <v>83</v>
      </c>
      <c r="C20">
        <v>4000</v>
      </c>
      <c r="D20" t="s">
        <v>84</v>
      </c>
      <c r="E20" s="8"/>
    </row>
    <row r="21" spans="2:10" x14ac:dyDescent="0.25">
      <c r="B21" s="7" t="s">
        <v>85</v>
      </c>
      <c r="C21" s="17">
        <f>C18*C19*C20</f>
        <v>800</v>
      </c>
      <c r="D21" t="s">
        <v>62</v>
      </c>
      <c r="E21" s="8"/>
    </row>
    <row r="22" spans="2:10" x14ac:dyDescent="0.25">
      <c r="B22" s="7"/>
      <c r="E22" s="8"/>
    </row>
    <row r="23" spans="2:10" x14ac:dyDescent="0.25">
      <c r="B23" s="7"/>
      <c r="E23" s="8"/>
    </row>
    <row r="24" spans="2:10" x14ac:dyDescent="0.25">
      <c r="B24" s="23" t="s">
        <v>59</v>
      </c>
      <c r="C24" s="24"/>
      <c r="D24" s="24" t="s">
        <v>2</v>
      </c>
      <c r="E24" s="25" t="s">
        <v>74</v>
      </c>
    </row>
    <row r="25" spans="2:10" x14ac:dyDescent="0.25">
      <c r="B25" s="7" t="s">
        <v>76</v>
      </c>
      <c r="D25" t="s">
        <v>77</v>
      </c>
      <c r="E25" s="8"/>
    </row>
    <row r="26" spans="2:10" x14ac:dyDescent="0.25">
      <c r="B26" s="7" t="s">
        <v>80</v>
      </c>
      <c r="D26" t="s">
        <v>81</v>
      </c>
      <c r="E26" s="8"/>
    </row>
    <row r="27" spans="2:10" x14ac:dyDescent="0.25">
      <c r="B27" s="7" t="s">
        <v>83</v>
      </c>
      <c r="D27" t="s">
        <v>84</v>
      </c>
      <c r="E27" s="8"/>
    </row>
    <row r="28" spans="2:10" x14ac:dyDescent="0.25">
      <c r="B28" s="7" t="s">
        <v>85</v>
      </c>
      <c r="C28" s="17">
        <f>C21*C13</f>
        <v>160</v>
      </c>
      <c r="D28" t="s">
        <v>62</v>
      </c>
      <c r="E28" s="8" t="s">
        <v>159</v>
      </c>
    </row>
    <row r="29" spans="2:10" x14ac:dyDescent="0.25">
      <c r="B29" s="7"/>
      <c r="E29" s="8"/>
      <c r="H29" t="s">
        <v>88</v>
      </c>
    </row>
    <row r="30" spans="2:10" x14ac:dyDescent="0.25">
      <c r="B30" s="7"/>
      <c r="E30" s="8"/>
      <c r="H30" t="s">
        <v>160</v>
      </c>
    </row>
    <row r="31" spans="2:10" x14ac:dyDescent="0.25">
      <c r="B31" s="23" t="s">
        <v>90</v>
      </c>
      <c r="C31" s="24"/>
      <c r="D31" s="24" t="s">
        <v>2</v>
      </c>
      <c r="E31" s="25" t="s">
        <v>74</v>
      </c>
    </row>
    <row r="32" spans="2:10" x14ac:dyDescent="0.25">
      <c r="B32" s="7" t="s">
        <v>76</v>
      </c>
      <c r="D32" t="s">
        <v>77</v>
      </c>
      <c r="E32" s="8"/>
    </row>
    <row r="33" spans="2:9" x14ac:dyDescent="0.25">
      <c r="B33" s="7" t="s">
        <v>80</v>
      </c>
      <c r="C33" s="36"/>
      <c r="D33" t="s">
        <v>81</v>
      </c>
      <c r="E33" s="8"/>
      <c r="H33" t="s">
        <v>92</v>
      </c>
    </row>
    <row r="34" spans="2:9" x14ac:dyDescent="0.25">
      <c r="B34" s="7" t="s">
        <v>83</v>
      </c>
      <c r="D34" t="s">
        <v>84</v>
      </c>
      <c r="E34" s="8"/>
      <c r="H34" s="31"/>
    </row>
    <row r="35" spans="2:9" x14ac:dyDescent="0.25">
      <c r="B35" s="9" t="s">
        <v>85</v>
      </c>
      <c r="C35" s="26">
        <f>C21-C28</f>
        <v>640</v>
      </c>
      <c r="D35" s="10" t="s">
        <v>62</v>
      </c>
      <c r="E35" s="11"/>
    </row>
    <row r="39" spans="2:9" x14ac:dyDescent="0.25">
      <c r="B39" s="14" t="s">
        <v>95</v>
      </c>
      <c r="C39" s="15"/>
      <c r="D39" s="15"/>
      <c r="E39" s="16"/>
    </row>
    <row r="40" spans="2:9" x14ac:dyDescent="0.25">
      <c r="B40" s="7"/>
      <c r="E40" s="8"/>
    </row>
    <row r="41" spans="2:9" x14ac:dyDescent="0.25">
      <c r="B41" s="7"/>
      <c r="E41" s="8"/>
      <c r="I41" s="35"/>
    </row>
    <row r="42" spans="2:9" x14ac:dyDescent="0.25">
      <c r="B42" s="7" t="s">
        <v>161</v>
      </c>
      <c r="C42" s="36">
        <v>0.06</v>
      </c>
      <c r="E42" s="8"/>
    </row>
    <row r="43" spans="2:9" x14ac:dyDescent="0.25">
      <c r="B43" s="7" t="s">
        <v>162</v>
      </c>
      <c r="C43" s="35">
        <v>0.03</v>
      </c>
      <c r="E43" s="8"/>
      <c r="I43" s="35"/>
    </row>
    <row r="44" spans="2:9" x14ac:dyDescent="0.25">
      <c r="B44" s="7"/>
      <c r="C44" s="32"/>
      <c r="E44" s="8"/>
    </row>
    <row r="45" spans="2:9" x14ac:dyDescent="0.25">
      <c r="B45" s="7" t="s">
        <v>163</v>
      </c>
      <c r="C45">
        <v>0.25</v>
      </c>
      <c r="D45" t="s">
        <v>77</v>
      </c>
      <c r="E45" s="8" t="s">
        <v>164</v>
      </c>
    </row>
    <row r="46" spans="2:9" x14ac:dyDescent="0.25">
      <c r="B46" s="7" t="s">
        <v>165</v>
      </c>
      <c r="C46" s="66">
        <v>0.68500000000000005</v>
      </c>
      <c r="D46" t="s">
        <v>81</v>
      </c>
      <c r="E46" s="8"/>
    </row>
    <row r="47" spans="2:9" x14ac:dyDescent="0.25">
      <c r="B47" s="29" t="s">
        <v>166</v>
      </c>
      <c r="C47" s="66">
        <v>0.73499999999999999</v>
      </c>
      <c r="D47" t="s">
        <v>81</v>
      </c>
      <c r="E47" s="8"/>
    </row>
    <row r="48" spans="2:9" x14ac:dyDescent="0.25">
      <c r="B48" s="29" t="s">
        <v>167</v>
      </c>
      <c r="C48" s="66">
        <v>0.77900000000000003</v>
      </c>
      <c r="D48" t="s">
        <v>81</v>
      </c>
      <c r="E48" s="8"/>
    </row>
    <row r="49" spans="2:5" x14ac:dyDescent="0.25">
      <c r="B49" s="7" t="s">
        <v>168</v>
      </c>
      <c r="C49" s="30"/>
      <c r="D49" s="30"/>
      <c r="E49" s="8"/>
    </row>
    <row r="50" spans="2:5" x14ac:dyDescent="0.25">
      <c r="B50" s="7" t="s">
        <v>169</v>
      </c>
      <c r="C50">
        <f>$C$45/C46</f>
        <v>0.36496350364963503</v>
      </c>
      <c r="D50" t="s">
        <v>77</v>
      </c>
      <c r="E50" s="8"/>
    </row>
    <row r="51" spans="2:5" x14ac:dyDescent="0.25">
      <c r="B51" s="7" t="s">
        <v>170</v>
      </c>
      <c r="C51">
        <f t="shared" ref="C51:C52" si="0">$C$45/C47</f>
        <v>0.3401360544217687</v>
      </c>
      <c r="D51" t="s">
        <v>77</v>
      </c>
      <c r="E51" s="8"/>
    </row>
    <row r="52" spans="2:5" x14ac:dyDescent="0.25">
      <c r="B52" s="7" t="s">
        <v>171</v>
      </c>
      <c r="C52">
        <f t="shared" si="0"/>
        <v>0.3209242618741977</v>
      </c>
      <c r="D52" t="s">
        <v>77</v>
      </c>
      <c r="E52" s="8"/>
    </row>
    <row r="53" spans="2:5" x14ac:dyDescent="0.25">
      <c r="B53" s="7"/>
      <c r="E53" s="8"/>
    </row>
    <row r="54" spans="2:5" x14ac:dyDescent="0.25">
      <c r="B54" s="7" t="s">
        <v>172</v>
      </c>
      <c r="E54" s="8"/>
    </row>
    <row r="55" spans="2:5" x14ac:dyDescent="0.25">
      <c r="B55" s="7" t="s">
        <v>173</v>
      </c>
      <c r="C55" s="55">
        <f>(C50-C51)/$C$45</f>
        <v>9.9309796911465353E-2</v>
      </c>
      <c r="D55" t="s">
        <v>81</v>
      </c>
      <c r="E55" s="8"/>
    </row>
    <row r="56" spans="2:5" x14ac:dyDescent="0.25">
      <c r="B56" s="7" t="s">
        <v>174</v>
      </c>
      <c r="C56" s="55">
        <f>(C50-C52)/$C$45</f>
        <v>0.17615696710174933</v>
      </c>
      <c r="D56" t="s">
        <v>81</v>
      </c>
      <c r="E56" s="8"/>
    </row>
    <row r="57" spans="2:5" x14ac:dyDescent="0.25">
      <c r="B57" s="7" t="s">
        <v>175</v>
      </c>
      <c r="C57" s="55">
        <f>(C51-C52)/$C$45</f>
        <v>7.6847170190283975E-2</v>
      </c>
      <c r="D57" t="s">
        <v>81</v>
      </c>
      <c r="E57" s="8"/>
    </row>
    <row r="58" spans="2:5" x14ac:dyDescent="0.25">
      <c r="B58" s="7"/>
      <c r="E58" s="8"/>
    </row>
    <row r="59" spans="2:5" x14ac:dyDescent="0.25">
      <c r="B59" s="7"/>
      <c r="E59" s="8"/>
    </row>
    <row r="60" spans="2:5" x14ac:dyDescent="0.25">
      <c r="B60" s="9"/>
      <c r="C60" s="10"/>
      <c r="D60" s="10"/>
      <c r="E60" s="11"/>
    </row>
  </sheetData>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D09ED2CD2BFEA49A8EFDA317D1E7D36" ma:contentTypeVersion="4" ma:contentTypeDescription="Een nieuw document maken." ma:contentTypeScope="" ma:versionID="2d37e593970f23ab5ab8e6b28acdedce">
  <xsd:schema xmlns:xsd="http://www.w3.org/2001/XMLSchema" xmlns:xs="http://www.w3.org/2001/XMLSchema" xmlns:p="http://schemas.microsoft.com/office/2006/metadata/properties" xmlns:ns2="391414ee-60c0-4886-9479-3bf1e8ea173a" targetNamespace="http://schemas.microsoft.com/office/2006/metadata/properties" ma:root="true" ma:fieldsID="f4f78b55a2c93736c72cda2a739b76dd" ns2:_="">
    <xsd:import namespace="391414ee-60c0-4886-9479-3bf1e8ea173a"/>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91414ee-60c0-4886-9479-3bf1e8ea173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C5FE3586-7CFF-4002-8C4A-3494C48427AA}">
  <ds:schemaRefs>
    <ds:schemaRef ds:uri="http://schemas.microsoft.com/sharepoint/v3/contenttype/forms"/>
  </ds:schemaRefs>
</ds:datastoreItem>
</file>

<file path=customXml/itemProps2.xml><?xml version="1.0" encoding="utf-8"?>
<ds:datastoreItem xmlns:ds="http://schemas.openxmlformats.org/officeDocument/2006/customXml" ds:itemID="{83194B58-6BC6-4A7E-BE69-6DCB3DC26CE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91414ee-60c0-4886-9479-3bf1e8ea173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BB6E8F1-0408-4EDB-8502-5D308A0C2E63}">
  <ds:schemaRefs>
    <ds:schemaRef ds:uri="http://schemas.microsoft.com/office/2006/documentManagement/types"/>
    <ds:schemaRef ds:uri="http://schemas.openxmlformats.org/package/2006/metadata/core-properties"/>
    <ds:schemaRef ds:uri="http://www.w3.org/XML/1998/namespace"/>
    <ds:schemaRef ds:uri="http://purl.org/dc/elements/1.1/"/>
    <ds:schemaRef ds:uri="391414ee-60c0-4886-9479-3bf1e8ea173a"/>
    <ds:schemaRef ds:uri="http://schemas.microsoft.com/office/infopath/2007/PartnerControls"/>
    <ds:schemaRef ds:uri="http://purl.org/dc/terms/"/>
    <ds:schemaRef ds:uri="http://schemas.microsoft.com/office/2006/metadata/properties"/>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23</vt:i4>
      </vt:variant>
    </vt:vector>
  </HeadingPairs>
  <TitlesOfParts>
    <vt:vector size="23" baseType="lpstr">
      <vt:lpstr>Energieprijzen</vt:lpstr>
      <vt:lpstr>EBM's</vt:lpstr>
      <vt:lpstr>PT1</vt:lpstr>
      <vt:lpstr>PT2</vt:lpstr>
      <vt:lpstr>PT2a</vt:lpstr>
      <vt:lpstr>PT2b</vt:lpstr>
      <vt:lpstr>PT2c</vt:lpstr>
      <vt:lpstr>PT3</vt:lpstr>
      <vt:lpstr>PT4</vt:lpstr>
      <vt:lpstr>PT4a</vt:lpstr>
      <vt:lpstr>PT4b</vt:lpstr>
      <vt:lpstr>PT5</vt:lpstr>
      <vt:lpstr>PT6</vt:lpstr>
      <vt:lpstr>PT7</vt:lpstr>
      <vt:lpstr>PT8</vt:lpstr>
      <vt:lpstr>PT9</vt:lpstr>
      <vt:lpstr>PT10a</vt:lpstr>
      <vt:lpstr>PT10b</vt:lpstr>
      <vt:lpstr>PT10c</vt:lpstr>
      <vt:lpstr>PT11</vt:lpstr>
      <vt:lpstr>PT12</vt:lpstr>
      <vt:lpstr>PT13</vt:lpstr>
      <vt:lpstr>PT14</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AABnl Tim van Aalst</dc:creator>
  <cp:keywords/>
  <dc:description/>
  <cp:lastModifiedBy>AABnl Ingrid Zwinkels</cp:lastModifiedBy>
  <cp:revision/>
  <dcterms:created xsi:type="dcterms:W3CDTF">2015-06-05T18:17:20Z</dcterms:created>
  <dcterms:modified xsi:type="dcterms:W3CDTF">2024-02-19T15:22:39Z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0x010100DD09ED2CD2BFEA49A8EFDA317D1E7D36</vt:lpwstr>
  </property>
</Properties>
</file>