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qualitybv.sharepoint.com/klanten/Docs/Ridderkerk/EA Lease (1396)/06. Bestanden voor publicatie/"/>
    </mc:Choice>
  </mc:AlternateContent>
  <xr:revisionPtr revIDLastSave="15" documentId="8_{BA19E8D7-7330-4CB5-9475-02C24A1B0058}" xr6:coauthVersionLast="47" xr6:coauthVersionMax="47" xr10:uidLastSave="{41008ADD-9367-4722-98BD-47424D15EAC0}"/>
  <bookViews>
    <workbookView xWindow="-105" yWindow="0" windowWidth="14610" windowHeight="17385" activeTab="2" xr2:uid="{D2FDE4C4-A477-4829-9C7E-4DCF508A97E3}"/>
    <workbookView xWindow="-120" yWindow="-120" windowWidth="29040" windowHeight="17520" activeTab="1" xr2:uid="{B8653E30-5988-4B17-B255-5388923E4C47}"/>
  </bookViews>
  <sheets>
    <sheet name="Voorblad" sheetId="57" r:id="rId1"/>
    <sheet name="Prijsinvulf overige zaken" sheetId="54" r:id="rId2"/>
    <sheet name="1.1 Gesloten bestelwagen klein" sheetId="58" r:id="rId3"/>
    <sheet name="1.2 Gesloten bestelwagen middel" sheetId="59" r:id="rId4"/>
    <sheet name="1.3 Bestelwagen personenvervoer" sheetId="65" r:id="rId5"/>
    <sheet name="1.4 Veegvuilwagen compact" sheetId="62" r:id="rId6"/>
    <sheet name="1.5 Gesloten bestelwagen groot" sheetId="60" r:id="rId7"/>
    <sheet name="1.6 Pick-up groot" sheetId="63" r:id="rId8"/>
    <sheet name="1.7 Pick-up groot met laadkr" sheetId="64" r:id="rId9"/>
    <sheet name="1.8 Terreinwagen" sheetId="66" r:id="rId10"/>
    <sheet name="1.9 Personenauto klein" sheetId="61" r:id="rId11"/>
    <sheet name="1.10 Personenwagen groot" sheetId="67" r:id="rId12"/>
    <sheet name="2.1 Gesloten bestelwagen klein" sheetId="68" r:id="rId13"/>
    <sheet name="2.2 Personenwagen middel" sheetId="69" r:id="rId14"/>
    <sheet name="Totalen" sheetId="55" r:id="rId15"/>
  </sheets>
  <definedNames>
    <definedName name="_xlnm.Print_Area" localSheetId="2">'1.1 Gesloten bestelwagen klein'!$A$1:$D$53</definedName>
    <definedName name="_xlnm.Print_Area" localSheetId="3">'1.2 Gesloten bestelwagen middel'!$A$1:$D$53</definedName>
    <definedName name="_xlnm.Print_Area" localSheetId="5">'1.4 Veegvuilwagen compact'!$A$1:$C$53</definedName>
    <definedName name="_xlnm.Print_Area" localSheetId="6">'1.5 Gesloten bestelwagen groot'!$A$1:$D$53</definedName>
    <definedName name="_xlnm.Print_Area" localSheetId="7">'1.6 Pick-up groot'!$A$1:$D$53</definedName>
    <definedName name="_xlnm.Print_Area" localSheetId="8">'1.7 Pick-up groot met laadkr'!$A$1:$D$53</definedName>
    <definedName name="_xlnm.Print_Area" localSheetId="10">'1.9 Personenauto klein'!$A$1:$D$53</definedName>
    <definedName name="_xlnm.Print_Area" localSheetId="12">'2.1 Gesloten bestelwagen klein'!$A$1:$D$53</definedName>
    <definedName name="_xlnm.Print_Area" localSheetId="13">'2.2 Personenwagen middel'!$A$1:$D$53</definedName>
    <definedName name="_xlnm.Print_Area" localSheetId="1">'Prijsinvulf overige zaken'!$A$1:$C$8</definedName>
    <definedName name="_xlnm.Print_Area" localSheetId="14">Totalen!$A$1:$D$93</definedName>
    <definedName name="_xlnm.Print_Area" localSheetId="0">Voorblad!$A$1:$J$16</definedName>
    <definedName name="_xlnm.Print_Titles" localSheetId="2">'1.1 Gesloten bestelwagen klein'!$1:$2</definedName>
    <definedName name="_xlnm.Print_Titles" localSheetId="11">'1.10 Personenwagen groot'!$1:$2</definedName>
    <definedName name="_xlnm.Print_Titles" localSheetId="3">'1.2 Gesloten bestelwagen middel'!$1:$3</definedName>
    <definedName name="_xlnm.Print_Titles" localSheetId="4">'1.3 Bestelwagen personenvervoer'!$1:$3</definedName>
    <definedName name="_xlnm.Print_Titles" localSheetId="5">'1.4 Veegvuilwagen compact'!$1:$2</definedName>
    <definedName name="_xlnm.Print_Titles" localSheetId="6">'1.5 Gesloten bestelwagen groot'!$1:$2</definedName>
    <definedName name="_xlnm.Print_Titles" localSheetId="7">'1.6 Pick-up groot'!$1:$2</definedName>
    <definedName name="_xlnm.Print_Titles" localSheetId="8">'1.7 Pick-up groot met laadkr'!$1:$2</definedName>
    <definedName name="_xlnm.Print_Titles" localSheetId="9">'1.8 Terreinwagen'!$1:$3</definedName>
    <definedName name="_xlnm.Print_Titles" localSheetId="10">'1.9 Personenauto klein'!$1:$2</definedName>
    <definedName name="_xlnm.Print_Titles" localSheetId="12">'2.1 Gesloten bestelwagen klein'!$1:$2</definedName>
    <definedName name="_xlnm.Print_Titles" localSheetId="13">'2.2 Personenwagen middel'!$1:$2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62" l="1"/>
  <c r="B51" i="68"/>
  <c r="C51" i="67"/>
  <c r="C49" i="66"/>
  <c r="C51" i="66" s="1"/>
  <c r="D49" i="66"/>
  <c r="D51" i="66" s="1"/>
  <c r="B51" i="64"/>
  <c r="B51" i="63"/>
  <c r="C49" i="60"/>
  <c r="C51" i="60" s="1"/>
  <c r="D49" i="60"/>
  <c r="D51" i="60" s="1"/>
  <c r="C51" i="65"/>
  <c r="B51" i="59"/>
  <c r="B49" i="58"/>
  <c r="B51" i="58" s="1"/>
  <c r="C49" i="58"/>
  <c r="C51" i="58" s="1"/>
  <c r="C49" i="59"/>
  <c r="C51" i="59" s="1"/>
  <c r="C49" i="65"/>
  <c r="C49" i="62"/>
  <c r="C51" i="62" s="1"/>
  <c r="C49" i="63"/>
  <c r="C51" i="63" s="1"/>
  <c r="C49" i="64"/>
  <c r="C51" i="64" s="1"/>
  <c r="C49" i="61"/>
  <c r="C51" i="61" s="1"/>
  <c r="C49" i="67"/>
  <c r="C49" i="68"/>
  <c r="C51" i="68" s="1"/>
  <c r="C49" i="69"/>
  <c r="C51" i="69" s="1"/>
  <c r="D49" i="59"/>
  <c r="D51" i="59" s="1"/>
  <c r="D49" i="65"/>
  <c r="D51" i="65" s="1"/>
  <c r="D49" i="63"/>
  <c r="D51" i="63" s="1"/>
  <c r="D49" i="64"/>
  <c r="D51" i="64" s="1"/>
  <c r="D49" i="61"/>
  <c r="D51" i="61" s="1"/>
  <c r="D49" i="67"/>
  <c r="D51" i="67" s="1"/>
  <c r="D49" i="68"/>
  <c r="D51" i="68" s="1"/>
  <c r="D49" i="69"/>
  <c r="D51" i="69" s="1"/>
  <c r="D49" i="58"/>
  <c r="D51" i="58" s="1"/>
  <c r="B49" i="59"/>
  <c r="B49" i="65"/>
  <c r="B51" i="65" s="1"/>
  <c r="B49" i="62"/>
  <c r="B49" i="60"/>
  <c r="B51" i="60" s="1"/>
  <c r="B49" i="63"/>
  <c r="B49" i="64"/>
  <c r="B49" i="66"/>
  <c r="B51" i="66" s="1"/>
  <c r="B49" i="61"/>
  <c r="B51" i="61" s="1"/>
  <c r="B49" i="67"/>
  <c r="B51" i="67" s="1"/>
  <c r="B49" i="68"/>
  <c r="B49" i="69"/>
  <c r="B51" i="69" s="1"/>
  <c r="C43" i="63" l="1"/>
  <c r="D43" i="63"/>
  <c r="D36" i="55" s="1"/>
  <c r="B43" i="63"/>
  <c r="D16" i="63"/>
  <c r="D13" i="63"/>
  <c r="D20" i="63" s="1"/>
  <c r="D22" i="63" s="1"/>
  <c r="A86" i="55"/>
  <c r="C72" i="55"/>
  <c r="B72" i="55"/>
  <c r="A72" i="55"/>
  <c r="C71" i="55"/>
  <c r="B71" i="55"/>
  <c r="A71" i="55"/>
  <c r="C70" i="55"/>
  <c r="B70" i="55"/>
  <c r="A70" i="55"/>
  <c r="A68" i="55"/>
  <c r="A89" i="55" s="1"/>
  <c r="B64" i="55"/>
  <c r="C66" i="55"/>
  <c r="B66" i="55"/>
  <c r="A66" i="55"/>
  <c r="C65" i="55"/>
  <c r="B65" i="55"/>
  <c r="A65" i="55"/>
  <c r="C64" i="55"/>
  <c r="A64" i="55"/>
  <c r="A62" i="55"/>
  <c r="A88" i="55" s="1"/>
  <c r="C60" i="55"/>
  <c r="B60" i="55"/>
  <c r="A60" i="55"/>
  <c r="C59" i="55"/>
  <c r="B59" i="55"/>
  <c r="A59" i="55"/>
  <c r="C58" i="55"/>
  <c r="B58" i="55"/>
  <c r="A58" i="55"/>
  <c r="A56" i="55"/>
  <c r="A87" i="55" s="1"/>
  <c r="C54" i="55"/>
  <c r="B54" i="55"/>
  <c r="A54" i="55"/>
  <c r="C53" i="55"/>
  <c r="B53" i="55"/>
  <c r="A53" i="55"/>
  <c r="C52" i="55"/>
  <c r="B52" i="55"/>
  <c r="A52" i="55"/>
  <c r="A50" i="55"/>
  <c r="C48" i="55"/>
  <c r="B48" i="55"/>
  <c r="A48" i="55"/>
  <c r="C47" i="55"/>
  <c r="B47" i="55"/>
  <c r="A47" i="55"/>
  <c r="C46" i="55"/>
  <c r="B46" i="55"/>
  <c r="A46" i="55"/>
  <c r="A44" i="55"/>
  <c r="A85" i="55" s="1"/>
  <c r="C42" i="55"/>
  <c r="B42" i="55"/>
  <c r="A42" i="55"/>
  <c r="C41" i="55"/>
  <c r="B41" i="55"/>
  <c r="A41" i="55"/>
  <c r="C40" i="55"/>
  <c r="B40" i="55"/>
  <c r="A40" i="55"/>
  <c r="A38" i="55"/>
  <c r="A84" i="55" s="1"/>
  <c r="B36" i="55"/>
  <c r="B30" i="55"/>
  <c r="B19" i="55"/>
  <c r="B13" i="55"/>
  <c r="B7" i="55"/>
  <c r="C36" i="55"/>
  <c r="A36" i="55"/>
  <c r="C35" i="55"/>
  <c r="B35" i="55"/>
  <c r="A35" i="55"/>
  <c r="C34" i="55"/>
  <c r="B34" i="55"/>
  <c r="A34" i="55"/>
  <c r="A32" i="55"/>
  <c r="A83" i="55" s="1"/>
  <c r="C30" i="55"/>
  <c r="A30" i="55"/>
  <c r="C29" i="55"/>
  <c r="B29" i="55"/>
  <c r="A29" i="55"/>
  <c r="C28" i="55"/>
  <c r="B28" i="55"/>
  <c r="A28" i="55"/>
  <c r="A26" i="55"/>
  <c r="A82" i="55" s="1"/>
  <c r="C24" i="55"/>
  <c r="B24" i="55"/>
  <c r="A24" i="55"/>
  <c r="C23" i="55"/>
  <c r="B23" i="55"/>
  <c r="A23" i="55"/>
  <c r="A21" i="55"/>
  <c r="A81" i="55" s="1"/>
  <c r="C19" i="55"/>
  <c r="A19" i="55"/>
  <c r="C18" i="55"/>
  <c r="B18" i="55"/>
  <c r="A18" i="55"/>
  <c r="C17" i="55"/>
  <c r="B17" i="55"/>
  <c r="A17" i="55"/>
  <c r="A15" i="55"/>
  <c r="A80" i="55" s="1"/>
  <c r="C13" i="55"/>
  <c r="A13" i="55"/>
  <c r="C12" i="55"/>
  <c r="B12" i="55"/>
  <c r="A12" i="55"/>
  <c r="C11" i="55"/>
  <c r="B11" i="55"/>
  <c r="A11" i="55"/>
  <c r="A9" i="55"/>
  <c r="A79" i="55" s="1"/>
  <c r="A3" i="55"/>
  <c r="A78" i="55" s="1"/>
  <c r="C7" i="55"/>
  <c r="C6" i="55"/>
  <c r="C5" i="55"/>
  <c r="B6" i="55"/>
  <c r="B5" i="55"/>
  <c r="A7" i="55"/>
  <c r="A6" i="55"/>
  <c r="A5" i="55"/>
  <c r="B43" i="62"/>
  <c r="C43" i="62"/>
  <c r="C16" i="62"/>
  <c r="B43" i="67"/>
  <c r="D5" i="55"/>
  <c r="B28" i="69"/>
  <c r="B28" i="68"/>
  <c r="B28" i="67"/>
  <c r="B28" i="61"/>
  <c r="B28" i="66"/>
  <c r="B28" i="64"/>
  <c r="B28" i="63"/>
  <c r="B28" i="60"/>
  <c r="B28" i="65"/>
  <c r="B28" i="59"/>
  <c r="B28" i="58"/>
  <c r="D12" i="63" l="1"/>
  <c r="D43" i="69"/>
  <c r="D72" i="55" s="1"/>
  <c r="C43" i="69"/>
  <c r="D71" i="55" s="1"/>
  <c r="B43" i="69"/>
  <c r="D70" i="55" s="1"/>
  <c r="D43" i="68"/>
  <c r="C43" i="68"/>
  <c r="B43" i="68"/>
  <c r="C43" i="67"/>
  <c r="D43" i="67"/>
  <c r="B43" i="61"/>
  <c r="D43" i="66"/>
  <c r="C43" i="66"/>
  <c r="B43" i="66"/>
  <c r="B43" i="64"/>
  <c r="D43" i="64"/>
  <c r="D43" i="60"/>
  <c r="B43" i="60"/>
  <c r="D43" i="65"/>
  <c r="C43" i="65"/>
  <c r="B43" i="65"/>
  <c r="D43" i="59"/>
  <c r="C43" i="59"/>
  <c r="B43" i="59"/>
  <c r="D16" i="69"/>
  <c r="D19" i="69"/>
  <c r="C16" i="69"/>
  <c r="C19" i="69"/>
  <c r="B16" i="69"/>
  <c r="B19" i="69"/>
  <c r="B29" i="69"/>
  <c r="D12" i="69"/>
  <c r="C12" i="69"/>
  <c r="B12" i="69"/>
  <c r="D66" i="55"/>
  <c r="D65" i="55"/>
  <c r="D64" i="55"/>
  <c r="D67" i="55" s="1"/>
  <c r="B88" i="55" s="1"/>
  <c r="B29" i="68"/>
  <c r="D16" i="68"/>
  <c r="D20" i="68" s="1"/>
  <c r="D22" i="68" s="1"/>
  <c r="C16" i="68"/>
  <c r="C20" i="68" s="1"/>
  <c r="C22" i="68" s="1"/>
  <c r="B16" i="68"/>
  <c r="B20" i="68" s="1"/>
  <c r="B22" i="68" s="1"/>
  <c r="D12" i="68"/>
  <c r="C12" i="68"/>
  <c r="B12" i="68"/>
  <c r="D73" i="55" l="1"/>
  <c r="B89" i="55" s="1"/>
  <c r="D20" i="69"/>
  <c r="D22" i="69" s="1"/>
  <c r="C20" i="69"/>
  <c r="C22" i="69" s="1"/>
  <c r="B20" i="69"/>
  <c r="B22" i="69" s="1"/>
  <c r="D12" i="67" l="1"/>
  <c r="C12" i="67"/>
  <c r="B12" i="67"/>
  <c r="B12" i="61"/>
  <c r="D12" i="61"/>
  <c r="C12" i="61"/>
  <c r="D12" i="66"/>
  <c r="C12" i="66"/>
  <c r="B12" i="66"/>
  <c r="D12" i="64"/>
  <c r="C12" i="64"/>
  <c r="C12" i="63"/>
  <c r="B12" i="63"/>
  <c r="D12" i="60"/>
  <c r="C12" i="60"/>
  <c r="B12" i="60"/>
  <c r="C12" i="62"/>
  <c r="B12" i="62"/>
  <c r="D12" i="65"/>
  <c r="C12" i="65"/>
  <c r="B12" i="65"/>
  <c r="D12" i="59"/>
  <c r="C12" i="59"/>
  <c r="B12" i="59"/>
  <c r="D12" i="58"/>
  <c r="C12" i="58"/>
  <c r="B12" i="58"/>
  <c r="D19" i="67"/>
  <c r="C16" i="67"/>
  <c r="C19" i="67"/>
  <c r="D16" i="66"/>
  <c r="D20" i="66" s="1"/>
  <c r="C19" i="66"/>
  <c r="C16" i="66"/>
  <c r="B16" i="66"/>
  <c r="B19" i="66"/>
  <c r="D16" i="65"/>
  <c r="C16" i="65" l="1"/>
  <c r="B16" i="65"/>
  <c r="D42" i="55"/>
  <c r="D16" i="64"/>
  <c r="C16" i="64"/>
  <c r="C20" i="64" s="1"/>
  <c r="B16" i="64"/>
  <c r="B13" i="64" s="1"/>
  <c r="B12" i="64" s="1"/>
  <c r="B19" i="60"/>
  <c r="C16" i="63"/>
  <c r="C19" i="63"/>
  <c r="C20" i="63" s="1"/>
  <c r="B16" i="63"/>
  <c r="B20" i="63" s="1"/>
  <c r="D19" i="61"/>
  <c r="C19" i="61"/>
  <c r="C20" i="61" s="1"/>
  <c r="B19" i="61"/>
  <c r="D30" i="55"/>
  <c r="C16" i="60"/>
  <c r="D16" i="60"/>
  <c r="B20" i="60" l="1"/>
  <c r="B22" i="60" s="1"/>
  <c r="B16" i="59"/>
  <c r="D16" i="59"/>
  <c r="C16" i="59"/>
  <c r="B16" i="58"/>
  <c r="C16" i="58"/>
  <c r="D16" i="58" l="1"/>
  <c r="D20" i="58"/>
  <c r="D22" i="58" s="1"/>
  <c r="D60" i="55"/>
  <c r="D59" i="55"/>
  <c r="D58" i="55"/>
  <c r="B29" i="67"/>
  <c r="B20" i="67"/>
  <c r="B22" i="67" s="1"/>
  <c r="D20" i="67"/>
  <c r="D22" i="67" s="1"/>
  <c r="C18" i="67"/>
  <c r="C20" i="67" s="1"/>
  <c r="C22" i="67" s="1"/>
  <c r="D48" i="55"/>
  <c r="D47" i="55"/>
  <c r="D46" i="55"/>
  <c r="D49" i="55" s="1"/>
  <c r="B85" i="55" s="1"/>
  <c r="B29" i="66"/>
  <c r="C20" i="66"/>
  <c r="C22" i="66" s="1"/>
  <c r="B20" i="66"/>
  <c r="B22" i="66" s="1"/>
  <c r="D19" i="55"/>
  <c r="D18" i="55"/>
  <c r="D17" i="55"/>
  <c r="B29" i="65"/>
  <c r="C20" i="65"/>
  <c r="C22" i="65" s="1"/>
  <c r="D20" i="65"/>
  <c r="D22" i="65" s="1"/>
  <c r="B20" i="65"/>
  <c r="B22" i="65" s="1"/>
  <c r="D40" i="55"/>
  <c r="C43" i="64"/>
  <c r="D41" i="55" s="1"/>
  <c r="D29" i="64"/>
  <c r="B29" i="64"/>
  <c r="D20" i="64"/>
  <c r="D22" i="64" s="1"/>
  <c r="C22" i="64"/>
  <c r="B20" i="64"/>
  <c r="B22" i="64" s="1"/>
  <c r="D35" i="55"/>
  <c r="D34" i="55"/>
  <c r="D37" i="55" s="1"/>
  <c r="B83" i="55" s="1"/>
  <c r="D83" i="55" s="1"/>
  <c r="B29" i="63"/>
  <c r="C22" i="63"/>
  <c r="B22" i="63"/>
  <c r="D24" i="55"/>
  <c r="D23" i="55"/>
  <c r="D25" i="55" s="1"/>
  <c r="B81" i="55" s="1"/>
  <c r="D81" i="55" s="1"/>
  <c r="C20" i="62"/>
  <c r="C22" i="62" s="1"/>
  <c r="D43" i="61"/>
  <c r="C43" i="61"/>
  <c r="D53" i="55" s="1"/>
  <c r="D52" i="55"/>
  <c r="B29" i="61"/>
  <c r="D16" i="61"/>
  <c r="C43" i="60"/>
  <c r="D29" i="55" s="1"/>
  <c r="D28" i="55"/>
  <c r="B29" i="60"/>
  <c r="C20" i="60"/>
  <c r="C22" i="60" s="1"/>
  <c r="D12" i="55"/>
  <c r="D11" i="55"/>
  <c r="D13" i="55"/>
  <c r="B29" i="59"/>
  <c r="C20" i="59"/>
  <c r="C22" i="59" s="1"/>
  <c r="B20" i="59"/>
  <c r="B22" i="59" s="1"/>
  <c r="D7" i="55"/>
  <c r="D6" i="55"/>
  <c r="B29" i="58"/>
  <c r="C20" i="58"/>
  <c r="C22" i="58" s="1"/>
  <c r="B20" i="58"/>
  <c r="B22" i="58" s="1"/>
  <c r="D43" i="55" l="1"/>
  <c r="B84" i="55" s="1"/>
  <c r="D61" i="55"/>
  <c r="B87" i="55" s="1"/>
  <c r="D54" i="55"/>
  <c r="D55" i="55" s="1"/>
  <c r="B86" i="55" s="1"/>
  <c r="D22" i="66"/>
  <c r="B20" i="62"/>
  <c r="B22" i="62" s="1"/>
  <c r="C22" i="61"/>
  <c r="D20" i="61"/>
  <c r="D22" i="61" s="1"/>
  <c r="B20" i="61"/>
  <c r="B22" i="61" s="1"/>
  <c r="D20" i="60"/>
  <c r="D22" i="60" s="1"/>
  <c r="D20" i="59"/>
  <c r="D22" i="59" s="1"/>
  <c r="D8" i="55" l="1"/>
  <c r="D14" i="55"/>
  <c r="D20" i="55"/>
  <c r="D87" i="55"/>
  <c r="D31" i="55"/>
  <c r="D89" i="55"/>
  <c r="D88" i="55" l="1"/>
  <c r="B82" i="55"/>
  <c r="D82" i="55" s="1"/>
  <c r="D86" i="55"/>
  <c r="B80" i="55"/>
  <c r="D80" i="55" s="1"/>
  <c r="D85" i="55"/>
  <c r="B79" i="55"/>
  <c r="D79" i="55" s="1"/>
  <c r="D84" i="55"/>
  <c r="B78" i="55"/>
  <c r="D78" i="55" s="1"/>
  <c r="D91" i="55" l="1"/>
</calcChain>
</file>

<file path=xl/sharedStrings.xml><?xml version="1.0" encoding="utf-8"?>
<sst xmlns="http://schemas.openxmlformats.org/spreadsheetml/2006/main" count="982" uniqueCount="229">
  <si>
    <t>Inhoud:</t>
  </si>
  <si>
    <t>Merk</t>
  </si>
  <si>
    <t>Model</t>
  </si>
  <si>
    <t>Type</t>
  </si>
  <si>
    <t>Ford</t>
  </si>
  <si>
    <t>Renault</t>
  </si>
  <si>
    <t>Naam inschrijver: …………………………………….</t>
  </si>
  <si>
    <t>Omschrijving</t>
  </si>
  <si>
    <t>Categorie/segment</t>
  </si>
  <si>
    <t xml:space="preserve">De Inschrijver hoeft alleen de gele velden in te vullen. Dit formulier wordt verder automatisch gevuld. </t>
  </si>
  <si>
    <t>Voertuiggegevens</t>
  </si>
  <si>
    <t>Soort voertuig</t>
  </si>
  <si>
    <t>Brandstof</t>
  </si>
  <si>
    <t>Elektrisch</t>
  </si>
  <si>
    <t>Prijzen</t>
  </si>
  <si>
    <t>Catalogusprijs auto zonder opties en accessoires incl. BTW en incl. BPM</t>
  </si>
  <si>
    <t>Prijs auto exclusief BTW en exclusief BPM</t>
  </si>
  <si>
    <t>Fabrieksopties</t>
  </si>
  <si>
    <t xml:space="preserve">Catalogusprijs fabrieksopties exclusief BTW en exclusief BPM </t>
  </si>
  <si>
    <t>Accessoires</t>
  </si>
  <si>
    <t>Prijs accessoires (niet af fabriek) excl. BTW</t>
  </si>
  <si>
    <t>Totaal excl. BTW en incl. BPM</t>
  </si>
  <si>
    <t>Korting excl. BTW</t>
  </si>
  <si>
    <t>Totaal netto excl. BTW en incl. BPM</t>
  </si>
  <si>
    <t>Contractgevens</t>
  </si>
  <si>
    <t>Looptijd (maanden)</t>
  </si>
  <si>
    <t>Jaarkilometrage (km)</t>
  </si>
  <si>
    <t>Restwaarde bij einde looptijd excl. BTW incl. BPM</t>
  </si>
  <si>
    <t>Reparatie en onderhoud (€/km)</t>
  </si>
  <si>
    <t>Banden (€/km)</t>
  </si>
  <si>
    <t xml:space="preserve"> </t>
  </si>
  <si>
    <t>Afschrijvingskosten</t>
  </si>
  <si>
    <t xml:space="preserve">Rentekosten </t>
  </si>
  <si>
    <t>Reparatie en Onderhoud</t>
  </si>
  <si>
    <t>Banden</t>
  </si>
  <si>
    <t>WA+Casco verzekering</t>
  </si>
  <si>
    <t>SVI -verzekering</t>
  </si>
  <si>
    <t>Motorrijtuigenbelasting (MRB)</t>
  </si>
  <si>
    <t>N.v.t.</t>
  </si>
  <si>
    <t>Administratiekosten en beheersfee</t>
  </si>
  <si>
    <t>24-uurs service bij pech- en schade</t>
  </si>
  <si>
    <t>Eventuele overige kosten/ korting</t>
  </si>
  <si>
    <t>Specificatie overige kosten /korting (zover van toepassing):</t>
  </si>
  <si>
    <t>Peugeot</t>
  </si>
  <si>
    <t>Prijzen per maand excl. BTW</t>
  </si>
  <si>
    <t>MAN</t>
  </si>
  <si>
    <t>Diesel</t>
  </si>
  <si>
    <t>BPM</t>
  </si>
  <si>
    <t>Isuzu</t>
  </si>
  <si>
    <t>D-Max</t>
  </si>
  <si>
    <t>Prijsinvulformulier overige zaken</t>
  </si>
  <si>
    <t>Percentage *</t>
  </si>
  <si>
    <t xml:space="preserve">Wat is de vaste opslag op het IRS rentepercentage dat inschrijver gedurende de looptijd van de raamovereenkomst hanteert?
Deze opslag dient gelijk te zijn aan de toegepaste opslag in de calculaties in de prijsinvulformulieren. </t>
  </si>
  <si>
    <t>1
2
3</t>
  </si>
  <si>
    <t>Velden in te vullen door inschrijver</t>
  </si>
  <si>
    <t xml:space="preserve">
* De prijzen zoals ingevuld op het prijsinvul formulier zijn inclusief alle kosten voortkomend uit de beschreven voorwaarden in de aanbestedingsdocumenten en de kwalitatieve gunningscriteria.</t>
  </si>
  <si>
    <t xml:space="preserve">De inschrijver hoeft dit formulier niet in te vullen. Dit formulier wordt automatisch gevuld. </t>
  </si>
  <si>
    <t xml:space="preserve"> Maandprijs</t>
  </si>
  <si>
    <t>Berekening (fictieve) inschrijfprijs</t>
  </si>
  <si>
    <t>(A) **</t>
  </si>
  <si>
    <t>wegingsfactor (B) *</t>
  </si>
  <si>
    <t>Subtotaal (AxB)</t>
  </si>
  <si>
    <t>Gewogen leaseprijs per maand</t>
  </si>
  <si>
    <t>Totaal fictieve inschrijfprijs per maand</t>
  </si>
  <si>
    <t>* De genoemde aantallen zijn fictief en er kunnen geen rechten aan worden ontleend.
** De prijzen zoals ingevuld op het prijsinvulformulier zijn inclusief alle kosten voortkomend uit de beschreven voorwaarden in de aanbestedingsdocumenten en de kwalitatieve gunningscriteria.</t>
  </si>
  <si>
    <t>Voertuig 1</t>
  </si>
  <si>
    <t>Voertuig 2</t>
  </si>
  <si>
    <t>Voertuig 3</t>
  </si>
  <si>
    <t>Opel</t>
  </si>
  <si>
    <t>Combo E-Cargo</t>
  </si>
  <si>
    <t>E-Partner</t>
  </si>
  <si>
    <t>Ledig gewicht (kg)</t>
  </si>
  <si>
    <t>Kosten rijklaar maken excl. BTW</t>
  </si>
  <si>
    <t>IRS rente (hiervan dient Inschrijver uit te gaan voor de calculatie)</t>
  </si>
  <si>
    <t>Renteopslag in percentage. Wordt gevuld vanuit tabblad "Prijzenblad overige zaken"</t>
  </si>
  <si>
    <t>Totale calculatierente</t>
  </si>
  <si>
    <t>Vervangend vervoer na 24 uur</t>
  </si>
  <si>
    <t>BESCHRIJVING</t>
  </si>
  <si>
    <t>Maandprijs totaal excl. BTW</t>
  </si>
  <si>
    <t xml:space="preserve">* Inschrijver dient voor de bepaling van de maandprijs uit te gaan van de bovenstaande fabrieksspecificaties, gewichten en prijzen. De werkelijke maandprijs op het moment van bestelling dient gebaseerd te worden op de actuele fabrieksspecificaties, gewichten en prijzen ten tijde van het moment van bestelling.   
* De genoemde merken en typen zijn indicatief. De keuze voor merk en type zal gemaakt worden op het moment van de daadwerkelijke bestelling. </t>
  </si>
  <si>
    <t>* De genoemde aantallen zijn fictief en er kunnen geen rechten aan worden ontleend.
** De prijzen zoals ingevuld op het prijsblad zijn inclusief alle kosten voortkomend uit de beschreven voorwaarden in de aanbestedingsdocumenten en de kwalitatieve gunningscriteria.</t>
  </si>
  <si>
    <t xml:space="preserve">Mercedes </t>
  </si>
  <si>
    <t>Enkele cabine gesloten bestel</t>
  </si>
  <si>
    <t xml:space="preserve">Enkele cabine gesloten bestel </t>
  </si>
  <si>
    <t>Volkswagen</t>
  </si>
  <si>
    <t>Corsa-E</t>
  </si>
  <si>
    <t>E-208</t>
  </si>
  <si>
    <t>Voertuig 4</t>
  </si>
  <si>
    <t xml:space="preserve">Hilux </t>
  </si>
  <si>
    <t>Ranger</t>
  </si>
  <si>
    <t>Pick-up</t>
  </si>
  <si>
    <t>Kia</t>
  </si>
  <si>
    <t>ID 4</t>
  </si>
  <si>
    <t>Frontera</t>
  </si>
  <si>
    <t>Niro EV</t>
  </si>
  <si>
    <t>Onderdeel 1.1 Gesloten bestelwagen klein</t>
  </si>
  <si>
    <t>Gesloten bestelwagen</t>
  </si>
  <si>
    <t>Kangoo E-Tech electric</t>
  </si>
  <si>
    <t xml:space="preserve">Kleur: wit 
Pakket Comfort Connect
Navigatie
Pakket Techno
Achteruitrijcamera
Rubberen vloermatten
Parkeersensoren achter
Houten laadvloer en zijwandbekleding in de laadruimte
In hoogte verstelbare comfort bestuurdersstoel met lendensteun en armsteun 
</t>
  </si>
  <si>
    <t xml:space="preserve">Kleur: wit 
Pakket Comfort Connect
Navigatie
Pakket Techno
Achteruitrijcamera
Rubberen vloermatten
Parkeersensoren achter
Houten laadvloer en zijwandbekleding in de laadruimte
In hoogte verstelbare comfort bestuurdersstoel met lendensteun en armsteun 
</t>
  </si>
  <si>
    <t>Onderdeel 1.2 Gesloten bestelwagen middel</t>
  </si>
  <si>
    <t xml:space="preserve">Kleur: wit 
Pakket Comfort Connect
Navigatie
Pakket Techno
Achteruitrijcamera
Rubberen vloermatten
Parkeersensoren achter
In hoogte verstelbare comfort bestuurdersstoel met lendensteun en armsteun 
Vaste trekhaak
</t>
  </si>
  <si>
    <t>L2H1 Extra 120 pk</t>
  </si>
  <si>
    <t>L1H1 Extra 120 pk</t>
  </si>
  <si>
    <t xml:space="preserve">Kleur: wit 
Pakket Comfort Connect
Navigatie
Pakket Techno
Achteruitrijcamera
Rubberen vloermatten
Parkeersensoren achter
In hoogte verstelbare comfort bestuurdersstoel met lendensteun en armsteun 
Trekhaakvoorbereiding
</t>
  </si>
  <si>
    <t xml:space="preserve">Kleur: wit 
All-season banden
Parkeersensoren voor/achter
Achteruitrijcamera
Navigatie
Trekhaak met Trailer Sway Assist (met 13-polige stekkerdoos) </t>
  </si>
  <si>
    <t>Kleur: wit 
All-season banden
Parkeersensoren voor/achter
Achteruitrijcamera
Navigatie
Houten laadvloer en zijwandbekleding in de laadruimte</t>
  </si>
  <si>
    <t>L1 50 kWh 100 kW/136 pk</t>
  </si>
  <si>
    <t>L2 50 kWh 100 kW/136 pk</t>
  </si>
  <si>
    <t>E Sprinter</t>
  </si>
  <si>
    <t>Pro L2, H2 81 kWh 100 kW/136 pk</t>
  </si>
  <si>
    <t>Master E-Tech</t>
  </si>
  <si>
    <t>Advance Long range L2H2 T35 87 kWh 105 kW/143 pk</t>
  </si>
  <si>
    <t>Kleur: wit 
All-season banden
Parkeersensoren voor/achter
Achteruitrijcamera
Trekhaak met 13 polige stekkerdoos</t>
  </si>
  <si>
    <t>Movano Electric</t>
  </si>
  <si>
    <t>L3H2 110 kWh 205 kW</t>
  </si>
  <si>
    <t xml:space="preserve">Kleur: wit 
All-season banden
Parkeersensoren achter
Pakket Comfort EV, achteruitrijcamera
</t>
  </si>
  <si>
    <t xml:space="preserve">Kleur: wit 
All-season banden
Parkeersensoren voor/achter
Parkeerpakket, achteruitrijcamera
Extra accu
Trekhaak met 13 polige stekkerdoos
Rubberen vloermatten
</t>
  </si>
  <si>
    <t>ID.3</t>
  </si>
  <si>
    <t>Personenauto</t>
  </si>
  <si>
    <t>Stelpost € 6.000
Signaalbalk(oranje Weltronic signalering)  op dak Flitsers voorzijde en achterzijde
Brandblusser
Lifehammer
Rubberen vloermatten
Gevarendriehoek
Betimmering achterin met inrichting voor calamiteiten. (handgereedschap, pionnen, opklapbaar afzethek, stokzaag, bezem schop, straatgereedschap, enz.)
Inbouw Track en Trace systeem Nedsoft (excl. maandelijkse abonnementskosten)
Beplakt volgens huisstijl</t>
  </si>
  <si>
    <t xml:space="preserve">Stelpost € 7.000
All-season banden
Signaalbalk(oranje Weltronic signalering)op dak Flitsers voorzijde en achterzijde
Brandblusser
Lifehammer
Gevarendriehoek
Betimmering achterin met inrichting voor calamiteiten. (handgereedschap, pionnen, opklapbaar afzethek, stokzaag, bezem schop, straatgereedschap, enz.)
Trekhaak en 13 polige stekkerdoos
Inbouw Track en Trace systeem Nedsoft (excl. maandelijkse abonnementskosten)
Beplakt volgens huisstijl
</t>
  </si>
  <si>
    <t>Stelpost € 7.000
All-season banden
Signaalbalk(oranje Weltronic signalering)op dak Flitsers voorzijde en achterzijde
Brandblusser
Lifehammer
Gevarendriehoek
Betimmering achterin met inrichting voor calamiteiten. (handgereedschap, pionnen, opklapbaar afzethek, stokzaag, bezem schop, straatgereedschap, enz.)
Trekhaak en 13 polige stekkerdoos
Inbouw Track en Trace systeem Nedsoft (excl. maandelijkse abonnementskosten)
Beplakt volgens huisstijl</t>
  </si>
  <si>
    <t>Stelpost € 8.000
Signaalbalk(oranje Weltronic signalering)  op dak Flitsers voorzijde en achterzijde
Brandblusser
Lifehammer
Gevarendriehoek
Volledig betimmerd met opbergkasten, werkbank, Kraan/lift t.b.v. gemalen pompen 
Omvormer stroomvoorziening 240 V / 3.000 W
Inbouw Track en Trace systeem Nedsoft (excl. maandelijkse abonnementskosten)
Beplakt volgens huisstijl</t>
  </si>
  <si>
    <t xml:space="preserve">Stelpost € 9.000
Signaalbalk(oranje Weltronic signalering)  op dak Flitsers voorzijde en achterzijde
Brandblusser
Lifehammer
Trekhaak met 13 polige stekkerdoos
Rubberen vloermatten
Gevarendriehoek
Volledig betimmerd met opbergkasten, werkbank Kraan/lift t.b.v. gemalen pompen 
Omvormer stroomvoorziening 240 V / 3.000 W,
Inbouw Track en Trace systeem Nedsoft (excl. maandelijkse abonnementskosten)
Beplakt volgens huisstijl
</t>
  </si>
  <si>
    <t>Stelpost € 8.100
Signaalbalk(oranje Weltronic signalering)  op dak Flitsers voorzijde en achterzijde
Brandblusser
Lifehammer
Rubberen vloermatten
Gevarendriehoek
Volledig betimmerd met opbergkasten, werkbank, Kraan/lift t.b.v. gemalen pompen 
Omvormer stroomvoorziening 240 V / 3.000 W
Inbouw Track en Trace systeem Nedsoft (excl. maandelijkse abonnementskosten)
Beplakt volgens huisstijl</t>
  </si>
  <si>
    <t xml:space="preserve">Stelpost € 1.900
All-seasonbanden
Inbouw Track en Trace systeem Nedsoft (excl. maandelijkse abonnementskosten)
Brandblusser
Lifehammer
Geen bestickering in huisstijl
</t>
  </si>
  <si>
    <t xml:space="preserve">Kleur: Moonstone Grey met zwart dak
Airco
Parkeersensoren voor en achter
Achteruitrij camera
Navigatie
</t>
  </si>
  <si>
    <t>Pro Limited Edition 59 kWh 150 kW/204 pk</t>
  </si>
  <si>
    <t>Personen</t>
  </si>
  <si>
    <t xml:space="preserve">Kleur: Metallic lak Voltaic Blue
Airco
Technologie pakket 
Parkeersensoren voor en achter
Achteruitrij camera
Navigatie
</t>
  </si>
  <si>
    <t>Allure EV 50 kWh 136 pk</t>
  </si>
  <si>
    <t>Edition 51 kWh Longe Range115 kW/156 pk</t>
  </si>
  <si>
    <t xml:space="preserve">Kleur: Metallic lak Jaune AGUEDA
Airco
Parkeersensoren voor en achter
Achteruitrij camera
Navigatie
</t>
  </si>
  <si>
    <t>Onderdeel 1.6 Pick-up groot</t>
  </si>
  <si>
    <t>Accessoires/Opbouw</t>
  </si>
  <si>
    <t>Pick-up Enkele cabine / Kipper</t>
  </si>
  <si>
    <t xml:space="preserve">Kleur: wit 
Automaat
Voorbereiding kipper
All-season banden
AGM Accu en dynamo, beide met grotere capaciteit
Voorbereiding voor zwaailichten
2-zits bijrijdersbank
Dubbellucht achter
Parkeerassistent, Parkeersensoren voor/achter
Trekhaak met 13 polige stekkerdoos
</t>
  </si>
  <si>
    <t>TGE Chassis cabine</t>
  </si>
  <si>
    <t>Crafter Chassis cabine</t>
  </si>
  <si>
    <t xml:space="preserve">Kleur: wit 
Automaat
AGM Accu en dynamo, beide met grotere capaciteit
2-zits bijrijdersbank
Dubbellucht achter
Parkeersensoren voor/achter
Trekhaak met 13 polige stekkerdoos
</t>
  </si>
  <si>
    <t>Onderdeel 1.7 Pick-up groot met laadkraan</t>
  </si>
  <si>
    <t>Enkele cabine kipper</t>
  </si>
  <si>
    <t>Advance Long range L3H1 T35 87 kWh 105 kW/143 pk</t>
  </si>
  <si>
    <t xml:space="preserve">Kleur: wit 
All-season banden
Voorbereiding kipper
Parkeersensoren voor/achter
Achteruitrijcamera
Extra accu
Trekhaak met 13 polige stekkerdoos
Rubberen vloermatten
</t>
  </si>
  <si>
    <t>L3 110 kWh 205 kW</t>
  </si>
  <si>
    <t>Pro L2  81 kWh 100 kW/136 pk</t>
  </si>
  <si>
    <t xml:space="preserve">Kleur: wit 
All-season banden
Parkeersensoren achter
Achteruitrijcamera
</t>
  </si>
  <si>
    <t>Kleur: wit 
All-season banden
Parkeersensoren achter
Achteruitrijcamera
Trekhaak met 13 polige stekkerdoos</t>
  </si>
  <si>
    <t>Onderdeel 1.5 Gesloten bestelwagen groot</t>
  </si>
  <si>
    <t>Onderdeel 1.8. Terreinwagen</t>
  </si>
  <si>
    <t>Onderdeel 1.9 Personenauto klein</t>
  </si>
  <si>
    <t>Onderdeel 1.10 Personenauto groot</t>
  </si>
  <si>
    <t>Kleur: wit 
All-season banden
Parkeersensoren voor/achter
Achteruitrijcamera
Navigatie</t>
  </si>
  <si>
    <t>Stelpost € 2.300
All-season banden
Signaalbalk(oranje Weltronic signalering)op dak Flitsers voorzijde en achterzijde
Brandblusser
Lifehammer
Gevarendriehoek
Inbouw Track en Trace systeem Nedsoft (excl. maandelijkse abonnementskosten)
Beplakt volgens huisstijl</t>
  </si>
  <si>
    <t>Stelpost € 2.000
Signaalbalk(oranje Weltronic signalering)  op dak Flitsers voorzijde en achterzijde
Brandblusser
Lifehammer
Rubberen vloermatten
Gevarendriehoek
Inbouw Track en Trace systeem Nedsoft (excl. maandelijkse abonnementskosten)
Beplakt volgens huisstijl</t>
  </si>
  <si>
    <t>Gesloten bestelwagen dubbele cabine</t>
  </si>
  <si>
    <t>L2 Dubbele cabine 120 pk</t>
  </si>
  <si>
    <t>Stelpost € 2.100
Signaalbalk(oranje Weltronic signalering)  op dak Flitsers voorzijde en achterzijde
Brandblusser
Lifehammer
Rubberen vloermatten
Gevarendriehoek
Inbouw Track en Trace systeem Nedsoft (excl. maandelijkse abonnementskosten)
Beplakt volgens huisstijl</t>
  </si>
  <si>
    <t>Stelpost € 2.200
All-season banden
Signaalbalk(oranje Weltronic signalering)op dak Flitsers voorzijde en achterzijde
Brandblusser
Lifehammer
Gevarendriehoek
Inbouw Track en Trace systeem Nedsoft (excl. maandelijkse abonnementskosten)
Beplakt volgens huisstijl</t>
  </si>
  <si>
    <t xml:space="preserve">Kleur: wit 
Pakket Techno 
10'' Radio DAB+ &amp; NAV
Navigatie
Achteruitrijcamera
Rubberen vloermatten
Parkeersensoren achter
In hoogte verstelbare comfort bestuurdersstoel met lendensteun en armsteun 
</t>
  </si>
  <si>
    <t>L2  Crewcab 50 kWh 136pk</t>
  </si>
  <si>
    <t>L2  Flex Crewcab 50 kWh 136pk</t>
  </si>
  <si>
    <t>Dubbele cab. Professional 2,4D-4D, Automaat 4WD</t>
  </si>
  <si>
    <t xml:space="preserve">Kleur: wit
2 zitplaatsen, gekeurd als bestelwagen
Trekhaak afneembaar (ivm de strooier)
All-season banden 
Automaat
Airco
Rubberen matten
Parkeersensoren voor/achter
Achteruitrijcamera
</t>
  </si>
  <si>
    <t xml:space="preserve">Kleur: wit
2 zitplaatsen, gekeurd als bestelwagen
Trekhaak afneembaar (ivm de strooier)
All-season banden 
Automaat
Airco
Parkeersensoren voor/achter
Achteruitrijcamera
</t>
  </si>
  <si>
    <t>Double Cab 4WD LSX AT</t>
  </si>
  <si>
    <t xml:space="preserve">Kleur: wit
2 zitplaatsen, gekeurd als bestelwagen
Trekhaak afneembaar (ivm de strooier)
Automaat
Airco
Parkeersensoren voor/achter
Achteruitrijcamera
</t>
  </si>
  <si>
    <t>Personenwagen</t>
  </si>
  <si>
    <t xml:space="preserve">Kleur: wit
Airco
Parkeersensoren voor en achter
Achteruitrij camera
Navigatie
</t>
  </si>
  <si>
    <t xml:space="preserve">Stelpost € 6.100
Signaalbalk(oranje Weltronic signalering) op dak
Flitsers voorzijde en achterzijde
Lichtbalk Stopteken/Volg
Brandblusser
Lifehammer
Gevarendriehoek
Rubberen vloermatten
All-season banden
Kofferbak betimmerd met opbergkasten/lades voor materialen. Inclusief gereedschappen en materialen nader te bepalen
Inbouw Track en Trace systeem Nedsoft (excl. maandelijkse abonnementskosten)
Beplakt volgens landelijke norm Handhaving
</t>
  </si>
  <si>
    <t>Light Advenced 64.8 kWh 150 kW/204 pk</t>
  </si>
  <si>
    <t xml:space="preserve">Stelpost € 6.400
Signaalbalk(oranje Weltronic signalering) op dak
Flitsers voorzijde en achterzijde
Lichtbalk Stopteken/Volg
Brandblusser
Lifehammer
Gevarendriehoek
Rubberen vloermatten
All-season banden
Kofferbak betimmerd met opbergkasten/lades voor materialen. Inclusief gereedschappen en materialen nader te bepalen
Inbouw Track en Trace systeem Nedsoft (excl. maandelijkse abonnementskosten)
Beplakt volgens landelijke norm Handhaving
</t>
  </si>
  <si>
    <t>Onderdeel 2.1 Gesloten bestelwagen klein</t>
  </si>
  <si>
    <t>Onderdeel 2.2 Personenwagen middel</t>
  </si>
  <si>
    <t xml:space="preserve">Kleur: wit 
Automaat
Trekhaak vast met 13 polige stekker
All-season banden
Parkeersensoren voor/achter
Achteruitrijcamera
</t>
  </si>
  <si>
    <t>Toyota</t>
  </si>
  <si>
    <t>Golf Variant</t>
  </si>
  <si>
    <t xml:space="preserve">308 SW </t>
  </si>
  <si>
    <t>Allure Hybrid 145 e-DCS6</t>
  </si>
  <si>
    <t>Benzine/elektrisch</t>
  </si>
  <si>
    <t>Corolla Touring Sports</t>
  </si>
  <si>
    <t>Active Mild Hybrid 140  Automaat</t>
  </si>
  <si>
    <t xml:space="preserve">Kleur: wit 
Automaat
Trekhaak vast met 13 polige stekker
Rubberen vloermatten
Parkeersensoren voor/achter
Achteruitrijcamera
</t>
  </si>
  <si>
    <t>Life Edition 1.5 eTSI 85 kW/116 pk</t>
  </si>
  <si>
    <t xml:space="preserve">Kleur: wit 
Automaat
Trekhaak vast met 13 polige stekker
Parkeersensoren voor/achter
Achteruitrijcamera
</t>
  </si>
  <si>
    <t xml:space="preserve">Toyota </t>
  </si>
  <si>
    <t xml:space="preserve">Stelpost € 32.000
Signaalbalk(oranje Weltronic signalering)  op dak Flitsers voorzijde en achterzijde
Brandblusser
Lifehammer
Gevarendriehoek
Gereedschapskist met rolluiken vast op chassis
Autolaadkraan circa 1,7 ton/m achter de cabine
Kippende laadbak
Inbouw Track en Trace systeem Nedsoft (excl. maandelijkse abonnementskosten)
Beplakt volgens huisstijl
</t>
  </si>
  <si>
    <t xml:space="preserve">Stelpost € 32.900
Signaalbalk(oranje Weltronic signalering)  op dak Flitsers voorzijde en achterzijde
Rubberen vloermatten
Trekhaak met 13 polige stekkerdoos
Brandblusser
Lifehammer
Gevarendriehoek
Gereedschapskist met rolluiken vast op chassis
Autolaadkraan circa 1,7 ton/m achter de cabine
Kippende laadbak
Inbouw Track en Trace systeem Nedsoft (excl. maandelijkse abonnementskosten)
Beplakt volgens huisstijl
</t>
  </si>
  <si>
    <t xml:space="preserve">Stelpost € 33.000
Signaalbalk(oranje Weltronic signalering)  op dak Flitsers voorzijde en achterzijde
Rubberen vloermatten
Achteruitrijcamera
Brandblusser
Lifehammer
Gevarendriehoek
Gereedschapskist met rolluiken vast op chassis
Autolaadkraan circa 1,7 ton/m achter de cabine
Kippende laadbak
Inbouw Track en Trace systeem Nedsoft (excl. maandelijkse abonnementskosten)
Beplakt volgens huisstijl
</t>
  </si>
  <si>
    <t xml:space="preserve">Stelpost € 28.000
Signaalbalk(oranje Weltronic signalering)  op dak Flitsers voorzijde en achterzijde
Rubberen vloermatten
Brandblusser
Lifehammer
Gevarendriehoek
Gereedschapskist met rolluiken vast op chassis tot bovenkant cabine
Kippende laadbak
PTO t.b.v. aandrijving opbouwstrooier (inzet gladheidsvoorziening)
O-plaat t.b.v. sneeuwploeg
Elektrische voorzieningen t.b.v. winterdienstmaterieel
Inbouw Track en Trace systeem Nedsoft (excl. maandelijkse abonnementskosten)
Beplakt volgens huisstijl
</t>
  </si>
  <si>
    <t xml:space="preserve">Stelpost € 28.500
Signaalbalk(oranje Weltronic signalering)  op dak Flitsers voorzijde en achterzijde
Rubberen vloermatten
All-season banden
Brandblusser
Lifehammer
Gevarendriehoek
Gereedschapskist met rolluiken vast op chassis tot bovenkant cabine
Kippende laadbak
PTO t.b.v. aandrijving opbouwstrooier (inzet gladheidsvoorziening)
O-plaat t.b.v. sneeuwploeg
Elektrische voorzieningen t.b.v. winterdienstmaterieel
Inbouw Track en Trace systeem Nedsoft (excl. maandelijkse abonnementskosten)
Beplakt volgens huisstijl
</t>
  </si>
  <si>
    <t>Stelpost € 2.000
Signaalbalk(oranje Weltronic signalering)  op dak Flitsers voorzijde en achterzijde
Brandblusser
Lifehammer
Rubberen vloermatten
Gevarendriehoek
Inbouw Track en Trace systeem Nedsoft (excl. maandelijkse abonnementskosten)
Beplakt volgens huisstijl De BedrijfsvoeringsPartner / OVD</t>
  </si>
  <si>
    <t>Stelpost € 2.200
Signaalbalk(oranje Weltronic signalering)  op dak Flitsers voorzijde en achterzijde
Brandblusser
Lifehammer
All-season banden
Gevarendriehoek
Inbouw Track en Trace systeem Nedsoft (excl. maandelijkse abonnementskosten)
Beplakt volgens huisstijl De BedrijfsvoeringsPartner / OVD</t>
  </si>
  <si>
    <t xml:space="preserve">Stelpost € 2.300
Signaalbalk(oranje Weltronic signalering)  op dak Flitsers voorzijde en achterzijde
Brandblusser
Lifehammer
Rubberen vloermatten
All-season banden
Gevarendriehoek
Inbouw Track en Trace systeem Nedsoft (excl. maandelijkse abonnementskosten)
Beplakt volgens huisstijl De BedrijfsvoeringsPartner / OVD
</t>
  </si>
  <si>
    <t>Stelpost € 2.000
Signaalbalk(oranje Weltronic signalering)  op dak Flitsers voorzijde en achterzijde
Brandblusser
Lifehammer
Rubberen vloermatten
Gevarendriehoek
Inbouw Track en Trace systeem Nedsoft (excl. maandelijkse abonnementskosten)
Beplakt volgens huisstijl De BedrijfsvoeringsPartner</t>
  </si>
  <si>
    <t xml:space="preserve">Stelpost € 2.300
All-season banden
Signaalbalk(oranje Weltronic signalering)op dak Flitsers voorzijde en achterzijde
Brandblusser
Lifehammer
Gevarendriehoek
Inbouw Track en Trace systeem Nedsoft (excl. maandelijkse abonnementskosten)
Beplakt volgens huisstijl De BedrijfsvoeringsPartner </t>
  </si>
  <si>
    <t>Onderdeel 1: Gemeente Ridderkerk</t>
  </si>
  <si>
    <t>Onderdeel 2: De BedrijfsvoeringsPartner</t>
  </si>
  <si>
    <t>Onderdeel 1.3 Bestelwagen personenvervoer</t>
  </si>
  <si>
    <t>Operationele lease voertuigen</t>
  </si>
  <si>
    <t>L1H1 Extra 44kWh 120 pk</t>
  </si>
  <si>
    <t>Veegvuilwagen</t>
  </si>
  <si>
    <t>XLT Super Cab 2,0 EcoBlue 125 kW/170 pk Automaat</t>
  </si>
  <si>
    <t>Iveco</t>
  </si>
  <si>
    <t>Daily Chassis cabine</t>
  </si>
  <si>
    <t>Pro Limited Edition 77 kWh 210 kW/286 pk</t>
  </si>
  <si>
    <t>E-Expert</t>
  </si>
  <si>
    <t>Stelpost € 24.000
Aluminium veegvuil opbouw kipper met schuifdeuren
RVS achterlicht beschermer
Signaalbalk(oranje Weltronic signalering)  op dak Flitsers voorzijde en achterzijde
All-season banden
Parkeersensoren voor/achter
Achteruitrijcamera
Brandblusser
Lifehammer
Rubberen vloermatten
Gevarendriehoek
Inbouw Track en Trace systeem Nedsoft (excl. maandelijkse abonnementskosten)
Beplakt volgens huisstijl</t>
  </si>
  <si>
    <t>Vivaro Electric</t>
  </si>
  <si>
    <t>Plancher cabine L2 75 kWh  136 pk</t>
  </si>
  <si>
    <t>Plancher cabine L2 75 kWh 136 pk</t>
  </si>
  <si>
    <t>Onderdeel 1.4 Veegvuilwagen compact</t>
  </si>
  <si>
    <t xml:space="preserve">Totalen aanbesteding "Operationele lease voertuigen"  </t>
  </si>
  <si>
    <t>GVW: 7.000 kg (N2 voertuig) 176 pk 
70C18  Wielbasis 3.750 mm</t>
  </si>
  <si>
    <t>GVW: 5.500 kg (N2 voertuig)
6.160 L3 wielbasis 3.640 mm</t>
  </si>
  <si>
    <t>GVW: 5.500 kg (N2 voertuig) 120 kW
Trendline L3</t>
  </si>
  <si>
    <t xml:space="preserve">Kleur: wit 
Automaat (HI-MATIC)
AGM Accu en dynamo, beide met grotere capaciteit
2-zits bijrijdersbank
Dubbellucht achter
Comfort Plus
Style
All-season banden
Trekhaak voorbereiding met 13 polige stekkerdoos
</t>
  </si>
  <si>
    <t xml:space="preserve">Stelpost € 28.000
Signaalbalk(oranje Weltronic signalering)  op dak Flitsers voorzijde en achterzijde
Rubberen vloermatten
Brandblusser
Lifehammer
Gevarendriehoek
Gereedschapskist met rolluiken vast op chassis tot bovenkant cabine
Kippende laadbak
PTO t.b.v. aandrijving opbouwstrooier (inzet gladheidsvoorziening)
O-plaat t.b.v. sneeuwploeg
Elektrische voorzieningen t.b.v. winterdienstmaterieel
Inbouw Track en Trace systeem Nedsoft (excl. maandelijkse abonnementskosten)
Beplakt volgens huisstijl
</t>
  </si>
  <si>
    <t xml:space="preserve">Kleur: wit 
Winter Pakket
</t>
  </si>
  <si>
    <t>Extended range GS 54 kWh 84 kW/113 pk</t>
  </si>
  <si>
    <t xml:space="preserve">Stelpost € 6.000
Signaalbalk(oranje Weltronic signalering) op dak Flitsers voorzijde en achterzijde
Brandblusser
Lifehammer
Gevarendriehoek
PTO t.b.v. aandrijving opbouwstrooier (inzet gladheidsvoorziening)
O-plaat t.b.v. sneeuwploeg
Elektrische voorzieningen t.b.v. winterdienstmaterieel
Inbouw Track en Trace systeem Nedsoft (excl. maandelijkse abonnementskosten)
Beplakt volgens huisstijl
</t>
  </si>
  <si>
    <t xml:space="preserve">Stelpost € 6.100
Signaalbalk(oranje Weltronic signalering) op dak Flitsers voorzijde en achterzijde
Brandblusser
Lifehammer
Gevarendriehoek
Rubberen matten
PTO t.b.v. aandrijving opbouwstrooier (inzet gladheidsvoorziening)
O-plaat t.b.v. sneeuwploeg
Elektrische voorzieningen t.b.v. winterdienstmaterieel
Inbouw Track en Trace systeem Nedsoft (excl. maandelijkse abonnementskosten)
Beplakt volgens huisstijl
</t>
  </si>
  <si>
    <t xml:space="preserve">Stelpost € 6.500
Signaalbalk(oranje Weltronic signalering) op dak Flitsers voorzijde en achterzijde
Brandblusser
Lifehammer
Gevarendriehoek
Rubberen matten
All-season banden 
PTO t.b.v. aandrijving opbouwstrooier (inzet gladheidsvoorziening)
O-plaat t.b.v. sneeuwploeg
Elektrische voorzieningen t.b.v. winterdienstmaterieel
Inbouw Track en Trace systeem Nedsoft (excl. maandelijkse abonnementskosten)
Beplakt volgens huisstijl
</t>
  </si>
  <si>
    <t>Meer/minderkilometers (€/km)</t>
  </si>
  <si>
    <t>Meerkilometers per jaar (indicatief, t.b.v. calculatie)</t>
  </si>
  <si>
    <t>Meerkilometers</t>
  </si>
  <si>
    <t xml:space="preserve">Kleur: wit 
Pakket Comfort Connect
Navigatie
Pakket Techno
Achteruitrijcamera
Rubberen vloermatten
Parkeersensoren achter
Houten laadvloer en zijwandbekleding in de laadruimte
In hoogte verstelbare comfort bestuurdersstoel met lendensteun en armsteun </t>
  </si>
  <si>
    <t>Prijsinvulformulieren V4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</si>
</sst>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0.000%"/>
    <numFmt numFmtId="166" formatCode="_ [$€-413]\ * #,##0.00_ ;_ [$€-413]\ * \-#,##0.00_ ;_ [$€-413]\ * &quot;-&quot;??_ ;_ @_ "/>
    <numFmt numFmtId="167" formatCode="_ &quot;€&quot;\ * #,##0.0000_ ;_ &quot;€&quot;\ * \-#,##0.0000_ ;_ &quot;€&quot;\ * &quot;-&quot;??_ ;_ @_ "/>
  </numFmts>
  <fonts count="59" x14ac:knownFonts="1">
    <font>
      <sz val="10"/>
      <name val="Arial"/>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9"/>
      <color theme="1"/>
      <name val="Century Gothic"/>
      <family val="2"/>
    </font>
    <font>
      <sz val="11"/>
      <color theme="1"/>
      <name val="Calibri"/>
      <family val="2"/>
      <scheme val="minor"/>
    </font>
    <font>
      <sz val="9"/>
      <color theme="1"/>
      <name val="Century Gothic"/>
      <family val="2"/>
    </font>
    <font>
      <b/>
      <sz val="10"/>
      <color indexed="9"/>
      <name val="Century Gothic"/>
      <family val="2"/>
    </font>
    <font>
      <b/>
      <sz val="10"/>
      <name val="Century Gothic"/>
      <family val="2"/>
    </font>
    <font>
      <sz val="10"/>
      <name val="Century Gothic"/>
      <family val="2"/>
    </font>
    <font>
      <sz val="10"/>
      <name val="Arial"/>
      <family val="2"/>
    </font>
    <font>
      <sz val="9"/>
      <name val="Century Gothic"/>
      <family val="2"/>
    </font>
    <font>
      <sz val="8"/>
      <name val="Arial"/>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0"/>
      <color theme="0"/>
      <name val="Century Gothic"/>
      <family val="2"/>
    </font>
    <font>
      <b/>
      <sz val="10"/>
      <color theme="1"/>
      <name val="Century Gothic"/>
      <family val="2"/>
    </font>
    <font>
      <b/>
      <sz val="9"/>
      <color rgb="FFFF0000"/>
      <name val="Century Gothic"/>
      <family val="2"/>
    </font>
    <font>
      <sz val="11"/>
      <color theme="1"/>
      <name val="Calibri"/>
      <family val="2"/>
      <scheme val="minor"/>
    </font>
    <font>
      <b/>
      <sz val="9"/>
      <color theme="0"/>
      <name val="Century Gothic"/>
      <family val="2"/>
    </font>
    <font>
      <sz val="9"/>
      <color rgb="FFFF0000"/>
      <name val="Century Gothic"/>
      <family val="2"/>
    </font>
    <font>
      <b/>
      <sz val="9"/>
      <name val="Century Gothic"/>
      <family val="2"/>
    </font>
    <font>
      <b/>
      <sz val="12"/>
      <color theme="0"/>
      <name val="Century Gothic"/>
      <family val="2"/>
    </font>
    <font>
      <b/>
      <sz val="10"/>
      <color rgb="FFFF0000"/>
      <name val="Century Gothic"/>
      <family val="2"/>
    </font>
    <font>
      <sz val="10"/>
      <color theme="0"/>
      <name val="Century Gothic"/>
      <family val="2"/>
    </font>
    <font>
      <sz val="9"/>
      <name val="Arial"/>
      <family val="2"/>
    </font>
    <font>
      <sz val="10"/>
      <color theme="1"/>
      <name val="Calibri"/>
      <family val="2"/>
      <scheme val="minor"/>
    </font>
    <font>
      <sz val="10"/>
      <color rgb="FFFF0000"/>
      <name val="Calibri"/>
      <family val="2"/>
      <scheme val="minor"/>
    </font>
    <font>
      <sz val="10"/>
      <color theme="0" tint="-4.9989318521683403E-2"/>
      <name val="Arial"/>
      <family val="2"/>
    </font>
    <font>
      <b/>
      <u/>
      <sz val="10"/>
      <name val="Arial"/>
      <family val="2"/>
    </font>
    <font>
      <u/>
      <sz val="10"/>
      <color indexed="30"/>
      <name val="Century Gothic"/>
      <family val="2"/>
    </font>
    <font>
      <b/>
      <sz val="22"/>
      <name val="Century Gothic"/>
      <family val="2"/>
    </font>
    <font>
      <sz val="36"/>
      <color rgb="FFFF0000"/>
      <name val="Century Gothic"/>
      <family val="2"/>
    </font>
    <font>
      <b/>
      <sz val="9"/>
      <color theme="1"/>
      <name val="Century Gothic"/>
      <family val="2"/>
    </font>
    <font>
      <sz val="12"/>
      <color theme="1"/>
      <name val="Calibri"/>
      <family val="2"/>
      <scheme val="minor"/>
    </font>
    <font>
      <sz val="9"/>
      <color theme="1"/>
      <name val="Calibri"/>
      <family val="2"/>
      <scheme val="minor"/>
    </font>
    <font>
      <sz val="10"/>
      <name val="Arial"/>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rgb="FFFF0000"/>
        <bgColor indexed="64"/>
      </patternFill>
    </fill>
    <fill>
      <patternFill patternType="solid">
        <fgColor theme="0"/>
        <bgColor indexed="64"/>
      </patternFill>
    </fill>
    <fill>
      <patternFill patternType="solid">
        <fgColor rgb="FF3366FF"/>
        <bgColor indexed="64"/>
      </patternFill>
    </fill>
    <fill>
      <patternFill patternType="solid">
        <fgColor rgb="FFCCECFF"/>
        <bgColor indexed="64"/>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00B05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658">
    <xf numFmtId="0" fontId="0" fillId="0" borderId="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2"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0" fillId="20" borderId="1"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0" fontId="21" fillId="21" borderId="2" applyNumberFormat="0" applyAlignment="0" applyProtection="0"/>
    <xf numFmtId="164" fontId="14" fillId="0" borderId="0" applyFont="0" applyFill="0" applyBorder="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4" fillId="7" borderId="1" applyNumberFormat="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28" fillId="22" borderId="0" applyNumberFormat="0" applyBorder="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14" fillId="23" borderId="7" applyNumberFormat="0" applyFont="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5" fillId="0" borderId="0"/>
    <xf numFmtId="0" fontId="35"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1" fillId="0" borderId="8" applyNumberFormat="0" applyFill="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0" fontId="32" fillId="20" borderId="9" applyNumberFormat="0" applyAlignment="0" applyProtection="0"/>
    <xf numFmtId="44" fontId="35" fillId="0" borderId="0" applyFont="0" applyFill="0" applyBorder="0" applyAlignment="0" applyProtection="0"/>
    <xf numFmtId="44" fontId="35"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14" fillId="0" borderId="0"/>
    <xf numFmtId="0" fontId="35" fillId="0" borderId="0"/>
    <xf numFmtId="0" fontId="40" fillId="0" borderId="0"/>
    <xf numFmtId="0" fontId="14" fillId="0" borderId="0"/>
    <xf numFmtId="0" fontId="35" fillId="0" borderId="0"/>
    <xf numFmtId="0" fontId="35" fillId="0" borderId="0"/>
    <xf numFmtId="44" fontId="40" fillId="0" borderId="0" applyFont="0" applyFill="0" applyBorder="0" applyAlignment="0" applyProtection="0"/>
    <xf numFmtId="9" fontId="14" fillId="0" borderId="0" applyFont="0" applyFill="0" applyBorder="0" applyAlignment="0" applyProtection="0"/>
    <xf numFmtId="0" fontId="9" fillId="0" borderId="0"/>
    <xf numFmtId="0" fontId="9" fillId="0" borderId="0"/>
    <xf numFmtId="44" fontId="9" fillId="0" borderId="0" applyFont="0" applyFill="0" applyBorder="0" applyAlignment="0" applyProtection="0"/>
    <xf numFmtId="9" fontId="58" fillId="0" borderId="0" applyFont="0" applyFill="0" applyBorder="0" applyAlignment="0" applyProtection="0"/>
  </cellStyleXfs>
  <cellXfs count="163">
    <xf numFmtId="0" fontId="0" fillId="0" borderId="0" xfId="0"/>
    <xf numFmtId="0" fontId="13" fillId="0" borderId="0" xfId="544" applyFont="1" applyAlignment="1">
      <alignment vertical="center" wrapText="1"/>
    </xf>
    <xf numFmtId="0" fontId="15" fillId="0" borderId="0" xfId="544" applyFont="1" applyAlignment="1">
      <alignment vertical="center" wrapText="1"/>
    </xf>
    <xf numFmtId="0" fontId="14" fillId="0" borderId="0" xfId="543"/>
    <xf numFmtId="0" fontId="37" fillId="27" borderId="10" xfId="543" applyFont="1" applyFill="1" applyBorder="1" applyAlignment="1">
      <alignment vertical="center"/>
    </xf>
    <xf numFmtId="0" fontId="35" fillId="0" borderId="10" xfId="543" applyFont="1" applyBorder="1" applyAlignment="1">
      <alignment vertical="center"/>
    </xf>
    <xf numFmtId="0" fontId="37" fillId="27" borderId="10" xfId="543" applyFont="1" applyFill="1" applyBorder="1" applyAlignment="1">
      <alignment horizontal="center" vertical="center"/>
    </xf>
    <xf numFmtId="0" fontId="35" fillId="0" borderId="0" xfId="543" applyFont="1" applyAlignment="1">
      <alignment vertical="center"/>
    </xf>
    <xf numFmtId="0" fontId="17" fillId="0" borderId="10" xfId="544" applyFont="1" applyBorder="1" applyAlignment="1">
      <alignment wrapText="1"/>
    </xf>
    <xf numFmtId="0" fontId="14" fillId="31" borderId="0" xfId="543" applyFill="1"/>
    <xf numFmtId="0" fontId="14" fillId="31" borderId="0" xfId="543" applyFill="1" applyAlignment="1">
      <alignment wrapText="1"/>
    </xf>
    <xf numFmtId="0" fontId="49" fillId="31" borderId="0" xfId="543" applyFont="1" applyFill="1" applyAlignment="1">
      <alignment horizontal="left" wrapText="1"/>
    </xf>
    <xf numFmtId="0" fontId="14" fillId="0" borderId="0" xfId="543" applyAlignment="1">
      <alignment wrapText="1"/>
    </xf>
    <xf numFmtId="0" fontId="11" fillId="24" borderId="10" xfId="543" applyFont="1" applyFill="1" applyBorder="1" applyAlignment="1">
      <alignment horizontal="center" vertical="center" wrapText="1"/>
    </xf>
    <xf numFmtId="0" fontId="15" fillId="31" borderId="0" xfId="544" applyFont="1" applyFill="1" applyAlignment="1">
      <alignment vertical="center" wrapText="1"/>
    </xf>
    <xf numFmtId="165" fontId="15" fillId="29" borderId="10" xfId="653" applyNumberFormat="1" applyFont="1" applyFill="1" applyBorder="1" applyAlignment="1" applyProtection="1">
      <alignment horizontal="center" vertical="center" wrapText="1"/>
      <protection locked="0"/>
    </xf>
    <xf numFmtId="0" fontId="50" fillId="31" borderId="0" xfId="543" applyFont="1" applyFill="1" applyAlignment="1">
      <alignment wrapText="1"/>
    </xf>
    <xf numFmtId="0" fontId="14" fillId="0" borderId="0" xfId="543" applyAlignment="1">
      <alignment vertical="center" wrapText="1"/>
    </xf>
    <xf numFmtId="0" fontId="13" fillId="31" borderId="0" xfId="544" applyFont="1" applyFill="1" applyAlignment="1">
      <alignment vertical="center" wrapText="1"/>
    </xf>
    <xf numFmtId="0" fontId="14" fillId="31" borderId="0" xfId="543" applyFill="1" applyAlignment="1">
      <alignment vertical="center" wrapText="1"/>
    </xf>
    <xf numFmtId="0" fontId="51" fillId="31" borderId="0" xfId="543" applyFont="1" applyFill="1" applyAlignment="1">
      <alignment vertical="center" wrapText="1"/>
    </xf>
    <xf numFmtId="0" fontId="10" fillId="31" borderId="0" xfId="543" applyFont="1" applyFill="1" applyAlignment="1">
      <alignment vertical="center"/>
    </xf>
    <xf numFmtId="0" fontId="35" fillId="31" borderId="0" xfId="543" applyFont="1" applyFill="1" applyAlignment="1">
      <alignment vertical="center"/>
    </xf>
    <xf numFmtId="0" fontId="45" fillId="0" borderId="0" xfId="543" applyFont="1" applyAlignment="1">
      <alignment vertical="center"/>
    </xf>
    <xf numFmtId="0" fontId="47" fillId="31" borderId="0" xfId="543" applyFont="1" applyFill="1" applyAlignment="1">
      <alignment wrapText="1"/>
    </xf>
    <xf numFmtId="44" fontId="35" fillId="0" borderId="10" xfId="543" applyNumberFormat="1" applyFont="1" applyBorder="1" applyAlignment="1">
      <alignment vertical="center"/>
    </xf>
    <xf numFmtId="0" fontId="38" fillId="0" borderId="0" xfId="543" applyFont="1" applyAlignment="1">
      <alignment horizontal="right" vertical="center"/>
    </xf>
    <xf numFmtId="44" fontId="38" fillId="0" borderId="10" xfId="543" applyNumberFormat="1" applyFont="1" applyBorder="1" applyAlignment="1">
      <alignment vertical="center"/>
    </xf>
    <xf numFmtId="44" fontId="38" fillId="0" borderId="0" xfId="543" applyNumberFormat="1" applyFont="1" applyAlignment="1">
      <alignment vertical="center"/>
    </xf>
    <xf numFmtId="0" fontId="37" fillId="32" borderId="10" xfId="543" applyFont="1" applyFill="1" applyBorder="1" applyAlignment="1">
      <alignment vertical="center"/>
    </xf>
    <xf numFmtId="0" fontId="37" fillId="32" borderId="10" xfId="543" applyFont="1" applyFill="1" applyBorder="1" applyAlignment="1">
      <alignment horizontal="center" vertical="center"/>
    </xf>
    <xf numFmtId="0" fontId="37" fillId="32" borderId="10" xfId="543" applyFont="1" applyFill="1" applyBorder="1" applyAlignment="1">
      <alignment horizontal="center" vertical="center" wrapText="1"/>
    </xf>
    <xf numFmtId="0" fontId="36" fillId="0" borderId="0" xfId="543" applyFont="1" applyAlignment="1">
      <alignment vertical="center"/>
    </xf>
    <xf numFmtId="0" fontId="35" fillId="26" borderId="10" xfId="543" applyFont="1" applyFill="1" applyBorder="1" applyAlignment="1">
      <alignment horizontal="center" vertical="center"/>
    </xf>
    <xf numFmtId="44" fontId="35" fillId="0" borderId="0" xfId="543" applyNumberFormat="1" applyFont="1" applyAlignment="1">
      <alignment vertical="center"/>
    </xf>
    <xf numFmtId="0" fontId="38" fillId="26" borderId="0" xfId="543" applyFont="1" applyFill="1" applyAlignment="1">
      <alignment horizontal="center" vertical="center"/>
    </xf>
    <xf numFmtId="0" fontId="36" fillId="31" borderId="0" xfId="543" applyFont="1" applyFill="1" applyAlignment="1">
      <alignment vertical="center"/>
    </xf>
    <xf numFmtId="44" fontId="38" fillId="28" borderId="10" xfId="543" applyNumberFormat="1" applyFont="1" applyFill="1" applyBorder="1" applyAlignment="1">
      <alignment vertical="center"/>
    </xf>
    <xf numFmtId="0" fontId="13" fillId="0" borderId="0" xfId="543" applyFont="1"/>
    <xf numFmtId="0" fontId="13" fillId="31" borderId="0" xfId="543" applyFont="1" applyFill="1"/>
    <xf numFmtId="0" fontId="13" fillId="0" borderId="19" xfId="543" applyFont="1" applyBorder="1"/>
    <xf numFmtId="0" fontId="13" fillId="0" borderId="18" xfId="543" applyFont="1" applyBorder="1"/>
    <xf numFmtId="0" fontId="13" fillId="0" borderId="17" xfId="543" applyFont="1" applyBorder="1"/>
    <xf numFmtId="0" fontId="13" fillId="0" borderId="16" xfId="543" applyFont="1" applyBorder="1" applyAlignment="1">
      <alignment vertical="top"/>
    </xf>
    <xf numFmtId="0" fontId="13" fillId="0" borderId="0" xfId="543" applyFont="1" applyAlignment="1">
      <alignment vertical="top"/>
    </xf>
    <xf numFmtId="0" fontId="42" fillId="0" borderId="0" xfId="543" applyFont="1"/>
    <xf numFmtId="0" fontId="13" fillId="0" borderId="15" xfId="543" applyFont="1" applyBorder="1" applyAlignment="1">
      <alignment vertical="top"/>
    </xf>
    <xf numFmtId="0" fontId="15" fillId="0" borderId="0" xfId="543" applyFont="1"/>
    <xf numFmtId="0" fontId="52" fillId="0" borderId="0" xfId="543" applyFont="1"/>
    <xf numFmtId="0" fontId="13" fillId="0" borderId="16" xfId="543" applyFont="1" applyBorder="1"/>
    <xf numFmtId="0" fontId="13" fillId="0" borderId="15" xfId="543" applyFont="1" applyBorder="1"/>
    <xf numFmtId="0" fontId="13" fillId="0" borderId="14" xfId="543" applyFont="1" applyBorder="1"/>
    <xf numFmtId="0" fontId="13" fillId="0" borderId="13" xfId="543" applyFont="1" applyBorder="1"/>
    <xf numFmtId="0" fontId="13" fillId="0" borderId="12" xfId="543" applyFont="1" applyBorder="1"/>
    <xf numFmtId="0" fontId="36" fillId="0" borderId="0" xfId="543" applyFont="1"/>
    <xf numFmtId="0" fontId="54" fillId="0" borderId="0" xfId="543" applyFont="1" applyAlignment="1">
      <alignment horizontal="center"/>
    </xf>
    <xf numFmtId="0" fontId="56" fillId="0" borderId="0" xfId="655" applyFont="1"/>
    <xf numFmtId="0" fontId="57" fillId="0" borderId="0" xfId="655" applyFont="1"/>
    <xf numFmtId="0" fontId="37" fillId="27" borderId="10" xfId="655" applyFont="1" applyFill="1" applyBorder="1" applyAlignment="1">
      <alignment vertical="center" wrapText="1"/>
    </xf>
    <xf numFmtId="0" fontId="37" fillId="27" borderId="20" xfId="655" applyFont="1" applyFill="1" applyBorder="1" applyAlignment="1">
      <alignment horizontal="center" vertical="center"/>
    </xf>
    <xf numFmtId="0" fontId="48" fillId="0" borderId="0" xfId="655" applyFont="1"/>
    <xf numFmtId="0" fontId="8" fillId="0" borderId="10" xfId="655" applyFont="1" applyBorder="1" applyAlignment="1">
      <alignment vertical="center" wrapText="1"/>
    </xf>
    <xf numFmtId="0" fontId="8" fillId="0" borderId="0" xfId="655" applyFont="1" applyAlignment="1">
      <alignment vertical="center" wrapText="1"/>
    </xf>
    <xf numFmtId="0" fontId="8" fillId="0" borderId="0" xfId="655" applyFont="1" applyAlignment="1">
      <alignment horizontal="center" vertical="center"/>
    </xf>
    <xf numFmtId="44" fontId="8" fillId="28" borderId="20" xfId="655" applyNumberFormat="1" applyFont="1" applyFill="1" applyBorder="1" applyAlignment="1">
      <alignment horizontal="center" vertical="center"/>
    </xf>
    <xf numFmtId="0" fontId="57" fillId="0" borderId="0" xfId="655" applyFont="1" applyAlignment="1">
      <alignment horizontal="left" wrapText="1"/>
    </xf>
    <xf numFmtId="49" fontId="57" fillId="0" borderId="0" xfId="655" applyNumberFormat="1" applyFont="1" applyAlignment="1">
      <alignment wrapText="1"/>
    </xf>
    <xf numFmtId="44" fontId="55" fillId="28" borderId="20" xfId="655" applyNumberFormat="1" applyFont="1" applyFill="1" applyBorder="1" applyAlignment="1">
      <alignment horizontal="center" vertical="center"/>
    </xf>
    <xf numFmtId="166" fontId="8" fillId="29" borderId="20" xfId="656" applyNumberFormat="1" applyFont="1" applyFill="1" applyBorder="1" applyAlignment="1" applyProtection="1">
      <alignment horizontal="center" vertical="center"/>
      <protection locked="0"/>
    </xf>
    <xf numFmtId="0" fontId="8" fillId="0" borderId="0" xfId="655" applyFont="1" applyAlignment="1">
      <alignment vertical="center"/>
    </xf>
    <xf numFmtId="3" fontId="8" fillId="28" borderId="10" xfId="655" applyNumberFormat="1" applyFont="1" applyFill="1" applyBorder="1" applyAlignment="1">
      <alignment horizontal="center" vertical="center"/>
    </xf>
    <xf numFmtId="0" fontId="8" fillId="0" borderId="10" xfId="543" applyFont="1" applyBorder="1" applyAlignment="1">
      <alignment vertical="center" wrapText="1"/>
    </xf>
    <xf numFmtId="44" fontId="8" fillId="29" borderId="10" xfId="655" applyNumberFormat="1" applyFont="1" applyFill="1" applyBorder="1" applyAlignment="1" applyProtection="1">
      <alignment horizontal="center" vertical="center"/>
      <protection locked="0"/>
    </xf>
    <xf numFmtId="167" fontId="8" fillId="29" borderId="10" xfId="655" applyNumberFormat="1" applyFont="1" applyFill="1" applyBorder="1" applyAlignment="1" applyProtection="1">
      <alignment horizontal="center" vertical="center"/>
      <protection locked="0"/>
    </xf>
    <xf numFmtId="0" fontId="46" fillId="27" borderId="20" xfId="655" applyFont="1" applyFill="1" applyBorder="1" applyAlignment="1">
      <alignment horizontal="center" vertical="center"/>
    </xf>
    <xf numFmtId="44" fontId="8" fillId="29" borderId="10" xfId="656" applyFont="1" applyFill="1" applyBorder="1" applyAlignment="1" applyProtection="1">
      <alignment horizontal="center" vertical="center"/>
      <protection locked="0"/>
    </xf>
    <xf numFmtId="44" fontId="8" fillId="29" borderId="10" xfId="543" applyNumberFormat="1" applyFont="1" applyFill="1" applyBorder="1" applyAlignment="1" applyProtection="1">
      <alignment horizontal="center" vertical="center"/>
      <protection locked="0"/>
    </xf>
    <xf numFmtId="0" fontId="38" fillId="30" borderId="10" xfId="655" applyFont="1" applyFill="1" applyBorder="1" applyAlignment="1">
      <alignment horizontal="right" vertical="center" wrapText="1"/>
    </xf>
    <xf numFmtId="44" fontId="38" fillId="30" borderId="10" xfId="655" applyNumberFormat="1" applyFont="1" applyFill="1" applyBorder="1" applyAlignment="1">
      <alignment vertical="center"/>
    </xf>
    <xf numFmtId="0" fontId="57" fillId="0" borderId="0" xfId="655" applyFont="1" applyAlignment="1">
      <alignment horizontal="left"/>
    </xf>
    <xf numFmtId="0" fontId="35" fillId="0" borderId="0" xfId="655" applyFont="1" applyAlignment="1">
      <alignment vertical="center" wrapText="1"/>
    </xf>
    <xf numFmtId="0" fontId="9" fillId="0" borderId="0" xfId="655"/>
    <xf numFmtId="0" fontId="48" fillId="0" borderId="0" xfId="655" applyFont="1" applyAlignment="1">
      <alignment wrapText="1"/>
    </xf>
    <xf numFmtId="0" fontId="9" fillId="0" borderId="0" xfId="655" applyAlignment="1">
      <alignment wrapText="1"/>
    </xf>
    <xf numFmtId="0" fontId="44" fillId="27" borderId="10" xfId="655" applyFont="1" applyFill="1" applyBorder="1" applyAlignment="1">
      <alignment vertical="center" wrapText="1"/>
    </xf>
    <xf numFmtId="0" fontId="57" fillId="0" borderId="0" xfId="655" applyFont="1" applyAlignment="1">
      <alignment wrapText="1"/>
    </xf>
    <xf numFmtId="10" fontId="8" fillId="28" borderId="10" xfId="653" applyNumberFormat="1" applyFont="1" applyFill="1" applyBorder="1" applyAlignment="1" applyProtection="1">
      <alignment horizontal="center" vertical="center"/>
    </xf>
    <xf numFmtId="165" fontId="8" fillId="28" borderId="10" xfId="653" applyNumberFormat="1" applyFont="1" applyFill="1" applyBorder="1" applyAlignment="1" applyProtection="1">
      <alignment horizontal="center" vertical="center"/>
    </xf>
    <xf numFmtId="0" fontId="8" fillId="0" borderId="10" xfId="655" applyFont="1" applyBorder="1" applyAlignment="1">
      <alignment horizontal="left" vertical="center" wrapText="1"/>
    </xf>
    <xf numFmtId="49" fontId="8" fillId="0" borderId="10" xfId="655" applyNumberFormat="1" applyFont="1" applyBorder="1" applyAlignment="1">
      <alignment vertical="center" wrapText="1"/>
    </xf>
    <xf numFmtId="0" fontId="46" fillId="27" borderId="10" xfId="655" applyFont="1" applyFill="1" applyBorder="1" applyAlignment="1">
      <alignment horizontal="center" vertical="center"/>
    </xf>
    <xf numFmtId="44" fontId="8" fillId="28" borderId="10" xfId="655" applyNumberFormat="1" applyFont="1" applyFill="1" applyBorder="1" applyAlignment="1">
      <alignment horizontal="center" vertical="center"/>
    </xf>
    <xf numFmtId="0" fontId="37" fillId="27" borderId="10" xfId="655" applyFont="1" applyFill="1" applyBorder="1" applyAlignment="1">
      <alignment horizontal="center" vertical="center"/>
    </xf>
    <xf numFmtId="49" fontId="15" fillId="28" borderId="10" xfId="655" applyNumberFormat="1" applyFont="1" applyFill="1" applyBorder="1" applyAlignment="1">
      <alignment horizontal="left" vertical="top" wrapText="1"/>
    </xf>
    <xf numFmtId="44" fontId="55" fillId="28" borderId="10" xfId="655" applyNumberFormat="1" applyFont="1" applyFill="1" applyBorder="1" applyAlignment="1">
      <alignment horizontal="center" vertical="center"/>
    </xf>
    <xf numFmtId="166" fontId="8" fillId="29" borderId="10" xfId="656" applyNumberFormat="1" applyFont="1" applyFill="1" applyBorder="1" applyAlignment="1" applyProtection="1">
      <alignment horizontal="center" vertical="center"/>
      <protection locked="0"/>
    </xf>
    <xf numFmtId="0" fontId="8" fillId="28" borderId="10" xfId="655" applyFont="1" applyFill="1" applyBorder="1" applyAlignment="1">
      <alignment horizontal="center" vertical="center"/>
    </xf>
    <xf numFmtId="3" fontId="15" fillId="28" borderId="10" xfId="655" applyNumberFormat="1" applyFont="1" applyFill="1" applyBorder="1" applyAlignment="1">
      <alignment horizontal="center" vertical="center"/>
    </xf>
    <xf numFmtId="44" fontId="15" fillId="28" borderId="10" xfId="655" applyNumberFormat="1" applyFont="1" applyFill="1" applyBorder="1" applyAlignment="1">
      <alignment horizontal="center" vertical="center"/>
    </xf>
    <xf numFmtId="0" fontId="7" fillId="28" borderId="10" xfId="655" applyFont="1" applyFill="1" applyBorder="1" applyAlignment="1">
      <alignment horizontal="center" vertical="center"/>
    </xf>
    <xf numFmtId="44" fontId="7" fillId="28" borderId="10" xfId="655" applyNumberFormat="1" applyFont="1" applyFill="1" applyBorder="1" applyAlignment="1">
      <alignment horizontal="center" vertical="center"/>
    </xf>
    <xf numFmtId="0" fontId="7" fillId="0" borderId="10" xfId="655" applyFont="1" applyBorder="1" applyAlignment="1">
      <alignment vertical="center" wrapText="1"/>
    </xf>
    <xf numFmtId="0" fontId="41" fillId="25" borderId="0" xfId="655" applyFont="1" applyFill="1" applyAlignment="1">
      <alignment horizontal="left" vertical="center" wrapText="1"/>
    </xf>
    <xf numFmtId="0" fontId="6" fillId="28" borderId="10" xfId="655" applyFont="1" applyFill="1" applyBorder="1" applyAlignment="1">
      <alignment horizontal="center" vertical="center"/>
    </xf>
    <xf numFmtId="0" fontId="6" fillId="0" borderId="10" xfId="655" applyFont="1" applyBorder="1" applyAlignment="1">
      <alignment vertical="center" wrapText="1"/>
    </xf>
    <xf numFmtId="44" fontId="6" fillId="28" borderId="10" xfId="655" applyNumberFormat="1" applyFont="1" applyFill="1" applyBorder="1" applyAlignment="1">
      <alignment horizontal="center" vertical="center"/>
    </xf>
    <xf numFmtId="44" fontId="6" fillId="28" borderId="20" xfId="655" applyNumberFormat="1" applyFont="1" applyFill="1" applyBorder="1" applyAlignment="1">
      <alignment horizontal="center" vertical="center"/>
    </xf>
    <xf numFmtId="0" fontId="5" fillId="28" borderId="10" xfId="655" applyFont="1" applyFill="1" applyBorder="1" applyAlignment="1">
      <alignment horizontal="center" vertical="center"/>
    </xf>
    <xf numFmtId="44" fontId="5" fillId="28" borderId="10" xfId="655" applyNumberFormat="1" applyFont="1" applyFill="1" applyBorder="1" applyAlignment="1">
      <alignment horizontal="center" vertical="center"/>
    </xf>
    <xf numFmtId="0" fontId="5" fillId="28" borderId="20" xfId="655" applyFont="1" applyFill="1" applyBorder="1" applyAlignment="1">
      <alignment horizontal="center" vertical="center"/>
    </xf>
    <xf numFmtId="0" fontId="4" fillId="28" borderId="10" xfId="655" applyFont="1" applyFill="1" applyBorder="1" applyAlignment="1">
      <alignment horizontal="center" vertical="center"/>
    </xf>
    <xf numFmtId="44" fontId="4" fillId="28" borderId="10" xfId="655" applyNumberFormat="1" applyFont="1" applyFill="1" applyBorder="1" applyAlignment="1">
      <alignment horizontal="center" vertical="center"/>
    </xf>
    <xf numFmtId="0" fontId="3" fillId="28" borderId="10" xfId="655" applyFont="1" applyFill="1" applyBorder="1" applyAlignment="1">
      <alignment horizontal="center" vertical="center"/>
    </xf>
    <xf numFmtId="0" fontId="39" fillId="0" borderId="0" xfId="655" applyFont="1" applyAlignment="1">
      <alignment horizontal="left" vertical="center" wrapText="1"/>
    </xf>
    <xf numFmtId="0" fontId="15" fillId="0" borderId="10" xfId="655" applyFont="1" applyBorder="1" applyAlignment="1">
      <alignment vertical="center" wrapText="1"/>
    </xf>
    <xf numFmtId="0" fontId="2" fillId="28" borderId="10" xfId="655" applyFont="1" applyFill="1" applyBorder="1" applyAlignment="1">
      <alignment horizontal="center" vertical="center" wrapText="1"/>
    </xf>
    <xf numFmtId="0" fontId="2" fillId="28" borderId="10" xfId="655" applyFont="1" applyFill="1" applyBorder="1" applyAlignment="1">
      <alignment horizontal="center" vertical="center"/>
    </xf>
    <xf numFmtId="44" fontId="2" fillId="28" borderId="10" xfId="655" applyNumberFormat="1" applyFont="1" applyFill="1" applyBorder="1" applyAlignment="1">
      <alignment horizontal="center" vertical="center"/>
    </xf>
    <xf numFmtId="0" fontId="15" fillId="28" borderId="10" xfId="655" applyFont="1" applyFill="1" applyBorder="1" applyAlignment="1">
      <alignment horizontal="center" vertical="center"/>
    </xf>
    <xf numFmtId="0" fontId="15" fillId="0" borderId="0" xfId="655" applyFont="1" applyAlignment="1">
      <alignment horizontal="center" vertical="center"/>
    </xf>
    <xf numFmtId="0" fontId="12" fillId="27" borderId="10" xfId="655" applyFont="1" applyFill="1" applyBorder="1" applyAlignment="1">
      <alignment horizontal="center" vertical="center"/>
    </xf>
    <xf numFmtId="44" fontId="43" fillId="28" borderId="10" xfId="655" applyNumberFormat="1" applyFont="1" applyFill="1" applyBorder="1" applyAlignment="1">
      <alignment horizontal="center" vertical="center"/>
    </xf>
    <xf numFmtId="166" fontId="15" fillId="29" borderId="10" xfId="656" applyNumberFormat="1" applyFont="1" applyFill="1" applyBorder="1" applyAlignment="1" applyProtection="1">
      <alignment horizontal="center" vertical="center"/>
      <protection locked="0"/>
    </xf>
    <xf numFmtId="0" fontId="1" fillId="0" borderId="10" xfId="0" applyFont="1" applyBorder="1" applyAlignment="1">
      <alignment vertical="center"/>
    </xf>
    <xf numFmtId="44" fontId="1" fillId="28" borderId="10" xfId="0" applyNumberFormat="1" applyFont="1" applyFill="1" applyBorder="1" applyAlignment="1">
      <alignment vertical="center"/>
    </xf>
    <xf numFmtId="0" fontId="53" fillId="0" borderId="15" xfId="543" applyFont="1" applyBorder="1" applyAlignment="1">
      <alignment horizontal="center" vertical="center" wrapText="1"/>
    </xf>
    <xf numFmtId="0" fontId="53" fillId="0" borderId="0" xfId="543" applyFont="1" applyAlignment="1">
      <alignment horizontal="center" vertical="center" wrapText="1"/>
    </xf>
    <xf numFmtId="0" fontId="53" fillId="0" borderId="16" xfId="543" applyFont="1" applyBorder="1" applyAlignment="1">
      <alignment horizontal="center" vertical="center" wrapText="1"/>
    </xf>
    <xf numFmtId="0" fontId="17" fillId="29" borderId="10" xfId="543" applyFont="1" applyFill="1" applyBorder="1" applyAlignment="1" applyProtection="1">
      <alignment horizontal="center" wrapText="1"/>
      <protection locked="0"/>
    </xf>
    <xf numFmtId="0" fontId="11" fillId="24" borderId="10" xfId="543" applyFont="1" applyFill="1" applyBorder="1" applyAlignment="1">
      <alignment horizontal="left" vertical="center" wrapText="1"/>
    </xf>
    <xf numFmtId="0" fontId="15" fillId="0" borderId="20" xfId="544" applyFont="1" applyBorder="1" applyAlignment="1">
      <alignment horizontal="left" vertical="center" wrapText="1"/>
    </xf>
    <xf numFmtId="0" fontId="15" fillId="0" borderId="22" xfId="544" applyFont="1" applyBorder="1" applyAlignment="1">
      <alignment horizontal="left" vertical="center" wrapText="1"/>
    </xf>
    <xf numFmtId="0" fontId="43" fillId="29" borderId="0" xfId="543" applyFont="1" applyFill="1" applyAlignment="1">
      <alignment horizontal="center" vertical="center" wrapText="1"/>
    </xf>
    <xf numFmtId="0" fontId="41" fillId="25" borderId="0" xfId="543" applyFont="1" applyFill="1" applyAlignment="1">
      <alignment horizontal="left" vertical="center" wrapText="1"/>
    </xf>
    <xf numFmtId="0" fontId="41" fillId="25" borderId="23" xfId="655" applyFont="1" applyFill="1" applyBorder="1" applyAlignment="1">
      <alignment horizontal="left" vertical="center" wrapText="1"/>
    </xf>
    <xf numFmtId="0" fontId="41" fillId="25" borderId="0" xfId="655" applyFont="1" applyFill="1" applyAlignment="1">
      <alignment horizontal="left" vertical="center" wrapText="1"/>
    </xf>
    <xf numFmtId="0" fontId="44" fillId="27" borderId="10" xfId="655" applyFont="1" applyFill="1" applyBorder="1" applyAlignment="1">
      <alignment horizontal="center" vertical="center"/>
    </xf>
    <xf numFmtId="0" fontId="39" fillId="0" borderId="11" xfId="655" applyFont="1" applyBorder="1" applyAlignment="1">
      <alignment horizontal="left" vertical="center" wrapText="1"/>
    </xf>
    <xf numFmtId="10" fontId="8" fillId="28" borderId="10" xfId="653" applyNumberFormat="1" applyFont="1" applyFill="1" applyBorder="1" applyAlignment="1" applyProtection="1">
      <alignment horizontal="center" vertical="center"/>
    </xf>
    <xf numFmtId="165" fontId="8" fillId="28" borderId="10" xfId="653" applyNumberFormat="1" applyFont="1" applyFill="1" applyBorder="1" applyAlignment="1" applyProtection="1">
      <alignment horizontal="center" vertical="center"/>
    </xf>
    <xf numFmtId="49" fontId="8" fillId="29" borderId="10" xfId="655" applyNumberFormat="1" applyFont="1" applyFill="1" applyBorder="1" applyAlignment="1" applyProtection="1">
      <alignment horizontal="left" vertical="center"/>
      <protection locked="0"/>
    </xf>
    <xf numFmtId="9" fontId="8" fillId="28" borderId="20" xfId="657" applyFont="1" applyFill="1" applyBorder="1" applyAlignment="1" applyProtection="1">
      <alignment horizontal="center" vertical="center"/>
    </xf>
    <xf numFmtId="9" fontId="8" fillId="28" borderId="21" xfId="657" applyFont="1" applyFill="1" applyBorder="1" applyAlignment="1" applyProtection="1">
      <alignment horizontal="center" vertical="center"/>
    </xf>
    <xf numFmtId="9" fontId="8" fillId="28" borderId="22" xfId="657" applyFont="1" applyFill="1" applyBorder="1" applyAlignment="1" applyProtection="1">
      <alignment horizontal="center" vertical="center"/>
    </xf>
    <xf numFmtId="49" fontId="8" fillId="29" borderId="21" xfId="655" applyNumberFormat="1" applyFont="1" applyFill="1" applyBorder="1" applyAlignment="1" applyProtection="1">
      <alignment horizontal="left" vertical="center"/>
      <protection locked="0"/>
    </xf>
    <xf numFmtId="49" fontId="8" fillId="29" borderId="22" xfId="655" applyNumberFormat="1" applyFont="1" applyFill="1" applyBorder="1" applyAlignment="1" applyProtection="1">
      <alignment horizontal="left" vertical="center"/>
      <protection locked="0"/>
    </xf>
    <xf numFmtId="9" fontId="8" fillId="28" borderId="23" xfId="657" applyFont="1" applyFill="1" applyBorder="1" applyAlignment="1" applyProtection="1">
      <alignment horizontal="center" vertical="center"/>
    </xf>
    <xf numFmtId="9" fontId="8" fillId="28" borderId="0" xfId="657" applyFont="1" applyFill="1" applyBorder="1" applyAlignment="1" applyProtection="1">
      <alignment horizontal="center" vertical="center"/>
    </xf>
    <xf numFmtId="0" fontId="44" fillId="27" borderId="23" xfId="655" applyFont="1" applyFill="1" applyBorder="1" applyAlignment="1">
      <alignment horizontal="center" vertical="center"/>
    </xf>
    <xf numFmtId="0" fontId="44" fillId="27" borderId="0" xfId="655" applyFont="1" applyFill="1" applyAlignment="1">
      <alignment horizontal="center" vertical="center"/>
    </xf>
    <xf numFmtId="10" fontId="8" fillId="28" borderId="20" xfId="653" applyNumberFormat="1" applyFont="1" applyFill="1" applyBorder="1" applyAlignment="1" applyProtection="1">
      <alignment horizontal="center" vertical="center"/>
    </xf>
    <xf numFmtId="10" fontId="8" fillId="28" borderId="21" xfId="653" applyNumberFormat="1" applyFont="1" applyFill="1" applyBorder="1" applyAlignment="1" applyProtection="1">
      <alignment horizontal="center" vertical="center"/>
    </xf>
    <xf numFmtId="10" fontId="8" fillId="28" borderId="22" xfId="653" applyNumberFormat="1" applyFont="1" applyFill="1" applyBorder="1" applyAlignment="1" applyProtection="1">
      <alignment horizontal="center" vertical="center"/>
    </xf>
    <xf numFmtId="165" fontId="8" fillId="28" borderId="20" xfId="653" applyNumberFormat="1" applyFont="1" applyFill="1" applyBorder="1" applyAlignment="1" applyProtection="1">
      <alignment horizontal="center" vertical="center"/>
    </xf>
    <xf numFmtId="165" fontId="8" fillId="28" borderId="21" xfId="653" applyNumberFormat="1" applyFont="1" applyFill="1" applyBorder="1" applyAlignment="1" applyProtection="1">
      <alignment horizontal="center" vertical="center"/>
    </xf>
    <xf numFmtId="165" fontId="8" fillId="28" borderId="22" xfId="653" applyNumberFormat="1" applyFont="1" applyFill="1" applyBorder="1" applyAlignment="1" applyProtection="1">
      <alignment horizontal="center" vertical="center"/>
    </xf>
    <xf numFmtId="49" fontId="8" fillId="29" borderId="20" xfId="655" applyNumberFormat="1" applyFont="1" applyFill="1" applyBorder="1" applyAlignment="1" applyProtection="1">
      <alignment horizontal="left" vertical="center"/>
      <protection locked="0"/>
    </xf>
    <xf numFmtId="0" fontId="37" fillId="27" borderId="10" xfId="543" applyFont="1" applyFill="1" applyBorder="1" applyAlignment="1">
      <alignment horizontal="left" vertical="center"/>
    </xf>
    <xf numFmtId="0" fontId="38" fillId="28" borderId="10" xfId="543" applyFont="1" applyFill="1" applyBorder="1" applyAlignment="1">
      <alignment horizontal="right" vertical="center"/>
    </xf>
    <xf numFmtId="0" fontId="37" fillId="25" borderId="0" xfId="543" applyFont="1" applyFill="1" applyAlignment="1">
      <alignment horizontal="left" vertical="center" wrapText="1"/>
    </xf>
    <xf numFmtId="0" fontId="44" fillId="27" borderId="20" xfId="543" applyFont="1" applyFill="1" applyBorder="1" applyAlignment="1">
      <alignment horizontal="center" vertical="center" wrapText="1"/>
    </xf>
    <xf numFmtId="0" fontId="44" fillId="27" borderId="21" xfId="543" applyFont="1" applyFill="1" applyBorder="1" applyAlignment="1">
      <alignment horizontal="center" vertical="center" wrapText="1"/>
    </xf>
    <xf numFmtId="0" fontId="44" fillId="27" borderId="22" xfId="543" applyFont="1" applyFill="1" applyBorder="1" applyAlignment="1">
      <alignment horizontal="center" vertical="center" wrapText="1"/>
    </xf>
  </cellXfs>
  <cellStyles count="658">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3"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1 7" xfId="13" xr:uid="{00000000-0005-0000-0000-00000C000000}"/>
    <cellStyle name="20% - Accent1 8" xfId="14" xr:uid="{00000000-0005-0000-0000-00000D000000}"/>
    <cellStyle name="20% - Accent1 9" xfId="15" xr:uid="{00000000-0005-0000-0000-00000E000000}"/>
    <cellStyle name="20% - Accent2 10" xfId="16" xr:uid="{00000000-0005-0000-0000-00000F000000}"/>
    <cellStyle name="20% - Accent2 11" xfId="17" xr:uid="{00000000-0005-0000-0000-000010000000}"/>
    <cellStyle name="20% - Accent2 12" xfId="18" xr:uid="{00000000-0005-0000-0000-000011000000}"/>
    <cellStyle name="20% - Accent2 13" xfId="19" xr:uid="{00000000-0005-0000-0000-000012000000}"/>
    <cellStyle name="20% - Accent2 14" xfId="20" xr:uid="{00000000-0005-0000-0000-000013000000}"/>
    <cellStyle name="20% - Accent2 15" xfId="21" xr:uid="{00000000-0005-0000-0000-000014000000}"/>
    <cellStyle name="20% - Accent2 16" xfId="22" xr:uid="{00000000-0005-0000-0000-000015000000}"/>
    <cellStyle name="20% - Accent2 2" xfId="23" xr:uid="{00000000-0005-0000-0000-000016000000}"/>
    <cellStyle name="20% - Accent2 3" xfId="24" xr:uid="{00000000-0005-0000-0000-000017000000}"/>
    <cellStyle name="20% - Accent2 4" xfId="25" xr:uid="{00000000-0005-0000-0000-000018000000}"/>
    <cellStyle name="20% - Accent2 5" xfId="26" xr:uid="{00000000-0005-0000-0000-000019000000}"/>
    <cellStyle name="20% - Accent2 6" xfId="27" xr:uid="{00000000-0005-0000-0000-00001A000000}"/>
    <cellStyle name="20% - Accent2 7" xfId="28" xr:uid="{00000000-0005-0000-0000-00001B000000}"/>
    <cellStyle name="20% - Accent2 8" xfId="29" xr:uid="{00000000-0005-0000-0000-00001C000000}"/>
    <cellStyle name="20% - Accent2 9" xfId="30" xr:uid="{00000000-0005-0000-0000-00001D000000}"/>
    <cellStyle name="20% - Accent3 10" xfId="31" xr:uid="{00000000-0005-0000-0000-00001E000000}"/>
    <cellStyle name="20% - Accent3 11" xfId="32" xr:uid="{00000000-0005-0000-0000-00001F000000}"/>
    <cellStyle name="20% - Accent3 12" xfId="33" xr:uid="{00000000-0005-0000-0000-000020000000}"/>
    <cellStyle name="20% - Accent3 13" xfId="34" xr:uid="{00000000-0005-0000-0000-000021000000}"/>
    <cellStyle name="20% - Accent3 14" xfId="35" xr:uid="{00000000-0005-0000-0000-000022000000}"/>
    <cellStyle name="20% - Accent3 15" xfId="36" xr:uid="{00000000-0005-0000-0000-000023000000}"/>
    <cellStyle name="20% - Accent3 16" xfId="37" xr:uid="{00000000-0005-0000-0000-000024000000}"/>
    <cellStyle name="20% - Accent3 2" xfId="38" xr:uid="{00000000-0005-0000-0000-000025000000}"/>
    <cellStyle name="20% - Accent3 3" xfId="39" xr:uid="{00000000-0005-0000-0000-000026000000}"/>
    <cellStyle name="20% - Accent3 4" xfId="40" xr:uid="{00000000-0005-0000-0000-000027000000}"/>
    <cellStyle name="20% - Accent3 5" xfId="41" xr:uid="{00000000-0005-0000-0000-000028000000}"/>
    <cellStyle name="20% - Accent3 6" xfId="42" xr:uid="{00000000-0005-0000-0000-000029000000}"/>
    <cellStyle name="20% - Accent3 7" xfId="43" xr:uid="{00000000-0005-0000-0000-00002A000000}"/>
    <cellStyle name="20% - Accent3 8" xfId="44" xr:uid="{00000000-0005-0000-0000-00002B000000}"/>
    <cellStyle name="20% - Accent3 9" xfId="45" xr:uid="{00000000-0005-0000-0000-00002C000000}"/>
    <cellStyle name="20% - Accent4 10" xfId="46" xr:uid="{00000000-0005-0000-0000-00002D000000}"/>
    <cellStyle name="20% - Accent4 11" xfId="47" xr:uid="{00000000-0005-0000-0000-00002E000000}"/>
    <cellStyle name="20% - Accent4 12" xfId="48" xr:uid="{00000000-0005-0000-0000-00002F000000}"/>
    <cellStyle name="20% - Accent4 13" xfId="49" xr:uid="{00000000-0005-0000-0000-000030000000}"/>
    <cellStyle name="20% - Accent4 14" xfId="50" xr:uid="{00000000-0005-0000-0000-000031000000}"/>
    <cellStyle name="20% - Accent4 15" xfId="51" xr:uid="{00000000-0005-0000-0000-000032000000}"/>
    <cellStyle name="20% - Accent4 16" xfId="52" xr:uid="{00000000-0005-0000-0000-000033000000}"/>
    <cellStyle name="20% - Accent4 2" xfId="53" xr:uid="{00000000-0005-0000-0000-000034000000}"/>
    <cellStyle name="20% - Accent4 3" xfId="54" xr:uid="{00000000-0005-0000-0000-000035000000}"/>
    <cellStyle name="20% - Accent4 4" xfId="55" xr:uid="{00000000-0005-0000-0000-000036000000}"/>
    <cellStyle name="20% - Accent4 5" xfId="56" xr:uid="{00000000-0005-0000-0000-000037000000}"/>
    <cellStyle name="20% - Accent4 6" xfId="57" xr:uid="{00000000-0005-0000-0000-000038000000}"/>
    <cellStyle name="20% - Accent4 7" xfId="58" xr:uid="{00000000-0005-0000-0000-000039000000}"/>
    <cellStyle name="20% - Accent4 8" xfId="59" xr:uid="{00000000-0005-0000-0000-00003A000000}"/>
    <cellStyle name="20% - Accent4 9" xfId="60" xr:uid="{00000000-0005-0000-0000-00003B000000}"/>
    <cellStyle name="20% - Accent5 10" xfId="61" xr:uid="{00000000-0005-0000-0000-00003C000000}"/>
    <cellStyle name="20% - Accent5 11" xfId="62" xr:uid="{00000000-0005-0000-0000-00003D000000}"/>
    <cellStyle name="20% - Accent5 12" xfId="63" xr:uid="{00000000-0005-0000-0000-00003E000000}"/>
    <cellStyle name="20% - Accent5 13" xfId="64" xr:uid="{00000000-0005-0000-0000-00003F000000}"/>
    <cellStyle name="20% - Accent5 14" xfId="65" xr:uid="{00000000-0005-0000-0000-000040000000}"/>
    <cellStyle name="20% - Accent5 15" xfId="66" xr:uid="{00000000-0005-0000-0000-000041000000}"/>
    <cellStyle name="20% - Accent5 16" xfId="67" xr:uid="{00000000-0005-0000-0000-000042000000}"/>
    <cellStyle name="20% - Accent5 2" xfId="68" xr:uid="{00000000-0005-0000-0000-000043000000}"/>
    <cellStyle name="20% - Accent5 3" xfId="69" xr:uid="{00000000-0005-0000-0000-000044000000}"/>
    <cellStyle name="20% - Accent5 4" xfId="70" xr:uid="{00000000-0005-0000-0000-000045000000}"/>
    <cellStyle name="20% - Accent5 5" xfId="71" xr:uid="{00000000-0005-0000-0000-000046000000}"/>
    <cellStyle name="20% - Accent5 6" xfId="72" xr:uid="{00000000-0005-0000-0000-000047000000}"/>
    <cellStyle name="20% - Accent5 7" xfId="73" xr:uid="{00000000-0005-0000-0000-000048000000}"/>
    <cellStyle name="20% - Accent5 8" xfId="74" xr:uid="{00000000-0005-0000-0000-000049000000}"/>
    <cellStyle name="20% - Accent5 9" xfId="75" xr:uid="{00000000-0005-0000-0000-00004A000000}"/>
    <cellStyle name="20% - Accent6 10" xfId="76" xr:uid="{00000000-0005-0000-0000-00004B000000}"/>
    <cellStyle name="20% - Accent6 11" xfId="77" xr:uid="{00000000-0005-0000-0000-00004C000000}"/>
    <cellStyle name="20% - Accent6 12" xfId="78" xr:uid="{00000000-0005-0000-0000-00004D000000}"/>
    <cellStyle name="20% - Accent6 13" xfId="79" xr:uid="{00000000-0005-0000-0000-00004E000000}"/>
    <cellStyle name="20% - Accent6 14" xfId="80" xr:uid="{00000000-0005-0000-0000-00004F000000}"/>
    <cellStyle name="20% - Accent6 15" xfId="81" xr:uid="{00000000-0005-0000-0000-000050000000}"/>
    <cellStyle name="20% - Accent6 16" xfId="82" xr:uid="{00000000-0005-0000-0000-000051000000}"/>
    <cellStyle name="20% - Accent6 2" xfId="83" xr:uid="{00000000-0005-0000-0000-000052000000}"/>
    <cellStyle name="20% - Accent6 3" xfId="84" xr:uid="{00000000-0005-0000-0000-000053000000}"/>
    <cellStyle name="20% - Accent6 4" xfId="85" xr:uid="{00000000-0005-0000-0000-000054000000}"/>
    <cellStyle name="20% - Accent6 5" xfId="86" xr:uid="{00000000-0005-0000-0000-000055000000}"/>
    <cellStyle name="20% - Accent6 6" xfId="87" xr:uid="{00000000-0005-0000-0000-000056000000}"/>
    <cellStyle name="20% - Accent6 7" xfId="88" xr:uid="{00000000-0005-0000-0000-000057000000}"/>
    <cellStyle name="20% - Accent6 8" xfId="89" xr:uid="{00000000-0005-0000-0000-000058000000}"/>
    <cellStyle name="20% - Accent6 9" xfId="90" xr:uid="{00000000-0005-0000-0000-000059000000}"/>
    <cellStyle name="40% - Accent1 10" xfId="91" xr:uid="{00000000-0005-0000-0000-00005A000000}"/>
    <cellStyle name="40% - Accent1 11" xfId="92" xr:uid="{00000000-0005-0000-0000-00005B000000}"/>
    <cellStyle name="40% - Accent1 12" xfId="93" xr:uid="{00000000-0005-0000-0000-00005C000000}"/>
    <cellStyle name="40% - Accent1 13" xfId="94" xr:uid="{00000000-0005-0000-0000-00005D000000}"/>
    <cellStyle name="40% - Accent1 14" xfId="95" xr:uid="{00000000-0005-0000-0000-00005E000000}"/>
    <cellStyle name="40% - Accent1 15" xfId="96" xr:uid="{00000000-0005-0000-0000-00005F000000}"/>
    <cellStyle name="40% - Accent1 16" xfId="97" xr:uid="{00000000-0005-0000-0000-000060000000}"/>
    <cellStyle name="40% - Accent1 2" xfId="98" xr:uid="{00000000-0005-0000-0000-000061000000}"/>
    <cellStyle name="40% - Accent1 3" xfId="99" xr:uid="{00000000-0005-0000-0000-000062000000}"/>
    <cellStyle name="40% - Accent1 4" xfId="100" xr:uid="{00000000-0005-0000-0000-000063000000}"/>
    <cellStyle name="40% - Accent1 5" xfId="101" xr:uid="{00000000-0005-0000-0000-000064000000}"/>
    <cellStyle name="40% - Accent1 6" xfId="102" xr:uid="{00000000-0005-0000-0000-000065000000}"/>
    <cellStyle name="40% - Accent1 7" xfId="103" xr:uid="{00000000-0005-0000-0000-000066000000}"/>
    <cellStyle name="40% - Accent1 8" xfId="104" xr:uid="{00000000-0005-0000-0000-000067000000}"/>
    <cellStyle name="40% - Accent1 9" xfId="105" xr:uid="{00000000-0005-0000-0000-000068000000}"/>
    <cellStyle name="40% - Accent2 10" xfId="106" xr:uid="{00000000-0005-0000-0000-000069000000}"/>
    <cellStyle name="40% - Accent2 11" xfId="107" xr:uid="{00000000-0005-0000-0000-00006A000000}"/>
    <cellStyle name="40% - Accent2 12" xfId="108" xr:uid="{00000000-0005-0000-0000-00006B000000}"/>
    <cellStyle name="40% - Accent2 13" xfId="109" xr:uid="{00000000-0005-0000-0000-00006C000000}"/>
    <cellStyle name="40% - Accent2 14" xfId="110" xr:uid="{00000000-0005-0000-0000-00006D000000}"/>
    <cellStyle name="40% - Accent2 15" xfId="111" xr:uid="{00000000-0005-0000-0000-00006E000000}"/>
    <cellStyle name="40% - Accent2 16" xfId="112" xr:uid="{00000000-0005-0000-0000-00006F000000}"/>
    <cellStyle name="40% - Accent2 2" xfId="113" xr:uid="{00000000-0005-0000-0000-000070000000}"/>
    <cellStyle name="40% - Accent2 3" xfId="114" xr:uid="{00000000-0005-0000-0000-000071000000}"/>
    <cellStyle name="40% - Accent2 4" xfId="115" xr:uid="{00000000-0005-0000-0000-000072000000}"/>
    <cellStyle name="40% - Accent2 5" xfId="116" xr:uid="{00000000-0005-0000-0000-000073000000}"/>
    <cellStyle name="40% - Accent2 6" xfId="117" xr:uid="{00000000-0005-0000-0000-000074000000}"/>
    <cellStyle name="40% - Accent2 7" xfId="118" xr:uid="{00000000-0005-0000-0000-000075000000}"/>
    <cellStyle name="40% - Accent2 8" xfId="119" xr:uid="{00000000-0005-0000-0000-000076000000}"/>
    <cellStyle name="40% - Accent2 9" xfId="120" xr:uid="{00000000-0005-0000-0000-000077000000}"/>
    <cellStyle name="40% - Accent3 10" xfId="121" xr:uid="{00000000-0005-0000-0000-000078000000}"/>
    <cellStyle name="40% - Accent3 11" xfId="122" xr:uid="{00000000-0005-0000-0000-000079000000}"/>
    <cellStyle name="40% - Accent3 12" xfId="123" xr:uid="{00000000-0005-0000-0000-00007A000000}"/>
    <cellStyle name="40% - Accent3 13" xfId="124" xr:uid="{00000000-0005-0000-0000-00007B000000}"/>
    <cellStyle name="40% - Accent3 14" xfId="125" xr:uid="{00000000-0005-0000-0000-00007C000000}"/>
    <cellStyle name="40% - Accent3 15" xfId="126" xr:uid="{00000000-0005-0000-0000-00007D000000}"/>
    <cellStyle name="40% - Accent3 16" xfId="127" xr:uid="{00000000-0005-0000-0000-00007E000000}"/>
    <cellStyle name="40% - Accent3 2" xfId="128" xr:uid="{00000000-0005-0000-0000-00007F000000}"/>
    <cellStyle name="40% - Accent3 3" xfId="129" xr:uid="{00000000-0005-0000-0000-000080000000}"/>
    <cellStyle name="40% - Accent3 4" xfId="130" xr:uid="{00000000-0005-0000-0000-000081000000}"/>
    <cellStyle name="40% - Accent3 5" xfId="131" xr:uid="{00000000-0005-0000-0000-000082000000}"/>
    <cellStyle name="40% - Accent3 6" xfId="132" xr:uid="{00000000-0005-0000-0000-000083000000}"/>
    <cellStyle name="40% - Accent3 7" xfId="133" xr:uid="{00000000-0005-0000-0000-000084000000}"/>
    <cellStyle name="40% - Accent3 8" xfId="134" xr:uid="{00000000-0005-0000-0000-000085000000}"/>
    <cellStyle name="40% - Accent3 9" xfId="135" xr:uid="{00000000-0005-0000-0000-000086000000}"/>
    <cellStyle name="40% - Accent4 10" xfId="136" xr:uid="{00000000-0005-0000-0000-000087000000}"/>
    <cellStyle name="40% - Accent4 11" xfId="137" xr:uid="{00000000-0005-0000-0000-000088000000}"/>
    <cellStyle name="40% - Accent4 12" xfId="138" xr:uid="{00000000-0005-0000-0000-000089000000}"/>
    <cellStyle name="40% - Accent4 13" xfId="139" xr:uid="{00000000-0005-0000-0000-00008A000000}"/>
    <cellStyle name="40% - Accent4 14" xfId="140" xr:uid="{00000000-0005-0000-0000-00008B000000}"/>
    <cellStyle name="40% - Accent4 15" xfId="141" xr:uid="{00000000-0005-0000-0000-00008C000000}"/>
    <cellStyle name="40% - Accent4 16" xfId="142" xr:uid="{00000000-0005-0000-0000-00008D000000}"/>
    <cellStyle name="40% - Accent4 2" xfId="143" xr:uid="{00000000-0005-0000-0000-00008E000000}"/>
    <cellStyle name="40% - Accent4 3" xfId="144" xr:uid="{00000000-0005-0000-0000-00008F000000}"/>
    <cellStyle name="40% - Accent4 4" xfId="145" xr:uid="{00000000-0005-0000-0000-000090000000}"/>
    <cellStyle name="40% - Accent4 5" xfId="146" xr:uid="{00000000-0005-0000-0000-000091000000}"/>
    <cellStyle name="40% - Accent4 6" xfId="147" xr:uid="{00000000-0005-0000-0000-000092000000}"/>
    <cellStyle name="40% - Accent4 7" xfId="148" xr:uid="{00000000-0005-0000-0000-000093000000}"/>
    <cellStyle name="40% - Accent4 8" xfId="149" xr:uid="{00000000-0005-0000-0000-000094000000}"/>
    <cellStyle name="40% - Accent4 9" xfId="150" xr:uid="{00000000-0005-0000-0000-000095000000}"/>
    <cellStyle name="40% - Accent5 10" xfId="151" xr:uid="{00000000-0005-0000-0000-000096000000}"/>
    <cellStyle name="40% - Accent5 11" xfId="152" xr:uid="{00000000-0005-0000-0000-000097000000}"/>
    <cellStyle name="40% - Accent5 12" xfId="153" xr:uid="{00000000-0005-0000-0000-000098000000}"/>
    <cellStyle name="40% - Accent5 13" xfId="154" xr:uid="{00000000-0005-0000-0000-000099000000}"/>
    <cellStyle name="40% - Accent5 14" xfId="155" xr:uid="{00000000-0005-0000-0000-00009A000000}"/>
    <cellStyle name="40% - Accent5 15" xfId="156" xr:uid="{00000000-0005-0000-0000-00009B000000}"/>
    <cellStyle name="40% - Accent5 16" xfId="157" xr:uid="{00000000-0005-0000-0000-00009C000000}"/>
    <cellStyle name="40% - Accent5 2" xfId="158" xr:uid="{00000000-0005-0000-0000-00009D000000}"/>
    <cellStyle name="40% - Accent5 3" xfId="159" xr:uid="{00000000-0005-0000-0000-00009E000000}"/>
    <cellStyle name="40% - Accent5 4" xfId="160" xr:uid="{00000000-0005-0000-0000-00009F000000}"/>
    <cellStyle name="40% - Accent5 5" xfId="161" xr:uid="{00000000-0005-0000-0000-0000A0000000}"/>
    <cellStyle name="40% - Accent5 6" xfId="162" xr:uid="{00000000-0005-0000-0000-0000A1000000}"/>
    <cellStyle name="40% - Accent5 7" xfId="163" xr:uid="{00000000-0005-0000-0000-0000A2000000}"/>
    <cellStyle name="40% - Accent5 8" xfId="164" xr:uid="{00000000-0005-0000-0000-0000A3000000}"/>
    <cellStyle name="40% - Accent5 9" xfId="165" xr:uid="{00000000-0005-0000-0000-0000A4000000}"/>
    <cellStyle name="40% - Accent6 10" xfId="166" xr:uid="{00000000-0005-0000-0000-0000A5000000}"/>
    <cellStyle name="40% - Accent6 11" xfId="167" xr:uid="{00000000-0005-0000-0000-0000A6000000}"/>
    <cellStyle name="40% - Accent6 12" xfId="168" xr:uid="{00000000-0005-0000-0000-0000A7000000}"/>
    <cellStyle name="40% - Accent6 13" xfId="169" xr:uid="{00000000-0005-0000-0000-0000A8000000}"/>
    <cellStyle name="40% - Accent6 14" xfId="170" xr:uid="{00000000-0005-0000-0000-0000A9000000}"/>
    <cellStyle name="40% - Accent6 15" xfId="171" xr:uid="{00000000-0005-0000-0000-0000AA000000}"/>
    <cellStyle name="40% - Accent6 16" xfId="172" xr:uid="{00000000-0005-0000-0000-0000AB000000}"/>
    <cellStyle name="40% - Accent6 2" xfId="173" xr:uid="{00000000-0005-0000-0000-0000AC000000}"/>
    <cellStyle name="40% - Accent6 3" xfId="174" xr:uid="{00000000-0005-0000-0000-0000AD000000}"/>
    <cellStyle name="40% - Accent6 4" xfId="175" xr:uid="{00000000-0005-0000-0000-0000AE000000}"/>
    <cellStyle name="40% - Accent6 5" xfId="176" xr:uid="{00000000-0005-0000-0000-0000AF000000}"/>
    <cellStyle name="40% - Accent6 6" xfId="177" xr:uid="{00000000-0005-0000-0000-0000B0000000}"/>
    <cellStyle name="40% - Accent6 7" xfId="178" xr:uid="{00000000-0005-0000-0000-0000B1000000}"/>
    <cellStyle name="40% - Accent6 8" xfId="179" xr:uid="{00000000-0005-0000-0000-0000B2000000}"/>
    <cellStyle name="40% - Accent6 9" xfId="180" xr:uid="{00000000-0005-0000-0000-0000B3000000}"/>
    <cellStyle name="60% - Accent1 10" xfId="181" xr:uid="{00000000-0005-0000-0000-0000B4000000}"/>
    <cellStyle name="60% - Accent1 11" xfId="182" xr:uid="{00000000-0005-0000-0000-0000B5000000}"/>
    <cellStyle name="60% - Accent1 12" xfId="183" xr:uid="{00000000-0005-0000-0000-0000B6000000}"/>
    <cellStyle name="60% - Accent1 13" xfId="184" xr:uid="{00000000-0005-0000-0000-0000B7000000}"/>
    <cellStyle name="60% - Accent1 14" xfId="185" xr:uid="{00000000-0005-0000-0000-0000B8000000}"/>
    <cellStyle name="60% - Accent1 15" xfId="186" xr:uid="{00000000-0005-0000-0000-0000B9000000}"/>
    <cellStyle name="60% - Accent1 16" xfId="187" xr:uid="{00000000-0005-0000-0000-0000BA000000}"/>
    <cellStyle name="60% - Accent1 2" xfId="188" xr:uid="{00000000-0005-0000-0000-0000BB000000}"/>
    <cellStyle name="60% - Accent1 3" xfId="189" xr:uid="{00000000-0005-0000-0000-0000BC000000}"/>
    <cellStyle name="60% - Accent1 4" xfId="190" xr:uid="{00000000-0005-0000-0000-0000BD000000}"/>
    <cellStyle name="60% - Accent1 5" xfId="191" xr:uid="{00000000-0005-0000-0000-0000BE000000}"/>
    <cellStyle name="60% - Accent1 6" xfId="192" xr:uid="{00000000-0005-0000-0000-0000BF000000}"/>
    <cellStyle name="60% - Accent1 7" xfId="193" xr:uid="{00000000-0005-0000-0000-0000C0000000}"/>
    <cellStyle name="60% - Accent1 8" xfId="194" xr:uid="{00000000-0005-0000-0000-0000C1000000}"/>
    <cellStyle name="60% - Accent1 9" xfId="195" xr:uid="{00000000-0005-0000-0000-0000C2000000}"/>
    <cellStyle name="60% - Accent2 10" xfId="196" xr:uid="{00000000-0005-0000-0000-0000C3000000}"/>
    <cellStyle name="60% - Accent2 11" xfId="197" xr:uid="{00000000-0005-0000-0000-0000C4000000}"/>
    <cellStyle name="60% - Accent2 12" xfId="198" xr:uid="{00000000-0005-0000-0000-0000C5000000}"/>
    <cellStyle name="60% - Accent2 13" xfId="199" xr:uid="{00000000-0005-0000-0000-0000C6000000}"/>
    <cellStyle name="60% - Accent2 14" xfId="200" xr:uid="{00000000-0005-0000-0000-0000C7000000}"/>
    <cellStyle name="60% - Accent2 15" xfId="201" xr:uid="{00000000-0005-0000-0000-0000C8000000}"/>
    <cellStyle name="60% - Accent2 16" xfId="202" xr:uid="{00000000-0005-0000-0000-0000C9000000}"/>
    <cellStyle name="60% - Accent2 2" xfId="203" xr:uid="{00000000-0005-0000-0000-0000CA000000}"/>
    <cellStyle name="60% - Accent2 3" xfId="204" xr:uid="{00000000-0005-0000-0000-0000CB000000}"/>
    <cellStyle name="60% - Accent2 4" xfId="205" xr:uid="{00000000-0005-0000-0000-0000CC000000}"/>
    <cellStyle name="60% - Accent2 5" xfId="206" xr:uid="{00000000-0005-0000-0000-0000CD000000}"/>
    <cellStyle name="60% - Accent2 6" xfId="207" xr:uid="{00000000-0005-0000-0000-0000CE000000}"/>
    <cellStyle name="60% - Accent2 7" xfId="208" xr:uid="{00000000-0005-0000-0000-0000CF000000}"/>
    <cellStyle name="60% - Accent2 8" xfId="209" xr:uid="{00000000-0005-0000-0000-0000D0000000}"/>
    <cellStyle name="60% - Accent2 9" xfId="210" xr:uid="{00000000-0005-0000-0000-0000D1000000}"/>
    <cellStyle name="60% - Accent3 10" xfId="211" xr:uid="{00000000-0005-0000-0000-0000D2000000}"/>
    <cellStyle name="60% - Accent3 11" xfId="212" xr:uid="{00000000-0005-0000-0000-0000D3000000}"/>
    <cellStyle name="60% - Accent3 12" xfId="213" xr:uid="{00000000-0005-0000-0000-0000D4000000}"/>
    <cellStyle name="60% - Accent3 13" xfId="214" xr:uid="{00000000-0005-0000-0000-0000D5000000}"/>
    <cellStyle name="60% - Accent3 14" xfId="215" xr:uid="{00000000-0005-0000-0000-0000D6000000}"/>
    <cellStyle name="60% - Accent3 15" xfId="216" xr:uid="{00000000-0005-0000-0000-0000D7000000}"/>
    <cellStyle name="60% - Accent3 16" xfId="217" xr:uid="{00000000-0005-0000-0000-0000D8000000}"/>
    <cellStyle name="60% - Accent3 2" xfId="218" xr:uid="{00000000-0005-0000-0000-0000D9000000}"/>
    <cellStyle name="60% - Accent3 3" xfId="219" xr:uid="{00000000-0005-0000-0000-0000DA000000}"/>
    <cellStyle name="60% - Accent3 4" xfId="220" xr:uid="{00000000-0005-0000-0000-0000DB000000}"/>
    <cellStyle name="60% - Accent3 5" xfId="221" xr:uid="{00000000-0005-0000-0000-0000DC000000}"/>
    <cellStyle name="60% - Accent3 6" xfId="222" xr:uid="{00000000-0005-0000-0000-0000DD000000}"/>
    <cellStyle name="60% - Accent3 7" xfId="223" xr:uid="{00000000-0005-0000-0000-0000DE000000}"/>
    <cellStyle name="60% - Accent3 8" xfId="224" xr:uid="{00000000-0005-0000-0000-0000DF000000}"/>
    <cellStyle name="60% - Accent3 9" xfId="225" xr:uid="{00000000-0005-0000-0000-0000E0000000}"/>
    <cellStyle name="60% - Accent4 10" xfId="226" xr:uid="{00000000-0005-0000-0000-0000E1000000}"/>
    <cellStyle name="60% - Accent4 11" xfId="227" xr:uid="{00000000-0005-0000-0000-0000E2000000}"/>
    <cellStyle name="60% - Accent4 12" xfId="228" xr:uid="{00000000-0005-0000-0000-0000E3000000}"/>
    <cellStyle name="60% - Accent4 13" xfId="229" xr:uid="{00000000-0005-0000-0000-0000E4000000}"/>
    <cellStyle name="60% - Accent4 14" xfId="230" xr:uid="{00000000-0005-0000-0000-0000E5000000}"/>
    <cellStyle name="60% - Accent4 15" xfId="231" xr:uid="{00000000-0005-0000-0000-0000E6000000}"/>
    <cellStyle name="60% - Accent4 16" xfId="232" xr:uid="{00000000-0005-0000-0000-0000E7000000}"/>
    <cellStyle name="60% - Accent4 2" xfId="233" xr:uid="{00000000-0005-0000-0000-0000E8000000}"/>
    <cellStyle name="60% - Accent4 3" xfId="234" xr:uid="{00000000-0005-0000-0000-0000E9000000}"/>
    <cellStyle name="60% - Accent4 4" xfId="235" xr:uid="{00000000-0005-0000-0000-0000EA000000}"/>
    <cellStyle name="60% - Accent4 5" xfId="236" xr:uid="{00000000-0005-0000-0000-0000EB000000}"/>
    <cellStyle name="60% - Accent4 6" xfId="237" xr:uid="{00000000-0005-0000-0000-0000EC000000}"/>
    <cellStyle name="60% - Accent4 7" xfId="238" xr:uid="{00000000-0005-0000-0000-0000ED000000}"/>
    <cellStyle name="60% - Accent4 8" xfId="239" xr:uid="{00000000-0005-0000-0000-0000EE000000}"/>
    <cellStyle name="60% - Accent4 9" xfId="240" xr:uid="{00000000-0005-0000-0000-0000EF000000}"/>
    <cellStyle name="60% - Accent5 10" xfId="241" xr:uid="{00000000-0005-0000-0000-0000F0000000}"/>
    <cellStyle name="60% - Accent5 11" xfId="242" xr:uid="{00000000-0005-0000-0000-0000F1000000}"/>
    <cellStyle name="60% - Accent5 12" xfId="243" xr:uid="{00000000-0005-0000-0000-0000F2000000}"/>
    <cellStyle name="60% - Accent5 13" xfId="244" xr:uid="{00000000-0005-0000-0000-0000F3000000}"/>
    <cellStyle name="60% - Accent5 14" xfId="245" xr:uid="{00000000-0005-0000-0000-0000F4000000}"/>
    <cellStyle name="60% - Accent5 15" xfId="246" xr:uid="{00000000-0005-0000-0000-0000F5000000}"/>
    <cellStyle name="60% - Accent5 16" xfId="247" xr:uid="{00000000-0005-0000-0000-0000F6000000}"/>
    <cellStyle name="60% - Accent5 2" xfId="248" xr:uid="{00000000-0005-0000-0000-0000F7000000}"/>
    <cellStyle name="60% - Accent5 3" xfId="249" xr:uid="{00000000-0005-0000-0000-0000F8000000}"/>
    <cellStyle name="60% - Accent5 4" xfId="250" xr:uid="{00000000-0005-0000-0000-0000F9000000}"/>
    <cellStyle name="60% - Accent5 5" xfId="251" xr:uid="{00000000-0005-0000-0000-0000FA000000}"/>
    <cellStyle name="60% - Accent5 6" xfId="252" xr:uid="{00000000-0005-0000-0000-0000FB000000}"/>
    <cellStyle name="60% - Accent5 7" xfId="253" xr:uid="{00000000-0005-0000-0000-0000FC000000}"/>
    <cellStyle name="60% - Accent5 8" xfId="254" xr:uid="{00000000-0005-0000-0000-0000FD000000}"/>
    <cellStyle name="60% - Accent5 9" xfId="255" xr:uid="{00000000-0005-0000-0000-0000FE000000}"/>
    <cellStyle name="60% - Accent6 10" xfId="256" xr:uid="{00000000-0005-0000-0000-0000FF000000}"/>
    <cellStyle name="60% - Accent6 11" xfId="257" xr:uid="{00000000-0005-0000-0000-000000010000}"/>
    <cellStyle name="60% - Accent6 12" xfId="258" xr:uid="{00000000-0005-0000-0000-000001010000}"/>
    <cellStyle name="60% - Accent6 13" xfId="259" xr:uid="{00000000-0005-0000-0000-000002010000}"/>
    <cellStyle name="60% - Accent6 14" xfId="260" xr:uid="{00000000-0005-0000-0000-000003010000}"/>
    <cellStyle name="60% - Accent6 15" xfId="261" xr:uid="{00000000-0005-0000-0000-000004010000}"/>
    <cellStyle name="60% - Accent6 16" xfId="262" xr:uid="{00000000-0005-0000-0000-000005010000}"/>
    <cellStyle name="60% - Accent6 2" xfId="263" xr:uid="{00000000-0005-0000-0000-000006010000}"/>
    <cellStyle name="60% - Accent6 3" xfId="264" xr:uid="{00000000-0005-0000-0000-000007010000}"/>
    <cellStyle name="60% - Accent6 4" xfId="265" xr:uid="{00000000-0005-0000-0000-000008010000}"/>
    <cellStyle name="60% - Accent6 5" xfId="266" xr:uid="{00000000-0005-0000-0000-000009010000}"/>
    <cellStyle name="60% - Accent6 6" xfId="267" xr:uid="{00000000-0005-0000-0000-00000A010000}"/>
    <cellStyle name="60% - Accent6 7" xfId="268" xr:uid="{00000000-0005-0000-0000-00000B010000}"/>
    <cellStyle name="60% - Accent6 8" xfId="269" xr:uid="{00000000-0005-0000-0000-00000C010000}"/>
    <cellStyle name="60% - Accent6 9" xfId="270" xr:uid="{00000000-0005-0000-0000-00000D010000}"/>
    <cellStyle name="Accent1 10" xfId="271" xr:uid="{00000000-0005-0000-0000-00000E010000}"/>
    <cellStyle name="Accent1 11" xfId="272" xr:uid="{00000000-0005-0000-0000-00000F010000}"/>
    <cellStyle name="Accent1 12" xfId="273" xr:uid="{00000000-0005-0000-0000-000010010000}"/>
    <cellStyle name="Accent1 13" xfId="274" xr:uid="{00000000-0005-0000-0000-000011010000}"/>
    <cellStyle name="Accent1 14" xfId="275" xr:uid="{00000000-0005-0000-0000-000012010000}"/>
    <cellStyle name="Accent1 15" xfId="276" xr:uid="{00000000-0005-0000-0000-000013010000}"/>
    <cellStyle name="Accent1 16" xfId="277" xr:uid="{00000000-0005-0000-0000-000014010000}"/>
    <cellStyle name="Accent1 2" xfId="278" xr:uid="{00000000-0005-0000-0000-000015010000}"/>
    <cellStyle name="Accent1 3" xfId="279" xr:uid="{00000000-0005-0000-0000-000016010000}"/>
    <cellStyle name="Accent1 4" xfId="280" xr:uid="{00000000-0005-0000-0000-000017010000}"/>
    <cellStyle name="Accent1 5" xfId="281" xr:uid="{00000000-0005-0000-0000-000018010000}"/>
    <cellStyle name="Accent1 6" xfId="282" xr:uid="{00000000-0005-0000-0000-000019010000}"/>
    <cellStyle name="Accent1 7" xfId="283" xr:uid="{00000000-0005-0000-0000-00001A010000}"/>
    <cellStyle name="Accent1 8" xfId="284" xr:uid="{00000000-0005-0000-0000-00001B010000}"/>
    <cellStyle name="Accent1 9" xfId="285" xr:uid="{00000000-0005-0000-0000-00001C010000}"/>
    <cellStyle name="Accent2 10" xfId="286" xr:uid="{00000000-0005-0000-0000-00001D010000}"/>
    <cellStyle name="Accent2 11" xfId="287" xr:uid="{00000000-0005-0000-0000-00001E010000}"/>
    <cellStyle name="Accent2 12" xfId="288" xr:uid="{00000000-0005-0000-0000-00001F010000}"/>
    <cellStyle name="Accent2 13" xfId="289" xr:uid="{00000000-0005-0000-0000-000020010000}"/>
    <cellStyle name="Accent2 14" xfId="290" xr:uid="{00000000-0005-0000-0000-000021010000}"/>
    <cellStyle name="Accent2 15" xfId="291" xr:uid="{00000000-0005-0000-0000-000022010000}"/>
    <cellStyle name="Accent2 16" xfId="292" xr:uid="{00000000-0005-0000-0000-000023010000}"/>
    <cellStyle name="Accent2 2" xfId="293" xr:uid="{00000000-0005-0000-0000-000024010000}"/>
    <cellStyle name="Accent2 3" xfId="294" xr:uid="{00000000-0005-0000-0000-000025010000}"/>
    <cellStyle name="Accent2 4" xfId="295" xr:uid="{00000000-0005-0000-0000-000026010000}"/>
    <cellStyle name="Accent2 5" xfId="296" xr:uid="{00000000-0005-0000-0000-000027010000}"/>
    <cellStyle name="Accent2 6" xfId="297" xr:uid="{00000000-0005-0000-0000-000028010000}"/>
    <cellStyle name="Accent2 7" xfId="298" xr:uid="{00000000-0005-0000-0000-000029010000}"/>
    <cellStyle name="Accent2 8" xfId="299" xr:uid="{00000000-0005-0000-0000-00002A010000}"/>
    <cellStyle name="Accent2 9" xfId="300" xr:uid="{00000000-0005-0000-0000-00002B010000}"/>
    <cellStyle name="Accent3 10" xfId="301" xr:uid="{00000000-0005-0000-0000-00002C010000}"/>
    <cellStyle name="Accent3 11" xfId="302" xr:uid="{00000000-0005-0000-0000-00002D010000}"/>
    <cellStyle name="Accent3 12" xfId="303" xr:uid="{00000000-0005-0000-0000-00002E010000}"/>
    <cellStyle name="Accent3 13" xfId="304" xr:uid="{00000000-0005-0000-0000-00002F010000}"/>
    <cellStyle name="Accent3 14" xfId="305" xr:uid="{00000000-0005-0000-0000-000030010000}"/>
    <cellStyle name="Accent3 15" xfId="306" xr:uid="{00000000-0005-0000-0000-000031010000}"/>
    <cellStyle name="Accent3 16" xfId="307" xr:uid="{00000000-0005-0000-0000-000032010000}"/>
    <cellStyle name="Accent3 2" xfId="308" xr:uid="{00000000-0005-0000-0000-000033010000}"/>
    <cellStyle name="Accent3 3" xfId="309" xr:uid="{00000000-0005-0000-0000-000034010000}"/>
    <cellStyle name="Accent3 4" xfId="310" xr:uid="{00000000-0005-0000-0000-000035010000}"/>
    <cellStyle name="Accent3 5" xfId="311" xr:uid="{00000000-0005-0000-0000-000036010000}"/>
    <cellStyle name="Accent3 6" xfId="312" xr:uid="{00000000-0005-0000-0000-000037010000}"/>
    <cellStyle name="Accent3 7" xfId="313" xr:uid="{00000000-0005-0000-0000-000038010000}"/>
    <cellStyle name="Accent3 8" xfId="314" xr:uid="{00000000-0005-0000-0000-000039010000}"/>
    <cellStyle name="Accent3 9" xfId="315" xr:uid="{00000000-0005-0000-0000-00003A010000}"/>
    <cellStyle name="Accent4 10" xfId="316" xr:uid="{00000000-0005-0000-0000-00003B010000}"/>
    <cellStyle name="Accent4 11" xfId="317" xr:uid="{00000000-0005-0000-0000-00003C010000}"/>
    <cellStyle name="Accent4 12" xfId="318" xr:uid="{00000000-0005-0000-0000-00003D010000}"/>
    <cellStyle name="Accent4 13" xfId="319" xr:uid="{00000000-0005-0000-0000-00003E010000}"/>
    <cellStyle name="Accent4 14" xfId="320" xr:uid="{00000000-0005-0000-0000-00003F010000}"/>
    <cellStyle name="Accent4 15" xfId="321" xr:uid="{00000000-0005-0000-0000-000040010000}"/>
    <cellStyle name="Accent4 16" xfId="322" xr:uid="{00000000-0005-0000-0000-000041010000}"/>
    <cellStyle name="Accent4 2" xfId="323" xr:uid="{00000000-0005-0000-0000-000042010000}"/>
    <cellStyle name="Accent4 3" xfId="324" xr:uid="{00000000-0005-0000-0000-000043010000}"/>
    <cellStyle name="Accent4 4" xfId="325" xr:uid="{00000000-0005-0000-0000-000044010000}"/>
    <cellStyle name="Accent4 5" xfId="326" xr:uid="{00000000-0005-0000-0000-000045010000}"/>
    <cellStyle name="Accent4 6" xfId="327" xr:uid="{00000000-0005-0000-0000-000046010000}"/>
    <cellStyle name="Accent4 7" xfId="328" xr:uid="{00000000-0005-0000-0000-000047010000}"/>
    <cellStyle name="Accent4 8" xfId="329" xr:uid="{00000000-0005-0000-0000-000048010000}"/>
    <cellStyle name="Accent4 9" xfId="330" xr:uid="{00000000-0005-0000-0000-000049010000}"/>
    <cellStyle name="Accent5 10" xfId="331" xr:uid="{00000000-0005-0000-0000-00004A010000}"/>
    <cellStyle name="Accent5 11" xfId="332" xr:uid="{00000000-0005-0000-0000-00004B010000}"/>
    <cellStyle name="Accent5 12" xfId="333" xr:uid="{00000000-0005-0000-0000-00004C010000}"/>
    <cellStyle name="Accent5 13" xfId="334" xr:uid="{00000000-0005-0000-0000-00004D010000}"/>
    <cellStyle name="Accent5 14" xfId="335" xr:uid="{00000000-0005-0000-0000-00004E010000}"/>
    <cellStyle name="Accent5 15" xfId="336" xr:uid="{00000000-0005-0000-0000-00004F010000}"/>
    <cellStyle name="Accent5 16" xfId="337" xr:uid="{00000000-0005-0000-0000-000050010000}"/>
    <cellStyle name="Accent5 2" xfId="338" xr:uid="{00000000-0005-0000-0000-000051010000}"/>
    <cellStyle name="Accent5 3" xfId="339" xr:uid="{00000000-0005-0000-0000-000052010000}"/>
    <cellStyle name="Accent5 4" xfId="340" xr:uid="{00000000-0005-0000-0000-000053010000}"/>
    <cellStyle name="Accent5 5" xfId="341" xr:uid="{00000000-0005-0000-0000-000054010000}"/>
    <cellStyle name="Accent5 6" xfId="342" xr:uid="{00000000-0005-0000-0000-000055010000}"/>
    <cellStyle name="Accent5 7" xfId="343" xr:uid="{00000000-0005-0000-0000-000056010000}"/>
    <cellStyle name="Accent5 8" xfId="344" xr:uid="{00000000-0005-0000-0000-000057010000}"/>
    <cellStyle name="Accent5 9" xfId="345" xr:uid="{00000000-0005-0000-0000-000058010000}"/>
    <cellStyle name="Accent6 10" xfId="346" xr:uid="{00000000-0005-0000-0000-000059010000}"/>
    <cellStyle name="Accent6 11" xfId="347" xr:uid="{00000000-0005-0000-0000-00005A010000}"/>
    <cellStyle name="Accent6 12" xfId="348" xr:uid="{00000000-0005-0000-0000-00005B010000}"/>
    <cellStyle name="Accent6 13" xfId="349" xr:uid="{00000000-0005-0000-0000-00005C010000}"/>
    <cellStyle name="Accent6 14" xfId="350" xr:uid="{00000000-0005-0000-0000-00005D010000}"/>
    <cellStyle name="Accent6 15" xfId="351" xr:uid="{00000000-0005-0000-0000-00005E010000}"/>
    <cellStyle name="Accent6 16" xfId="352" xr:uid="{00000000-0005-0000-0000-00005F010000}"/>
    <cellStyle name="Accent6 2" xfId="353" xr:uid="{00000000-0005-0000-0000-000060010000}"/>
    <cellStyle name="Accent6 3" xfId="354" xr:uid="{00000000-0005-0000-0000-000061010000}"/>
    <cellStyle name="Accent6 4" xfId="355" xr:uid="{00000000-0005-0000-0000-000062010000}"/>
    <cellStyle name="Accent6 5" xfId="356" xr:uid="{00000000-0005-0000-0000-000063010000}"/>
    <cellStyle name="Accent6 6" xfId="357" xr:uid="{00000000-0005-0000-0000-000064010000}"/>
    <cellStyle name="Accent6 7" xfId="358" xr:uid="{00000000-0005-0000-0000-000065010000}"/>
    <cellStyle name="Accent6 8" xfId="359" xr:uid="{00000000-0005-0000-0000-000066010000}"/>
    <cellStyle name="Accent6 9" xfId="360" xr:uid="{00000000-0005-0000-0000-000067010000}"/>
    <cellStyle name="Berekening 10" xfId="361" xr:uid="{00000000-0005-0000-0000-000068010000}"/>
    <cellStyle name="Berekening 11" xfId="362" xr:uid="{00000000-0005-0000-0000-000069010000}"/>
    <cellStyle name="Berekening 12" xfId="363" xr:uid="{00000000-0005-0000-0000-00006A010000}"/>
    <cellStyle name="Berekening 13" xfId="364" xr:uid="{00000000-0005-0000-0000-00006B010000}"/>
    <cellStyle name="Berekening 14" xfId="365" xr:uid="{00000000-0005-0000-0000-00006C010000}"/>
    <cellStyle name="Berekening 15" xfId="366" xr:uid="{00000000-0005-0000-0000-00006D010000}"/>
    <cellStyle name="Berekening 16" xfId="367" xr:uid="{00000000-0005-0000-0000-00006E010000}"/>
    <cellStyle name="Berekening 2" xfId="368" xr:uid="{00000000-0005-0000-0000-00006F010000}"/>
    <cellStyle name="Berekening 3" xfId="369" xr:uid="{00000000-0005-0000-0000-000070010000}"/>
    <cellStyle name="Berekening 4" xfId="370" xr:uid="{00000000-0005-0000-0000-000071010000}"/>
    <cellStyle name="Berekening 5" xfId="371" xr:uid="{00000000-0005-0000-0000-000072010000}"/>
    <cellStyle name="Berekening 6" xfId="372" xr:uid="{00000000-0005-0000-0000-000073010000}"/>
    <cellStyle name="Berekening 7" xfId="373" xr:uid="{00000000-0005-0000-0000-000074010000}"/>
    <cellStyle name="Berekening 8" xfId="374" xr:uid="{00000000-0005-0000-0000-000075010000}"/>
    <cellStyle name="Berekening 9" xfId="375" xr:uid="{00000000-0005-0000-0000-000076010000}"/>
    <cellStyle name="Controlecel 10" xfId="376" xr:uid="{00000000-0005-0000-0000-000077010000}"/>
    <cellStyle name="Controlecel 11" xfId="377" xr:uid="{00000000-0005-0000-0000-000078010000}"/>
    <cellStyle name="Controlecel 12" xfId="378" xr:uid="{00000000-0005-0000-0000-000079010000}"/>
    <cellStyle name="Controlecel 13" xfId="379" xr:uid="{00000000-0005-0000-0000-00007A010000}"/>
    <cellStyle name="Controlecel 14" xfId="380" xr:uid="{00000000-0005-0000-0000-00007B010000}"/>
    <cellStyle name="Controlecel 15" xfId="381" xr:uid="{00000000-0005-0000-0000-00007C010000}"/>
    <cellStyle name="Controlecel 16" xfId="382" xr:uid="{00000000-0005-0000-0000-00007D010000}"/>
    <cellStyle name="Controlecel 2" xfId="383" xr:uid="{00000000-0005-0000-0000-00007E010000}"/>
    <cellStyle name="Controlecel 3" xfId="384" xr:uid="{00000000-0005-0000-0000-00007F010000}"/>
    <cellStyle name="Controlecel 4" xfId="385" xr:uid="{00000000-0005-0000-0000-000080010000}"/>
    <cellStyle name="Controlecel 5" xfId="386" xr:uid="{00000000-0005-0000-0000-000081010000}"/>
    <cellStyle name="Controlecel 6" xfId="387" xr:uid="{00000000-0005-0000-0000-000082010000}"/>
    <cellStyle name="Controlecel 7" xfId="388" xr:uid="{00000000-0005-0000-0000-000083010000}"/>
    <cellStyle name="Controlecel 8" xfId="389" xr:uid="{00000000-0005-0000-0000-000084010000}"/>
    <cellStyle name="Controlecel 9" xfId="390" xr:uid="{00000000-0005-0000-0000-000085010000}"/>
    <cellStyle name="Euro" xfId="391" xr:uid="{00000000-0005-0000-0000-000086010000}"/>
    <cellStyle name="Gekoppelde cel 10" xfId="392" xr:uid="{00000000-0005-0000-0000-000087010000}"/>
    <cellStyle name="Gekoppelde cel 11" xfId="393" xr:uid="{00000000-0005-0000-0000-000088010000}"/>
    <cellStyle name="Gekoppelde cel 12" xfId="394" xr:uid="{00000000-0005-0000-0000-000089010000}"/>
    <cellStyle name="Gekoppelde cel 13" xfId="395" xr:uid="{00000000-0005-0000-0000-00008A010000}"/>
    <cellStyle name="Gekoppelde cel 14" xfId="396" xr:uid="{00000000-0005-0000-0000-00008B010000}"/>
    <cellStyle name="Gekoppelde cel 15" xfId="397" xr:uid="{00000000-0005-0000-0000-00008C010000}"/>
    <cellStyle name="Gekoppelde cel 16" xfId="398" xr:uid="{00000000-0005-0000-0000-00008D010000}"/>
    <cellStyle name="Gekoppelde cel 2" xfId="399" xr:uid="{00000000-0005-0000-0000-00008E010000}"/>
    <cellStyle name="Gekoppelde cel 3" xfId="400" xr:uid="{00000000-0005-0000-0000-00008F010000}"/>
    <cellStyle name="Gekoppelde cel 4" xfId="401" xr:uid="{00000000-0005-0000-0000-000090010000}"/>
    <cellStyle name="Gekoppelde cel 5" xfId="402" xr:uid="{00000000-0005-0000-0000-000091010000}"/>
    <cellStyle name="Gekoppelde cel 6" xfId="403" xr:uid="{00000000-0005-0000-0000-000092010000}"/>
    <cellStyle name="Gekoppelde cel 7" xfId="404" xr:uid="{00000000-0005-0000-0000-000093010000}"/>
    <cellStyle name="Gekoppelde cel 8" xfId="405" xr:uid="{00000000-0005-0000-0000-000094010000}"/>
    <cellStyle name="Gekoppelde cel 9" xfId="406" xr:uid="{00000000-0005-0000-0000-000095010000}"/>
    <cellStyle name="Goed 10" xfId="407" xr:uid="{00000000-0005-0000-0000-000096010000}"/>
    <cellStyle name="Goed 11" xfId="408" xr:uid="{00000000-0005-0000-0000-000097010000}"/>
    <cellStyle name="Goed 12" xfId="409" xr:uid="{00000000-0005-0000-0000-000098010000}"/>
    <cellStyle name="Goed 13" xfId="410" xr:uid="{00000000-0005-0000-0000-000099010000}"/>
    <cellStyle name="Goed 14" xfId="411" xr:uid="{00000000-0005-0000-0000-00009A010000}"/>
    <cellStyle name="Goed 15" xfId="412" xr:uid="{00000000-0005-0000-0000-00009B010000}"/>
    <cellStyle name="Goed 16" xfId="413" xr:uid="{00000000-0005-0000-0000-00009C010000}"/>
    <cellStyle name="Goed 2" xfId="414" xr:uid="{00000000-0005-0000-0000-00009D010000}"/>
    <cellStyle name="Goed 3" xfId="415" xr:uid="{00000000-0005-0000-0000-00009E010000}"/>
    <cellStyle name="Goed 4" xfId="416" xr:uid="{00000000-0005-0000-0000-00009F010000}"/>
    <cellStyle name="Goed 5" xfId="417" xr:uid="{00000000-0005-0000-0000-0000A0010000}"/>
    <cellStyle name="Goed 6" xfId="418" xr:uid="{00000000-0005-0000-0000-0000A1010000}"/>
    <cellStyle name="Goed 7" xfId="419" xr:uid="{00000000-0005-0000-0000-0000A2010000}"/>
    <cellStyle name="Goed 8" xfId="420" xr:uid="{00000000-0005-0000-0000-0000A3010000}"/>
    <cellStyle name="Goed 9" xfId="421" xr:uid="{00000000-0005-0000-0000-0000A4010000}"/>
    <cellStyle name="Invoer 10" xfId="422" xr:uid="{00000000-0005-0000-0000-0000A5010000}"/>
    <cellStyle name="Invoer 11" xfId="423" xr:uid="{00000000-0005-0000-0000-0000A6010000}"/>
    <cellStyle name="Invoer 12" xfId="424" xr:uid="{00000000-0005-0000-0000-0000A7010000}"/>
    <cellStyle name="Invoer 13" xfId="425" xr:uid="{00000000-0005-0000-0000-0000A8010000}"/>
    <cellStyle name="Invoer 14" xfId="426" xr:uid="{00000000-0005-0000-0000-0000A9010000}"/>
    <cellStyle name="Invoer 15" xfId="427" xr:uid="{00000000-0005-0000-0000-0000AA010000}"/>
    <cellStyle name="Invoer 16" xfId="428" xr:uid="{00000000-0005-0000-0000-0000AB010000}"/>
    <cellStyle name="Invoer 2" xfId="429" xr:uid="{00000000-0005-0000-0000-0000AC010000}"/>
    <cellStyle name="Invoer 3" xfId="430" xr:uid="{00000000-0005-0000-0000-0000AD010000}"/>
    <cellStyle name="Invoer 4" xfId="431" xr:uid="{00000000-0005-0000-0000-0000AE010000}"/>
    <cellStyle name="Invoer 5" xfId="432" xr:uid="{00000000-0005-0000-0000-0000AF010000}"/>
    <cellStyle name="Invoer 6" xfId="433" xr:uid="{00000000-0005-0000-0000-0000B0010000}"/>
    <cellStyle name="Invoer 7" xfId="434" xr:uid="{00000000-0005-0000-0000-0000B1010000}"/>
    <cellStyle name="Invoer 8" xfId="435" xr:uid="{00000000-0005-0000-0000-0000B2010000}"/>
    <cellStyle name="Invoer 9" xfId="436" xr:uid="{00000000-0005-0000-0000-0000B3010000}"/>
    <cellStyle name="Kop 1 10" xfId="437" xr:uid="{00000000-0005-0000-0000-0000B4010000}"/>
    <cellStyle name="Kop 1 11" xfId="438" xr:uid="{00000000-0005-0000-0000-0000B5010000}"/>
    <cellStyle name="Kop 1 12" xfId="439" xr:uid="{00000000-0005-0000-0000-0000B6010000}"/>
    <cellStyle name="Kop 1 13" xfId="440" xr:uid="{00000000-0005-0000-0000-0000B7010000}"/>
    <cellStyle name="Kop 1 14" xfId="441" xr:uid="{00000000-0005-0000-0000-0000B8010000}"/>
    <cellStyle name="Kop 1 15" xfId="442" xr:uid="{00000000-0005-0000-0000-0000B9010000}"/>
    <cellStyle name="Kop 1 16" xfId="443" xr:uid="{00000000-0005-0000-0000-0000BA010000}"/>
    <cellStyle name="Kop 1 2" xfId="444" xr:uid="{00000000-0005-0000-0000-0000BB010000}"/>
    <cellStyle name="Kop 1 3" xfId="445" xr:uid="{00000000-0005-0000-0000-0000BC010000}"/>
    <cellStyle name="Kop 1 4" xfId="446" xr:uid="{00000000-0005-0000-0000-0000BD010000}"/>
    <cellStyle name="Kop 1 5" xfId="447" xr:uid="{00000000-0005-0000-0000-0000BE010000}"/>
    <cellStyle name="Kop 1 6" xfId="448" xr:uid="{00000000-0005-0000-0000-0000BF010000}"/>
    <cellStyle name="Kop 1 7" xfId="449" xr:uid="{00000000-0005-0000-0000-0000C0010000}"/>
    <cellStyle name="Kop 1 8" xfId="450" xr:uid="{00000000-0005-0000-0000-0000C1010000}"/>
    <cellStyle name="Kop 1 9" xfId="451" xr:uid="{00000000-0005-0000-0000-0000C2010000}"/>
    <cellStyle name="Kop 2 10" xfId="452" xr:uid="{00000000-0005-0000-0000-0000C3010000}"/>
    <cellStyle name="Kop 2 11" xfId="453" xr:uid="{00000000-0005-0000-0000-0000C4010000}"/>
    <cellStyle name="Kop 2 12" xfId="454" xr:uid="{00000000-0005-0000-0000-0000C5010000}"/>
    <cellStyle name="Kop 2 13" xfId="455" xr:uid="{00000000-0005-0000-0000-0000C6010000}"/>
    <cellStyle name="Kop 2 14" xfId="456" xr:uid="{00000000-0005-0000-0000-0000C7010000}"/>
    <cellStyle name="Kop 2 15" xfId="457" xr:uid="{00000000-0005-0000-0000-0000C8010000}"/>
    <cellStyle name="Kop 2 16" xfId="458" xr:uid="{00000000-0005-0000-0000-0000C9010000}"/>
    <cellStyle name="Kop 2 2" xfId="459" xr:uid="{00000000-0005-0000-0000-0000CA010000}"/>
    <cellStyle name="Kop 2 3" xfId="460" xr:uid="{00000000-0005-0000-0000-0000CB010000}"/>
    <cellStyle name="Kop 2 4" xfId="461" xr:uid="{00000000-0005-0000-0000-0000CC010000}"/>
    <cellStyle name="Kop 2 5" xfId="462" xr:uid="{00000000-0005-0000-0000-0000CD010000}"/>
    <cellStyle name="Kop 2 6" xfId="463" xr:uid="{00000000-0005-0000-0000-0000CE010000}"/>
    <cellStyle name="Kop 2 7" xfId="464" xr:uid="{00000000-0005-0000-0000-0000CF010000}"/>
    <cellStyle name="Kop 2 8" xfId="465" xr:uid="{00000000-0005-0000-0000-0000D0010000}"/>
    <cellStyle name="Kop 2 9" xfId="466" xr:uid="{00000000-0005-0000-0000-0000D1010000}"/>
    <cellStyle name="Kop 3 10" xfId="467" xr:uid="{00000000-0005-0000-0000-0000D2010000}"/>
    <cellStyle name="Kop 3 11" xfId="468" xr:uid="{00000000-0005-0000-0000-0000D3010000}"/>
    <cellStyle name="Kop 3 12" xfId="469" xr:uid="{00000000-0005-0000-0000-0000D4010000}"/>
    <cellStyle name="Kop 3 13" xfId="470" xr:uid="{00000000-0005-0000-0000-0000D5010000}"/>
    <cellStyle name="Kop 3 14" xfId="471" xr:uid="{00000000-0005-0000-0000-0000D6010000}"/>
    <cellStyle name="Kop 3 15" xfId="472" xr:uid="{00000000-0005-0000-0000-0000D7010000}"/>
    <cellStyle name="Kop 3 16" xfId="473" xr:uid="{00000000-0005-0000-0000-0000D8010000}"/>
    <cellStyle name="Kop 3 2" xfId="474" xr:uid="{00000000-0005-0000-0000-0000D9010000}"/>
    <cellStyle name="Kop 3 3" xfId="475" xr:uid="{00000000-0005-0000-0000-0000DA010000}"/>
    <cellStyle name="Kop 3 4" xfId="476" xr:uid="{00000000-0005-0000-0000-0000DB010000}"/>
    <cellStyle name="Kop 3 5" xfId="477" xr:uid="{00000000-0005-0000-0000-0000DC010000}"/>
    <cellStyle name="Kop 3 6" xfId="478" xr:uid="{00000000-0005-0000-0000-0000DD010000}"/>
    <cellStyle name="Kop 3 7" xfId="479" xr:uid="{00000000-0005-0000-0000-0000DE010000}"/>
    <cellStyle name="Kop 3 8" xfId="480" xr:uid="{00000000-0005-0000-0000-0000DF010000}"/>
    <cellStyle name="Kop 3 9" xfId="481" xr:uid="{00000000-0005-0000-0000-0000E0010000}"/>
    <cellStyle name="Kop 4 10" xfId="482" xr:uid="{00000000-0005-0000-0000-0000E1010000}"/>
    <cellStyle name="Kop 4 11" xfId="483" xr:uid="{00000000-0005-0000-0000-0000E2010000}"/>
    <cellStyle name="Kop 4 12" xfId="484" xr:uid="{00000000-0005-0000-0000-0000E3010000}"/>
    <cellStyle name="Kop 4 13" xfId="485" xr:uid="{00000000-0005-0000-0000-0000E4010000}"/>
    <cellStyle name="Kop 4 14" xfId="486" xr:uid="{00000000-0005-0000-0000-0000E5010000}"/>
    <cellStyle name="Kop 4 15" xfId="487" xr:uid="{00000000-0005-0000-0000-0000E6010000}"/>
    <cellStyle name="Kop 4 16" xfId="488" xr:uid="{00000000-0005-0000-0000-0000E7010000}"/>
    <cellStyle name="Kop 4 2" xfId="489" xr:uid="{00000000-0005-0000-0000-0000E8010000}"/>
    <cellStyle name="Kop 4 3" xfId="490" xr:uid="{00000000-0005-0000-0000-0000E9010000}"/>
    <cellStyle name="Kop 4 4" xfId="491" xr:uid="{00000000-0005-0000-0000-0000EA010000}"/>
    <cellStyle name="Kop 4 5" xfId="492" xr:uid="{00000000-0005-0000-0000-0000EB010000}"/>
    <cellStyle name="Kop 4 6" xfId="493" xr:uid="{00000000-0005-0000-0000-0000EC010000}"/>
    <cellStyle name="Kop 4 7" xfId="494" xr:uid="{00000000-0005-0000-0000-0000ED010000}"/>
    <cellStyle name="Kop 4 8" xfId="495" xr:uid="{00000000-0005-0000-0000-0000EE010000}"/>
    <cellStyle name="Kop 4 9" xfId="496" xr:uid="{00000000-0005-0000-0000-0000EF010000}"/>
    <cellStyle name="Neutraal 10" xfId="497" xr:uid="{00000000-0005-0000-0000-0000F0010000}"/>
    <cellStyle name="Neutraal 11" xfId="498" xr:uid="{00000000-0005-0000-0000-0000F1010000}"/>
    <cellStyle name="Neutraal 12" xfId="499" xr:uid="{00000000-0005-0000-0000-0000F2010000}"/>
    <cellStyle name="Neutraal 13" xfId="500" xr:uid="{00000000-0005-0000-0000-0000F3010000}"/>
    <cellStyle name="Neutraal 14" xfId="501" xr:uid="{00000000-0005-0000-0000-0000F4010000}"/>
    <cellStyle name="Neutraal 15" xfId="502" xr:uid="{00000000-0005-0000-0000-0000F5010000}"/>
    <cellStyle name="Neutraal 16" xfId="503" xr:uid="{00000000-0005-0000-0000-0000F6010000}"/>
    <cellStyle name="Neutraal 2" xfId="504" xr:uid="{00000000-0005-0000-0000-0000F7010000}"/>
    <cellStyle name="Neutraal 3" xfId="505" xr:uid="{00000000-0005-0000-0000-0000F8010000}"/>
    <cellStyle name="Neutraal 4" xfId="506" xr:uid="{00000000-0005-0000-0000-0000F9010000}"/>
    <cellStyle name="Neutraal 5" xfId="507" xr:uid="{00000000-0005-0000-0000-0000FA010000}"/>
    <cellStyle name="Neutraal 6" xfId="508" xr:uid="{00000000-0005-0000-0000-0000FB010000}"/>
    <cellStyle name="Neutraal 7" xfId="509" xr:uid="{00000000-0005-0000-0000-0000FC010000}"/>
    <cellStyle name="Neutraal 8" xfId="510" xr:uid="{00000000-0005-0000-0000-0000FD010000}"/>
    <cellStyle name="Neutraal 9" xfId="511" xr:uid="{00000000-0005-0000-0000-0000FE010000}"/>
    <cellStyle name="Notitie 10" xfId="512" xr:uid="{00000000-0005-0000-0000-0000FF010000}"/>
    <cellStyle name="Notitie 11" xfId="513" xr:uid="{00000000-0005-0000-0000-000000020000}"/>
    <cellStyle name="Notitie 12" xfId="514" xr:uid="{00000000-0005-0000-0000-000001020000}"/>
    <cellStyle name="Notitie 13" xfId="515" xr:uid="{00000000-0005-0000-0000-000002020000}"/>
    <cellStyle name="Notitie 14" xfId="516" xr:uid="{00000000-0005-0000-0000-000003020000}"/>
    <cellStyle name="Notitie 15" xfId="517" xr:uid="{00000000-0005-0000-0000-000004020000}"/>
    <cellStyle name="Notitie 16" xfId="518" xr:uid="{00000000-0005-0000-0000-000005020000}"/>
    <cellStyle name="Notitie 2" xfId="519" xr:uid="{00000000-0005-0000-0000-000006020000}"/>
    <cellStyle name="Notitie 2 2" xfId="520" xr:uid="{00000000-0005-0000-0000-000007020000}"/>
    <cellStyle name="Notitie 3" xfId="521" xr:uid="{00000000-0005-0000-0000-000008020000}"/>
    <cellStyle name="Notitie 4" xfId="522" xr:uid="{00000000-0005-0000-0000-000009020000}"/>
    <cellStyle name="Notitie 5" xfId="523" xr:uid="{00000000-0005-0000-0000-00000A020000}"/>
    <cellStyle name="Notitie 6" xfId="524" xr:uid="{00000000-0005-0000-0000-00000B020000}"/>
    <cellStyle name="Notitie 7" xfId="525" xr:uid="{00000000-0005-0000-0000-00000C020000}"/>
    <cellStyle name="Notitie 8" xfId="526" xr:uid="{00000000-0005-0000-0000-00000D020000}"/>
    <cellStyle name="Notitie 9" xfId="527" xr:uid="{00000000-0005-0000-0000-00000E020000}"/>
    <cellStyle name="Ongeldig 10" xfId="528" xr:uid="{00000000-0005-0000-0000-00000F020000}"/>
    <cellStyle name="Ongeldig 11" xfId="529" xr:uid="{00000000-0005-0000-0000-000010020000}"/>
    <cellStyle name="Ongeldig 12" xfId="530" xr:uid="{00000000-0005-0000-0000-000011020000}"/>
    <cellStyle name="Ongeldig 13" xfId="531" xr:uid="{00000000-0005-0000-0000-000012020000}"/>
    <cellStyle name="Ongeldig 14" xfId="532" xr:uid="{00000000-0005-0000-0000-000013020000}"/>
    <cellStyle name="Ongeldig 15" xfId="533" xr:uid="{00000000-0005-0000-0000-000014020000}"/>
    <cellStyle name="Ongeldig 16" xfId="534" xr:uid="{00000000-0005-0000-0000-000015020000}"/>
    <cellStyle name="Ongeldig 2" xfId="535" xr:uid="{00000000-0005-0000-0000-000016020000}"/>
    <cellStyle name="Ongeldig 3" xfId="536" xr:uid="{00000000-0005-0000-0000-000017020000}"/>
    <cellStyle name="Ongeldig 4" xfId="537" xr:uid="{00000000-0005-0000-0000-000018020000}"/>
    <cellStyle name="Ongeldig 5" xfId="538" xr:uid="{00000000-0005-0000-0000-000019020000}"/>
    <cellStyle name="Ongeldig 6" xfId="539" xr:uid="{00000000-0005-0000-0000-00001A020000}"/>
    <cellStyle name="Ongeldig 7" xfId="540" xr:uid="{00000000-0005-0000-0000-00001B020000}"/>
    <cellStyle name="Ongeldig 8" xfId="541" xr:uid="{00000000-0005-0000-0000-00001C020000}"/>
    <cellStyle name="Ongeldig 9" xfId="542" xr:uid="{00000000-0005-0000-0000-00001D020000}"/>
    <cellStyle name="Procent" xfId="657" builtinId="5"/>
    <cellStyle name="Procent 2" xfId="653" xr:uid="{E8ECA712-BF0F-4B50-9FCE-B789902F9E01}"/>
    <cellStyle name="Standaard" xfId="0" builtinId="0"/>
    <cellStyle name="Standaard 10" xfId="543" xr:uid="{00000000-0005-0000-0000-00001F020000}"/>
    <cellStyle name="Standaard 11" xfId="544" xr:uid="{00000000-0005-0000-0000-000020020000}"/>
    <cellStyle name="Standaard 12" xfId="545" xr:uid="{00000000-0005-0000-0000-000021020000}"/>
    <cellStyle name="Standaard 13" xfId="546" xr:uid="{00000000-0005-0000-0000-000022020000}"/>
    <cellStyle name="Standaard 14" xfId="547" xr:uid="{00000000-0005-0000-0000-000023020000}"/>
    <cellStyle name="Standaard 15" xfId="548" xr:uid="{00000000-0005-0000-0000-000024020000}"/>
    <cellStyle name="Standaard 16" xfId="549" xr:uid="{00000000-0005-0000-0000-000025020000}"/>
    <cellStyle name="Standaard 17" xfId="550" xr:uid="{00000000-0005-0000-0000-000026020000}"/>
    <cellStyle name="Standaard 18" xfId="551" xr:uid="{00000000-0005-0000-0000-000027020000}"/>
    <cellStyle name="Standaard 19" xfId="552" xr:uid="{00000000-0005-0000-0000-000028020000}"/>
    <cellStyle name="Standaard 19 2" xfId="553" xr:uid="{00000000-0005-0000-0000-000029020000}"/>
    <cellStyle name="Standaard 19 2 2" xfId="647" xr:uid="{00000000-0005-0000-0000-00002A020000}"/>
    <cellStyle name="Standaard 19 2 2 2 4" xfId="654" xr:uid="{A4EA8451-0C4D-47D3-A894-81A57724F61B}"/>
    <cellStyle name="Standaard 19 2 3" xfId="646" xr:uid="{00000000-0005-0000-0000-00002B020000}"/>
    <cellStyle name="Standaard 19 3" xfId="554" xr:uid="{00000000-0005-0000-0000-00002C020000}"/>
    <cellStyle name="Standaard 2" xfId="555" xr:uid="{00000000-0005-0000-0000-00002D020000}"/>
    <cellStyle name="Standaard 2 2" xfId="651" xr:uid="{00000000-0005-0000-0000-00002E020000}"/>
    <cellStyle name="Standaard 20" xfId="556" xr:uid="{00000000-0005-0000-0000-00002F020000}"/>
    <cellStyle name="Standaard 21" xfId="557" xr:uid="{00000000-0005-0000-0000-000030020000}"/>
    <cellStyle name="Standaard 22" xfId="558" xr:uid="{00000000-0005-0000-0000-000031020000}"/>
    <cellStyle name="Standaard 23" xfId="559" xr:uid="{00000000-0005-0000-0000-000032020000}"/>
    <cellStyle name="Standaard 24" xfId="560" xr:uid="{00000000-0005-0000-0000-000033020000}"/>
    <cellStyle name="Standaard 25" xfId="648" xr:uid="{00000000-0005-0000-0000-000034020000}"/>
    <cellStyle name="Standaard 26" xfId="649" xr:uid="{00000000-0005-0000-0000-000035020000}"/>
    <cellStyle name="Standaard 27" xfId="655" xr:uid="{EA122097-6310-42CF-B6D2-7218356D7609}"/>
    <cellStyle name="Standaard 3" xfId="561" xr:uid="{00000000-0005-0000-0000-000036020000}"/>
    <cellStyle name="Standaard 3 2" xfId="562" xr:uid="{00000000-0005-0000-0000-000037020000}"/>
    <cellStyle name="Standaard 3 3" xfId="650" xr:uid="{00000000-0005-0000-0000-000038020000}"/>
    <cellStyle name="Standaard 4" xfId="563" xr:uid="{00000000-0005-0000-0000-000039020000}"/>
    <cellStyle name="Standaard 5" xfId="564" xr:uid="{00000000-0005-0000-0000-00003A020000}"/>
    <cellStyle name="Standaard 6" xfId="565" xr:uid="{00000000-0005-0000-0000-00003B020000}"/>
    <cellStyle name="Standaard 7" xfId="566" xr:uid="{00000000-0005-0000-0000-00003C020000}"/>
    <cellStyle name="Standaard 8" xfId="567" xr:uid="{00000000-0005-0000-0000-00003D020000}"/>
    <cellStyle name="Standaard 9" xfId="568" xr:uid="{00000000-0005-0000-0000-00003E020000}"/>
    <cellStyle name="Titel 10" xfId="569" xr:uid="{00000000-0005-0000-0000-00003F020000}"/>
    <cellStyle name="Titel 11" xfId="570" xr:uid="{00000000-0005-0000-0000-000040020000}"/>
    <cellStyle name="Titel 12" xfId="571" xr:uid="{00000000-0005-0000-0000-000041020000}"/>
    <cellStyle name="Titel 13" xfId="572" xr:uid="{00000000-0005-0000-0000-000042020000}"/>
    <cellStyle name="Titel 14" xfId="573" xr:uid="{00000000-0005-0000-0000-000043020000}"/>
    <cellStyle name="Titel 15" xfId="574" xr:uid="{00000000-0005-0000-0000-000044020000}"/>
    <cellStyle name="Titel 16" xfId="575" xr:uid="{00000000-0005-0000-0000-000045020000}"/>
    <cellStyle name="Titel 2" xfId="576" xr:uid="{00000000-0005-0000-0000-000046020000}"/>
    <cellStyle name="Titel 3" xfId="577" xr:uid="{00000000-0005-0000-0000-000047020000}"/>
    <cellStyle name="Titel 4" xfId="578" xr:uid="{00000000-0005-0000-0000-000048020000}"/>
    <cellStyle name="Titel 5" xfId="579" xr:uid="{00000000-0005-0000-0000-000049020000}"/>
    <cellStyle name="Titel 6" xfId="580" xr:uid="{00000000-0005-0000-0000-00004A020000}"/>
    <cellStyle name="Titel 7" xfId="581" xr:uid="{00000000-0005-0000-0000-00004B020000}"/>
    <cellStyle name="Titel 8" xfId="582" xr:uid="{00000000-0005-0000-0000-00004C020000}"/>
    <cellStyle name="Titel 9" xfId="583" xr:uid="{00000000-0005-0000-0000-00004D020000}"/>
    <cellStyle name="Totaal 10" xfId="584" xr:uid="{00000000-0005-0000-0000-00004E020000}"/>
    <cellStyle name="Totaal 11" xfId="585" xr:uid="{00000000-0005-0000-0000-00004F020000}"/>
    <cellStyle name="Totaal 12" xfId="586" xr:uid="{00000000-0005-0000-0000-000050020000}"/>
    <cellStyle name="Totaal 13" xfId="587" xr:uid="{00000000-0005-0000-0000-000051020000}"/>
    <cellStyle name="Totaal 14" xfId="588" xr:uid="{00000000-0005-0000-0000-000052020000}"/>
    <cellStyle name="Totaal 15" xfId="589" xr:uid="{00000000-0005-0000-0000-000053020000}"/>
    <cellStyle name="Totaal 16" xfId="590" xr:uid="{00000000-0005-0000-0000-000054020000}"/>
    <cellStyle name="Totaal 2" xfId="591" xr:uid="{00000000-0005-0000-0000-000055020000}"/>
    <cellStyle name="Totaal 3" xfId="592" xr:uid="{00000000-0005-0000-0000-000056020000}"/>
    <cellStyle name="Totaal 4" xfId="593" xr:uid="{00000000-0005-0000-0000-000057020000}"/>
    <cellStyle name="Totaal 5" xfId="594" xr:uid="{00000000-0005-0000-0000-000058020000}"/>
    <cellStyle name="Totaal 6" xfId="595" xr:uid="{00000000-0005-0000-0000-000059020000}"/>
    <cellStyle name="Totaal 7" xfId="596" xr:uid="{00000000-0005-0000-0000-00005A020000}"/>
    <cellStyle name="Totaal 8" xfId="597" xr:uid="{00000000-0005-0000-0000-00005B020000}"/>
    <cellStyle name="Totaal 9" xfId="598" xr:uid="{00000000-0005-0000-0000-00005C020000}"/>
    <cellStyle name="Uitvoer 10" xfId="599" xr:uid="{00000000-0005-0000-0000-00005D020000}"/>
    <cellStyle name="Uitvoer 11" xfId="600" xr:uid="{00000000-0005-0000-0000-00005E020000}"/>
    <cellStyle name="Uitvoer 12" xfId="601" xr:uid="{00000000-0005-0000-0000-00005F020000}"/>
    <cellStyle name="Uitvoer 13" xfId="602" xr:uid="{00000000-0005-0000-0000-000060020000}"/>
    <cellStyle name="Uitvoer 14" xfId="603" xr:uid="{00000000-0005-0000-0000-000061020000}"/>
    <cellStyle name="Uitvoer 15" xfId="604" xr:uid="{00000000-0005-0000-0000-000062020000}"/>
    <cellStyle name="Uitvoer 16" xfId="605" xr:uid="{00000000-0005-0000-0000-000063020000}"/>
    <cellStyle name="Uitvoer 2" xfId="606" xr:uid="{00000000-0005-0000-0000-000064020000}"/>
    <cellStyle name="Uitvoer 3" xfId="607" xr:uid="{00000000-0005-0000-0000-000065020000}"/>
    <cellStyle name="Uitvoer 4" xfId="608" xr:uid="{00000000-0005-0000-0000-000066020000}"/>
    <cellStyle name="Uitvoer 5" xfId="609" xr:uid="{00000000-0005-0000-0000-000067020000}"/>
    <cellStyle name="Uitvoer 6" xfId="610" xr:uid="{00000000-0005-0000-0000-000068020000}"/>
    <cellStyle name="Uitvoer 7" xfId="611" xr:uid="{00000000-0005-0000-0000-000069020000}"/>
    <cellStyle name="Uitvoer 8" xfId="612" xr:uid="{00000000-0005-0000-0000-00006A020000}"/>
    <cellStyle name="Uitvoer 9" xfId="613" xr:uid="{00000000-0005-0000-0000-00006B020000}"/>
    <cellStyle name="Valuta 2" xfId="614" xr:uid="{00000000-0005-0000-0000-00006C020000}"/>
    <cellStyle name="Valuta 2 2" xfId="615" xr:uid="{00000000-0005-0000-0000-00006D020000}"/>
    <cellStyle name="Valuta 4" xfId="652" xr:uid="{1FCF68ED-8828-4415-B3BF-382FAA88BD3F}"/>
    <cellStyle name="Valuta 4 2" xfId="656" xr:uid="{649DB74B-094E-4F18-924C-77E16E9A9486}"/>
    <cellStyle name="Verklarende tekst 10" xfId="616" xr:uid="{00000000-0005-0000-0000-00006E020000}"/>
    <cellStyle name="Verklarende tekst 11" xfId="617" xr:uid="{00000000-0005-0000-0000-00006F020000}"/>
    <cellStyle name="Verklarende tekst 12" xfId="618" xr:uid="{00000000-0005-0000-0000-000070020000}"/>
    <cellStyle name="Verklarende tekst 13" xfId="619" xr:uid="{00000000-0005-0000-0000-000071020000}"/>
    <cellStyle name="Verklarende tekst 14" xfId="620" xr:uid="{00000000-0005-0000-0000-000072020000}"/>
    <cellStyle name="Verklarende tekst 15" xfId="621" xr:uid="{00000000-0005-0000-0000-000073020000}"/>
    <cellStyle name="Verklarende tekst 16" xfId="622" xr:uid="{00000000-0005-0000-0000-000074020000}"/>
    <cellStyle name="Verklarende tekst 2" xfId="623" xr:uid="{00000000-0005-0000-0000-000075020000}"/>
    <cellStyle name="Verklarende tekst 3" xfId="624" xr:uid="{00000000-0005-0000-0000-000076020000}"/>
    <cellStyle name="Verklarende tekst 4" xfId="625" xr:uid="{00000000-0005-0000-0000-000077020000}"/>
    <cellStyle name="Verklarende tekst 5" xfId="626" xr:uid="{00000000-0005-0000-0000-000078020000}"/>
    <cellStyle name="Verklarende tekst 6" xfId="627" xr:uid="{00000000-0005-0000-0000-000079020000}"/>
    <cellStyle name="Verklarende tekst 7" xfId="628" xr:uid="{00000000-0005-0000-0000-00007A020000}"/>
    <cellStyle name="Verklarende tekst 8" xfId="629" xr:uid="{00000000-0005-0000-0000-00007B020000}"/>
    <cellStyle name="Verklarende tekst 9" xfId="630" xr:uid="{00000000-0005-0000-0000-00007C020000}"/>
    <cellStyle name="Waarschuwingstekst 10" xfId="631" xr:uid="{00000000-0005-0000-0000-00007D020000}"/>
    <cellStyle name="Waarschuwingstekst 11" xfId="632" xr:uid="{00000000-0005-0000-0000-00007E020000}"/>
    <cellStyle name="Waarschuwingstekst 12" xfId="633" xr:uid="{00000000-0005-0000-0000-00007F020000}"/>
    <cellStyle name="Waarschuwingstekst 13" xfId="634" xr:uid="{00000000-0005-0000-0000-000080020000}"/>
    <cellStyle name="Waarschuwingstekst 14" xfId="635" xr:uid="{00000000-0005-0000-0000-000081020000}"/>
    <cellStyle name="Waarschuwingstekst 15" xfId="636" xr:uid="{00000000-0005-0000-0000-000082020000}"/>
    <cellStyle name="Waarschuwingstekst 16" xfId="637" xr:uid="{00000000-0005-0000-0000-000083020000}"/>
    <cellStyle name="Waarschuwingstekst 2" xfId="638" xr:uid="{00000000-0005-0000-0000-000084020000}"/>
    <cellStyle name="Waarschuwingstekst 3" xfId="639" xr:uid="{00000000-0005-0000-0000-000085020000}"/>
    <cellStyle name="Waarschuwingstekst 4" xfId="640" xr:uid="{00000000-0005-0000-0000-000086020000}"/>
    <cellStyle name="Waarschuwingstekst 5" xfId="641" xr:uid="{00000000-0005-0000-0000-000087020000}"/>
    <cellStyle name="Waarschuwingstekst 6" xfId="642" xr:uid="{00000000-0005-0000-0000-000088020000}"/>
    <cellStyle name="Waarschuwingstekst 7" xfId="643" xr:uid="{00000000-0005-0000-0000-000089020000}"/>
    <cellStyle name="Waarschuwingstekst 8" xfId="644" xr:uid="{00000000-0005-0000-0000-00008A020000}"/>
    <cellStyle name="Waarschuwingstekst 9" xfId="645" xr:uid="{00000000-0005-0000-0000-00008B020000}"/>
  </cellStyles>
  <dxfs count="0"/>
  <tableStyles count="0" defaultTableStyle="TableStyleMedium9" defaultPivotStyle="PivotStyleLight16"/>
  <colors>
    <mruColors>
      <color rgb="FFCCECFF"/>
      <color rgb="FF3366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742950</xdr:colOff>
      <xdr:row>1</xdr:row>
      <xdr:rowOff>377820</xdr:rowOff>
    </xdr:from>
    <xdr:to>
      <xdr:col>6</xdr:col>
      <xdr:colOff>386715</xdr:colOff>
      <xdr:row>3</xdr:row>
      <xdr:rowOff>409575</xdr:rowOff>
    </xdr:to>
    <xdr:pic>
      <xdr:nvPicPr>
        <xdr:cNvPr id="2" name="Afbeelding 1" descr="Home - Gemeente Ridderkerk">
          <a:extLst>
            <a:ext uri="{FF2B5EF4-FFF2-40B4-BE49-F238E27FC236}">
              <a16:creationId xmlns:a16="http://schemas.microsoft.com/office/drawing/2014/main" id="{55E067CA-FAB6-89E6-DAFF-9AA1834BED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57450" y="777870"/>
          <a:ext cx="1438275" cy="1921515"/>
        </a:xfrm>
        <a:prstGeom prst="rect">
          <a:avLst/>
        </a:prstGeom>
        <a:noFill/>
        <a:ln>
          <a:noFill/>
        </a:ln>
      </xdr:spPr>
    </xdr:pic>
    <xdr:clientData/>
  </xdr:twoCellAnchor>
  <xdr:twoCellAnchor editAs="oneCell">
    <xdr:from>
      <xdr:col>7</xdr:col>
      <xdr:colOff>0</xdr:colOff>
      <xdr:row>3</xdr:row>
      <xdr:rowOff>0</xdr:rowOff>
    </xdr:from>
    <xdr:to>
      <xdr:col>7</xdr:col>
      <xdr:colOff>304800</xdr:colOff>
      <xdr:row>3</xdr:row>
      <xdr:rowOff>304800</xdr:rowOff>
    </xdr:to>
    <xdr:sp macro="" textlink="">
      <xdr:nvSpPr>
        <xdr:cNvPr id="1025" name="AutoShape 1" descr="Logo de bedrijfsvoerings partner">
          <a:extLst>
            <a:ext uri="{FF2B5EF4-FFF2-40B4-BE49-F238E27FC236}">
              <a16:creationId xmlns:a16="http://schemas.microsoft.com/office/drawing/2014/main" id="{5F4D79EC-1CC5-DB59-1D92-4A7D5AC992B2}"/>
            </a:ext>
          </a:extLst>
        </xdr:cNvPr>
        <xdr:cNvSpPr>
          <a:spLocks noChangeAspect="1" noChangeArrowheads="1"/>
        </xdr:cNvSpPr>
      </xdr:nvSpPr>
      <xdr:spPr bwMode="auto">
        <a:xfrm>
          <a:off x="4400550"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xdr:row>
      <xdr:rowOff>0</xdr:rowOff>
    </xdr:from>
    <xdr:to>
      <xdr:col>7</xdr:col>
      <xdr:colOff>304800</xdr:colOff>
      <xdr:row>3</xdr:row>
      <xdr:rowOff>304800</xdr:rowOff>
    </xdr:to>
    <xdr:sp macro="" textlink="">
      <xdr:nvSpPr>
        <xdr:cNvPr id="1027" name="AutoShape 3" descr="Logo de bedrijfsvoerings partner">
          <a:extLst>
            <a:ext uri="{FF2B5EF4-FFF2-40B4-BE49-F238E27FC236}">
              <a16:creationId xmlns:a16="http://schemas.microsoft.com/office/drawing/2014/main" id="{EF3325F9-E773-E246-CEB1-F6C994875878}"/>
            </a:ext>
          </a:extLst>
        </xdr:cNvPr>
        <xdr:cNvSpPr>
          <a:spLocks noChangeAspect="1" noChangeArrowheads="1"/>
        </xdr:cNvSpPr>
      </xdr:nvSpPr>
      <xdr:spPr bwMode="auto">
        <a:xfrm>
          <a:off x="4400550" y="229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676275</xdr:colOff>
      <xdr:row>4</xdr:row>
      <xdr:rowOff>314325</xdr:rowOff>
    </xdr:from>
    <xdr:to>
      <xdr:col>7</xdr:col>
      <xdr:colOff>496430</xdr:colOff>
      <xdr:row>5</xdr:row>
      <xdr:rowOff>462915</xdr:rowOff>
    </xdr:to>
    <xdr:pic>
      <xdr:nvPicPr>
        <xdr:cNvPr id="4" name="Afbeelding 3">
          <a:extLst>
            <a:ext uri="{FF2B5EF4-FFF2-40B4-BE49-F238E27FC236}">
              <a16:creationId xmlns:a16="http://schemas.microsoft.com/office/drawing/2014/main" id="{B3FB6529-BECA-11E1-AA7B-0A4B00B48396}"/>
            </a:ext>
          </a:extLst>
        </xdr:cNvPr>
        <xdr:cNvPicPr>
          <a:picLocks noChangeAspect="1"/>
        </xdr:cNvPicPr>
      </xdr:nvPicPr>
      <xdr:blipFill>
        <a:blip xmlns:r="http://schemas.openxmlformats.org/officeDocument/2006/relationships" r:embed="rId2"/>
        <a:stretch>
          <a:fillRect/>
        </a:stretch>
      </xdr:blipFill>
      <xdr:spPr>
        <a:xfrm>
          <a:off x="1495425" y="3124200"/>
          <a:ext cx="3401555" cy="666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385BE-5BE8-4804-ACD2-128F1EE7CF02}">
  <sheetPr>
    <pageSetUpPr fitToPage="1"/>
  </sheetPr>
  <dimension ref="B1:AU142"/>
  <sheetViews>
    <sheetView showGridLines="0" topLeftCell="A2" workbookViewId="0">
      <selection activeCell="G8" sqref="G8"/>
    </sheetView>
    <sheetView showGridLines="0" workbookViewId="1"/>
  </sheetViews>
  <sheetFormatPr defaultColWidth="9.140625" defaultRowHeight="13.5" x14ac:dyDescent="0.25"/>
  <cols>
    <col min="1" max="1" width="1.7109375" style="38" customWidth="1"/>
    <col min="2" max="3" width="5.28515625" style="38" customWidth="1"/>
    <col min="4" max="8" width="13.42578125" style="38" customWidth="1"/>
    <col min="9" max="9" width="11.140625" style="38" customWidth="1"/>
    <col min="10" max="10" width="2" style="38" customWidth="1"/>
    <col min="11" max="11" width="98.140625" style="39" bestFit="1" customWidth="1"/>
    <col min="12" max="47" width="9.140625" style="39"/>
    <col min="48" max="16384" width="9.140625" style="38"/>
  </cols>
  <sheetData>
    <row r="1" spans="2:11" ht="31.5" customHeight="1" x14ac:dyDescent="0.25"/>
    <row r="2" spans="2:11" ht="108.75" customHeight="1" x14ac:dyDescent="0.25">
      <c r="B2" s="53"/>
      <c r="C2" s="52"/>
      <c r="D2" s="52"/>
      <c r="E2" s="52"/>
      <c r="F2" s="52"/>
      <c r="G2" s="52"/>
      <c r="H2" s="52"/>
      <c r="I2" s="51"/>
    </row>
    <row r="3" spans="2:11" ht="40.5" customHeight="1" x14ac:dyDescent="0.25">
      <c r="B3" s="50"/>
      <c r="I3" s="49"/>
    </row>
    <row r="4" spans="2:11" ht="40.5" customHeight="1" x14ac:dyDescent="0.6">
      <c r="B4" s="50"/>
      <c r="E4" s="54"/>
      <c r="F4" s="55"/>
      <c r="G4" s="54"/>
      <c r="H4"/>
      <c r="I4" s="49"/>
    </row>
    <row r="5" spans="2:11" ht="40.5" customHeight="1" x14ac:dyDescent="0.25">
      <c r="B5" s="50"/>
      <c r="I5" s="49"/>
    </row>
    <row r="6" spans="2:11" ht="189" customHeight="1" x14ac:dyDescent="0.25">
      <c r="B6" s="125" t="s">
        <v>200</v>
      </c>
      <c r="C6" s="126"/>
      <c r="D6" s="126"/>
      <c r="E6" s="126"/>
      <c r="F6" s="126"/>
      <c r="G6" s="126"/>
      <c r="H6" s="126"/>
      <c r="I6" s="127"/>
      <c r="K6" s="39" t="s">
        <v>30</v>
      </c>
    </row>
    <row r="7" spans="2:11" x14ac:dyDescent="0.25">
      <c r="B7" s="50"/>
      <c r="D7" s="38" t="s">
        <v>197</v>
      </c>
      <c r="I7" s="49"/>
    </row>
    <row r="8" spans="2:11" ht="29.25" customHeight="1" x14ac:dyDescent="0.25">
      <c r="B8" s="46"/>
      <c r="D8" s="38" t="s">
        <v>198</v>
      </c>
      <c r="E8" s="44"/>
      <c r="F8" s="44"/>
      <c r="G8" s="44"/>
      <c r="H8" s="44"/>
      <c r="I8" s="43"/>
    </row>
    <row r="9" spans="2:11" ht="29.25" customHeight="1" x14ac:dyDescent="0.3">
      <c r="B9" s="46"/>
      <c r="D9" s="45"/>
      <c r="E9" s="44"/>
      <c r="F9" s="44"/>
      <c r="G9" s="44"/>
      <c r="H9" s="44"/>
      <c r="I9" s="43"/>
    </row>
    <row r="10" spans="2:11" ht="45" customHeight="1" x14ac:dyDescent="0.25">
      <c r="B10" s="46"/>
      <c r="D10" s="48" t="s">
        <v>0</v>
      </c>
      <c r="E10" s="44"/>
      <c r="F10" s="44"/>
      <c r="G10" s="44"/>
      <c r="H10" s="44"/>
      <c r="I10" s="43"/>
    </row>
    <row r="11" spans="2:11" ht="29.25" customHeight="1" x14ac:dyDescent="0.25">
      <c r="B11" s="46"/>
      <c r="D11" s="38" t="s">
        <v>228</v>
      </c>
      <c r="E11" s="44"/>
      <c r="F11" s="44"/>
      <c r="G11" s="44"/>
      <c r="H11" s="44"/>
      <c r="I11" s="43"/>
    </row>
    <row r="12" spans="2:11" ht="29.25" customHeight="1" x14ac:dyDescent="0.3">
      <c r="B12" s="46"/>
      <c r="D12" s="47" t="s">
        <v>30</v>
      </c>
      <c r="E12" s="44"/>
      <c r="F12" s="44"/>
      <c r="G12" s="44"/>
      <c r="H12" s="44"/>
      <c r="I12" s="43"/>
    </row>
    <row r="13" spans="2:11" ht="29.25" customHeight="1" x14ac:dyDescent="0.3">
      <c r="B13" s="46"/>
      <c r="D13" s="47" t="s">
        <v>30</v>
      </c>
      <c r="E13" s="44"/>
      <c r="F13" s="44"/>
      <c r="G13" s="44"/>
      <c r="H13" s="44"/>
      <c r="I13" s="43"/>
    </row>
    <row r="14" spans="2:11" ht="29.25" customHeight="1" x14ac:dyDescent="0.3">
      <c r="B14" s="46"/>
      <c r="D14" s="45"/>
      <c r="E14" s="44"/>
      <c r="F14" s="44"/>
      <c r="G14" s="44"/>
      <c r="H14" s="44"/>
      <c r="I14" s="43"/>
    </row>
    <row r="15" spans="2:11" ht="21.75" customHeight="1" x14ac:dyDescent="0.25">
      <c r="B15" s="42"/>
      <c r="C15" s="41"/>
      <c r="D15" s="41"/>
      <c r="E15" s="41"/>
      <c r="F15" s="41"/>
      <c r="G15" s="41"/>
      <c r="H15" s="41"/>
      <c r="I15" s="40"/>
    </row>
    <row r="17" s="39" customFormat="1" x14ac:dyDescent="0.25"/>
    <row r="18" s="39" customFormat="1" x14ac:dyDescent="0.25"/>
    <row r="19" s="39" customFormat="1" x14ac:dyDescent="0.25"/>
    <row r="20" s="39" customFormat="1" x14ac:dyDescent="0.25"/>
    <row r="21" s="39" customFormat="1" x14ac:dyDescent="0.25"/>
    <row r="22" s="39" customFormat="1" x14ac:dyDescent="0.25"/>
    <row r="23" s="39" customFormat="1" x14ac:dyDescent="0.25"/>
    <row r="24" s="39" customFormat="1" x14ac:dyDescent="0.25"/>
    <row r="25" s="39" customFormat="1" x14ac:dyDescent="0.25"/>
    <row r="26" s="39" customFormat="1" x14ac:dyDescent="0.25"/>
    <row r="27" s="39" customFormat="1" x14ac:dyDescent="0.25"/>
    <row r="28" s="39" customFormat="1" x14ac:dyDescent="0.25"/>
    <row r="29" s="39" customFormat="1" x14ac:dyDescent="0.25"/>
    <row r="30" s="39" customFormat="1" x14ac:dyDescent="0.25"/>
    <row r="31" s="39" customFormat="1" x14ac:dyDescent="0.25"/>
    <row r="32" s="39" customFormat="1" x14ac:dyDescent="0.25"/>
    <row r="33" s="39" customFormat="1" x14ac:dyDescent="0.25"/>
    <row r="34" s="39" customFormat="1" x14ac:dyDescent="0.25"/>
    <row r="35" s="39" customFormat="1" x14ac:dyDescent="0.25"/>
    <row r="36" s="39" customFormat="1" x14ac:dyDescent="0.25"/>
    <row r="37" s="39" customFormat="1" x14ac:dyDescent="0.25"/>
    <row r="38" s="39" customFormat="1" x14ac:dyDescent="0.25"/>
    <row r="39" s="39" customFormat="1" x14ac:dyDescent="0.25"/>
    <row r="40" s="39" customFormat="1" x14ac:dyDescent="0.25"/>
    <row r="41" s="39" customFormat="1" x14ac:dyDescent="0.25"/>
    <row r="42" s="39" customFormat="1" x14ac:dyDescent="0.25"/>
    <row r="43" s="39" customFormat="1" x14ac:dyDescent="0.25"/>
    <row r="44" s="39" customFormat="1" x14ac:dyDescent="0.25"/>
    <row r="45" s="39" customFormat="1" x14ac:dyDescent="0.25"/>
    <row r="46" s="39" customFormat="1" x14ac:dyDescent="0.25"/>
    <row r="47" s="39" customFormat="1" x14ac:dyDescent="0.25"/>
    <row r="48" s="39" customFormat="1" x14ac:dyDescent="0.25"/>
    <row r="49" s="39" customFormat="1" x14ac:dyDescent="0.25"/>
    <row r="50" s="39" customFormat="1" ht="51" customHeight="1" x14ac:dyDescent="0.25"/>
    <row r="51" s="39" customFormat="1" x14ac:dyDescent="0.25"/>
    <row r="52" s="39" customFormat="1" x14ac:dyDescent="0.25"/>
    <row r="53" s="39" customFormat="1" x14ac:dyDescent="0.25"/>
    <row r="54" s="39" customFormat="1" x14ac:dyDescent="0.25"/>
    <row r="55" s="39" customFormat="1" x14ac:dyDescent="0.25"/>
    <row r="56" s="39" customFormat="1" x14ac:dyDescent="0.25"/>
    <row r="57" s="39" customFormat="1" x14ac:dyDescent="0.25"/>
    <row r="58" s="39" customFormat="1" x14ac:dyDescent="0.25"/>
    <row r="59" s="39" customFormat="1" x14ac:dyDescent="0.25"/>
    <row r="60" s="39" customFormat="1" x14ac:dyDescent="0.25"/>
    <row r="61" s="39" customFormat="1" x14ac:dyDescent="0.25"/>
    <row r="62" s="39" customFormat="1" x14ac:dyDescent="0.25"/>
    <row r="63" s="39" customFormat="1" x14ac:dyDescent="0.25"/>
    <row r="64" s="39" customFormat="1" x14ac:dyDescent="0.25"/>
    <row r="65" s="39" customFormat="1" x14ac:dyDescent="0.25"/>
    <row r="66" s="39" customFormat="1" x14ac:dyDescent="0.25"/>
    <row r="67" s="39" customFormat="1" x14ac:dyDescent="0.25"/>
    <row r="68" s="39" customFormat="1" x14ac:dyDescent="0.25"/>
    <row r="69" s="39" customFormat="1" x14ac:dyDescent="0.25"/>
    <row r="70" s="39" customFormat="1" x14ac:dyDescent="0.25"/>
    <row r="71" s="39" customFormat="1" x14ac:dyDescent="0.25"/>
    <row r="72" s="39" customFormat="1" x14ac:dyDescent="0.25"/>
    <row r="73" s="39" customFormat="1" x14ac:dyDescent="0.25"/>
    <row r="74" s="39" customFormat="1" x14ac:dyDescent="0.25"/>
    <row r="75" s="39" customFormat="1" x14ac:dyDescent="0.25"/>
    <row r="76" s="39" customFormat="1" x14ac:dyDescent="0.25"/>
    <row r="77" s="39" customFormat="1" x14ac:dyDescent="0.25"/>
    <row r="78" s="39" customFormat="1" x14ac:dyDescent="0.25"/>
    <row r="79" s="39" customFormat="1" x14ac:dyDescent="0.25"/>
    <row r="80" s="39" customFormat="1" x14ac:dyDescent="0.25"/>
    <row r="81" s="39" customFormat="1" x14ac:dyDescent="0.25"/>
    <row r="82" s="39" customFormat="1" x14ac:dyDescent="0.25"/>
    <row r="83" s="39" customFormat="1" x14ac:dyDescent="0.25"/>
    <row r="84" s="39" customFormat="1" x14ac:dyDescent="0.25"/>
    <row r="85" s="39" customFormat="1" x14ac:dyDescent="0.25"/>
    <row r="86" s="39" customFormat="1" x14ac:dyDescent="0.25"/>
    <row r="87" s="39" customFormat="1" x14ac:dyDescent="0.25"/>
    <row r="88" s="39" customFormat="1" x14ac:dyDescent="0.25"/>
    <row r="89" s="39" customFormat="1" x14ac:dyDescent="0.25"/>
    <row r="90" s="39" customFormat="1" x14ac:dyDescent="0.25"/>
    <row r="91" s="39" customFormat="1" x14ac:dyDescent="0.25"/>
    <row r="92" s="39" customFormat="1" x14ac:dyDescent="0.25"/>
    <row r="93" s="39" customFormat="1" x14ac:dyDescent="0.25"/>
    <row r="94" s="39" customFormat="1" x14ac:dyDescent="0.25"/>
    <row r="95" s="39" customFormat="1" x14ac:dyDescent="0.25"/>
    <row r="96"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sheetData>
  <sheetProtection algorithmName="SHA-512" hashValue="4omVVjvSkaCblHCTZQJtQCCXaqliPqDRIgATanWmucnqm9USVp7t8VbclFhRKVvJwkGXa4cEKnGswhP95zsr5Q==" saltValue="AiKq44UhtP44imPwUfiUEA==" spinCount="100000" sheet="1" objects="1" scenarios="1"/>
  <mergeCells count="1">
    <mergeCell ref="B6:I6"/>
  </mergeCells>
  <printOptions horizontalCentered="1"/>
  <pageMargins left="0.23622047244094491" right="0.23622047244094491" top="0.74803149606299213" bottom="0.74803149606299213" header="0.31496062992125984" footer="0.31496062992125984"/>
  <pageSetup paperSize="9"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250DF-B552-457E-BA5A-5E86F8FDE7D9}">
  <dimension ref="A1:D53"/>
  <sheetViews>
    <sheetView showGridLines="0" zoomScaleNormal="100" workbookViewId="0">
      <pane xSplit="1" ySplit="3" topLeftCell="B41" activePane="bottomRight" state="frozen"/>
      <selection activeCell="B1" sqref="B1:C1"/>
      <selection pane="topRight" activeCell="B1" sqref="B1:C1"/>
      <selection pane="bottomLeft" activeCell="B1" sqref="B1:C1"/>
      <selection pane="bottomRight" activeCell="C21" sqref="C21"/>
    </sheetView>
    <sheetView showGridLines="0" workbookViewId="1"/>
  </sheetViews>
  <sheetFormatPr defaultColWidth="9.140625" defaultRowHeight="12.75" x14ac:dyDescent="0.2"/>
  <cols>
    <col min="1" max="1" width="60.28515625" style="3" customWidth="1"/>
    <col min="2" max="2" width="44.85546875" style="3" customWidth="1"/>
    <col min="3" max="3" width="46.7109375" style="3" customWidth="1"/>
    <col min="4" max="4" width="43.140625" style="3" customWidth="1"/>
    <col min="5" max="16384" width="9.140625" style="3"/>
  </cols>
  <sheetData>
    <row r="1" spans="1:4" ht="15" x14ac:dyDescent="0.2">
      <c r="A1" s="84" t="s">
        <v>8</v>
      </c>
      <c r="B1" s="136" t="s">
        <v>150</v>
      </c>
      <c r="C1" s="136"/>
      <c r="D1" s="136"/>
    </row>
    <row r="2" spans="1:4" ht="13.5" x14ac:dyDescent="0.2">
      <c r="A2" s="137" t="s">
        <v>9</v>
      </c>
      <c r="B2" s="137"/>
      <c r="C2" s="137"/>
      <c r="D2" s="137"/>
    </row>
    <row r="3" spans="1:4" x14ac:dyDescent="0.2">
      <c r="A3" s="58" t="s">
        <v>10</v>
      </c>
      <c r="B3" s="92" t="s">
        <v>65</v>
      </c>
      <c r="C3" s="92" t="s">
        <v>66</v>
      </c>
      <c r="D3" s="92" t="s">
        <v>67</v>
      </c>
    </row>
    <row r="4" spans="1:4" ht="14.25" x14ac:dyDescent="0.2">
      <c r="A4" s="61" t="s">
        <v>1</v>
      </c>
      <c r="B4" s="107" t="s">
        <v>186</v>
      </c>
      <c r="C4" s="96" t="s">
        <v>4</v>
      </c>
      <c r="D4" s="107" t="s">
        <v>48</v>
      </c>
    </row>
    <row r="5" spans="1:4" ht="14.25" x14ac:dyDescent="0.2">
      <c r="A5" s="61" t="s">
        <v>2</v>
      </c>
      <c r="B5" s="96" t="s">
        <v>88</v>
      </c>
      <c r="C5" s="96" t="s">
        <v>89</v>
      </c>
      <c r="D5" s="107" t="s">
        <v>49</v>
      </c>
    </row>
    <row r="6" spans="1:4" ht="14.25" x14ac:dyDescent="0.2">
      <c r="A6" s="61" t="s">
        <v>3</v>
      </c>
      <c r="B6" s="107" t="s">
        <v>163</v>
      </c>
      <c r="C6" s="112" t="s">
        <v>203</v>
      </c>
      <c r="D6" s="107" t="s">
        <v>166</v>
      </c>
    </row>
    <row r="7" spans="1:4" ht="14.25" x14ac:dyDescent="0.2">
      <c r="A7" s="61" t="s">
        <v>11</v>
      </c>
      <c r="B7" s="96" t="s">
        <v>90</v>
      </c>
      <c r="C7" s="96" t="s">
        <v>90</v>
      </c>
      <c r="D7" s="96" t="s">
        <v>90</v>
      </c>
    </row>
    <row r="8" spans="1:4" ht="14.25" x14ac:dyDescent="0.2">
      <c r="A8" s="61" t="s">
        <v>12</v>
      </c>
      <c r="B8" s="96" t="s">
        <v>46</v>
      </c>
      <c r="C8" s="96" t="s">
        <v>46</v>
      </c>
      <c r="D8" s="96" t="s">
        <v>46</v>
      </c>
    </row>
    <row r="9" spans="1:4" ht="14.25" x14ac:dyDescent="0.2">
      <c r="A9" s="61" t="s">
        <v>71</v>
      </c>
      <c r="B9" s="70">
        <v>2085</v>
      </c>
      <c r="C9" s="70">
        <v>2077</v>
      </c>
      <c r="D9" s="70">
        <v>2030</v>
      </c>
    </row>
    <row r="10" spans="1:4" ht="14.25" x14ac:dyDescent="0.2">
      <c r="A10" s="62"/>
      <c r="B10" s="63"/>
      <c r="C10" s="63"/>
      <c r="D10" s="63"/>
    </row>
    <row r="11" spans="1:4" x14ac:dyDescent="0.2">
      <c r="A11" s="58" t="s">
        <v>14</v>
      </c>
      <c r="B11" s="92"/>
      <c r="C11" s="92"/>
      <c r="D11" s="92"/>
    </row>
    <row r="12" spans="1:4" ht="28.5" x14ac:dyDescent="0.2">
      <c r="A12" s="61" t="s">
        <v>15</v>
      </c>
      <c r="B12" s="98">
        <f>(B13*1.21)+B14</f>
        <v>69835.5</v>
      </c>
      <c r="C12" s="98">
        <f>(C13*1.21)+C14</f>
        <v>60416.58</v>
      </c>
      <c r="D12" s="98">
        <f>(D13*1.21)+D14</f>
        <v>68581.01999999999</v>
      </c>
    </row>
    <row r="13" spans="1:4" ht="14.25" x14ac:dyDescent="0.2">
      <c r="A13" s="61" t="s">
        <v>16</v>
      </c>
      <c r="B13" s="98">
        <v>41850</v>
      </c>
      <c r="C13" s="98">
        <v>35910</v>
      </c>
      <c r="D13" s="98">
        <v>42227</v>
      </c>
    </row>
    <row r="14" spans="1:4" ht="14.25" x14ac:dyDescent="0.2">
      <c r="A14" s="61" t="s">
        <v>47</v>
      </c>
      <c r="B14" s="98">
        <v>19197</v>
      </c>
      <c r="C14" s="98">
        <v>16965.48</v>
      </c>
      <c r="D14" s="98">
        <v>17486.349999999999</v>
      </c>
    </row>
    <row r="15" spans="1:4" ht="142.5" x14ac:dyDescent="0.2">
      <c r="A15" s="61" t="s">
        <v>17</v>
      </c>
      <c r="B15" s="93" t="s">
        <v>164</v>
      </c>
      <c r="C15" s="93" t="s">
        <v>165</v>
      </c>
      <c r="D15" s="93" t="s">
        <v>167</v>
      </c>
    </row>
    <row r="16" spans="1:4" ht="14.25" x14ac:dyDescent="0.2">
      <c r="A16" s="61" t="s">
        <v>18</v>
      </c>
      <c r="B16" s="98">
        <f>716+1164+102</f>
        <v>1982</v>
      </c>
      <c r="C16" s="98">
        <f>150+400</f>
        <v>550</v>
      </c>
      <c r="D16" s="98">
        <f>2252+871.9</f>
        <v>3123.9</v>
      </c>
    </row>
    <row r="17" spans="1:4" ht="242.25" x14ac:dyDescent="0.2">
      <c r="A17" s="61" t="s">
        <v>19</v>
      </c>
      <c r="B17" s="93" t="s">
        <v>221</v>
      </c>
      <c r="C17" s="93" t="s">
        <v>222</v>
      </c>
      <c r="D17" s="93" t="s">
        <v>223</v>
      </c>
    </row>
    <row r="18" spans="1:4" ht="14.25" x14ac:dyDescent="0.2">
      <c r="A18" s="61" t="s">
        <v>20</v>
      </c>
      <c r="B18" s="98">
        <v>6000</v>
      </c>
      <c r="C18" s="98">
        <v>6100</v>
      </c>
      <c r="D18" s="98">
        <v>6500</v>
      </c>
    </row>
    <row r="19" spans="1:4" ht="14.25" x14ac:dyDescent="0.2">
      <c r="A19" s="61" t="s">
        <v>72</v>
      </c>
      <c r="B19" s="91">
        <f>766.14+50+7.97+16.53</f>
        <v>840.64</v>
      </c>
      <c r="C19" s="91">
        <f>1095+16.53</f>
        <v>1111.53</v>
      </c>
      <c r="D19" s="91">
        <v>1095</v>
      </c>
    </row>
    <row r="20" spans="1:4" ht="14.25" x14ac:dyDescent="0.2">
      <c r="A20" s="61" t="s">
        <v>21</v>
      </c>
      <c r="B20" s="94">
        <f>B19+B18+B16+B14+B13</f>
        <v>69869.64</v>
      </c>
      <c r="C20" s="94">
        <f t="shared" ref="C20:D20" si="0">C19+C18+C16+C14+C13</f>
        <v>60637.009999999995</v>
      </c>
      <c r="D20" s="94">
        <f t="shared" si="0"/>
        <v>70432.25</v>
      </c>
    </row>
    <row r="21" spans="1:4" ht="14.25" x14ac:dyDescent="0.2">
      <c r="A21" s="61" t="s">
        <v>22</v>
      </c>
      <c r="B21" s="95">
        <v>0</v>
      </c>
      <c r="C21" s="95">
        <v>0</v>
      </c>
      <c r="D21" s="95">
        <v>0</v>
      </c>
    </row>
    <row r="22" spans="1:4" ht="14.25" x14ac:dyDescent="0.2">
      <c r="A22" s="61" t="s">
        <v>23</v>
      </c>
      <c r="B22" s="94">
        <f>B20-B21</f>
        <v>69869.64</v>
      </c>
      <c r="C22" s="94">
        <f t="shared" ref="C22:D22" si="1">C20-C21</f>
        <v>60637.009999999995</v>
      </c>
      <c r="D22" s="94">
        <f t="shared" si="1"/>
        <v>70432.25</v>
      </c>
    </row>
    <row r="23" spans="1:4" ht="14.25" x14ac:dyDescent="0.2">
      <c r="A23" s="62"/>
      <c r="B23" s="69"/>
      <c r="C23" s="69"/>
      <c r="D23" s="69"/>
    </row>
    <row r="24" spans="1:4" x14ac:dyDescent="0.2">
      <c r="A24" s="58" t="s">
        <v>24</v>
      </c>
      <c r="B24" s="92"/>
      <c r="C24" s="92"/>
      <c r="D24" s="92"/>
    </row>
    <row r="25" spans="1:4" ht="14.25" x14ac:dyDescent="0.2">
      <c r="A25" s="61" t="s">
        <v>25</v>
      </c>
      <c r="B25" s="70">
        <v>84</v>
      </c>
      <c r="C25" s="70">
        <v>84</v>
      </c>
      <c r="D25" s="70">
        <v>84</v>
      </c>
    </row>
    <row r="26" spans="1:4" ht="14.25" x14ac:dyDescent="0.2">
      <c r="A26" s="61" t="s">
        <v>26</v>
      </c>
      <c r="B26" s="70">
        <v>10000</v>
      </c>
      <c r="C26" s="70">
        <v>10000</v>
      </c>
      <c r="D26" s="70">
        <v>10000</v>
      </c>
    </row>
    <row r="27" spans="1:4" ht="14.25" x14ac:dyDescent="0.2">
      <c r="A27" s="71" t="s">
        <v>73</v>
      </c>
      <c r="B27" s="138">
        <v>2.5000000000000001E-2</v>
      </c>
      <c r="C27" s="138"/>
      <c r="D27" s="138"/>
    </row>
    <row r="28" spans="1:4" ht="28.5" x14ac:dyDescent="0.2">
      <c r="A28" s="71" t="s">
        <v>74</v>
      </c>
      <c r="B28" s="139">
        <f>'Prijsinvulf overige zaken'!C4</f>
        <v>0</v>
      </c>
      <c r="C28" s="139"/>
      <c r="D28" s="139"/>
    </row>
    <row r="29" spans="1:4" ht="14.25" x14ac:dyDescent="0.2">
      <c r="A29" s="71" t="s">
        <v>75</v>
      </c>
      <c r="B29" s="139">
        <f>B27+B28</f>
        <v>2.5000000000000001E-2</v>
      </c>
      <c r="C29" s="139"/>
      <c r="D29" s="139"/>
    </row>
    <row r="30" spans="1:4" ht="14.25" x14ac:dyDescent="0.2">
      <c r="A30" s="123" t="s">
        <v>225</v>
      </c>
      <c r="B30" s="141">
        <v>0.1</v>
      </c>
      <c r="C30" s="142"/>
      <c r="D30" s="143"/>
    </row>
    <row r="31" spans="1:4" ht="14.25" x14ac:dyDescent="0.2">
      <c r="A31" s="61" t="s">
        <v>27</v>
      </c>
      <c r="B31" s="72">
        <v>0</v>
      </c>
      <c r="C31" s="72">
        <v>0</v>
      </c>
      <c r="D31" s="72">
        <v>0</v>
      </c>
    </row>
    <row r="32" spans="1:4" ht="14.25" x14ac:dyDescent="0.2">
      <c r="A32" s="61" t="s">
        <v>28</v>
      </c>
      <c r="B32" s="72">
        <v>0</v>
      </c>
      <c r="C32" s="72">
        <v>0</v>
      </c>
      <c r="D32" s="72">
        <v>0</v>
      </c>
    </row>
    <row r="33" spans="1:4" ht="14.25" x14ac:dyDescent="0.2">
      <c r="A33" s="61" t="s">
        <v>29</v>
      </c>
      <c r="B33" s="72">
        <v>0</v>
      </c>
      <c r="C33" s="72">
        <v>0</v>
      </c>
      <c r="D33" s="72">
        <v>0</v>
      </c>
    </row>
    <row r="34" spans="1:4" ht="14.25" x14ac:dyDescent="0.2">
      <c r="A34" s="61" t="s">
        <v>224</v>
      </c>
      <c r="B34" s="72">
        <v>0</v>
      </c>
      <c r="C34" s="72">
        <v>0</v>
      </c>
      <c r="D34" s="72">
        <v>0</v>
      </c>
    </row>
    <row r="35" spans="1:4" ht="14.25" x14ac:dyDescent="0.2">
      <c r="A35" s="62"/>
      <c r="B35" s="63"/>
      <c r="C35" s="63"/>
      <c r="D35" s="63"/>
    </row>
    <row r="36" spans="1:4" ht="13.5" x14ac:dyDescent="0.2">
      <c r="A36" s="58" t="s">
        <v>44</v>
      </c>
      <c r="B36" s="90"/>
      <c r="C36" s="90"/>
      <c r="D36" s="90"/>
    </row>
    <row r="37" spans="1:4" ht="14.25" x14ac:dyDescent="0.2">
      <c r="A37" s="61" t="s">
        <v>31</v>
      </c>
      <c r="B37" s="72">
        <v>0</v>
      </c>
      <c r="C37" s="72">
        <v>0</v>
      </c>
      <c r="D37" s="72">
        <v>0</v>
      </c>
    </row>
    <row r="38" spans="1:4" ht="14.25" x14ac:dyDescent="0.2">
      <c r="A38" s="61" t="s">
        <v>32</v>
      </c>
      <c r="B38" s="72">
        <v>0</v>
      </c>
      <c r="C38" s="75">
        <v>0</v>
      </c>
      <c r="D38" s="75">
        <v>0</v>
      </c>
    </row>
    <row r="39" spans="1:4" ht="14.25" x14ac:dyDescent="0.2">
      <c r="A39" s="61" t="s">
        <v>33</v>
      </c>
      <c r="B39" s="72">
        <v>0</v>
      </c>
      <c r="C39" s="72">
        <v>0</v>
      </c>
      <c r="D39" s="72">
        <v>0</v>
      </c>
    </row>
    <row r="40" spans="1:4" ht="14.25" x14ac:dyDescent="0.2">
      <c r="A40" s="61" t="s">
        <v>34</v>
      </c>
      <c r="B40" s="72">
        <v>0</v>
      </c>
      <c r="C40" s="72">
        <v>0</v>
      </c>
      <c r="D40" s="72">
        <v>0</v>
      </c>
    </row>
    <row r="41" spans="1:4" ht="14.25" x14ac:dyDescent="0.2">
      <c r="A41" s="61" t="s">
        <v>35</v>
      </c>
      <c r="B41" s="72">
        <v>0</v>
      </c>
      <c r="C41" s="72">
        <v>0</v>
      </c>
      <c r="D41" s="72">
        <v>0</v>
      </c>
    </row>
    <row r="42" spans="1:4" ht="14.25" x14ac:dyDescent="0.2">
      <c r="A42" s="114" t="s">
        <v>36</v>
      </c>
      <c r="B42" s="72">
        <v>0</v>
      </c>
      <c r="C42" s="72">
        <v>0</v>
      </c>
      <c r="D42" s="72">
        <v>0</v>
      </c>
    </row>
    <row r="43" spans="1:4" ht="14.25" x14ac:dyDescent="0.2">
      <c r="A43" s="61" t="s">
        <v>37</v>
      </c>
      <c r="B43" s="91">
        <f>605/3</f>
        <v>201.66666666666666</v>
      </c>
      <c r="C43" s="91">
        <f>605/3</f>
        <v>201.66666666666666</v>
      </c>
      <c r="D43" s="91">
        <f>572/3</f>
        <v>190.66666666666666</v>
      </c>
    </row>
    <row r="44" spans="1:4" ht="14.25" x14ac:dyDescent="0.2">
      <c r="A44" s="61" t="s">
        <v>39</v>
      </c>
      <c r="B44" s="72">
        <v>0</v>
      </c>
      <c r="C44" s="72">
        <v>0</v>
      </c>
      <c r="D44" s="72">
        <v>0</v>
      </c>
    </row>
    <row r="45" spans="1:4" ht="14.25" x14ac:dyDescent="0.2">
      <c r="A45" s="71" t="s">
        <v>76</v>
      </c>
      <c r="B45" s="72">
        <v>0</v>
      </c>
      <c r="C45" s="72">
        <v>0</v>
      </c>
      <c r="D45" s="72">
        <v>0</v>
      </c>
    </row>
    <row r="46" spans="1:4" ht="14.25" x14ac:dyDescent="0.2">
      <c r="A46" s="61" t="s">
        <v>40</v>
      </c>
      <c r="B46" s="72">
        <v>0</v>
      </c>
      <c r="C46" s="72">
        <v>0</v>
      </c>
      <c r="D46" s="72">
        <v>0</v>
      </c>
    </row>
    <row r="47" spans="1:4" ht="14.25" x14ac:dyDescent="0.2">
      <c r="A47" s="71" t="s">
        <v>41</v>
      </c>
      <c r="B47" s="72">
        <v>0</v>
      </c>
      <c r="C47" s="76">
        <v>0</v>
      </c>
      <c r="D47" s="76">
        <v>0</v>
      </c>
    </row>
    <row r="48" spans="1:4" ht="54" customHeight="1" x14ac:dyDescent="0.2">
      <c r="A48" s="71" t="s">
        <v>42</v>
      </c>
      <c r="B48" s="140" t="s">
        <v>77</v>
      </c>
      <c r="C48" s="140"/>
      <c r="D48" s="140"/>
    </row>
    <row r="49" spans="1:4" ht="14.25" x14ac:dyDescent="0.2">
      <c r="A49" s="123" t="s">
        <v>226</v>
      </c>
      <c r="B49" s="124">
        <f>(B26*B30*B34)/12</f>
        <v>0</v>
      </c>
      <c r="C49" s="124">
        <f>(C26*B30*C34)/12</f>
        <v>0</v>
      </c>
      <c r="D49" s="124">
        <f>(D26*B30*D34)/12</f>
        <v>0</v>
      </c>
    </row>
    <row r="50" spans="1:4" ht="14.25" x14ac:dyDescent="0.2">
      <c r="A50" s="62"/>
      <c r="B50" s="69"/>
      <c r="C50" s="69"/>
      <c r="D50" s="69"/>
    </row>
    <row r="51" spans="1:4" x14ac:dyDescent="0.2">
      <c r="A51" s="77" t="s">
        <v>78</v>
      </c>
      <c r="B51" s="78">
        <f>B37+B38+B39+B40+B41+B42+B43+B44+B45+B46+B47+B49</f>
        <v>201.66666666666666</v>
      </c>
      <c r="C51" s="78">
        <f t="shared" ref="C51:D51" si="2">C37+C38+C39+C40+C41+C42+C43+C44+C45+C46+C47+C49</f>
        <v>201.66666666666666</v>
      </c>
      <c r="D51" s="78">
        <f t="shared" si="2"/>
        <v>190.66666666666666</v>
      </c>
    </row>
    <row r="52" spans="1:4" ht="14.25" x14ac:dyDescent="0.2">
      <c r="A52" s="62"/>
      <c r="B52" s="69"/>
      <c r="C52" s="69"/>
      <c r="D52" s="69"/>
    </row>
    <row r="53" spans="1:4" ht="51" customHeight="1" x14ac:dyDescent="0.2">
      <c r="A53" s="134" t="s">
        <v>79</v>
      </c>
      <c r="B53" s="135"/>
      <c r="C53" s="135"/>
      <c r="D53" s="135"/>
    </row>
  </sheetData>
  <sheetProtection algorithmName="SHA-512" hashValue="7HuUk9HHWhNTxHwRhhY3vlqfLtan/u3XTK++yJMZVGc10gk8T+6z6MAhvIZTR+VLL6rltyVVo9EgRJ6ariGc3w==" saltValue="EGDEFHwV2oXqX/ad/J9mog==" spinCount="100000" sheet="1" objects="1" scenarios="1"/>
  <mergeCells count="8">
    <mergeCell ref="A53:D53"/>
    <mergeCell ref="B1:D1"/>
    <mergeCell ref="A2:D2"/>
    <mergeCell ref="B27:D27"/>
    <mergeCell ref="B28:D28"/>
    <mergeCell ref="B29:D29"/>
    <mergeCell ref="B48:D48"/>
    <mergeCell ref="B30:D30"/>
  </mergeCells>
  <phoneticPr fontId="16" type="noConversion"/>
  <pageMargins left="0.23622047244094491" right="0.23622047244094491" top="0.74803149606299213" bottom="0.74803149606299213" header="0.31496062992125984" footer="0.31496062992125984"/>
  <pageSetup paperSize="9" scale="69"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5F5BB-48A5-49E6-B19B-41BD77FA8A5C}">
  <sheetPr>
    <pageSetUpPr fitToPage="1"/>
  </sheetPr>
  <dimension ref="A1:D248"/>
  <sheetViews>
    <sheetView showGridLines="0" workbookViewId="0">
      <pane xSplit="1" ySplit="3" topLeftCell="B36" activePane="bottomRight" state="frozen"/>
      <selection activeCell="B1" sqref="B1:C1"/>
      <selection pane="topRight" activeCell="B1" sqref="B1:C1"/>
      <selection pane="bottomLeft" activeCell="B1" sqref="B1:C1"/>
      <selection pane="bottomRight" activeCell="B33" sqref="B33"/>
    </sheetView>
    <sheetView showGridLines="0" workbookViewId="1"/>
  </sheetViews>
  <sheetFormatPr defaultColWidth="9.140625" defaultRowHeight="15" x14ac:dyDescent="0.25"/>
  <cols>
    <col min="1" max="1" width="60.140625" style="83" customWidth="1"/>
    <col min="2" max="4" width="43.140625" style="81" customWidth="1"/>
    <col min="5" max="16384" width="9.140625" style="81"/>
  </cols>
  <sheetData>
    <row r="1" spans="1:4" s="56" customFormat="1" ht="15.75" x14ac:dyDescent="0.25">
      <c r="A1" s="84" t="s">
        <v>8</v>
      </c>
      <c r="B1" s="136" t="s">
        <v>151</v>
      </c>
      <c r="C1" s="136"/>
      <c r="D1" s="136"/>
    </row>
    <row r="2" spans="1:4" s="57" customFormat="1" ht="13.5" x14ac:dyDescent="0.2">
      <c r="A2" s="137" t="s">
        <v>9</v>
      </c>
      <c r="B2" s="137"/>
      <c r="C2" s="137"/>
      <c r="D2" s="137"/>
    </row>
    <row r="3" spans="1:4" s="60" customFormat="1" ht="12.75" x14ac:dyDescent="0.2">
      <c r="A3" s="58" t="s">
        <v>10</v>
      </c>
      <c r="B3" s="92" t="s">
        <v>65</v>
      </c>
      <c r="C3" s="92" t="s">
        <v>66</v>
      </c>
      <c r="D3" s="92" t="s">
        <v>67</v>
      </c>
    </row>
    <row r="4" spans="1:4" s="57" customFormat="1" ht="14.25" x14ac:dyDescent="0.2">
      <c r="A4" s="61" t="s">
        <v>1</v>
      </c>
      <c r="B4" s="96" t="s">
        <v>84</v>
      </c>
      <c r="C4" s="96" t="s">
        <v>68</v>
      </c>
      <c r="D4" s="96" t="s">
        <v>43</v>
      </c>
    </row>
    <row r="5" spans="1:4" s="57" customFormat="1" ht="14.25" x14ac:dyDescent="0.2">
      <c r="A5" s="61" t="s">
        <v>2</v>
      </c>
      <c r="B5" s="99" t="s">
        <v>118</v>
      </c>
      <c r="C5" s="96" t="s">
        <v>85</v>
      </c>
      <c r="D5" s="96" t="s">
        <v>86</v>
      </c>
    </row>
    <row r="6" spans="1:4" s="57" customFormat="1" ht="14.25" x14ac:dyDescent="0.2">
      <c r="A6" s="61" t="s">
        <v>3</v>
      </c>
      <c r="B6" s="99" t="s">
        <v>128</v>
      </c>
      <c r="C6" s="99" t="s">
        <v>132</v>
      </c>
      <c r="D6" s="99" t="s">
        <v>131</v>
      </c>
    </row>
    <row r="7" spans="1:4" s="57" customFormat="1" ht="14.25" x14ac:dyDescent="0.2">
      <c r="A7" s="61" t="s">
        <v>11</v>
      </c>
      <c r="B7" s="99" t="s">
        <v>119</v>
      </c>
      <c r="C7" s="99" t="s">
        <v>129</v>
      </c>
      <c r="D7" s="99" t="s">
        <v>119</v>
      </c>
    </row>
    <row r="8" spans="1:4" s="57" customFormat="1" ht="14.25" x14ac:dyDescent="0.2">
      <c r="A8" s="61" t="s">
        <v>12</v>
      </c>
      <c r="B8" s="96" t="s">
        <v>13</v>
      </c>
      <c r="C8" s="96" t="s">
        <v>13</v>
      </c>
      <c r="D8" s="96" t="s">
        <v>13</v>
      </c>
    </row>
    <row r="9" spans="1:4" s="57" customFormat="1" ht="14.25" x14ac:dyDescent="0.2">
      <c r="A9" s="61" t="s">
        <v>71</v>
      </c>
      <c r="B9" s="97">
        <v>1722</v>
      </c>
      <c r="C9" s="70">
        <v>1444</v>
      </c>
      <c r="D9" s="70">
        <v>1430</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(B13*1.21)+B14</f>
        <v>36849.629999999997</v>
      </c>
      <c r="C12" s="91">
        <f>(C13*1.21)+C14</f>
        <v>33499.14</v>
      </c>
      <c r="D12" s="91">
        <f>(D13*1.21)+D14</f>
        <v>32999.410000000003</v>
      </c>
    </row>
    <row r="13" spans="1:4" s="57" customFormat="1" ht="14.25" x14ac:dyDescent="0.2">
      <c r="A13" s="61" t="s">
        <v>16</v>
      </c>
      <c r="B13" s="91">
        <v>29903</v>
      </c>
      <c r="C13" s="91">
        <v>27134</v>
      </c>
      <c r="D13" s="91">
        <v>26721</v>
      </c>
    </row>
    <row r="14" spans="1:4" s="57" customFormat="1" ht="14.25" x14ac:dyDescent="0.2">
      <c r="A14" s="61" t="s">
        <v>47</v>
      </c>
      <c r="B14" s="91">
        <v>667</v>
      </c>
      <c r="C14" s="91">
        <v>667</v>
      </c>
      <c r="D14" s="91">
        <v>667</v>
      </c>
    </row>
    <row r="15" spans="1:4" s="57" customFormat="1" ht="99.75" x14ac:dyDescent="0.2">
      <c r="A15" s="61" t="s">
        <v>17</v>
      </c>
      <c r="B15" s="93" t="s">
        <v>127</v>
      </c>
      <c r="C15" s="93" t="s">
        <v>130</v>
      </c>
      <c r="D15" s="93" t="s">
        <v>133</v>
      </c>
    </row>
    <row r="16" spans="1:4" s="57" customFormat="1" ht="14.25" x14ac:dyDescent="0.2">
      <c r="A16" s="61" t="s">
        <v>18</v>
      </c>
      <c r="B16" s="98">
        <v>0</v>
      </c>
      <c r="C16" s="98">
        <v>495</v>
      </c>
      <c r="D16" s="98">
        <f>(790+389)/1.21</f>
        <v>974.38016528925618</v>
      </c>
    </row>
    <row r="17" spans="1:4" s="57" customFormat="1" ht="114" x14ac:dyDescent="0.2">
      <c r="A17" s="61" t="s">
        <v>19</v>
      </c>
      <c r="B17" s="93" t="s">
        <v>126</v>
      </c>
      <c r="C17" s="93" t="s">
        <v>126</v>
      </c>
      <c r="D17" s="93" t="s">
        <v>126</v>
      </c>
    </row>
    <row r="18" spans="1:4" s="57" customFormat="1" ht="14.25" x14ac:dyDescent="0.2">
      <c r="A18" s="61" t="s">
        <v>20</v>
      </c>
      <c r="B18" s="91">
        <v>1900</v>
      </c>
      <c r="C18" s="91">
        <v>1900</v>
      </c>
      <c r="D18" s="91">
        <v>1900</v>
      </c>
    </row>
    <row r="19" spans="1:4" s="57" customFormat="1" ht="14.25" x14ac:dyDescent="0.2">
      <c r="A19" s="61" t="s">
        <v>72</v>
      </c>
      <c r="B19" s="91">
        <f>1140/1.21</f>
        <v>942.14876033057851</v>
      </c>
      <c r="C19" s="91">
        <f>1000/1.21</f>
        <v>826.44628099173553</v>
      </c>
      <c r="D19" s="91">
        <f>1000/1.21</f>
        <v>826.44628099173553</v>
      </c>
    </row>
    <row r="20" spans="1:4" s="57" customFormat="1" ht="14.25" x14ac:dyDescent="0.2">
      <c r="A20" s="61" t="s">
        <v>21</v>
      </c>
      <c r="B20" s="94">
        <f>B19+B18+B16+B14+B13</f>
        <v>33412.14876033058</v>
      </c>
      <c r="C20" s="94">
        <f>C19+C18+C16+C14+C13</f>
        <v>31022.446280991735</v>
      </c>
      <c r="D20" s="94">
        <f t="shared" ref="D20" si="0">D19+D18+D16+D14+D13</f>
        <v>31088.826446280989</v>
      </c>
    </row>
    <row r="21" spans="1:4" s="57" customFormat="1" ht="14.25" x14ac:dyDescent="0.2">
      <c r="A21" s="61" t="s">
        <v>22</v>
      </c>
      <c r="B21" s="95">
        <v>0</v>
      </c>
      <c r="C21" s="95">
        <v>0</v>
      </c>
      <c r="D21" s="95">
        <v>0</v>
      </c>
    </row>
    <row r="22" spans="1:4" s="57" customFormat="1" ht="14.25" x14ac:dyDescent="0.2">
      <c r="A22" s="61" t="s">
        <v>23</v>
      </c>
      <c r="B22" s="94">
        <f>B20-B21</f>
        <v>33412.14876033058</v>
      </c>
      <c r="C22" s="94">
        <f t="shared" ref="C22:D22" si="1">C20-C21</f>
        <v>31022.446280991735</v>
      </c>
      <c r="D22" s="94">
        <f t="shared" si="1"/>
        <v>31088.826446280989</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72</v>
      </c>
      <c r="C25" s="70">
        <v>72</v>
      </c>
      <c r="D25" s="70">
        <v>72</v>
      </c>
    </row>
    <row r="26" spans="1:4" s="57" customFormat="1" ht="14.25" x14ac:dyDescent="0.2">
      <c r="A26" s="61" t="s">
        <v>26</v>
      </c>
      <c r="B26" s="70">
        <v>10000</v>
      </c>
      <c r="C26" s="70">
        <v>10000</v>
      </c>
      <c r="D26" s="70">
        <v>10000</v>
      </c>
    </row>
    <row r="27" spans="1:4" s="57" customFormat="1" ht="14.25" x14ac:dyDescent="0.2">
      <c r="A27" s="71" t="s">
        <v>73</v>
      </c>
      <c r="B27" s="138">
        <v>2.5000000000000001E-2</v>
      </c>
      <c r="C27" s="138"/>
      <c r="D27" s="138"/>
    </row>
    <row r="28" spans="1:4" s="57" customFormat="1" ht="28.5" x14ac:dyDescent="0.2">
      <c r="A28" s="71" t="s">
        <v>74</v>
      </c>
      <c r="B28" s="139">
        <f>'Prijsinvulf overige zaken'!C4</f>
        <v>0</v>
      </c>
      <c r="C28" s="139"/>
      <c r="D28" s="139"/>
    </row>
    <row r="29" spans="1:4" s="57" customFormat="1" ht="14.25" x14ac:dyDescent="0.2">
      <c r="A29" s="71" t="s">
        <v>75</v>
      </c>
      <c r="B29" s="139">
        <f>B27+B28</f>
        <v>2.5000000000000001E-2</v>
      </c>
      <c r="C29" s="139"/>
      <c r="D29" s="139"/>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2">
        <v>0</v>
      </c>
      <c r="C32" s="72">
        <v>0</v>
      </c>
      <c r="D32" s="72">
        <v>0</v>
      </c>
    </row>
    <row r="33" spans="1:4" s="57" customFormat="1" ht="14.25" x14ac:dyDescent="0.2">
      <c r="A33" s="61" t="s">
        <v>29</v>
      </c>
      <c r="B33" s="72">
        <v>0</v>
      </c>
      <c r="C33" s="72">
        <v>0</v>
      </c>
      <c r="D33" s="72">
        <v>0</v>
      </c>
    </row>
    <row r="34" spans="1:4" s="57" customFormat="1" ht="14.25" x14ac:dyDescent="0.2">
      <c r="A34" s="61" t="s">
        <v>224</v>
      </c>
      <c r="B34" s="72">
        <v>0</v>
      </c>
      <c r="C34" s="72">
        <v>0</v>
      </c>
      <c r="D34" s="72">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81/3</f>
        <v>27</v>
      </c>
      <c r="C43" s="91">
        <f>55/3</f>
        <v>18.333333333333332</v>
      </c>
      <c r="D43" s="91">
        <f>75/3</f>
        <v>25</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27</v>
      </c>
      <c r="C51" s="78">
        <f t="shared" ref="C51:D51" si="2">C37+C38+C39+C40+C41+C42+C43+C44+C45+C46+C47+C49</f>
        <v>18.333333333333332</v>
      </c>
      <c r="D51" s="78">
        <f t="shared" si="2"/>
        <v>25</v>
      </c>
    </row>
    <row r="52" spans="1:4" s="57" customFormat="1" ht="14.25" x14ac:dyDescent="0.2">
      <c r="A52" s="62"/>
      <c r="B52" s="69"/>
      <c r="C52" s="69"/>
      <c r="D52" s="69"/>
    </row>
    <row r="53" spans="1:4" s="79" customFormat="1" ht="51" customHeight="1" x14ac:dyDescent="0.2">
      <c r="A53" s="134" t="s">
        <v>79</v>
      </c>
      <c r="B53" s="135"/>
      <c r="C53" s="135"/>
      <c r="D53" s="135"/>
    </row>
    <row r="54" spans="1:4" x14ac:dyDescent="0.25">
      <c r="A54" s="80" t="s">
        <v>30</v>
      </c>
    </row>
    <row r="55" spans="1:4" x14ac:dyDescent="0.25">
      <c r="A55" s="80"/>
    </row>
    <row r="56" spans="1:4" x14ac:dyDescent="0.25">
      <c r="A56" s="80" t="s">
        <v>30</v>
      </c>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0"/>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x14ac:dyDescent="0.25">
      <c r="A109" s="82"/>
    </row>
    <row r="110" spans="1:1" ht="64.5" x14ac:dyDescent="0.25">
      <c r="A110" s="82" t="s">
        <v>80</v>
      </c>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row r="248" spans="1:1" x14ac:dyDescent="0.25">
      <c r="A248" s="82"/>
    </row>
  </sheetData>
  <sheetProtection algorithmName="SHA-512" hashValue="5hk8NHB34Q11ti8vUAG9XQgYOeOOEYp2EK8JqH3Gccch/767gN4TjCoXz5I6+U8E5trENYExoCAiWIhpMcNqjA==" saltValue="tWYozU5fLbf0S5JUnOTnmw==" spinCount="100000" sheet="1" selectLockedCells="1"/>
  <mergeCells count="8">
    <mergeCell ref="A53:D53"/>
    <mergeCell ref="B1:D1"/>
    <mergeCell ref="A2:D2"/>
    <mergeCell ref="B27:D27"/>
    <mergeCell ref="B28:D28"/>
    <mergeCell ref="B29:D29"/>
    <mergeCell ref="B48:D48"/>
    <mergeCell ref="B30:D30"/>
  </mergeCells>
  <pageMargins left="0.25" right="0.25" top="0.75" bottom="0.75" header="0.3" footer="0.3"/>
  <pageSetup paperSize="9" scale="76"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2C2F-33A7-45A5-8950-1976D9A7DC13}">
  <sheetPr>
    <pageSetUpPr fitToPage="1"/>
  </sheetPr>
  <dimension ref="A1:D53"/>
  <sheetViews>
    <sheetView showGridLines="0" workbookViewId="0">
      <pane xSplit="1" ySplit="3" topLeftCell="B30" activePane="bottomRight" state="frozen"/>
      <selection activeCell="B1" sqref="B1:C1"/>
      <selection pane="topRight" activeCell="B1" sqref="B1:C1"/>
      <selection pane="bottomLeft" activeCell="B1" sqref="B1:C1"/>
      <selection pane="bottomRight" activeCell="E40" sqref="E40"/>
    </sheetView>
    <sheetView showGridLines="0" workbookViewId="1"/>
  </sheetViews>
  <sheetFormatPr defaultColWidth="9.140625" defaultRowHeight="12.75" x14ac:dyDescent="0.2"/>
  <cols>
    <col min="1" max="1" width="60.28515625" style="3" customWidth="1"/>
    <col min="2" max="2" width="44.85546875" style="3" customWidth="1"/>
    <col min="3" max="4" width="45.28515625" style="3" customWidth="1"/>
    <col min="5" max="16384" width="9.140625" style="3"/>
  </cols>
  <sheetData>
    <row r="1" spans="1:4" ht="15" x14ac:dyDescent="0.2">
      <c r="A1" s="84" t="s">
        <v>8</v>
      </c>
      <c r="B1" s="136" t="s">
        <v>152</v>
      </c>
      <c r="C1" s="136"/>
      <c r="D1" s="136"/>
    </row>
    <row r="2" spans="1:4" ht="13.5" x14ac:dyDescent="0.2">
      <c r="A2" s="137" t="s">
        <v>9</v>
      </c>
      <c r="B2" s="137"/>
      <c r="C2" s="137"/>
      <c r="D2" s="137"/>
    </row>
    <row r="3" spans="1:4" x14ac:dyDescent="0.2">
      <c r="A3" s="58" t="s">
        <v>10</v>
      </c>
      <c r="B3" s="92" t="s">
        <v>65</v>
      </c>
      <c r="C3" s="92" t="s">
        <v>66</v>
      </c>
      <c r="D3" s="92" t="s">
        <v>67</v>
      </c>
    </row>
    <row r="4" spans="1:4" ht="14.25" x14ac:dyDescent="0.2">
      <c r="A4" s="61" t="s">
        <v>1</v>
      </c>
      <c r="B4" s="118" t="s">
        <v>84</v>
      </c>
      <c r="C4" s="118" t="s">
        <v>68</v>
      </c>
      <c r="D4" s="118" t="s">
        <v>91</v>
      </c>
    </row>
    <row r="5" spans="1:4" ht="14.25" x14ac:dyDescent="0.2">
      <c r="A5" s="61" t="s">
        <v>2</v>
      </c>
      <c r="B5" s="118" t="s">
        <v>92</v>
      </c>
      <c r="C5" s="118" t="s">
        <v>93</v>
      </c>
      <c r="D5" s="118" t="s">
        <v>94</v>
      </c>
    </row>
    <row r="6" spans="1:4" ht="14.25" x14ac:dyDescent="0.2">
      <c r="A6" s="61" t="s">
        <v>3</v>
      </c>
      <c r="B6" s="118" t="s">
        <v>206</v>
      </c>
      <c r="C6" s="118" t="s">
        <v>220</v>
      </c>
      <c r="D6" s="118" t="s">
        <v>171</v>
      </c>
    </row>
    <row r="7" spans="1:4" ht="14.25" x14ac:dyDescent="0.2">
      <c r="A7" s="61" t="s">
        <v>11</v>
      </c>
      <c r="B7" s="118" t="s">
        <v>168</v>
      </c>
      <c r="C7" s="118" t="s">
        <v>168</v>
      </c>
      <c r="D7" s="118" t="s">
        <v>168</v>
      </c>
    </row>
    <row r="8" spans="1:4" ht="14.25" x14ac:dyDescent="0.2">
      <c r="A8" s="61" t="s">
        <v>12</v>
      </c>
      <c r="B8" s="118" t="s">
        <v>13</v>
      </c>
      <c r="C8" s="118" t="s">
        <v>13</v>
      </c>
      <c r="D8" s="118" t="s">
        <v>13</v>
      </c>
    </row>
    <row r="9" spans="1:4" ht="14.25" x14ac:dyDescent="0.2">
      <c r="A9" s="61" t="s">
        <v>71</v>
      </c>
      <c r="B9" s="97">
        <v>2039</v>
      </c>
      <c r="C9" s="97">
        <v>1414</v>
      </c>
      <c r="D9" s="97">
        <v>1657</v>
      </c>
    </row>
    <row r="10" spans="1:4" ht="14.25" x14ac:dyDescent="0.2">
      <c r="A10" s="62"/>
      <c r="B10" s="119"/>
      <c r="C10" s="119"/>
      <c r="D10" s="119"/>
    </row>
    <row r="11" spans="1:4" x14ac:dyDescent="0.2">
      <c r="A11" s="58" t="s">
        <v>14</v>
      </c>
      <c r="B11" s="120"/>
      <c r="C11" s="120"/>
      <c r="D11" s="120"/>
    </row>
    <row r="12" spans="1:4" ht="28.5" x14ac:dyDescent="0.2">
      <c r="A12" s="61" t="s">
        <v>15</v>
      </c>
      <c r="B12" s="98">
        <f>(B13*1.21)+B14</f>
        <v>43769.619999999995</v>
      </c>
      <c r="C12" s="98">
        <f>(C13*1.21)+C14</f>
        <v>43620.79</v>
      </c>
      <c r="D12" s="98">
        <f>(D13*1.21)+D14</f>
        <v>39995.000800000002</v>
      </c>
    </row>
    <row r="13" spans="1:4" ht="14.25" x14ac:dyDescent="0.2">
      <c r="A13" s="61" t="s">
        <v>16</v>
      </c>
      <c r="B13" s="98">
        <v>35622</v>
      </c>
      <c r="C13" s="98">
        <v>35499</v>
      </c>
      <c r="D13" s="98">
        <v>32502.48</v>
      </c>
    </row>
    <row r="14" spans="1:4" ht="14.25" x14ac:dyDescent="0.2">
      <c r="A14" s="61" t="s">
        <v>47</v>
      </c>
      <c r="B14" s="98">
        <v>667</v>
      </c>
      <c r="C14" s="98">
        <v>667</v>
      </c>
      <c r="D14" s="98">
        <v>667</v>
      </c>
    </row>
    <row r="15" spans="1:4" ht="85.5" x14ac:dyDescent="0.2">
      <c r="A15" s="61" t="s">
        <v>17</v>
      </c>
      <c r="B15" s="93" t="s">
        <v>169</v>
      </c>
      <c r="C15" s="93" t="s">
        <v>169</v>
      </c>
      <c r="D15" s="93" t="s">
        <v>169</v>
      </c>
    </row>
    <row r="16" spans="1:4" ht="14.25" x14ac:dyDescent="0.2">
      <c r="A16" s="61" t="s">
        <v>18</v>
      </c>
      <c r="B16" s="98">
        <v>0</v>
      </c>
      <c r="C16" s="98">
        <f>199</f>
        <v>199</v>
      </c>
      <c r="D16" s="98">
        <v>0</v>
      </c>
    </row>
    <row r="17" spans="1:4" ht="228" x14ac:dyDescent="0.2">
      <c r="A17" s="61" t="s">
        <v>19</v>
      </c>
      <c r="B17" s="93" t="s">
        <v>170</v>
      </c>
      <c r="C17" s="93" t="s">
        <v>172</v>
      </c>
      <c r="D17" s="93" t="s">
        <v>172</v>
      </c>
    </row>
    <row r="18" spans="1:4" ht="14.25" x14ac:dyDescent="0.2">
      <c r="A18" s="61" t="s">
        <v>20</v>
      </c>
      <c r="B18" s="91">
        <v>6100</v>
      </c>
      <c r="C18" s="91">
        <f>6000+400</f>
        <v>6400</v>
      </c>
      <c r="D18" s="91">
        <v>6400</v>
      </c>
    </row>
    <row r="19" spans="1:4" ht="14.25" x14ac:dyDescent="0.2">
      <c r="A19" s="61" t="s">
        <v>72</v>
      </c>
      <c r="B19" s="91">
        <v>1087.02</v>
      </c>
      <c r="C19" s="91">
        <f>1000/1.21</f>
        <v>826.44628099173553</v>
      </c>
      <c r="D19" s="91">
        <f>1000/1.21</f>
        <v>826.44628099173553</v>
      </c>
    </row>
    <row r="20" spans="1:4" ht="14.25" x14ac:dyDescent="0.2">
      <c r="A20" s="61" t="s">
        <v>21</v>
      </c>
      <c r="B20" s="94">
        <f>B19+B18+B16+B14+B13</f>
        <v>43476.020000000004</v>
      </c>
      <c r="C20" s="94">
        <f t="shared" ref="C20" si="0">C19+C18+C16+C14+C13</f>
        <v>43591.446280991739</v>
      </c>
      <c r="D20" s="94">
        <f>D19+D18+D16+D14+D13</f>
        <v>40395.926280991735</v>
      </c>
    </row>
    <row r="21" spans="1:4" ht="14.25" x14ac:dyDescent="0.2">
      <c r="A21" s="61" t="s">
        <v>22</v>
      </c>
      <c r="B21" s="95">
        <v>0</v>
      </c>
      <c r="C21" s="95">
        <v>0</v>
      </c>
      <c r="D21" s="95">
        <v>0</v>
      </c>
    </row>
    <row r="22" spans="1:4" ht="14.25" x14ac:dyDescent="0.2">
      <c r="A22" s="61" t="s">
        <v>23</v>
      </c>
      <c r="B22" s="94">
        <f>B20-B21</f>
        <v>43476.020000000004</v>
      </c>
      <c r="C22" s="94">
        <f t="shared" ref="C22:D22" si="1">C20-C21</f>
        <v>43591.446280991739</v>
      </c>
      <c r="D22" s="94">
        <f t="shared" si="1"/>
        <v>40395.926280991735</v>
      </c>
    </row>
    <row r="23" spans="1:4" ht="14.25" x14ac:dyDescent="0.2">
      <c r="A23" s="62"/>
      <c r="B23" s="69"/>
      <c r="C23" s="69"/>
      <c r="D23" s="69"/>
    </row>
    <row r="24" spans="1:4" x14ac:dyDescent="0.2">
      <c r="A24" s="58" t="s">
        <v>24</v>
      </c>
      <c r="B24" s="92"/>
      <c r="C24" s="92"/>
      <c r="D24" s="92"/>
    </row>
    <row r="25" spans="1:4" ht="14.25" x14ac:dyDescent="0.2">
      <c r="A25" s="61" t="s">
        <v>25</v>
      </c>
      <c r="B25" s="70">
        <v>72</v>
      </c>
      <c r="C25" s="70">
        <v>72</v>
      </c>
      <c r="D25" s="70">
        <v>72</v>
      </c>
    </row>
    <row r="26" spans="1:4" ht="14.25" x14ac:dyDescent="0.2">
      <c r="A26" s="61" t="s">
        <v>26</v>
      </c>
      <c r="B26" s="70">
        <v>15000</v>
      </c>
      <c r="C26" s="70">
        <v>15000</v>
      </c>
      <c r="D26" s="70">
        <v>15000</v>
      </c>
    </row>
    <row r="27" spans="1:4" ht="14.25" x14ac:dyDescent="0.2">
      <c r="A27" s="71" t="s">
        <v>73</v>
      </c>
      <c r="B27" s="138">
        <v>2.5000000000000001E-2</v>
      </c>
      <c r="C27" s="138"/>
      <c r="D27" s="138"/>
    </row>
    <row r="28" spans="1:4" ht="28.5" x14ac:dyDescent="0.2">
      <c r="A28" s="71" t="s">
        <v>74</v>
      </c>
      <c r="B28" s="139">
        <f>'Prijsinvulf overige zaken'!C4</f>
        <v>0</v>
      </c>
      <c r="C28" s="139"/>
      <c r="D28" s="139"/>
    </row>
    <row r="29" spans="1:4" ht="14.25" x14ac:dyDescent="0.2">
      <c r="A29" s="71" t="s">
        <v>75</v>
      </c>
      <c r="B29" s="139">
        <f>B27+B28</f>
        <v>2.5000000000000001E-2</v>
      </c>
      <c r="C29" s="139"/>
      <c r="D29" s="139"/>
    </row>
    <row r="30" spans="1:4" ht="14.25" x14ac:dyDescent="0.2">
      <c r="A30" s="123" t="s">
        <v>225</v>
      </c>
      <c r="B30" s="141">
        <v>0.1</v>
      </c>
      <c r="C30" s="142"/>
      <c r="D30" s="143"/>
    </row>
    <row r="31" spans="1:4" ht="14.25" x14ac:dyDescent="0.2">
      <c r="A31" s="61" t="s">
        <v>27</v>
      </c>
      <c r="B31" s="72">
        <v>0</v>
      </c>
      <c r="C31" s="72">
        <v>0</v>
      </c>
      <c r="D31" s="72">
        <v>0</v>
      </c>
    </row>
    <row r="32" spans="1:4" ht="14.25" x14ac:dyDescent="0.2">
      <c r="A32" s="61" t="s">
        <v>28</v>
      </c>
      <c r="B32" s="72">
        <v>0</v>
      </c>
      <c r="C32" s="72">
        <v>0</v>
      </c>
      <c r="D32" s="72">
        <v>0</v>
      </c>
    </row>
    <row r="33" spans="1:4" ht="14.25" x14ac:dyDescent="0.2">
      <c r="A33" s="61" t="s">
        <v>29</v>
      </c>
      <c r="B33" s="72">
        <v>0</v>
      </c>
      <c r="C33" s="72">
        <v>0</v>
      </c>
      <c r="D33" s="72">
        <v>0</v>
      </c>
    </row>
    <row r="34" spans="1:4" ht="14.25" x14ac:dyDescent="0.2">
      <c r="A34" s="61" t="s">
        <v>224</v>
      </c>
      <c r="B34" s="72">
        <v>0</v>
      </c>
      <c r="C34" s="72">
        <v>0</v>
      </c>
      <c r="D34" s="72">
        <v>0</v>
      </c>
    </row>
    <row r="35" spans="1:4" ht="14.25" x14ac:dyDescent="0.2">
      <c r="A35" s="62"/>
      <c r="B35" s="63"/>
      <c r="C35" s="63"/>
      <c r="D35" s="63"/>
    </row>
    <row r="36" spans="1:4" ht="13.5" x14ac:dyDescent="0.2">
      <c r="A36" s="58" t="s">
        <v>44</v>
      </c>
      <c r="B36" s="90"/>
      <c r="C36" s="90"/>
      <c r="D36" s="90"/>
    </row>
    <row r="37" spans="1:4" ht="14.25" x14ac:dyDescent="0.2">
      <c r="A37" s="61" t="s">
        <v>31</v>
      </c>
      <c r="B37" s="72">
        <v>0</v>
      </c>
      <c r="C37" s="72">
        <v>0</v>
      </c>
      <c r="D37" s="72">
        <v>0</v>
      </c>
    </row>
    <row r="38" spans="1:4" ht="14.25" x14ac:dyDescent="0.2">
      <c r="A38" s="61" t="s">
        <v>32</v>
      </c>
      <c r="B38" s="72">
        <v>0</v>
      </c>
      <c r="C38" s="75">
        <v>0</v>
      </c>
      <c r="D38" s="75">
        <v>0</v>
      </c>
    </row>
    <row r="39" spans="1:4" ht="14.25" x14ac:dyDescent="0.2">
      <c r="A39" s="61" t="s">
        <v>33</v>
      </c>
      <c r="B39" s="72">
        <v>0</v>
      </c>
      <c r="C39" s="72">
        <v>0</v>
      </c>
      <c r="D39" s="72">
        <v>0</v>
      </c>
    </row>
    <row r="40" spans="1:4" ht="14.25" x14ac:dyDescent="0.2">
      <c r="A40" s="61" t="s">
        <v>34</v>
      </c>
      <c r="B40" s="72">
        <v>0</v>
      </c>
      <c r="C40" s="72">
        <v>0</v>
      </c>
      <c r="D40" s="72">
        <v>0</v>
      </c>
    </row>
    <row r="41" spans="1:4" ht="14.25" x14ac:dyDescent="0.2">
      <c r="A41" s="61" t="s">
        <v>35</v>
      </c>
      <c r="B41" s="72">
        <v>0</v>
      </c>
      <c r="C41" s="72">
        <v>0</v>
      </c>
      <c r="D41" s="72">
        <v>0</v>
      </c>
    </row>
    <row r="42" spans="1:4" ht="14.25" x14ac:dyDescent="0.2">
      <c r="A42" s="114" t="s">
        <v>36</v>
      </c>
      <c r="B42" s="72">
        <v>0</v>
      </c>
      <c r="C42" s="72">
        <v>0</v>
      </c>
      <c r="D42" s="72">
        <v>0</v>
      </c>
    </row>
    <row r="43" spans="1:4" ht="14.25" x14ac:dyDescent="0.2">
      <c r="A43" s="61" t="s">
        <v>37</v>
      </c>
      <c r="B43" s="98">
        <f>103/3</f>
        <v>34.333333333333336</v>
      </c>
      <c r="C43" s="91">
        <f>60/3</f>
        <v>20</v>
      </c>
      <c r="D43" s="91">
        <f>81/3</f>
        <v>27</v>
      </c>
    </row>
    <row r="44" spans="1:4" ht="14.25" x14ac:dyDescent="0.2">
      <c r="A44" s="61" t="s">
        <v>39</v>
      </c>
      <c r="B44" s="72">
        <v>0</v>
      </c>
      <c r="C44" s="72">
        <v>0</v>
      </c>
      <c r="D44" s="72">
        <v>0</v>
      </c>
    </row>
    <row r="45" spans="1:4" ht="14.25" x14ac:dyDescent="0.2">
      <c r="A45" s="71" t="s">
        <v>76</v>
      </c>
      <c r="B45" s="72">
        <v>0</v>
      </c>
      <c r="C45" s="72">
        <v>0</v>
      </c>
      <c r="D45" s="72">
        <v>0</v>
      </c>
    </row>
    <row r="46" spans="1:4" ht="14.25" x14ac:dyDescent="0.2">
      <c r="A46" s="61" t="s">
        <v>40</v>
      </c>
      <c r="B46" s="72">
        <v>0</v>
      </c>
      <c r="C46" s="72">
        <v>0</v>
      </c>
      <c r="D46" s="72">
        <v>0</v>
      </c>
    </row>
    <row r="47" spans="1:4" ht="14.25" x14ac:dyDescent="0.2">
      <c r="A47" s="71" t="s">
        <v>41</v>
      </c>
      <c r="B47" s="72">
        <v>0</v>
      </c>
      <c r="C47" s="76">
        <v>0</v>
      </c>
      <c r="D47" s="76">
        <v>0</v>
      </c>
    </row>
    <row r="48" spans="1:4" ht="69.75" customHeight="1" x14ac:dyDescent="0.2">
      <c r="A48" s="71" t="s">
        <v>42</v>
      </c>
      <c r="B48" s="140" t="s">
        <v>77</v>
      </c>
      <c r="C48" s="140"/>
      <c r="D48" s="140"/>
    </row>
    <row r="49" spans="1:4" ht="14.25" x14ac:dyDescent="0.2">
      <c r="A49" s="123" t="s">
        <v>226</v>
      </c>
      <c r="B49" s="124">
        <f>(B26*B30*B34)/12</f>
        <v>0</v>
      </c>
      <c r="C49" s="124">
        <f>(C26*B30*C34)/12</f>
        <v>0</v>
      </c>
      <c r="D49" s="124">
        <f>(D26*B30*D34)/12</f>
        <v>0</v>
      </c>
    </row>
    <row r="50" spans="1:4" ht="14.25" x14ac:dyDescent="0.2">
      <c r="A50" s="62"/>
      <c r="B50" s="69"/>
      <c r="C50" s="69"/>
      <c r="D50" s="69"/>
    </row>
    <row r="51" spans="1:4" x14ac:dyDescent="0.2">
      <c r="A51" s="77" t="s">
        <v>78</v>
      </c>
      <c r="B51" s="78">
        <f>B37+B38+B39+B40+B41+B42+B43+B44+B45+B46+B47+B49</f>
        <v>34.333333333333336</v>
      </c>
      <c r="C51" s="78">
        <f t="shared" ref="C51:D51" si="2">C37+C38+C39+C40+C41+C42+C43+C44+C45+C46+C47+C49</f>
        <v>20</v>
      </c>
      <c r="D51" s="78">
        <f t="shared" si="2"/>
        <v>27</v>
      </c>
    </row>
    <row r="52" spans="1:4" ht="14.25" x14ac:dyDescent="0.2">
      <c r="A52" s="62"/>
      <c r="B52" s="69"/>
      <c r="C52" s="69"/>
      <c r="D52" s="69"/>
    </row>
    <row r="53" spans="1:4" ht="51" customHeight="1" x14ac:dyDescent="0.2">
      <c r="A53" s="134" t="s">
        <v>79</v>
      </c>
      <c r="B53" s="135"/>
      <c r="C53" s="135"/>
      <c r="D53" s="135"/>
    </row>
  </sheetData>
  <sheetProtection algorithmName="SHA-512" hashValue="CKZqZNWjnRktJFl/D/hfMZW8dOOy32rL8nDlasxlNe809CyS+C2xK21sLrmucUDPAisnLHXCDVkgBG4nAWGHMg==" saltValue="zAyKAcqq70VDxjibikl/rg==" spinCount="100000" sheet="1" objects="1" scenarios="1"/>
  <mergeCells count="8">
    <mergeCell ref="A53:D53"/>
    <mergeCell ref="B1:D1"/>
    <mergeCell ref="A2:D2"/>
    <mergeCell ref="B27:D27"/>
    <mergeCell ref="B28:D28"/>
    <mergeCell ref="B29:D29"/>
    <mergeCell ref="B48:D48"/>
    <mergeCell ref="B30:D30"/>
  </mergeCells>
  <pageMargins left="0.23622047244094491" right="0.23622047244094491" top="0.74803149606299213" bottom="0.74803149606299213" header="0.31496062992125984" footer="0.31496062992125984"/>
  <pageSetup paperSize="9" scale="74"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C407E-CE37-4640-B4D3-B7860B218B3B}">
  <sheetPr>
    <pageSetUpPr fitToPage="1"/>
  </sheetPr>
  <dimension ref="A1:D247"/>
  <sheetViews>
    <sheetView showGridLines="0" workbookViewId="0">
      <pane xSplit="1" ySplit="3" topLeftCell="B28" activePane="bottomRight" state="frozen"/>
      <selection activeCell="B1" sqref="B1:C1"/>
      <selection pane="topRight" activeCell="B1" sqref="B1:C1"/>
      <selection pane="bottomLeft" activeCell="B1" sqref="B1:C1"/>
      <selection pane="bottomRight" activeCell="C46" sqref="C46"/>
    </sheetView>
    <sheetView showGridLines="0" workbookViewId="1">
      <selection activeCell="B21" sqref="B21"/>
    </sheetView>
  </sheetViews>
  <sheetFormatPr defaultColWidth="9.140625" defaultRowHeight="15" x14ac:dyDescent="0.25"/>
  <cols>
    <col min="1" max="1" width="57.28515625" style="83" customWidth="1"/>
    <col min="2" max="4" width="43.140625" style="81" customWidth="1"/>
    <col min="5" max="16384" width="9.140625" style="81"/>
  </cols>
  <sheetData>
    <row r="1" spans="1:4" s="56" customFormat="1" ht="15.75" x14ac:dyDescent="0.25">
      <c r="A1" s="84" t="s">
        <v>8</v>
      </c>
      <c r="B1" s="136" t="s">
        <v>173</v>
      </c>
      <c r="C1" s="136"/>
      <c r="D1" s="136"/>
    </row>
    <row r="2" spans="1:4" s="57" customFormat="1" ht="13.5" x14ac:dyDescent="0.2">
      <c r="A2" s="137" t="s">
        <v>9</v>
      </c>
      <c r="B2" s="137"/>
      <c r="C2" s="137"/>
      <c r="D2" s="137"/>
    </row>
    <row r="3" spans="1:4" s="60" customFormat="1" ht="12.75" x14ac:dyDescent="0.2">
      <c r="A3" s="58" t="s">
        <v>10</v>
      </c>
      <c r="B3" s="92" t="s">
        <v>65</v>
      </c>
      <c r="C3" s="92" t="s">
        <v>66</v>
      </c>
      <c r="D3" s="92" t="s">
        <v>67</v>
      </c>
    </row>
    <row r="4" spans="1:4" s="57" customFormat="1" ht="14.25" x14ac:dyDescent="0.2">
      <c r="A4" s="61" t="s">
        <v>1</v>
      </c>
      <c r="B4" s="96" t="s">
        <v>5</v>
      </c>
      <c r="C4" s="96" t="s">
        <v>68</v>
      </c>
      <c r="D4" s="96" t="s">
        <v>43</v>
      </c>
    </row>
    <row r="5" spans="1:4" s="57" customFormat="1" ht="14.25" x14ac:dyDescent="0.2">
      <c r="A5" s="61" t="s">
        <v>2</v>
      </c>
      <c r="B5" s="96" t="s">
        <v>97</v>
      </c>
      <c r="C5" s="96" t="s">
        <v>69</v>
      </c>
      <c r="D5" s="96" t="s">
        <v>70</v>
      </c>
    </row>
    <row r="6" spans="1:4" s="57" customFormat="1" ht="14.25" x14ac:dyDescent="0.2">
      <c r="A6" s="61" t="s">
        <v>3</v>
      </c>
      <c r="B6" s="96" t="s">
        <v>103</v>
      </c>
      <c r="C6" s="96" t="s">
        <v>107</v>
      </c>
      <c r="D6" s="96" t="s">
        <v>107</v>
      </c>
    </row>
    <row r="7" spans="1:4" s="57" customFormat="1" ht="14.25" x14ac:dyDescent="0.2">
      <c r="A7" s="61" t="s">
        <v>11</v>
      </c>
      <c r="B7" s="96" t="s">
        <v>96</v>
      </c>
      <c r="C7" s="96" t="s">
        <v>96</v>
      </c>
      <c r="D7" s="96" t="s">
        <v>96</v>
      </c>
    </row>
    <row r="8" spans="1:4" s="57" customFormat="1" ht="14.25" x14ac:dyDescent="0.2">
      <c r="A8" s="61" t="s">
        <v>12</v>
      </c>
      <c r="B8" s="96" t="s">
        <v>13</v>
      </c>
      <c r="C8" s="96" t="s">
        <v>13</v>
      </c>
      <c r="D8" s="96" t="s">
        <v>13</v>
      </c>
    </row>
    <row r="9" spans="1:4" s="57" customFormat="1" ht="14.25" x14ac:dyDescent="0.2">
      <c r="A9" s="61" t="s">
        <v>71</v>
      </c>
      <c r="B9" s="97">
        <v>1658</v>
      </c>
      <c r="C9" s="70">
        <v>1749</v>
      </c>
      <c r="D9" s="70">
        <v>1749</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(B13*1.21)+B14</f>
        <v>39318.949999999997</v>
      </c>
      <c r="C12" s="91">
        <f>(C13*1.21)+C14</f>
        <v>33631.949999999997</v>
      </c>
      <c r="D12" s="91">
        <f>(D13*1.21)+D14</f>
        <v>33631.949999999997</v>
      </c>
    </row>
    <row r="13" spans="1:4" s="57" customFormat="1" ht="14.25" x14ac:dyDescent="0.2">
      <c r="A13" s="61" t="s">
        <v>16</v>
      </c>
      <c r="B13" s="91">
        <v>32495</v>
      </c>
      <c r="C13" s="91">
        <v>27795</v>
      </c>
      <c r="D13" s="91">
        <v>27795</v>
      </c>
    </row>
    <row r="14" spans="1:4" s="57" customFormat="1" ht="14.25" x14ac:dyDescent="0.2">
      <c r="A14" s="61" t="s">
        <v>47</v>
      </c>
      <c r="B14" s="91">
        <v>0</v>
      </c>
      <c r="C14" s="91">
        <v>0</v>
      </c>
      <c r="D14" s="91">
        <v>0</v>
      </c>
    </row>
    <row r="15" spans="1:4" s="65" customFormat="1" ht="171" x14ac:dyDescent="0.2">
      <c r="A15" s="88" t="s">
        <v>17</v>
      </c>
      <c r="B15" s="93" t="s">
        <v>106</v>
      </c>
      <c r="C15" s="93" t="s">
        <v>99</v>
      </c>
      <c r="D15" s="93" t="s">
        <v>227</v>
      </c>
    </row>
    <row r="16" spans="1:4" s="57" customFormat="1" ht="14.25" x14ac:dyDescent="0.2">
      <c r="A16" s="61" t="s">
        <v>18</v>
      </c>
      <c r="B16" s="91">
        <f>300+750</f>
        <v>1050</v>
      </c>
      <c r="C16" s="91">
        <f>1450+750+100+350+100</f>
        <v>2750</v>
      </c>
      <c r="D16" s="91">
        <f>1450+750+100+350+100</f>
        <v>2750</v>
      </c>
    </row>
    <row r="17" spans="1:4" s="66" customFormat="1" ht="164.25" customHeight="1" x14ac:dyDescent="0.2">
      <c r="A17" s="89" t="s">
        <v>19</v>
      </c>
      <c r="B17" s="93" t="s">
        <v>195</v>
      </c>
      <c r="C17" s="93" t="s">
        <v>196</v>
      </c>
      <c r="D17" s="93" t="s">
        <v>196</v>
      </c>
    </row>
    <row r="18" spans="1:4" s="57" customFormat="1" ht="14.25" x14ac:dyDescent="0.2">
      <c r="A18" s="61" t="s">
        <v>20</v>
      </c>
      <c r="B18" s="91">
        <v>2000</v>
      </c>
      <c r="C18" s="91">
        <v>2300</v>
      </c>
      <c r="D18" s="91">
        <v>2300</v>
      </c>
    </row>
    <row r="19" spans="1:4" s="57" customFormat="1" ht="14.25" x14ac:dyDescent="0.2">
      <c r="A19" s="61" t="s">
        <v>72</v>
      </c>
      <c r="B19" s="91">
        <v>937.18</v>
      </c>
      <c r="C19" s="91">
        <v>900</v>
      </c>
      <c r="D19" s="91">
        <v>900</v>
      </c>
    </row>
    <row r="20" spans="1:4" s="57" customFormat="1" ht="14.25" x14ac:dyDescent="0.2">
      <c r="A20" s="61" t="s">
        <v>21</v>
      </c>
      <c r="B20" s="94">
        <f>B19+B18+B16+B14+B13</f>
        <v>36482.18</v>
      </c>
      <c r="C20" s="94">
        <f t="shared" ref="C20:D20" si="0">C19+C18+C16+C14+C13</f>
        <v>33745</v>
      </c>
      <c r="D20" s="94">
        <f t="shared" si="0"/>
        <v>33745</v>
      </c>
    </row>
    <row r="21" spans="1:4" s="57" customFormat="1" ht="14.25" x14ac:dyDescent="0.2">
      <c r="A21" s="61" t="s">
        <v>22</v>
      </c>
      <c r="B21" s="95">
        <v>0</v>
      </c>
      <c r="C21" s="95">
        <v>0</v>
      </c>
      <c r="D21" s="95">
        <v>0</v>
      </c>
    </row>
    <row r="22" spans="1:4" s="57" customFormat="1" ht="14.25" x14ac:dyDescent="0.2">
      <c r="A22" s="61" t="s">
        <v>23</v>
      </c>
      <c r="B22" s="94">
        <f>B20-B21</f>
        <v>36482.18</v>
      </c>
      <c r="C22" s="94">
        <f t="shared" ref="C22:D22" si="1">C20-C21</f>
        <v>33745</v>
      </c>
      <c r="D22" s="94">
        <f t="shared" si="1"/>
        <v>33745</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72</v>
      </c>
      <c r="C25" s="70">
        <v>72</v>
      </c>
      <c r="D25" s="70">
        <v>72</v>
      </c>
    </row>
    <row r="26" spans="1:4" s="57" customFormat="1" ht="14.25" x14ac:dyDescent="0.2">
      <c r="A26" s="61" t="s">
        <v>26</v>
      </c>
      <c r="B26" s="70">
        <v>10000</v>
      </c>
      <c r="C26" s="70">
        <v>10000</v>
      </c>
      <c r="D26" s="70">
        <v>10000</v>
      </c>
    </row>
    <row r="27" spans="1:4" s="57" customFormat="1" ht="28.5" x14ac:dyDescent="0.2">
      <c r="A27" s="71" t="s">
        <v>73</v>
      </c>
      <c r="B27" s="138">
        <v>2.5000000000000001E-2</v>
      </c>
      <c r="C27" s="138"/>
      <c r="D27" s="138"/>
    </row>
    <row r="28" spans="1:4" s="57" customFormat="1" ht="28.5" x14ac:dyDescent="0.2">
      <c r="A28" s="71" t="s">
        <v>74</v>
      </c>
      <c r="B28" s="139">
        <f>'Prijsinvulf overige zaken'!C4</f>
        <v>0</v>
      </c>
      <c r="C28" s="139"/>
      <c r="D28" s="139"/>
    </row>
    <row r="29" spans="1:4" s="57" customFormat="1" ht="14.25" x14ac:dyDescent="0.2">
      <c r="A29" s="71" t="s">
        <v>75</v>
      </c>
      <c r="B29" s="139">
        <f>B27+B28</f>
        <v>2.5000000000000001E-2</v>
      </c>
      <c r="C29" s="139"/>
      <c r="D29" s="139"/>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3">
        <v>0</v>
      </c>
      <c r="C32" s="73">
        <v>0</v>
      </c>
      <c r="D32" s="73">
        <v>0</v>
      </c>
    </row>
    <row r="33" spans="1:4" s="57" customFormat="1" ht="14.25" x14ac:dyDescent="0.2">
      <c r="A33" s="61" t="s">
        <v>29</v>
      </c>
      <c r="B33" s="73">
        <v>0</v>
      </c>
      <c r="C33" s="73">
        <v>0</v>
      </c>
      <c r="D33" s="73">
        <v>0</v>
      </c>
    </row>
    <row r="34" spans="1:4" s="57" customFormat="1" ht="14.25" x14ac:dyDescent="0.2">
      <c r="A34" s="61" t="s">
        <v>224</v>
      </c>
      <c r="B34" s="73">
        <v>0</v>
      </c>
      <c r="C34" s="73">
        <v>0</v>
      </c>
      <c r="D34" s="73">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49/3</f>
        <v>16.333333333333332</v>
      </c>
      <c r="C43" s="91">
        <f>49/3</f>
        <v>16.333333333333332</v>
      </c>
      <c r="D43" s="91">
        <f>49/3</f>
        <v>16.333333333333332</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16.333333333333332</v>
      </c>
      <c r="C51" s="78">
        <f t="shared" ref="C51:D51" si="2">C37+C38+C39+C40+C41+C42+C43+C44+C45+C46+C47+C49</f>
        <v>16.333333333333332</v>
      </c>
      <c r="D51" s="78">
        <f t="shared" si="2"/>
        <v>16.333333333333332</v>
      </c>
    </row>
    <row r="52" spans="1:4" s="57" customFormat="1" ht="14.25" x14ac:dyDescent="0.2">
      <c r="A52" s="62"/>
      <c r="B52" s="69"/>
      <c r="C52" s="69"/>
      <c r="D52" s="69"/>
    </row>
    <row r="53" spans="1:4" s="79" customFormat="1" ht="51" customHeight="1" x14ac:dyDescent="0.2">
      <c r="A53" s="134" t="s">
        <v>79</v>
      </c>
      <c r="B53" s="135"/>
      <c r="C53" s="135"/>
      <c r="D53" s="135"/>
    </row>
    <row r="54" spans="1:4" x14ac:dyDescent="0.25">
      <c r="A54" s="80" t="s">
        <v>30</v>
      </c>
    </row>
    <row r="55" spans="1:4" x14ac:dyDescent="0.25">
      <c r="A55" s="80" t="s">
        <v>30</v>
      </c>
    </row>
    <row r="56" spans="1:4" x14ac:dyDescent="0.25">
      <c r="A56" s="80"/>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2"/>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ht="64.5" x14ac:dyDescent="0.25">
      <c r="A109" s="82" t="s">
        <v>80</v>
      </c>
    </row>
    <row r="110" spans="1:1" x14ac:dyDescent="0.25">
      <c r="A110" s="82"/>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sheetData>
  <sheetProtection algorithmName="SHA-512" hashValue="Xnua5TJAjL4HstXyNcxggc2FoM8mdv4mpQfMlYWywNL3wofEcPLL9iolbOtLB4UB0ujT3RYrGyoYqNsH1r6tlQ==" saltValue="wXSgZWV1W2wcbycyj2gUbQ==" spinCount="100000" sheet="1" selectLockedCells="1"/>
  <mergeCells count="8">
    <mergeCell ref="A53:D53"/>
    <mergeCell ref="B1:D1"/>
    <mergeCell ref="A2:D2"/>
    <mergeCell ref="B27:D27"/>
    <mergeCell ref="B28:D28"/>
    <mergeCell ref="B29:D29"/>
    <mergeCell ref="B48:D48"/>
    <mergeCell ref="B30:D30"/>
  </mergeCells>
  <pageMargins left="0.25" right="0.25" top="0.75" bottom="0.75" header="0.3" footer="0.3"/>
  <pageSetup paperSize="9" scale="78"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FB39B-F078-4CF2-9D41-8809623A9092}">
  <sheetPr>
    <pageSetUpPr fitToPage="1"/>
  </sheetPr>
  <dimension ref="A1:D247"/>
  <sheetViews>
    <sheetView showGridLines="0" workbookViewId="0">
      <pane xSplit="1" ySplit="3" topLeftCell="B27" activePane="bottomRight" state="frozen"/>
      <selection activeCell="B1" sqref="B1:C1"/>
      <selection pane="topRight" activeCell="B1" sqref="B1:C1"/>
      <selection pane="bottomLeft" activeCell="B1" sqref="B1:C1"/>
      <selection pane="bottomRight" activeCell="B48" sqref="B48:D48"/>
    </sheetView>
    <sheetView showGridLines="0" workbookViewId="1"/>
  </sheetViews>
  <sheetFormatPr defaultColWidth="9.140625" defaultRowHeight="15" x14ac:dyDescent="0.25"/>
  <cols>
    <col min="1" max="1" width="57.28515625" style="83" customWidth="1"/>
    <col min="2" max="4" width="43.140625" style="81" customWidth="1"/>
    <col min="5" max="16384" width="9.140625" style="81"/>
  </cols>
  <sheetData>
    <row r="1" spans="1:4" s="56" customFormat="1" ht="15.75" x14ac:dyDescent="0.25">
      <c r="A1" s="84" t="s">
        <v>8</v>
      </c>
      <c r="B1" s="136" t="s">
        <v>174</v>
      </c>
      <c r="C1" s="136"/>
      <c r="D1" s="136"/>
    </row>
    <row r="2" spans="1:4" s="57" customFormat="1" ht="13.5" x14ac:dyDescent="0.2">
      <c r="A2" s="137" t="s">
        <v>9</v>
      </c>
      <c r="B2" s="137"/>
      <c r="C2" s="137"/>
      <c r="D2" s="137"/>
    </row>
    <row r="3" spans="1:4" s="60" customFormat="1" ht="12.75" x14ac:dyDescent="0.2">
      <c r="A3" s="58" t="s">
        <v>10</v>
      </c>
      <c r="B3" s="92" t="s">
        <v>65</v>
      </c>
      <c r="C3" s="92" t="s">
        <v>66</v>
      </c>
      <c r="D3" s="92" t="s">
        <v>67</v>
      </c>
    </row>
    <row r="4" spans="1:4" s="57" customFormat="1" ht="14.25" x14ac:dyDescent="0.2">
      <c r="A4" s="61" t="s">
        <v>1</v>
      </c>
      <c r="B4" s="109" t="s">
        <v>176</v>
      </c>
      <c r="C4" s="109" t="s">
        <v>84</v>
      </c>
      <c r="D4" s="109" t="s">
        <v>43</v>
      </c>
    </row>
    <row r="5" spans="1:4" s="57" customFormat="1" ht="14.25" x14ac:dyDescent="0.2">
      <c r="A5" s="61" t="s">
        <v>2</v>
      </c>
      <c r="B5" s="109" t="s">
        <v>181</v>
      </c>
      <c r="C5" s="109" t="s">
        <v>177</v>
      </c>
      <c r="D5" s="109" t="s">
        <v>178</v>
      </c>
    </row>
    <row r="6" spans="1:4" s="57" customFormat="1" ht="14.25" x14ac:dyDescent="0.2">
      <c r="A6" s="61" t="s">
        <v>3</v>
      </c>
      <c r="B6" s="109" t="s">
        <v>182</v>
      </c>
      <c r="C6" s="109" t="s">
        <v>184</v>
      </c>
      <c r="D6" s="109" t="s">
        <v>179</v>
      </c>
    </row>
    <row r="7" spans="1:4" s="57" customFormat="1" ht="14.25" x14ac:dyDescent="0.2">
      <c r="A7" s="61" t="s">
        <v>11</v>
      </c>
      <c r="B7" s="109" t="s">
        <v>168</v>
      </c>
      <c r="C7" s="109" t="s">
        <v>168</v>
      </c>
      <c r="D7" s="109" t="s">
        <v>168</v>
      </c>
    </row>
    <row r="8" spans="1:4" s="57" customFormat="1" ht="14.25" x14ac:dyDescent="0.2">
      <c r="A8" s="61" t="s">
        <v>12</v>
      </c>
      <c r="B8" s="109" t="s">
        <v>180</v>
      </c>
      <c r="C8" s="109" t="s">
        <v>180</v>
      </c>
      <c r="D8" s="109" t="s">
        <v>180</v>
      </c>
    </row>
    <row r="9" spans="1:4" s="57" customFormat="1" ht="14.25" x14ac:dyDescent="0.2">
      <c r="A9" s="61" t="s">
        <v>71</v>
      </c>
      <c r="B9" s="97">
        <v>1375</v>
      </c>
      <c r="C9" s="70">
        <v>1294</v>
      </c>
      <c r="D9" s="70">
        <v>1310</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(B13*1.21)+B14</f>
        <v>36002.003400000001</v>
      </c>
      <c r="C12" s="91">
        <f>(C13*1.21)+C14</f>
        <v>44410.31</v>
      </c>
      <c r="D12" s="91">
        <f>(D13*1.21)+D14</f>
        <v>38879.64</v>
      </c>
    </row>
    <row r="13" spans="1:4" s="57" customFormat="1" ht="14.25" x14ac:dyDescent="0.2">
      <c r="A13" s="61" t="s">
        <v>16</v>
      </c>
      <c r="B13" s="91">
        <v>27635.54</v>
      </c>
      <c r="C13" s="91">
        <v>32011</v>
      </c>
      <c r="D13" s="91">
        <v>28584</v>
      </c>
    </row>
    <row r="14" spans="1:4" s="57" customFormat="1" ht="14.25" x14ac:dyDescent="0.2">
      <c r="A14" s="61" t="s">
        <v>47</v>
      </c>
      <c r="B14" s="91">
        <v>2563</v>
      </c>
      <c r="C14" s="91">
        <v>5677</v>
      </c>
      <c r="D14" s="91">
        <v>4293</v>
      </c>
    </row>
    <row r="15" spans="1:4" s="65" customFormat="1" ht="99.75" x14ac:dyDescent="0.2">
      <c r="A15" s="88" t="s">
        <v>17</v>
      </c>
      <c r="B15" s="93" t="s">
        <v>175</v>
      </c>
      <c r="C15" s="93" t="s">
        <v>183</v>
      </c>
      <c r="D15" s="93" t="s">
        <v>185</v>
      </c>
    </row>
    <row r="16" spans="1:4" s="57" customFormat="1" ht="14.25" x14ac:dyDescent="0.2">
      <c r="A16" s="61" t="s">
        <v>18</v>
      </c>
      <c r="B16" s="91">
        <f>(482+1149+611+962)/1.21</f>
        <v>2647.9338842975208</v>
      </c>
      <c r="C16" s="91">
        <f>240+694+87</f>
        <v>1021</v>
      </c>
      <c r="D16" s="108">
        <f>579+661</f>
        <v>1240</v>
      </c>
    </row>
    <row r="17" spans="1:4" s="66" customFormat="1" ht="185.25" x14ac:dyDescent="0.2">
      <c r="A17" s="89" t="s">
        <v>19</v>
      </c>
      <c r="B17" s="93" t="s">
        <v>192</v>
      </c>
      <c r="C17" s="93" t="s">
        <v>193</v>
      </c>
      <c r="D17" s="93" t="s">
        <v>194</v>
      </c>
    </row>
    <row r="18" spans="1:4" s="57" customFormat="1" ht="14.25" x14ac:dyDescent="0.2">
      <c r="A18" s="61" t="s">
        <v>20</v>
      </c>
      <c r="B18" s="91">
        <v>2000</v>
      </c>
      <c r="C18" s="91">
        <v>2200</v>
      </c>
      <c r="D18" s="91">
        <v>2300</v>
      </c>
    </row>
    <row r="19" spans="1:4" s="57" customFormat="1" ht="14.25" x14ac:dyDescent="0.2">
      <c r="A19" s="61" t="s">
        <v>72</v>
      </c>
      <c r="B19" s="91">
        <f>907+50+7.97+20+8</f>
        <v>992.97</v>
      </c>
      <c r="C19" s="91">
        <f>((997.03+20+5)/1.21)+57.97</f>
        <v>902.62289256198346</v>
      </c>
      <c r="D19" s="91">
        <f>762.01+50+7.97+16.53</f>
        <v>836.51</v>
      </c>
    </row>
    <row r="20" spans="1:4" s="57" customFormat="1" ht="14.25" x14ac:dyDescent="0.2">
      <c r="A20" s="61" t="s">
        <v>21</v>
      </c>
      <c r="B20" s="94">
        <f>B19+B18+B16+B14+B13</f>
        <v>35839.443884297521</v>
      </c>
      <c r="C20" s="94">
        <f t="shared" ref="C20:D20" si="0">C19+C18+C16+C14+C13</f>
        <v>41811.62289256198</v>
      </c>
      <c r="D20" s="94">
        <f t="shared" si="0"/>
        <v>37253.51</v>
      </c>
    </row>
    <row r="21" spans="1:4" s="57" customFormat="1" ht="14.25" x14ac:dyDescent="0.2">
      <c r="A21" s="61" t="s">
        <v>22</v>
      </c>
      <c r="B21" s="95">
        <v>0</v>
      </c>
      <c r="C21" s="95">
        <v>0</v>
      </c>
      <c r="D21" s="95">
        <v>0</v>
      </c>
    </row>
    <row r="22" spans="1:4" s="57" customFormat="1" ht="14.25" x14ac:dyDescent="0.2">
      <c r="A22" s="61" t="s">
        <v>23</v>
      </c>
      <c r="B22" s="94">
        <f>B20-B21</f>
        <v>35839.443884297521</v>
      </c>
      <c r="C22" s="94">
        <f t="shared" ref="C22:D22" si="1">C20-C21</f>
        <v>41811.62289256198</v>
      </c>
      <c r="D22" s="94">
        <f t="shared" si="1"/>
        <v>37253.51</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72</v>
      </c>
      <c r="C25" s="70">
        <v>72</v>
      </c>
      <c r="D25" s="70">
        <v>72</v>
      </c>
    </row>
    <row r="26" spans="1:4" s="57" customFormat="1" ht="14.25" x14ac:dyDescent="0.2">
      <c r="A26" s="61" t="s">
        <v>26</v>
      </c>
      <c r="B26" s="70">
        <v>15000</v>
      </c>
      <c r="C26" s="70">
        <v>15000</v>
      </c>
      <c r="D26" s="70">
        <v>15000</v>
      </c>
    </row>
    <row r="27" spans="1:4" s="57" customFormat="1" ht="28.5" x14ac:dyDescent="0.2">
      <c r="A27" s="71" t="s">
        <v>73</v>
      </c>
      <c r="B27" s="138">
        <v>2.5000000000000001E-2</v>
      </c>
      <c r="C27" s="138"/>
      <c r="D27" s="138"/>
    </row>
    <row r="28" spans="1:4" s="57" customFormat="1" ht="28.5" x14ac:dyDescent="0.2">
      <c r="A28" s="71" t="s">
        <v>74</v>
      </c>
      <c r="B28" s="139">
        <f>'Prijsinvulf overige zaken'!C4</f>
        <v>0</v>
      </c>
      <c r="C28" s="139"/>
      <c r="D28" s="139"/>
    </row>
    <row r="29" spans="1:4" s="57" customFormat="1" ht="14.25" x14ac:dyDescent="0.2">
      <c r="A29" s="71" t="s">
        <v>75</v>
      </c>
      <c r="B29" s="139">
        <f>B27+B28</f>
        <v>2.5000000000000001E-2</v>
      </c>
      <c r="C29" s="139"/>
      <c r="D29" s="139"/>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3">
        <v>0</v>
      </c>
      <c r="C32" s="73">
        <v>0</v>
      </c>
      <c r="D32" s="73">
        <v>0</v>
      </c>
    </row>
    <row r="33" spans="1:4" s="57" customFormat="1" ht="14.25" x14ac:dyDescent="0.2">
      <c r="A33" s="61" t="s">
        <v>29</v>
      </c>
      <c r="B33" s="73">
        <v>0</v>
      </c>
      <c r="C33" s="73">
        <v>0</v>
      </c>
      <c r="D33" s="73">
        <v>0</v>
      </c>
    </row>
    <row r="34" spans="1:4" s="57" customFormat="1" ht="14.25" x14ac:dyDescent="0.2">
      <c r="A34" s="61" t="s">
        <v>224</v>
      </c>
      <c r="B34" s="73">
        <v>0</v>
      </c>
      <c r="C34" s="73">
        <v>0</v>
      </c>
      <c r="D34" s="73">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240/3</f>
        <v>80</v>
      </c>
      <c r="C43" s="91">
        <f>211/3</f>
        <v>70.333333333333329</v>
      </c>
      <c r="D43" s="91">
        <f>211/3</f>
        <v>70.333333333333329</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80</v>
      </c>
      <c r="C51" s="78">
        <f t="shared" ref="C51:D51" si="2">C37+C38+C39+C40+C41+C42+C43+C44+C45+C46+C47+C49</f>
        <v>70.333333333333329</v>
      </c>
      <c r="D51" s="78">
        <f t="shared" si="2"/>
        <v>70.333333333333329</v>
      </c>
    </row>
    <row r="52" spans="1:4" s="57" customFormat="1" ht="14.25" x14ac:dyDescent="0.2">
      <c r="A52" s="62"/>
      <c r="B52" s="69"/>
      <c r="C52" s="69"/>
      <c r="D52" s="69"/>
    </row>
    <row r="53" spans="1:4" s="79" customFormat="1" ht="51" customHeight="1" x14ac:dyDescent="0.2">
      <c r="A53" s="134" t="s">
        <v>79</v>
      </c>
      <c r="B53" s="135"/>
      <c r="C53" s="135"/>
      <c r="D53" s="135"/>
    </row>
    <row r="54" spans="1:4" x14ac:dyDescent="0.25">
      <c r="A54" s="80" t="s">
        <v>30</v>
      </c>
    </row>
    <row r="55" spans="1:4" x14ac:dyDescent="0.25">
      <c r="A55" s="80" t="s">
        <v>30</v>
      </c>
    </row>
    <row r="56" spans="1:4" x14ac:dyDescent="0.25">
      <c r="A56" s="80"/>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2"/>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ht="64.5" x14ac:dyDescent="0.25">
      <c r="A109" s="82" t="s">
        <v>80</v>
      </c>
    </row>
    <row r="110" spans="1:1" x14ac:dyDescent="0.25">
      <c r="A110" s="82"/>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sheetData>
  <sheetProtection algorithmName="SHA-512" hashValue="nm9+9P73TP214wrM9ULQ18+uhmbbBgJYIkm9BYMgR+5sVWFfT+sUG/1osU91/4J2UaGSnw+k0dBmBGR3tHzH4A==" saltValue="b1YuL2AsZdPzySMiqBbGPg==" spinCount="100000" sheet="1" selectLockedCells="1"/>
  <mergeCells count="8">
    <mergeCell ref="A53:D53"/>
    <mergeCell ref="B1:D1"/>
    <mergeCell ref="A2:D2"/>
    <mergeCell ref="B27:D27"/>
    <mergeCell ref="B28:D28"/>
    <mergeCell ref="B29:D29"/>
    <mergeCell ref="B48:D48"/>
    <mergeCell ref="B30:D30"/>
  </mergeCells>
  <pageMargins left="0.25" right="0.25" top="0.75" bottom="0.75" header="0.3" footer="0.3"/>
  <pageSetup paperSize="9" scale="78"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F987-B7F8-457D-A294-7E05DA03D939}">
  <sheetPr>
    <tabColor theme="6" tint="0.59999389629810485"/>
    <pageSetUpPr fitToPage="1"/>
  </sheetPr>
  <dimension ref="A1:BC431"/>
  <sheetViews>
    <sheetView showGridLines="0" zoomScaleNormal="100" workbookViewId="0">
      <pane ySplit="2" topLeftCell="A3" activePane="bottomLeft" state="frozen"/>
      <selection pane="bottomLeft" activeCell="A3" sqref="A3:B3"/>
    </sheetView>
    <sheetView showGridLines="0" workbookViewId="1">
      <selection sqref="A1:D1"/>
    </sheetView>
  </sheetViews>
  <sheetFormatPr defaultColWidth="9.140625" defaultRowHeight="14.25" x14ac:dyDescent="0.2"/>
  <cols>
    <col min="1" max="1" width="86.140625" style="7" bestFit="1" customWidth="1"/>
    <col min="2" max="2" width="23.28515625" style="7" bestFit="1" customWidth="1"/>
    <col min="3" max="3" width="62.5703125" style="7" bestFit="1" customWidth="1"/>
    <col min="4" max="4" width="15.5703125" style="7" bestFit="1" customWidth="1"/>
    <col min="5" max="5" width="177.5703125" style="21" customWidth="1"/>
    <col min="6" max="55" width="177.5703125" style="22" customWidth="1"/>
    <col min="56" max="16384" width="9.140625" style="7"/>
  </cols>
  <sheetData>
    <row r="1" spans="1:55" ht="39" customHeight="1" x14ac:dyDescent="0.2">
      <c r="A1" s="160" t="s">
        <v>213</v>
      </c>
      <c r="B1" s="161"/>
      <c r="C1" s="161"/>
      <c r="D1" s="162"/>
    </row>
    <row r="2" spans="1:55" s="12" customFormat="1" ht="23.25" customHeight="1" x14ac:dyDescent="0.2">
      <c r="A2" s="23" t="s">
        <v>56</v>
      </c>
      <c r="B2" s="7"/>
      <c r="E2" s="24"/>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row>
    <row r="3" spans="1:55" ht="23.25" customHeight="1" x14ac:dyDescent="0.2">
      <c r="A3" s="157" t="str">
        <f>'1.1 Gesloten bestelwagen klein'!$B$1</f>
        <v>Onderdeel 1.1 Gesloten bestelwagen klein</v>
      </c>
      <c r="B3" s="157"/>
    </row>
    <row r="4" spans="1:55" ht="23.25" customHeight="1" x14ac:dyDescent="0.2">
      <c r="A4" s="4" t="s">
        <v>1</v>
      </c>
      <c r="B4" s="4" t="s">
        <v>2</v>
      </c>
      <c r="C4" s="4" t="s">
        <v>3</v>
      </c>
      <c r="D4" s="6" t="s">
        <v>57</v>
      </c>
    </row>
    <row r="5" spans="1:55" ht="23.25" customHeight="1" x14ac:dyDescent="0.2">
      <c r="A5" s="5" t="str">
        <f>'1.1 Gesloten bestelwagen klein'!$B$4</f>
        <v>Renault</v>
      </c>
      <c r="B5" s="5" t="str">
        <f>'1.1 Gesloten bestelwagen klein'!$B$5</f>
        <v>Kangoo E-Tech electric</v>
      </c>
      <c r="C5" s="5" t="str">
        <f>'1.1 Gesloten bestelwagen klein'!$B$6</f>
        <v>L1H1 Extra 44kWh 120 pk</v>
      </c>
      <c r="D5" s="25">
        <f>'1.1 Gesloten bestelwagen klein'!$B$51</f>
        <v>16.333333333333332</v>
      </c>
    </row>
    <row r="6" spans="1:55" ht="23.25" customHeight="1" x14ac:dyDescent="0.2">
      <c r="A6" s="5" t="str">
        <f>'1.1 Gesloten bestelwagen klein'!$C$4</f>
        <v>Opel</v>
      </c>
      <c r="B6" s="5" t="str">
        <f>'1.1 Gesloten bestelwagen klein'!$C$5</f>
        <v>Combo E-Cargo</v>
      </c>
      <c r="C6" s="5" t="str">
        <f>'1.1 Gesloten bestelwagen klein'!$C$6</f>
        <v>L1 50 kWh 100 kW/136 pk</v>
      </c>
      <c r="D6" s="25">
        <f>'1.1 Gesloten bestelwagen klein'!$C$51</f>
        <v>16.333333333333332</v>
      </c>
    </row>
    <row r="7" spans="1:55" ht="23.25" customHeight="1" x14ac:dyDescent="0.2">
      <c r="A7" s="5" t="str">
        <f>'1.1 Gesloten bestelwagen klein'!$D$4</f>
        <v>Peugeot</v>
      </c>
      <c r="B7" s="5" t="str">
        <f>'1.1 Gesloten bestelwagen klein'!$D$5</f>
        <v>E-Partner</v>
      </c>
      <c r="C7" s="5" t="str">
        <f>'1.1 Gesloten bestelwagen klein'!$D$6</f>
        <v>L1 50 kWh 100 kW/136 pk</v>
      </c>
      <c r="D7" s="25">
        <f>'1.1 Gesloten bestelwagen klein'!$D$51</f>
        <v>16.333333333333332</v>
      </c>
    </row>
    <row r="8" spans="1:55" ht="23.25" customHeight="1" x14ac:dyDescent="0.2">
      <c r="C8" s="26"/>
      <c r="D8" s="27">
        <f>AVERAGE(D5:D7)</f>
        <v>16.333333333333332</v>
      </c>
    </row>
    <row r="9" spans="1:55" ht="23.25" customHeight="1" x14ac:dyDescent="0.2">
      <c r="A9" s="157" t="str">
        <f>'1.2 Gesloten bestelwagen middel'!$B$1</f>
        <v>Onderdeel 1.2 Gesloten bestelwagen middel</v>
      </c>
      <c r="B9" s="157"/>
    </row>
    <row r="10" spans="1:55" ht="23.25" customHeight="1" x14ac:dyDescent="0.2">
      <c r="A10" s="4" t="s">
        <v>1</v>
      </c>
      <c r="B10" s="4" t="s">
        <v>2</v>
      </c>
      <c r="C10" s="4" t="s">
        <v>3</v>
      </c>
      <c r="D10" s="6" t="s">
        <v>57</v>
      </c>
    </row>
    <row r="11" spans="1:55" ht="23.25" customHeight="1" x14ac:dyDescent="0.2">
      <c r="A11" s="5" t="str">
        <f>'1.2 Gesloten bestelwagen middel'!$B$4</f>
        <v>Renault</v>
      </c>
      <c r="B11" s="5" t="str">
        <f>'1.2 Gesloten bestelwagen middel'!$B$5</f>
        <v>Kangoo E-Tech electric</v>
      </c>
      <c r="C11" s="5" t="str">
        <f>'1.2 Gesloten bestelwagen middel'!$B$6</f>
        <v>L2H1 Extra 120 pk</v>
      </c>
      <c r="D11" s="25">
        <f>'1.2 Gesloten bestelwagen middel'!$B$51</f>
        <v>16.333333333333332</v>
      </c>
    </row>
    <row r="12" spans="1:55" ht="23.25" customHeight="1" x14ac:dyDescent="0.2">
      <c r="A12" s="5" t="str">
        <f>'1.2 Gesloten bestelwagen middel'!$C$4</f>
        <v>Opel</v>
      </c>
      <c r="B12" s="5" t="str">
        <f>'1.2 Gesloten bestelwagen middel'!$C$5</f>
        <v>Combo E-Cargo</v>
      </c>
      <c r="C12" s="5" t="str">
        <f>'1.2 Gesloten bestelwagen middel'!$C$6</f>
        <v>L2 50 kWh 100 kW/136 pk</v>
      </c>
      <c r="D12" s="25">
        <f>'1.2 Gesloten bestelwagen middel'!$C$51</f>
        <v>17.666666666666668</v>
      </c>
    </row>
    <row r="13" spans="1:55" ht="23.25" customHeight="1" x14ac:dyDescent="0.2">
      <c r="A13" s="5" t="str">
        <f>'1.2 Gesloten bestelwagen middel'!$D$4</f>
        <v>Peugeot</v>
      </c>
      <c r="B13" s="5" t="str">
        <f>'1.2 Gesloten bestelwagen middel'!$D$5</f>
        <v>E-Partner</v>
      </c>
      <c r="C13" s="5" t="str">
        <f>'1.2 Gesloten bestelwagen middel'!$D$6</f>
        <v>L2 50 kWh 100 kW/136 pk</v>
      </c>
      <c r="D13" s="25">
        <f>'1.2 Gesloten bestelwagen middel'!$D$51</f>
        <v>17.666666666666668</v>
      </c>
    </row>
    <row r="14" spans="1:55" ht="23.25" customHeight="1" x14ac:dyDescent="0.2">
      <c r="C14" s="26"/>
      <c r="D14" s="27">
        <f>AVERAGE(D11:D13)</f>
        <v>17.222222222222225</v>
      </c>
    </row>
    <row r="15" spans="1:55" ht="23.25" customHeight="1" x14ac:dyDescent="0.2">
      <c r="A15" s="157" t="str">
        <f>'1.3 Bestelwagen personenvervoer'!$B$1</f>
        <v>Onderdeel 1.3 Bestelwagen personenvervoer</v>
      </c>
      <c r="B15" s="157"/>
    </row>
    <row r="16" spans="1:55" ht="23.25" customHeight="1" x14ac:dyDescent="0.2">
      <c r="A16" s="4" t="s">
        <v>1</v>
      </c>
      <c r="B16" s="4" t="s">
        <v>2</v>
      </c>
      <c r="C16" s="4" t="s">
        <v>3</v>
      </c>
      <c r="D16" s="6" t="s">
        <v>57</v>
      </c>
    </row>
    <row r="17" spans="1:4" ht="23.25" customHeight="1" x14ac:dyDescent="0.2">
      <c r="A17" s="5" t="str">
        <f>'1.3 Bestelwagen personenvervoer'!$B$4</f>
        <v>Renault</v>
      </c>
      <c r="B17" s="5" t="str">
        <f>'1.3 Bestelwagen personenvervoer'!$B$5</f>
        <v>Kangoo E-Tech electric</v>
      </c>
      <c r="C17" s="5" t="str">
        <f>'1.3 Bestelwagen personenvervoer'!$B$6</f>
        <v>L2 Dubbele cabine 120 pk</v>
      </c>
      <c r="D17" s="25">
        <f>'1.3 Bestelwagen personenvervoer'!$B$51</f>
        <v>29.333333333333332</v>
      </c>
    </row>
    <row r="18" spans="1:4" ht="23.25" customHeight="1" x14ac:dyDescent="0.2">
      <c r="A18" s="5" t="str">
        <f>'1.3 Bestelwagen personenvervoer'!$C$4</f>
        <v>Opel</v>
      </c>
      <c r="B18" s="5" t="str">
        <f>'1.3 Bestelwagen personenvervoer'!$C$5</f>
        <v>Combo E-Cargo</v>
      </c>
      <c r="C18" s="5" t="str">
        <f>'1.3 Bestelwagen personenvervoer'!$C$6</f>
        <v>L2  Crewcab 50 kWh 136pk</v>
      </c>
      <c r="D18" s="25">
        <f>'1.3 Bestelwagen personenvervoer'!$C$51</f>
        <v>31.666666666666668</v>
      </c>
    </row>
    <row r="19" spans="1:4" ht="23.25" customHeight="1" x14ac:dyDescent="0.2">
      <c r="A19" s="5" t="str">
        <f>'1.3 Bestelwagen personenvervoer'!$D$4</f>
        <v>Peugeot</v>
      </c>
      <c r="B19" s="5" t="str">
        <f>'1.3 Bestelwagen personenvervoer'!$D$5</f>
        <v>E-Partner</v>
      </c>
      <c r="C19" s="5" t="str">
        <f>'1.3 Bestelwagen personenvervoer'!$D$6</f>
        <v>L2  Flex Crewcab 50 kWh 136pk</v>
      </c>
      <c r="D19" s="25">
        <f>'1.3 Bestelwagen personenvervoer'!$D$51</f>
        <v>31.666666666666668</v>
      </c>
    </row>
    <row r="20" spans="1:4" ht="23.25" customHeight="1" x14ac:dyDescent="0.2">
      <c r="C20" s="26"/>
      <c r="D20" s="27">
        <f>AVERAGE(D17:D19)</f>
        <v>30.888888888888889</v>
      </c>
    </row>
    <row r="21" spans="1:4" ht="23.25" customHeight="1" x14ac:dyDescent="0.2">
      <c r="A21" s="157" t="str">
        <f>'1.4 Veegvuilwagen compact'!$B$1</f>
        <v>Onderdeel 1.4 Veegvuilwagen compact</v>
      </c>
      <c r="B21" s="157"/>
    </row>
    <row r="22" spans="1:4" ht="23.25" customHeight="1" x14ac:dyDescent="0.2">
      <c r="A22" s="4" t="s">
        <v>1</v>
      </c>
      <c r="B22" s="4" t="s">
        <v>2</v>
      </c>
      <c r="C22" s="4" t="s">
        <v>3</v>
      </c>
      <c r="D22" s="6" t="s">
        <v>57</v>
      </c>
    </row>
    <row r="23" spans="1:4" ht="23.25" customHeight="1" x14ac:dyDescent="0.2">
      <c r="A23" s="5" t="str">
        <f>'1.4 Veegvuilwagen compact'!$B$4</f>
        <v>Opel</v>
      </c>
      <c r="B23" s="5" t="str">
        <f>'1.4 Veegvuilwagen compact'!$B$5</f>
        <v>Vivaro Electric</v>
      </c>
      <c r="C23" s="5" t="str">
        <f>'1.4 Veegvuilwagen compact'!$B$6</f>
        <v>Plancher cabine L2 75 kWh  136 pk</v>
      </c>
      <c r="D23" s="25">
        <f>'1.4 Veegvuilwagen compact'!$B$51</f>
        <v>20.333333333333332</v>
      </c>
    </row>
    <row r="24" spans="1:4" ht="23.25" customHeight="1" x14ac:dyDescent="0.2">
      <c r="A24" s="5" t="str">
        <f>'1.4 Veegvuilwagen compact'!$C$4</f>
        <v>Peugeot</v>
      </c>
      <c r="B24" s="5" t="str">
        <f>'1.4 Veegvuilwagen compact'!$C$5</f>
        <v>E-Expert</v>
      </c>
      <c r="C24" s="5" t="str">
        <f>'1.4 Veegvuilwagen compact'!$C$6</f>
        <v>Plancher cabine L2 75 kWh 136 pk</v>
      </c>
      <c r="D24" s="25">
        <f>'1.4 Veegvuilwagen compact'!$C$51</f>
        <v>20.333333333333332</v>
      </c>
    </row>
    <row r="25" spans="1:4" ht="23.25" customHeight="1" x14ac:dyDescent="0.2">
      <c r="C25" s="26"/>
      <c r="D25" s="27">
        <f>AVERAGE(D23:D24)</f>
        <v>20.333333333333332</v>
      </c>
    </row>
    <row r="26" spans="1:4" ht="23.25" customHeight="1" x14ac:dyDescent="0.2">
      <c r="A26" s="157" t="str">
        <f>'1.5 Gesloten bestelwagen groot'!$B$1</f>
        <v>Onderdeel 1.5 Gesloten bestelwagen groot</v>
      </c>
      <c r="B26" s="157"/>
    </row>
    <row r="27" spans="1:4" ht="23.25" customHeight="1" x14ac:dyDescent="0.2">
      <c r="A27" s="4" t="s">
        <v>1</v>
      </c>
      <c r="B27" s="4" t="s">
        <v>2</v>
      </c>
      <c r="C27" s="4" t="s">
        <v>3</v>
      </c>
      <c r="D27" s="6" t="s">
        <v>57</v>
      </c>
    </row>
    <row r="28" spans="1:4" ht="23.25" customHeight="1" x14ac:dyDescent="0.2">
      <c r="A28" s="5" t="str">
        <f>'1.5 Gesloten bestelwagen groot'!$B$4</f>
        <v xml:space="preserve">Mercedes </v>
      </c>
      <c r="B28" s="5" t="str">
        <f>'1.5 Gesloten bestelwagen groot'!$B$5</f>
        <v>E Sprinter</v>
      </c>
      <c r="C28" s="5" t="str">
        <f>'1.5 Gesloten bestelwagen groot'!$B$6</f>
        <v>Pro L2, H2 81 kWh 100 kW/136 pk</v>
      </c>
      <c r="D28" s="25">
        <f>'1.5 Gesloten bestelwagen groot'!$B$51</f>
        <v>26</v>
      </c>
    </row>
    <row r="29" spans="1:4" ht="23.25" customHeight="1" x14ac:dyDescent="0.2">
      <c r="A29" s="5" t="str">
        <f>'1.5 Gesloten bestelwagen groot'!$C$4</f>
        <v>Opel</v>
      </c>
      <c r="B29" s="5" t="str">
        <f>'1.5 Gesloten bestelwagen groot'!$C$5</f>
        <v>Movano Electric</v>
      </c>
      <c r="C29" s="5" t="str">
        <f>'1.5 Gesloten bestelwagen groot'!$C$6</f>
        <v>L3H2 110 kWh 205 kW</v>
      </c>
      <c r="D29" s="25">
        <f>'1.5 Gesloten bestelwagen groot'!$C$51</f>
        <v>31.666666666666668</v>
      </c>
    </row>
    <row r="30" spans="1:4" ht="23.25" customHeight="1" x14ac:dyDescent="0.2">
      <c r="A30" s="5" t="str">
        <f>'1.5 Gesloten bestelwagen groot'!$D$4</f>
        <v>Renault</v>
      </c>
      <c r="B30" s="5" t="str">
        <f>'1.5 Gesloten bestelwagen groot'!$D$5</f>
        <v>Master E-Tech</v>
      </c>
      <c r="C30" s="5" t="str">
        <f>'1.5 Gesloten bestelwagen groot'!$D$6</f>
        <v>Advance Long range L2H2 T35 87 kWh 105 kW/143 pk</v>
      </c>
      <c r="D30" s="25">
        <f>'1.5 Gesloten bestelwagen groot'!$D$51</f>
        <v>24.666666666666668</v>
      </c>
    </row>
    <row r="31" spans="1:4" ht="23.25" customHeight="1" x14ac:dyDescent="0.2">
      <c r="C31" s="26"/>
      <c r="D31" s="27">
        <f>AVERAGE(D28:D30)</f>
        <v>27.444444444444446</v>
      </c>
    </row>
    <row r="32" spans="1:4" ht="23.25" customHeight="1" x14ac:dyDescent="0.2">
      <c r="A32" s="157" t="str">
        <f>'1.6 Pick-up groot'!$B$1</f>
        <v>Onderdeel 1.6 Pick-up groot</v>
      </c>
      <c r="B32" s="157"/>
    </row>
    <row r="33" spans="1:4" ht="23.25" customHeight="1" x14ac:dyDescent="0.2">
      <c r="A33" s="4" t="s">
        <v>1</v>
      </c>
      <c r="B33" s="4" t="s">
        <v>2</v>
      </c>
      <c r="C33" s="4" t="s">
        <v>3</v>
      </c>
      <c r="D33" s="6" t="s">
        <v>57</v>
      </c>
    </row>
    <row r="34" spans="1:4" ht="23.25" customHeight="1" x14ac:dyDescent="0.2">
      <c r="A34" s="5" t="str">
        <f>'1.6 Pick-up groot'!$B$4</f>
        <v>MAN</v>
      </c>
      <c r="B34" s="5" t="str">
        <f>'1.6 Pick-up groot'!$B$5</f>
        <v>TGE Chassis cabine</v>
      </c>
      <c r="C34" s="5" t="str">
        <f>'1.6 Pick-up groot'!$B$6</f>
        <v>GVW: 5.500 kg (N2 voertuig)
6.160 L3 wielbasis 3.640 mm</v>
      </c>
      <c r="D34" s="25">
        <f>'1.6 Pick-up groot'!$B$51</f>
        <v>32</v>
      </c>
    </row>
    <row r="35" spans="1:4" ht="23.25" customHeight="1" x14ac:dyDescent="0.2">
      <c r="A35" s="5" t="str">
        <f>'1.6 Pick-up groot'!$C$4</f>
        <v>Volkswagen</v>
      </c>
      <c r="B35" s="5" t="str">
        <f>'1.6 Pick-up groot'!$C$5</f>
        <v>Crafter Chassis cabine</v>
      </c>
      <c r="C35" s="5" t="str">
        <f>'1.6 Pick-up groot'!$C$6</f>
        <v>GVW: 5.500 kg (N2 voertuig) 120 kW
Trendline L3</v>
      </c>
      <c r="D35" s="25">
        <f>'1.6 Pick-up groot'!$C$51</f>
        <v>32</v>
      </c>
    </row>
    <row r="36" spans="1:4" ht="23.25" customHeight="1" x14ac:dyDescent="0.2">
      <c r="A36" s="5" t="str">
        <f>'1.6 Pick-up groot'!$D$4</f>
        <v>Iveco</v>
      </c>
      <c r="B36" s="5" t="str">
        <f>'1.6 Pick-up groot'!$D$5</f>
        <v>Daily Chassis cabine</v>
      </c>
      <c r="C36" s="5" t="str">
        <f>'1.6 Pick-up groot'!$D$6</f>
        <v>GVW: 7.000 kg (N2 voertuig) 176 pk 
70C18  Wielbasis 3.750 mm</v>
      </c>
      <c r="D36" s="25">
        <f>'1.6 Pick-up groot'!$D$51</f>
        <v>32</v>
      </c>
    </row>
    <row r="37" spans="1:4" ht="23.25" customHeight="1" x14ac:dyDescent="0.2">
      <c r="C37" s="26"/>
      <c r="D37" s="27">
        <f>AVERAGE(D34:D36)</f>
        <v>32</v>
      </c>
    </row>
    <row r="38" spans="1:4" ht="23.25" customHeight="1" x14ac:dyDescent="0.2">
      <c r="A38" s="157" t="str">
        <f>'1.7 Pick-up groot met laadkr'!$B$1</f>
        <v>Onderdeel 1.7 Pick-up groot met laadkraan</v>
      </c>
      <c r="B38" s="157"/>
    </row>
    <row r="39" spans="1:4" ht="23.25" customHeight="1" x14ac:dyDescent="0.2">
      <c r="A39" s="4" t="s">
        <v>1</v>
      </c>
      <c r="B39" s="4" t="s">
        <v>2</v>
      </c>
      <c r="C39" s="4" t="s">
        <v>3</v>
      </c>
      <c r="D39" s="6" t="s">
        <v>57</v>
      </c>
    </row>
    <row r="40" spans="1:4" ht="23.25" customHeight="1" x14ac:dyDescent="0.2">
      <c r="A40" s="5" t="str">
        <f>'1.7 Pick-up groot met laadkr'!$B$4</f>
        <v xml:space="preserve">Mercedes </v>
      </c>
      <c r="B40" s="5" t="str">
        <f>'1.7 Pick-up groot met laadkr'!$B$5</f>
        <v>E Sprinter</v>
      </c>
      <c r="C40" s="5" t="str">
        <f>'1.7 Pick-up groot met laadkr'!$B$6</f>
        <v>Pro L2  81 kWh 100 kW/136 pk</v>
      </c>
      <c r="D40" s="25">
        <f>'1.7 Pick-up groot met laadkr'!$B$51</f>
        <v>31.666666666666668</v>
      </c>
    </row>
    <row r="41" spans="1:4" ht="23.25" customHeight="1" x14ac:dyDescent="0.2">
      <c r="A41" s="5" t="str">
        <f>'1.7 Pick-up groot met laadkr'!$C$4</f>
        <v>Opel</v>
      </c>
      <c r="B41" s="5" t="str">
        <f>'1.7 Pick-up groot met laadkr'!$C$5</f>
        <v>Movano Electric</v>
      </c>
      <c r="C41" s="5" t="str">
        <f>'1.7 Pick-up groot met laadkr'!$C$6</f>
        <v>L3 110 kWh 205 kW</v>
      </c>
      <c r="D41" s="25">
        <f>'1.7 Pick-up groot met laadkr'!$C$51</f>
        <v>31.666666666666668</v>
      </c>
    </row>
    <row r="42" spans="1:4" ht="23.25" customHeight="1" x14ac:dyDescent="0.2">
      <c r="A42" s="5" t="str">
        <f>'1.7 Pick-up groot met laadkr'!$D$4</f>
        <v>Renault</v>
      </c>
      <c r="B42" s="5" t="str">
        <f>'1.7 Pick-up groot met laadkr'!$D$5</f>
        <v>Master E-Tech</v>
      </c>
      <c r="C42" s="5" t="str">
        <f>'1.7 Pick-up groot met laadkr'!$D$6</f>
        <v>Advance Long range L3H1 T35 87 kWh 105 kW/143 pk</v>
      </c>
      <c r="D42" s="25">
        <f>'1.7 Pick-up groot met laadkr'!$D$51</f>
        <v>31.666666666666668</v>
      </c>
    </row>
    <row r="43" spans="1:4" ht="23.25" customHeight="1" x14ac:dyDescent="0.2">
      <c r="C43" s="26"/>
      <c r="D43" s="27">
        <f>AVERAGE(D40:D42)</f>
        <v>31.666666666666668</v>
      </c>
    </row>
    <row r="44" spans="1:4" ht="23.25" customHeight="1" x14ac:dyDescent="0.2">
      <c r="A44" s="157" t="str">
        <f>'1.8 Terreinwagen'!$B$1</f>
        <v>Onderdeel 1.8. Terreinwagen</v>
      </c>
      <c r="B44" s="157"/>
    </row>
    <row r="45" spans="1:4" ht="23.25" customHeight="1" x14ac:dyDescent="0.2">
      <c r="A45" s="4" t="s">
        <v>1</v>
      </c>
      <c r="B45" s="4" t="s">
        <v>2</v>
      </c>
      <c r="C45" s="4" t="s">
        <v>3</v>
      </c>
      <c r="D45" s="6" t="s">
        <v>57</v>
      </c>
    </row>
    <row r="46" spans="1:4" ht="23.25" customHeight="1" x14ac:dyDescent="0.2">
      <c r="A46" s="5" t="str">
        <f>'1.8 Terreinwagen'!$B$4</f>
        <v xml:space="preserve">Toyota </v>
      </c>
      <c r="B46" s="5" t="str">
        <f>'1.8 Terreinwagen'!$B$5</f>
        <v xml:space="preserve">Hilux </v>
      </c>
      <c r="C46" s="5" t="str">
        <f>'1.8 Terreinwagen'!$B$6</f>
        <v>Dubbele cab. Professional 2,4D-4D, Automaat 4WD</v>
      </c>
      <c r="D46" s="25">
        <f>'1.8 Terreinwagen'!$B$51</f>
        <v>201.66666666666666</v>
      </c>
    </row>
    <row r="47" spans="1:4" ht="23.25" customHeight="1" x14ac:dyDescent="0.2">
      <c r="A47" s="5" t="str">
        <f>'1.8 Terreinwagen'!$C$4</f>
        <v>Ford</v>
      </c>
      <c r="B47" s="5" t="str">
        <f>'1.8 Terreinwagen'!$C$5</f>
        <v>Ranger</v>
      </c>
      <c r="C47" s="5" t="str">
        <f>'1.8 Terreinwagen'!$C$6</f>
        <v>XLT Super Cab 2,0 EcoBlue 125 kW/170 pk Automaat</v>
      </c>
      <c r="D47" s="25">
        <f>'1.8 Terreinwagen'!$C$51</f>
        <v>201.66666666666666</v>
      </c>
    </row>
    <row r="48" spans="1:4" ht="23.25" customHeight="1" x14ac:dyDescent="0.2">
      <c r="A48" s="5" t="str">
        <f>'1.8 Terreinwagen'!$D$4</f>
        <v>Isuzu</v>
      </c>
      <c r="B48" s="5" t="str">
        <f>'1.8 Terreinwagen'!$D$5</f>
        <v>D-Max</v>
      </c>
      <c r="C48" s="5" t="str">
        <f>'1.8 Terreinwagen'!$D$6</f>
        <v>Double Cab 4WD LSX AT</v>
      </c>
      <c r="D48" s="25">
        <f>'1.8 Terreinwagen'!$D$51</f>
        <v>190.66666666666666</v>
      </c>
    </row>
    <row r="49" spans="1:4" ht="23.25" customHeight="1" x14ac:dyDescent="0.2">
      <c r="C49" s="26"/>
      <c r="D49" s="27">
        <f>AVERAGE(D46:D48)</f>
        <v>198</v>
      </c>
    </row>
    <row r="50" spans="1:4" ht="24.75" customHeight="1" x14ac:dyDescent="0.2">
      <c r="A50" s="157" t="str">
        <f>'1.9 Personenauto klein'!$B$1</f>
        <v>Onderdeel 1.9 Personenauto klein</v>
      </c>
      <c r="B50" s="157"/>
    </row>
    <row r="51" spans="1:4" ht="23.25" customHeight="1" x14ac:dyDescent="0.2">
      <c r="A51" s="4" t="s">
        <v>1</v>
      </c>
      <c r="B51" s="4" t="s">
        <v>2</v>
      </c>
      <c r="C51" s="4" t="s">
        <v>3</v>
      </c>
      <c r="D51" s="6" t="s">
        <v>57</v>
      </c>
    </row>
    <row r="52" spans="1:4" ht="23.25" customHeight="1" x14ac:dyDescent="0.2">
      <c r="A52" s="5" t="str">
        <f>'1.9 Personenauto klein'!$B$4</f>
        <v>Volkswagen</v>
      </c>
      <c r="B52" s="5" t="str">
        <f>'1.9 Personenauto klein'!$B$5</f>
        <v>ID.3</v>
      </c>
      <c r="C52" s="5" t="str">
        <f>'1.9 Personenauto klein'!$B$6</f>
        <v>Pro Limited Edition 59 kWh 150 kW/204 pk</v>
      </c>
      <c r="D52" s="25">
        <f>'1.9 Personenauto klein'!$B$51</f>
        <v>27</v>
      </c>
    </row>
    <row r="53" spans="1:4" ht="23.25" customHeight="1" x14ac:dyDescent="0.2">
      <c r="A53" s="5" t="str">
        <f>'1.9 Personenauto klein'!$C$4</f>
        <v>Opel</v>
      </c>
      <c r="B53" s="5" t="str">
        <f>'1.9 Personenauto klein'!$C$5</f>
        <v>Corsa-E</v>
      </c>
      <c r="C53" s="5" t="str">
        <f>'1.9 Personenauto klein'!$C$6</f>
        <v>Edition 51 kWh Longe Range115 kW/156 pk</v>
      </c>
      <c r="D53" s="25">
        <f>'1.9 Personenauto klein'!$C$51</f>
        <v>18.333333333333332</v>
      </c>
    </row>
    <row r="54" spans="1:4" ht="23.25" customHeight="1" x14ac:dyDescent="0.2">
      <c r="A54" s="5" t="str">
        <f>'1.9 Personenauto klein'!$D$4</f>
        <v>Peugeot</v>
      </c>
      <c r="B54" s="5" t="str">
        <f>'1.9 Personenauto klein'!$D$5</f>
        <v>E-208</v>
      </c>
      <c r="C54" s="5" t="str">
        <f>'1.9 Personenauto klein'!$D$6</f>
        <v>Allure EV 50 kWh 136 pk</v>
      </c>
      <c r="D54" s="25">
        <f>'1.9 Personenauto klein'!$D$51</f>
        <v>25</v>
      </c>
    </row>
    <row r="55" spans="1:4" ht="23.25" customHeight="1" x14ac:dyDescent="0.2">
      <c r="C55" s="26"/>
      <c r="D55" s="27">
        <f>AVERAGE(D52:D54)</f>
        <v>23.444444444444443</v>
      </c>
    </row>
    <row r="56" spans="1:4" ht="23.25" customHeight="1" x14ac:dyDescent="0.2">
      <c r="A56" s="157" t="str">
        <f>'1.10 Personenwagen groot'!$B$1</f>
        <v>Onderdeel 1.10 Personenauto groot</v>
      </c>
      <c r="B56" s="157"/>
    </row>
    <row r="57" spans="1:4" ht="23.25" customHeight="1" x14ac:dyDescent="0.2">
      <c r="A57" s="4" t="s">
        <v>1</v>
      </c>
      <c r="B57" s="4" t="s">
        <v>2</v>
      </c>
      <c r="C57" s="4" t="s">
        <v>3</v>
      </c>
      <c r="D57" s="6" t="s">
        <v>57</v>
      </c>
    </row>
    <row r="58" spans="1:4" ht="23.25" customHeight="1" x14ac:dyDescent="0.2">
      <c r="A58" s="5" t="str">
        <f>'1.10 Personenwagen groot'!$B$4</f>
        <v>Volkswagen</v>
      </c>
      <c r="B58" s="5" t="str">
        <f>'1.10 Personenwagen groot'!$B$5</f>
        <v>ID 4</v>
      </c>
      <c r="C58" s="5" t="str">
        <f>'1.10 Personenwagen groot'!$B$6</f>
        <v>Pro Limited Edition 77 kWh 210 kW/286 pk</v>
      </c>
      <c r="D58" s="25">
        <f>'1.10 Personenwagen groot'!$B$51</f>
        <v>34.333333333333336</v>
      </c>
    </row>
    <row r="59" spans="1:4" ht="23.25" customHeight="1" x14ac:dyDescent="0.2">
      <c r="A59" s="5" t="str">
        <f>'1.10 Personenwagen groot'!$C$4</f>
        <v>Opel</v>
      </c>
      <c r="B59" s="5" t="str">
        <f>'1.10 Personenwagen groot'!$C$5</f>
        <v>Frontera</v>
      </c>
      <c r="C59" s="5" t="str">
        <f>'1.10 Personenwagen groot'!$C$6</f>
        <v>Extended range GS 54 kWh 84 kW/113 pk</v>
      </c>
      <c r="D59" s="25">
        <f>'1.10 Personenwagen groot'!$C$51</f>
        <v>20</v>
      </c>
    </row>
    <row r="60" spans="1:4" ht="23.25" customHeight="1" x14ac:dyDescent="0.2">
      <c r="A60" s="5" t="str">
        <f>'1.10 Personenwagen groot'!$D$4</f>
        <v>Kia</v>
      </c>
      <c r="B60" s="5" t="str">
        <f>'1.10 Personenwagen groot'!$D$5</f>
        <v>Niro EV</v>
      </c>
      <c r="C60" s="5" t="str">
        <f>'1.10 Personenwagen groot'!$D$6</f>
        <v>Light Advenced 64.8 kWh 150 kW/204 pk</v>
      </c>
      <c r="D60" s="25">
        <f>'1.10 Personenwagen groot'!$D$51</f>
        <v>27</v>
      </c>
    </row>
    <row r="61" spans="1:4" ht="23.25" customHeight="1" x14ac:dyDescent="0.2">
      <c r="C61" s="26"/>
      <c r="D61" s="27">
        <f>AVERAGE(D58:D60)</f>
        <v>27.111111111111114</v>
      </c>
    </row>
    <row r="62" spans="1:4" ht="23.25" customHeight="1" x14ac:dyDescent="0.2">
      <c r="A62" s="157" t="str">
        <f>'2.1 Gesloten bestelwagen klein'!$B$1</f>
        <v>Onderdeel 2.1 Gesloten bestelwagen klein</v>
      </c>
      <c r="B62" s="157"/>
    </row>
    <row r="63" spans="1:4" ht="23.25" customHeight="1" x14ac:dyDescent="0.2">
      <c r="A63" s="4" t="s">
        <v>1</v>
      </c>
      <c r="B63" s="4" t="s">
        <v>2</v>
      </c>
      <c r="C63" s="4" t="s">
        <v>3</v>
      </c>
      <c r="D63" s="6" t="s">
        <v>57</v>
      </c>
    </row>
    <row r="64" spans="1:4" ht="23.25" customHeight="1" x14ac:dyDescent="0.2">
      <c r="A64" s="5" t="str">
        <f>'2.1 Gesloten bestelwagen klein'!$B$4</f>
        <v>Renault</v>
      </c>
      <c r="B64" s="5" t="str">
        <f>'2.1 Gesloten bestelwagen klein'!$B$5</f>
        <v>Kangoo E-Tech electric</v>
      </c>
      <c r="C64" s="5" t="str">
        <f>'2.1 Gesloten bestelwagen klein'!$B$6</f>
        <v>L1H1 Extra 120 pk</v>
      </c>
      <c r="D64" s="25">
        <f>'2.1 Gesloten bestelwagen klein'!$B$51</f>
        <v>16.333333333333332</v>
      </c>
    </row>
    <row r="65" spans="1:5" ht="23.25" customHeight="1" x14ac:dyDescent="0.2">
      <c r="A65" s="5" t="str">
        <f>'2.1 Gesloten bestelwagen klein'!$C$4</f>
        <v>Opel</v>
      </c>
      <c r="B65" s="5" t="str">
        <f>'2.1 Gesloten bestelwagen klein'!$C$5</f>
        <v>Combo E-Cargo</v>
      </c>
      <c r="C65" s="5" t="str">
        <f>'2.1 Gesloten bestelwagen klein'!$C$6</f>
        <v>L1 50 kWh 100 kW/136 pk</v>
      </c>
      <c r="D65" s="25">
        <f>'2.1 Gesloten bestelwagen klein'!$C$51</f>
        <v>16.333333333333332</v>
      </c>
    </row>
    <row r="66" spans="1:5" ht="23.25" customHeight="1" x14ac:dyDescent="0.2">
      <c r="A66" s="5" t="str">
        <f>'2.1 Gesloten bestelwagen klein'!$D$4</f>
        <v>Peugeot</v>
      </c>
      <c r="B66" s="5" t="str">
        <f>'2.1 Gesloten bestelwagen klein'!$D$5</f>
        <v>E-Partner</v>
      </c>
      <c r="C66" s="5" t="str">
        <f>'2.1 Gesloten bestelwagen klein'!$D$6</f>
        <v>L1 50 kWh 100 kW/136 pk</v>
      </c>
      <c r="D66" s="25">
        <f>'2.1 Gesloten bestelwagen klein'!$D$51</f>
        <v>16.333333333333332</v>
      </c>
    </row>
    <row r="67" spans="1:5" ht="23.25" customHeight="1" x14ac:dyDescent="0.2">
      <c r="C67" s="26"/>
      <c r="D67" s="27">
        <f>AVERAGE(D64:D66)</f>
        <v>16.333333333333332</v>
      </c>
    </row>
    <row r="68" spans="1:5" ht="23.25" customHeight="1" x14ac:dyDescent="0.2">
      <c r="A68" s="157" t="str">
        <f>'2.2 Personenwagen middel'!$B$1</f>
        <v>Onderdeel 2.2 Personenwagen middel</v>
      </c>
      <c r="B68" s="157"/>
    </row>
    <row r="69" spans="1:5" ht="23.25" customHeight="1" x14ac:dyDescent="0.2">
      <c r="A69" s="4" t="s">
        <v>1</v>
      </c>
      <c r="B69" s="4" t="s">
        <v>2</v>
      </c>
      <c r="C69" s="4" t="s">
        <v>3</v>
      </c>
      <c r="D69" s="6" t="s">
        <v>57</v>
      </c>
    </row>
    <row r="70" spans="1:5" ht="23.25" customHeight="1" x14ac:dyDescent="0.2">
      <c r="A70" s="5" t="str">
        <f>'2.2 Personenwagen middel'!$B$4</f>
        <v>Toyota</v>
      </c>
      <c r="B70" s="5" t="str">
        <f>'2.2 Personenwagen middel'!$B$5</f>
        <v>Corolla Touring Sports</v>
      </c>
      <c r="C70" s="5" t="str">
        <f>'2.2 Personenwagen middel'!$B$6</f>
        <v>Active Mild Hybrid 140  Automaat</v>
      </c>
      <c r="D70" s="25">
        <f>'2.2 Personenwagen middel'!$B$51</f>
        <v>80</v>
      </c>
    </row>
    <row r="71" spans="1:5" ht="23.25" customHeight="1" x14ac:dyDescent="0.2">
      <c r="A71" s="5" t="str">
        <f>'2.2 Personenwagen middel'!$C$4</f>
        <v>Volkswagen</v>
      </c>
      <c r="B71" s="5" t="str">
        <f>'2.2 Personenwagen middel'!$C$5</f>
        <v>Golf Variant</v>
      </c>
      <c r="C71" s="5" t="str">
        <f>'2.2 Personenwagen middel'!$C$6</f>
        <v>Life Edition 1.5 eTSI 85 kW/116 pk</v>
      </c>
      <c r="D71" s="25">
        <f>'2.2 Personenwagen middel'!$C$51</f>
        <v>70.333333333333329</v>
      </c>
    </row>
    <row r="72" spans="1:5" ht="23.25" customHeight="1" x14ac:dyDescent="0.2">
      <c r="A72" s="5" t="str">
        <f>'2.2 Personenwagen middel'!$D$4</f>
        <v>Peugeot</v>
      </c>
      <c r="B72" s="5" t="str">
        <f>'2.2 Personenwagen middel'!$D$5</f>
        <v xml:space="preserve">308 SW </v>
      </c>
      <c r="C72" s="5" t="str">
        <f>'2.2 Personenwagen middel'!$D$6</f>
        <v>Allure Hybrid 145 e-DCS6</v>
      </c>
      <c r="D72" s="25">
        <f>'2.2 Personenwagen middel'!$D$51</f>
        <v>70.333333333333329</v>
      </c>
    </row>
    <row r="73" spans="1:5" ht="23.25" customHeight="1" x14ac:dyDescent="0.2">
      <c r="C73" s="26"/>
      <c r="D73" s="27">
        <f>AVERAGE(D70:D72)</f>
        <v>73.555555555555543</v>
      </c>
    </row>
    <row r="74" spans="1:5" ht="23.25" customHeight="1" x14ac:dyDescent="0.2">
      <c r="C74" s="26"/>
      <c r="D74" s="28"/>
    </row>
    <row r="75" spans="1:5" ht="23.25" customHeight="1" x14ac:dyDescent="0.2">
      <c r="A75" s="29" t="s">
        <v>58</v>
      </c>
      <c r="B75" s="30" t="s">
        <v>59</v>
      </c>
      <c r="C75" s="31" t="s">
        <v>60</v>
      </c>
      <c r="D75" s="31" t="s">
        <v>61</v>
      </c>
      <c r="E75" s="22"/>
    </row>
    <row r="76" spans="1:5" ht="23.25" customHeight="1" x14ac:dyDescent="0.2">
      <c r="A76" s="32"/>
      <c r="B76" s="32"/>
      <c r="C76" s="32"/>
      <c r="D76" s="32"/>
      <c r="E76" s="22"/>
    </row>
    <row r="77" spans="1:5" ht="23.25" customHeight="1" x14ac:dyDescent="0.2">
      <c r="A77" s="29" t="s">
        <v>62</v>
      </c>
      <c r="E77" s="22"/>
    </row>
    <row r="78" spans="1:5" ht="23.25" customHeight="1" x14ac:dyDescent="0.2">
      <c r="A78" s="5" t="str">
        <f>A3</f>
        <v>Onderdeel 1.1 Gesloten bestelwagen klein</v>
      </c>
      <c r="B78" s="25">
        <f>D8</f>
        <v>16.333333333333332</v>
      </c>
      <c r="C78" s="33">
        <v>6</v>
      </c>
      <c r="D78" s="25">
        <f>C78*B78</f>
        <v>98</v>
      </c>
      <c r="E78" s="22"/>
    </row>
    <row r="79" spans="1:5" ht="23.25" customHeight="1" x14ac:dyDescent="0.2">
      <c r="A79" s="5" t="str">
        <f>A9</f>
        <v>Onderdeel 1.2 Gesloten bestelwagen middel</v>
      </c>
      <c r="B79" s="25">
        <f>D14</f>
        <v>17.222222222222225</v>
      </c>
      <c r="C79" s="33">
        <v>1</v>
      </c>
      <c r="D79" s="25">
        <f t="shared" ref="D79:D83" si="0">C79*B79</f>
        <v>17.222222222222225</v>
      </c>
      <c r="E79" s="22"/>
    </row>
    <row r="80" spans="1:5" ht="23.25" customHeight="1" x14ac:dyDescent="0.2">
      <c r="A80" s="5" t="str">
        <f>A15</f>
        <v>Onderdeel 1.3 Bestelwagen personenvervoer</v>
      </c>
      <c r="B80" s="25">
        <f>D20</f>
        <v>30.888888888888889</v>
      </c>
      <c r="C80" s="33">
        <v>1</v>
      </c>
      <c r="D80" s="25">
        <f t="shared" si="0"/>
        <v>30.888888888888889</v>
      </c>
      <c r="E80" s="22"/>
    </row>
    <row r="81" spans="1:5" ht="23.25" customHeight="1" x14ac:dyDescent="0.2">
      <c r="A81" s="5" t="str">
        <f>A21</f>
        <v>Onderdeel 1.4 Veegvuilwagen compact</v>
      </c>
      <c r="B81" s="25">
        <f>D25</f>
        <v>20.333333333333332</v>
      </c>
      <c r="C81" s="33">
        <v>2</v>
      </c>
      <c r="D81" s="25">
        <f t="shared" si="0"/>
        <v>40.666666666666664</v>
      </c>
      <c r="E81" s="22"/>
    </row>
    <row r="82" spans="1:5" ht="23.25" customHeight="1" x14ac:dyDescent="0.2">
      <c r="A82" s="5" t="str">
        <f>A26</f>
        <v>Onderdeel 1.5 Gesloten bestelwagen groot</v>
      </c>
      <c r="B82" s="25">
        <f>D31</f>
        <v>27.444444444444446</v>
      </c>
      <c r="C82" s="33">
        <v>2</v>
      </c>
      <c r="D82" s="25">
        <f t="shared" si="0"/>
        <v>54.888888888888893</v>
      </c>
      <c r="E82" s="22"/>
    </row>
    <row r="83" spans="1:5" ht="23.25" customHeight="1" x14ac:dyDescent="0.2">
      <c r="A83" s="5" t="str">
        <f>A32</f>
        <v>Onderdeel 1.6 Pick-up groot</v>
      </c>
      <c r="B83" s="25">
        <f>D37</f>
        <v>32</v>
      </c>
      <c r="C83" s="33">
        <v>6</v>
      </c>
      <c r="D83" s="25">
        <f t="shared" si="0"/>
        <v>192</v>
      </c>
      <c r="E83" s="22"/>
    </row>
    <row r="84" spans="1:5" ht="23.25" customHeight="1" x14ac:dyDescent="0.2">
      <c r="A84" s="5" t="str">
        <f>A38</f>
        <v>Onderdeel 1.7 Pick-up groot met laadkraan</v>
      </c>
      <c r="B84" s="25">
        <f>D43</f>
        <v>31.666666666666668</v>
      </c>
      <c r="C84" s="33">
        <v>1</v>
      </c>
      <c r="D84" s="25">
        <f>C84*B84</f>
        <v>31.666666666666668</v>
      </c>
      <c r="E84" s="22"/>
    </row>
    <row r="85" spans="1:5" ht="23.25" customHeight="1" x14ac:dyDescent="0.2">
      <c r="A85" s="5" t="str">
        <f>A44</f>
        <v>Onderdeel 1.8. Terreinwagen</v>
      </c>
      <c r="B85" s="25">
        <f>D49</f>
        <v>198</v>
      </c>
      <c r="C85" s="33">
        <v>1</v>
      </c>
      <c r="D85" s="25">
        <f t="shared" ref="D85:D89" si="1">C85*B85</f>
        <v>198</v>
      </c>
      <c r="E85" s="22"/>
    </row>
    <row r="86" spans="1:5" ht="23.25" customHeight="1" x14ac:dyDescent="0.2">
      <c r="A86" s="5" t="str">
        <f>A50</f>
        <v>Onderdeel 1.9 Personenauto klein</v>
      </c>
      <c r="B86" s="25">
        <f>D55</f>
        <v>23.444444444444443</v>
      </c>
      <c r="C86" s="33">
        <v>1</v>
      </c>
      <c r="D86" s="25">
        <f t="shared" si="1"/>
        <v>23.444444444444443</v>
      </c>
      <c r="E86" s="22"/>
    </row>
    <row r="87" spans="1:5" ht="23.25" customHeight="1" x14ac:dyDescent="0.2">
      <c r="A87" s="5" t="str">
        <f>A56</f>
        <v>Onderdeel 1.10 Personenauto groot</v>
      </c>
      <c r="B87" s="25">
        <f>D61</f>
        <v>27.111111111111114</v>
      </c>
      <c r="C87" s="33">
        <v>2</v>
      </c>
      <c r="D87" s="25">
        <f t="shared" si="1"/>
        <v>54.222222222222229</v>
      </c>
      <c r="E87" s="22"/>
    </row>
    <row r="88" spans="1:5" ht="23.25" customHeight="1" x14ac:dyDescent="0.2">
      <c r="A88" s="5" t="str">
        <f>A62</f>
        <v>Onderdeel 2.1 Gesloten bestelwagen klein</v>
      </c>
      <c r="B88" s="25">
        <f>D67</f>
        <v>16.333333333333332</v>
      </c>
      <c r="C88" s="33">
        <v>4</v>
      </c>
      <c r="D88" s="25">
        <f t="shared" si="1"/>
        <v>65.333333333333329</v>
      </c>
      <c r="E88" s="22"/>
    </row>
    <row r="89" spans="1:5" ht="23.25" customHeight="1" x14ac:dyDescent="0.2">
      <c r="A89" s="5" t="str">
        <f>A68</f>
        <v>Onderdeel 2.2 Personenwagen middel</v>
      </c>
      <c r="B89" s="25">
        <f>D73</f>
        <v>73.555555555555543</v>
      </c>
      <c r="C89" s="33">
        <v>1</v>
      </c>
      <c r="D89" s="25">
        <f t="shared" si="1"/>
        <v>73.555555555555543</v>
      </c>
      <c r="E89" s="22"/>
    </row>
    <row r="90" spans="1:5" ht="23.25" customHeight="1" x14ac:dyDescent="0.2">
      <c r="B90" s="34"/>
      <c r="C90" s="35"/>
      <c r="D90" s="35"/>
      <c r="E90" s="36"/>
    </row>
    <row r="91" spans="1:5" ht="23.25" customHeight="1" x14ac:dyDescent="0.2">
      <c r="B91" s="158" t="s">
        <v>63</v>
      </c>
      <c r="C91" s="158"/>
      <c r="D91" s="37">
        <f>SUM(D84:D90)</f>
        <v>446.22222222222217</v>
      </c>
    </row>
    <row r="92" spans="1:5" ht="23.25" customHeight="1" x14ac:dyDescent="0.2">
      <c r="C92" s="26"/>
      <c r="D92" s="28"/>
    </row>
    <row r="93" spans="1:5" ht="44.25" customHeight="1" x14ac:dyDescent="0.2">
      <c r="A93" s="159" t="s">
        <v>64</v>
      </c>
      <c r="B93" s="159"/>
      <c r="C93" s="159"/>
      <c r="D93" s="159"/>
    </row>
    <row r="94" spans="1:5" s="22" customFormat="1" ht="23.25" customHeight="1" x14ac:dyDescent="0.2">
      <c r="E94" s="21"/>
    </row>
    <row r="95" spans="1:5" s="22" customFormat="1" ht="23.25" customHeight="1" x14ac:dyDescent="0.2">
      <c r="E95" s="21"/>
    </row>
    <row r="96" spans="1:5" s="22" customFormat="1" ht="23.25" customHeight="1" x14ac:dyDescent="0.2">
      <c r="E96" s="21"/>
    </row>
    <row r="97" spans="5:5" s="22" customFormat="1" ht="23.25" customHeight="1" x14ac:dyDescent="0.2">
      <c r="E97" s="21"/>
    </row>
    <row r="98" spans="5:5" s="22" customFormat="1" ht="23.25" customHeight="1" x14ac:dyDescent="0.2">
      <c r="E98" s="21"/>
    </row>
    <row r="99" spans="5:5" s="22" customFormat="1" ht="23.25" customHeight="1" x14ac:dyDescent="0.2">
      <c r="E99" s="21"/>
    </row>
    <row r="100" spans="5:5" s="22" customFormat="1" ht="23.25" customHeight="1" x14ac:dyDescent="0.2">
      <c r="E100" s="21"/>
    </row>
    <row r="101" spans="5:5" s="22" customFormat="1" ht="23.25" customHeight="1" x14ac:dyDescent="0.2">
      <c r="E101" s="21"/>
    </row>
    <row r="102" spans="5:5" s="22" customFormat="1" ht="23.25" customHeight="1" x14ac:dyDescent="0.2">
      <c r="E102" s="21"/>
    </row>
    <row r="103" spans="5:5" s="22" customFormat="1" ht="23.25" customHeight="1" x14ac:dyDescent="0.2">
      <c r="E103" s="21"/>
    </row>
    <row r="104" spans="5:5" s="22" customFormat="1" ht="23.25" customHeight="1" x14ac:dyDescent="0.2">
      <c r="E104" s="21"/>
    </row>
    <row r="105" spans="5:5" s="22" customFormat="1" ht="23.25" customHeight="1" x14ac:dyDescent="0.2">
      <c r="E105" s="21"/>
    </row>
    <row r="106" spans="5:5" s="22" customFormat="1" ht="23.25" customHeight="1" x14ac:dyDescent="0.2">
      <c r="E106" s="21"/>
    </row>
    <row r="107" spans="5:5" s="22" customFormat="1" ht="23.25" customHeight="1" x14ac:dyDescent="0.2">
      <c r="E107" s="21"/>
    </row>
    <row r="108" spans="5:5" s="22" customFormat="1" ht="23.25" customHeight="1" x14ac:dyDescent="0.2">
      <c r="E108" s="21"/>
    </row>
    <row r="109" spans="5:5" s="22" customFormat="1" ht="23.25" customHeight="1" x14ac:dyDescent="0.2">
      <c r="E109" s="21"/>
    </row>
    <row r="110" spans="5:5" s="22" customFormat="1" ht="23.25" customHeight="1" x14ac:dyDescent="0.2">
      <c r="E110" s="21"/>
    </row>
    <row r="111" spans="5:5" s="22" customFormat="1" ht="23.25" customHeight="1" x14ac:dyDescent="0.2">
      <c r="E111" s="21"/>
    </row>
    <row r="112" spans="5:5" s="22" customFormat="1" ht="23.25" customHeight="1" x14ac:dyDescent="0.2">
      <c r="E112" s="21"/>
    </row>
    <row r="113" spans="5:5" s="22" customFormat="1" ht="23.25" customHeight="1" x14ac:dyDescent="0.2">
      <c r="E113" s="21"/>
    </row>
    <row r="114" spans="5:5" s="22" customFormat="1" ht="23.25" customHeight="1" x14ac:dyDescent="0.2">
      <c r="E114" s="21"/>
    </row>
    <row r="115" spans="5:5" s="22" customFormat="1" ht="23.25" customHeight="1" x14ac:dyDescent="0.2">
      <c r="E115" s="21"/>
    </row>
    <row r="116" spans="5:5" s="22" customFormat="1" ht="23.25" customHeight="1" x14ac:dyDescent="0.2">
      <c r="E116" s="21"/>
    </row>
    <row r="117" spans="5:5" s="22" customFormat="1" ht="23.25" customHeight="1" x14ac:dyDescent="0.2">
      <c r="E117" s="21"/>
    </row>
    <row r="118" spans="5:5" s="22" customFormat="1" ht="23.25" customHeight="1" x14ac:dyDescent="0.2">
      <c r="E118" s="21"/>
    </row>
    <row r="119" spans="5:5" s="22" customFormat="1" ht="23.25" customHeight="1" x14ac:dyDescent="0.2">
      <c r="E119" s="21"/>
    </row>
    <row r="120" spans="5:5" s="22" customFormat="1" ht="23.25" customHeight="1" x14ac:dyDescent="0.2">
      <c r="E120" s="21"/>
    </row>
    <row r="121" spans="5:5" s="22" customFormat="1" ht="23.25" customHeight="1" x14ac:dyDescent="0.2">
      <c r="E121" s="21"/>
    </row>
    <row r="122" spans="5:5" s="22" customFormat="1" ht="23.25" customHeight="1" x14ac:dyDescent="0.2">
      <c r="E122" s="21"/>
    </row>
    <row r="123" spans="5:5" s="22" customFormat="1" ht="23.25" customHeight="1" x14ac:dyDescent="0.2">
      <c r="E123" s="21"/>
    </row>
    <row r="124" spans="5:5" s="22" customFormat="1" ht="23.25" customHeight="1" x14ac:dyDescent="0.2">
      <c r="E124" s="21"/>
    </row>
    <row r="125" spans="5:5" s="22" customFormat="1" ht="23.25" customHeight="1" x14ac:dyDescent="0.2">
      <c r="E125" s="21"/>
    </row>
    <row r="126" spans="5:5" s="22" customFormat="1" ht="23.25" customHeight="1" x14ac:dyDescent="0.2">
      <c r="E126" s="21"/>
    </row>
    <row r="127" spans="5:5" s="22" customFormat="1" ht="23.25" customHeight="1" x14ac:dyDescent="0.2">
      <c r="E127" s="21"/>
    </row>
    <row r="128" spans="5:5" s="22" customFormat="1" ht="23.25" customHeight="1" x14ac:dyDescent="0.2">
      <c r="E128" s="21"/>
    </row>
    <row r="129" spans="5:5" s="22" customFormat="1" ht="23.25" customHeight="1" x14ac:dyDescent="0.2">
      <c r="E129" s="21"/>
    </row>
    <row r="130" spans="5:5" s="22" customFormat="1" ht="23.25" customHeight="1" x14ac:dyDescent="0.2">
      <c r="E130" s="21"/>
    </row>
    <row r="131" spans="5:5" s="22" customFormat="1" ht="23.25" customHeight="1" x14ac:dyDescent="0.2">
      <c r="E131" s="21"/>
    </row>
    <row r="132" spans="5:5" s="22" customFormat="1" ht="23.25" customHeight="1" x14ac:dyDescent="0.2">
      <c r="E132" s="21"/>
    </row>
    <row r="133" spans="5:5" s="22" customFormat="1" ht="23.25" customHeight="1" x14ac:dyDescent="0.2">
      <c r="E133" s="21"/>
    </row>
    <row r="134" spans="5:5" s="22" customFormat="1" ht="23.25" customHeight="1" x14ac:dyDescent="0.2">
      <c r="E134" s="21"/>
    </row>
    <row r="135" spans="5:5" s="22" customFormat="1" ht="23.25" customHeight="1" x14ac:dyDescent="0.2">
      <c r="E135" s="21"/>
    </row>
    <row r="136" spans="5:5" s="22" customFormat="1" ht="23.25" customHeight="1" x14ac:dyDescent="0.2">
      <c r="E136" s="21"/>
    </row>
    <row r="137" spans="5:5" s="22" customFormat="1" ht="23.25" customHeight="1" x14ac:dyDescent="0.2">
      <c r="E137" s="21"/>
    </row>
    <row r="138" spans="5:5" s="22" customFormat="1" ht="23.25" customHeight="1" x14ac:dyDescent="0.2">
      <c r="E138" s="21"/>
    </row>
    <row r="139" spans="5:5" s="22" customFormat="1" ht="23.25" customHeight="1" x14ac:dyDescent="0.2">
      <c r="E139" s="21"/>
    </row>
    <row r="140" spans="5:5" s="22" customFormat="1" ht="23.25" customHeight="1" x14ac:dyDescent="0.2">
      <c r="E140" s="21"/>
    </row>
    <row r="141" spans="5:5" s="22" customFormat="1" ht="23.25" customHeight="1" x14ac:dyDescent="0.2">
      <c r="E141" s="21"/>
    </row>
    <row r="142" spans="5:5" s="22" customFormat="1" ht="23.25" customHeight="1" x14ac:dyDescent="0.2">
      <c r="E142" s="21"/>
    </row>
    <row r="143" spans="5:5" s="22" customFormat="1" ht="23.25" customHeight="1" x14ac:dyDescent="0.2">
      <c r="E143" s="21"/>
    </row>
    <row r="144" spans="5:5" s="22" customFormat="1" ht="23.25" customHeight="1" x14ac:dyDescent="0.2">
      <c r="E144" s="21"/>
    </row>
    <row r="145" spans="5:5" s="22" customFormat="1" ht="23.25" customHeight="1" x14ac:dyDescent="0.2">
      <c r="E145" s="21"/>
    </row>
    <row r="146" spans="5:5" s="22" customFormat="1" ht="23.25" customHeight="1" x14ac:dyDescent="0.2">
      <c r="E146" s="21"/>
    </row>
    <row r="147" spans="5:5" s="22" customFormat="1" ht="23.25" customHeight="1" x14ac:dyDescent="0.2">
      <c r="E147" s="21"/>
    </row>
    <row r="148" spans="5:5" s="22" customFormat="1" ht="23.25" customHeight="1" x14ac:dyDescent="0.2">
      <c r="E148" s="21"/>
    </row>
    <row r="149" spans="5:5" s="22" customFormat="1" ht="23.25" customHeight="1" x14ac:dyDescent="0.2">
      <c r="E149" s="21"/>
    </row>
    <row r="150" spans="5:5" s="22" customFormat="1" ht="23.25" customHeight="1" x14ac:dyDescent="0.2">
      <c r="E150" s="21"/>
    </row>
    <row r="151" spans="5:5" s="22" customFormat="1" ht="23.25" customHeight="1" x14ac:dyDescent="0.2">
      <c r="E151" s="21"/>
    </row>
    <row r="152" spans="5:5" s="22" customFormat="1" ht="23.25" customHeight="1" x14ac:dyDescent="0.2">
      <c r="E152" s="21"/>
    </row>
    <row r="153" spans="5:5" s="22" customFormat="1" ht="23.25" customHeight="1" x14ac:dyDescent="0.2">
      <c r="E153" s="21"/>
    </row>
    <row r="154" spans="5:5" s="22" customFormat="1" ht="23.25" customHeight="1" x14ac:dyDescent="0.2">
      <c r="E154" s="21"/>
    </row>
    <row r="155" spans="5:5" s="22" customFormat="1" ht="23.25" customHeight="1" x14ac:dyDescent="0.2">
      <c r="E155" s="21"/>
    </row>
    <row r="156" spans="5:5" s="22" customFormat="1" ht="23.25" customHeight="1" x14ac:dyDescent="0.2">
      <c r="E156" s="21"/>
    </row>
    <row r="157" spans="5:5" s="22" customFormat="1" ht="23.25" customHeight="1" x14ac:dyDescent="0.2">
      <c r="E157" s="21"/>
    </row>
    <row r="158" spans="5:5" s="22" customFormat="1" ht="23.25" customHeight="1" x14ac:dyDescent="0.2">
      <c r="E158" s="21"/>
    </row>
    <row r="159" spans="5:5" s="22" customFormat="1" ht="23.25" customHeight="1" x14ac:dyDescent="0.2">
      <c r="E159" s="21"/>
    </row>
    <row r="160" spans="5:5" s="22" customFormat="1" ht="23.25" customHeight="1" x14ac:dyDescent="0.2">
      <c r="E160" s="21"/>
    </row>
    <row r="161" spans="5:5" s="22" customFormat="1" ht="23.25" customHeight="1" x14ac:dyDescent="0.2">
      <c r="E161" s="21"/>
    </row>
    <row r="162" spans="5:5" s="22" customFormat="1" ht="23.25" customHeight="1" x14ac:dyDescent="0.2">
      <c r="E162" s="21"/>
    </row>
    <row r="163" spans="5:5" s="22" customFormat="1" ht="23.25" customHeight="1" x14ac:dyDescent="0.2">
      <c r="E163" s="21"/>
    </row>
    <row r="164" spans="5:5" s="22" customFormat="1" ht="23.25" customHeight="1" x14ac:dyDescent="0.2">
      <c r="E164" s="21"/>
    </row>
    <row r="165" spans="5:5" s="22" customFormat="1" ht="23.25" customHeight="1" x14ac:dyDescent="0.2">
      <c r="E165" s="21"/>
    </row>
    <row r="166" spans="5:5" s="22" customFormat="1" ht="23.25" customHeight="1" x14ac:dyDescent="0.2">
      <c r="E166" s="21"/>
    </row>
    <row r="167" spans="5:5" s="22" customFormat="1" ht="23.25" customHeight="1" x14ac:dyDescent="0.2">
      <c r="E167" s="21"/>
    </row>
    <row r="168" spans="5:5" s="22" customFormat="1" ht="23.25" customHeight="1" x14ac:dyDescent="0.2">
      <c r="E168" s="21"/>
    </row>
    <row r="169" spans="5:5" s="22" customFormat="1" ht="23.25" customHeight="1" x14ac:dyDescent="0.2">
      <c r="E169" s="21"/>
    </row>
    <row r="170" spans="5:5" s="22" customFormat="1" ht="23.25" customHeight="1" x14ac:dyDescent="0.2">
      <c r="E170" s="21"/>
    </row>
    <row r="171" spans="5:5" s="22" customFormat="1" ht="23.25" customHeight="1" x14ac:dyDescent="0.2">
      <c r="E171" s="21"/>
    </row>
    <row r="172" spans="5:5" s="22" customFormat="1" ht="23.25" customHeight="1" x14ac:dyDescent="0.2">
      <c r="E172" s="21"/>
    </row>
    <row r="173" spans="5:5" s="22" customFormat="1" ht="23.25" customHeight="1" x14ac:dyDescent="0.2">
      <c r="E173" s="21"/>
    </row>
    <row r="174" spans="5:5" s="22" customFormat="1" ht="23.25" customHeight="1" x14ac:dyDescent="0.2">
      <c r="E174" s="21"/>
    </row>
    <row r="175" spans="5:5" s="22" customFormat="1" ht="23.25" customHeight="1" x14ac:dyDescent="0.2">
      <c r="E175" s="21"/>
    </row>
    <row r="176" spans="5:5" s="22" customFormat="1" ht="23.25" customHeight="1" x14ac:dyDescent="0.2">
      <c r="E176" s="21"/>
    </row>
    <row r="177" spans="5:5" s="22" customFormat="1" ht="23.25" customHeight="1" x14ac:dyDescent="0.2">
      <c r="E177" s="21"/>
    </row>
    <row r="178" spans="5:5" s="22" customFormat="1" ht="23.25" customHeight="1" x14ac:dyDescent="0.2">
      <c r="E178" s="21"/>
    </row>
    <row r="179" spans="5:5" s="22" customFormat="1" ht="23.25" customHeight="1" x14ac:dyDescent="0.2">
      <c r="E179" s="21"/>
    </row>
    <row r="180" spans="5:5" s="22" customFormat="1" ht="23.25" customHeight="1" x14ac:dyDescent="0.2">
      <c r="E180" s="21"/>
    </row>
    <row r="181" spans="5:5" s="22" customFormat="1" ht="23.25" customHeight="1" x14ac:dyDescent="0.2">
      <c r="E181" s="21"/>
    </row>
    <row r="182" spans="5:5" s="22" customFormat="1" ht="23.25" customHeight="1" x14ac:dyDescent="0.2">
      <c r="E182" s="21"/>
    </row>
    <row r="183" spans="5:5" s="22" customFormat="1" ht="23.25" customHeight="1" x14ac:dyDescent="0.2">
      <c r="E183" s="21"/>
    </row>
    <row r="184" spans="5:5" s="22" customFormat="1" ht="23.25" customHeight="1" x14ac:dyDescent="0.2">
      <c r="E184" s="21"/>
    </row>
    <row r="185" spans="5:5" s="22" customFormat="1" ht="23.25" customHeight="1" x14ac:dyDescent="0.2">
      <c r="E185" s="21"/>
    </row>
    <row r="186" spans="5:5" s="22" customFormat="1" ht="23.25" customHeight="1" x14ac:dyDescent="0.2">
      <c r="E186" s="21"/>
    </row>
    <row r="187" spans="5:5" s="22" customFormat="1" ht="23.25" customHeight="1" x14ac:dyDescent="0.2">
      <c r="E187" s="21"/>
    </row>
    <row r="188" spans="5:5" s="22" customFormat="1" ht="23.25" customHeight="1" x14ac:dyDescent="0.2">
      <c r="E188" s="21"/>
    </row>
    <row r="189" spans="5:5" s="22" customFormat="1" ht="23.25" customHeight="1" x14ac:dyDescent="0.2">
      <c r="E189" s="21"/>
    </row>
    <row r="190" spans="5:5" s="22" customFormat="1" ht="23.25" customHeight="1" x14ac:dyDescent="0.2">
      <c r="E190" s="21"/>
    </row>
    <row r="191" spans="5:5" s="22" customFormat="1" ht="23.25" customHeight="1" x14ac:dyDescent="0.2">
      <c r="E191" s="21"/>
    </row>
    <row r="192" spans="5:5" s="22" customFormat="1" ht="23.25" customHeight="1" x14ac:dyDescent="0.2">
      <c r="E192" s="21"/>
    </row>
    <row r="193" spans="5:5" s="22" customFormat="1" ht="23.25" customHeight="1" x14ac:dyDescent="0.2">
      <c r="E193" s="21"/>
    </row>
    <row r="194" spans="5:5" s="22" customFormat="1" ht="23.25" customHeight="1" x14ac:dyDescent="0.2">
      <c r="E194" s="21"/>
    </row>
    <row r="195" spans="5:5" s="22" customFormat="1" ht="23.25" customHeight="1" x14ac:dyDescent="0.2">
      <c r="E195" s="21"/>
    </row>
    <row r="196" spans="5:5" s="22" customFormat="1" ht="23.25" customHeight="1" x14ac:dyDescent="0.2">
      <c r="E196" s="21"/>
    </row>
    <row r="197" spans="5:5" s="22" customFormat="1" ht="23.25" customHeight="1" x14ac:dyDescent="0.2">
      <c r="E197" s="21"/>
    </row>
    <row r="198" spans="5:5" s="22" customFormat="1" ht="23.25" customHeight="1" x14ac:dyDescent="0.2">
      <c r="E198" s="21"/>
    </row>
    <row r="199" spans="5:5" s="22" customFormat="1" ht="23.25" customHeight="1" x14ac:dyDescent="0.2">
      <c r="E199" s="21"/>
    </row>
    <row r="200" spans="5:5" s="22" customFormat="1" ht="23.25" customHeight="1" x14ac:dyDescent="0.2">
      <c r="E200" s="21"/>
    </row>
    <row r="201" spans="5:5" s="22" customFormat="1" ht="23.25" customHeight="1" x14ac:dyDescent="0.2">
      <c r="E201" s="21"/>
    </row>
    <row r="202" spans="5:5" s="22" customFormat="1" ht="23.25" customHeight="1" x14ac:dyDescent="0.2">
      <c r="E202" s="21"/>
    </row>
    <row r="203" spans="5:5" s="22" customFormat="1" ht="23.25" customHeight="1" x14ac:dyDescent="0.2">
      <c r="E203" s="21"/>
    </row>
    <row r="204" spans="5:5" s="22" customFormat="1" ht="23.25" customHeight="1" x14ac:dyDescent="0.2">
      <c r="E204" s="21"/>
    </row>
    <row r="205" spans="5:5" s="22" customFormat="1" ht="23.25" customHeight="1" x14ac:dyDescent="0.2">
      <c r="E205" s="21"/>
    </row>
    <row r="206" spans="5:5" s="22" customFormat="1" ht="23.25" customHeight="1" x14ac:dyDescent="0.2">
      <c r="E206" s="21"/>
    </row>
    <row r="207" spans="5:5" s="22" customFormat="1" ht="23.25" customHeight="1" x14ac:dyDescent="0.2">
      <c r="E207" s="21"/>
    </row>
    <row r="208" spans="5:5" s="22" customFormat="1" ht="23.25" customHeight="1" x14ac:dyDescent="0.2">
      <c r="E208" s="21"/>
    </row>
    <row r="209" spans="5:5" s="22" customFormat="1" ht="23.25" customHeight="1" x14ac:dyDescent="0.2">
      <c r="E209" s="21"/>
    </row>
    <row r="210" spans="5:5" s="22" customFormat="1" ht="23.25" customHeight="1" x14ac:dyDescent="0.2">
      <c r="E210" s="21"/>
    </row>
    <row r="211" spans="5:5" s="22" customFormat="1" ht="23.25" customHeight="1" x14ac:dyDescent="0.2">
      <c r="E211" s="21"/>
    </row>
    <row r="212" spans="5:5" s="22" customFormat="1" ht="23.25" customHeight="1" x14ac:dyDescent="0.2">
      <c r="E212" s="21"/>
    </row>
    <row r="213" spans="5:5" s="22" customFormat="1" ht="23.25" customHeight="1" x14ac:dyDescent="0.2">
      <c r="E213" s="21"/>
    </row>
    <row r="214" spans="5:5" s="22" customFormat="1" ht="23.25" customHeight="1" x14ac:dyDescent="0.2">
      <c r="E214" s="21"/>
    </row>
    <row r="215" spans="5:5" s="22" customFormat="1" ht="23.25" customHeight="1" x14ac:dyDescent="0.2">
      <c r="E215" s="21"/>
    </row>
    <row r="216" spans="5:5" s="22" customFormat="1" ht="23.25" customHeight="1" x14ac:dyDescent="0.2">
      <c r="E216" s="21"/>
    </row>
    <row r="217" spans="5:5" s="22" customFormat="1" ht="23.25" customHeight="1" x14ac:dyDescent="0.2">
      <c r="E217" s="21"/>
    </row>
    <row r="218" spans="5:5" s="22" customFormat="1" ht="23.25" customHeight="1" x14ac:dyDescent="0.2">
      <c r="E218" s="21"/>
    </row>
    <row r="219" spans="5:5" s="22" customFormat="1" ht="23.25" customHeight="1" x14ac:dyDescent="0.2">
      <c r="E219" s="21"/>
    </row>
    <row r="220" spans="5:5" s="22" customFormat="1" ht="23.25" customHeight="1" x14ac:dyDescent="0.2">
      <c r="E220" s="21"/>
    </row>
    <row r="221" spans="5:5" s="22" customFormat="1" ht="23.25" customHeight="1" x14ac:dyDescent="0.2">
      <c r="E221" s="21"/>
    </row>
    <row r="222" spans="5:5" s="22" customFormat="1" ht="23.25" customHeight="1" x14ac:dyDescent="0.2">
      <c r="E222" s="21"/>
    </row>
    <row r="223" spans="5:5" s="22" customFormat="1" ht="23.25" customHeight="1" x14ac:dyDescent="0.2">
      <c r="E223" s="21"/>
    </row>
    <row r="224" spans="5:5" s="22" customFormat="1" ht="23.25" customHeight="1" x14ac:dyDescent="0.2">
      <c r="E224" s="21"/>
    </row>
    <row r="225" spans="5:5" s="22" customFormat="1" ht="23.25" customHeight="1" x14ac:dyDescent="0.2">
      <c r="E225" s="21"/>
    </row>
    <row r="226" spans="5:5" s="22" customFormat="1" ht="23.25" customHeight="1" x14ac:dyDescent="0.2">
      <c r="E226" s="21"/>
    </row>
    <row r="227" spans="5:5" s="22" customFormat="1" ht="23.25" customHeight="1" x14ac:dyDescent="0.2">
      <c r="E227" s="21"/>
    </row>
    <row r="228" spans="5:5" s="22" customFormat="1" ht="23.25" customHeight="1" x14ac:dyDescent="0.2">
      <c r="E228" s="21"/>
    </row>
    <row r="229" spans="5:5" s="22" customFormat="1" ht="23.25" customHeight="1" x14ac:dyDescent="0.2">
      <c r="E229" s="21"/>
    </row>
    <row r="230" spans="5:5" s="22" customFormat="1" ht="23.25" customHeight="1" x14ac:dyDescent="0.2">
      <c r="E230" s="21"/>
    </row>
    <row r="231" spans="5:5" s="22" customFormat="1" ht="23.25" customHeight="1" x14ac:dyDescent="0.2">
      <c r="E231" s="21"/>
    </row>
    <row r="232" spans="5:5" s="22" customFormat="1" ht="23.25" customHeight="1" x14ac:dyDescent="0.2">
      <c r="E232" s="21"/>
    </row>
    <row r="233" spans="5:5" s="22" customFormat="1" ht="23.25" customHeight="1" x14ac:dyDescent="0.2">
      <c r="E233" s="21"/>
    </row>
    <row r="234" spans="5:5" s="22" customFormat="1" ht="23.25" customHeight="1" x14ac:dyDescent="0.2">
      <c r="E234" s="21"/>
    </row>
    <row r="235" spans="5:5" s="22" customFormat="1" ht="23.25" customHeight="1" x14ac:dyDescent="0.2">
      <c r="E235" s="21"/>
    </row>
    <row r="236" spans="5:5" s="22" customFormat="1" ht="23.25" customHeight="1" x14ac:dyDescent="0.2">
      <c r="E236" s="21"/>
    </row>
    <row r="237" spans="5:5" s="22" customFormat="1" ht="23.25" customHeight="1" x14ac:dyDescent="0.2">
      <c r="E237" s="21"/>
    </row>
    <row r="238" spans="5:5" s="22" customFormat="1" ht="23.25" customHeight="1" x14ac:dyDescent="0.2">
      <c r="E238" s="21"/>
    </row>
    <row r="239" spans="5:5" s="22" customFormat="1" ht="23.25" customHeight="1" x14ac:dyDescent="0.2">
      <c r="E239" s="21"/>
    </row>
    <row r="240" spans="5:5" s="22" customFormat="1" ht="23.25" customHeight="1" x14ac:dyDescent="0.2">
      <c r="E240" s="21"/>
    </row>
    <row r="241" spans="5:5" s="22" customFormat="1" ht="23.25" customHeight="1" x14ac:dyDescent="0.2">
      <c r="E241" s="21"/>
    </row>
    <row r="242" spans="5:5" s="22" customFormat="1" ht="23.25" customHeight="1" x14ac:dyDescent="0.2">
      <c r="E242" s="21"/>
    </row>
    <row r="243" spans="5:5" s="22" customFormat="1" ht="23.25" customHeight="1" x14ac:dyDescent="0.2">
      <c r="E243" s="21"/>
    </row>
    <row r="244" spans="5:5" s="22" customFormat="1" ht="23.25" customHeight="1" x14ac:dyDescent="0.2">
      <c r="E244" s="21"/>
    </row>
    <row r="245" spans="5:5" s="22" customFormat="1" ht="23.25" customHeight="1" x14ac:dyDescent="0.2">
      <c r="E245" s="21"/>
    </row>
    <row r="246" spans="5:5" s="22" customFormat="1" ht="23.25" customHeight="1" x14ac:dyDescent="0.2">
      <c r="E246" s="21"/>
    </row>
    <row r="247" spans="5:5" s="22" customFormat="1" ht="23.25" customHeight="1" x14ac:dyDescent="0.2">
      <c r="E247" s="21"/>
    </row>
    <row r="248" spans="5:5" s="22" customFormat="1" ht="23.25" customHeight="1" x14ac:dyDescent="0.2">
      <c r="E248" s="21"/>
    </row>
    <row r="249" spans="5:5" s="22" customFormat="1" ht="23.25" customHeight="1" x14ac:dyDescent="0.2">
      <c r="E249" s="21"/>
    </row>
    <row r="250" spans="5:5" s="22" customFormat="1" ht="23.25" customHeight="1" x14ac:dyDescent="0.2">
      <c r="E250" s="21"/>
    </row>
    <row r="251" spans="5:5" s="22" customFormat="1" ht="23.25" customHeight="1" x14ac:dyDescent="0.2">
      <c r="E251" s="21"/>
    </row>
    <row r="252" spans="5:5" s="22" customFormat="1" ht="23.25" customHeight="1" x14ac:dyDescent="0.2">
      <c r="E252" s="21"/>
    </row>
    <row r="253" spans="5:5" s="22" customFormat="1" ht="23.25" customHeight="1" x14ac:dyDescent="0.2">
      <c r="E253" s="21"/>
    </row>
    <row r="254" spans="5:5" s="22" customFormat="1" ht="23.25" customHeight="1" x14ac:dyDescent="0.2">
      <c r="E254" s="21"/>
    </row>
    <row r="255" spans="5:5" s="22" customFormat="1" ht="23.25" customHeight="1" x14ac:dyDescent="0.2">
      <c r="E255" s="21"/>
    </row>
    <row r="256" spans="5:5" s="22" customFormat="1" ht="23.25" customHeight="1" x14ac:dyDescent="0.2">
      <c r="E256" s="21"/>
    </row>
    <row r="257" spans="5:5" s="22" customFormat="1" ht="23.25" customHeight="1" x14ac:dyDescent="0.2">
      <c r="E257" s="21"/>
    </row>
    <row r="258" spans="5:5" s="22" customFormat="1" ht="23.25" customHeight="1" x14ac:dyDescent="0.2">
      <c r="E258" s="21"/>
    </row>
    <row r="259" spans="5:5" s="22" customFormat="1" ht="23.25" customHeight="1" x14ac:dyDescent="0.2">
      <c r="E259" s="21"/>
    </row>
    <row r="260" spans="5:5" s="22" customFormat="1" ht="23.25" customHeight="1" x14ac:dyDescent="0.2">
      <c r="E260" s="21"/>
    </row>
    <row r="261" spans="5:5" s="22" customFormat="1" ht="23.25" customHeight="1" x14ac:dyDescent="0.2">
      <c r="E261" s="21"/>
    </row>
    <row r="262" spans="5:5" s="22" customFormat="1" ht="23.25" customHeight="1" x14ac:dyDescent="0.2">
      <c r="E262" s="21"/>
    </row>
    <row r="263" spans="5:5" s="22" customFormat="1" ht="23.25" customHeight="1" x14ac:dyDescent="0.2">
      <c r="E263" s="21"/>
    </row>
    <row r="264" spans="5:5" s="22" customFormat="1" ht="23.25" customHeight="1" x14ac:dyDescent="0.2">
      <c r="E264" s="21"/>
    </row>
    <row r="265" spans="5:5" s="22" customFormat="1" ht="23.25" customHeight="1" x14ac:dyDescent="0.2">
      <c r="E265" s="21"/>
    </row>
    <row r="266" spans="5:5" s="22" customFormat="1" ht="23.25" customHeight="1" x14ac:dyDescent="0.2">
      <c r="E266" s="21"/>
    </row>
    <row r="267" spans="5:5" s="22" customFormat="1" ht="23.25" customHeight="1" x14ac:dyDescent="0.2">
      <c r="E267" s="21"/>
    </row>
    <row r="268" spans="5:5" s="22" customFormat="1" ht="23.25" customHeight="1" x14ac:dyDescent="0.2">
      <c r="E268" s="21"/>
    </row>
    <row r="269" spans="5:5" s="22" customFormat="1" ht="23.25" customHeight="1" x14ac:dyDescent="0.2">
      <c r="E269" s="21"/>
    </row>
    <row r="270" spans="5:5" s="22" customFormat="1" ht="23.25" customHeight="1" x14ac:dyDescent="0.2">
      <c r="E270" s="21"/>
    </row>
    <row r="271" spans="5:5" s="22" customFormat="1" ht="23.25" customHeight="1" x14ac:dyDescent="0.2">
      <c r="E271" s="21"/>
    </row>
    <row r="272" spans="5:5" s="22" customFormat="1" ht="23.25" customHeight="1" x14ac:dyDescent="0.2">
      <c r="E272" s="21"/>
    </row>
    <row r="273" spans="5:5" s="22" customFormat="1" ht="23.25" customHeight="1" x14ac:dyDescent="0.2">
      <c r="E273" s="21"/>
    </row>
    <row r="274" spans="5:5" s="22" customFormat="1" ht="23.25" customHeight="1" x14ac:dyDescent="0.2">
      <c r="E274" s="21"/>
    </row>
    <row r="275" spans="5:5" s="22" customFormat="1" ht="23.25" customHeight="1" x14ac:dyDescent="0.2">
      <c r="E275" s="21"/>
    </row>
    <row r="276" spans="5:5" s="22" customFormat="1" ht="23.25" customHeight="1" x14ac:dyDescent="0.2">
      <c r="E276" s="21"/>
    </row>
    <row r="277" spans="5:5" s="22" customFormat="1" ht="23.25" customHeight="1" x14ac:dyDescent="0.2">
      <c r="E277" s="21"/>
    </row>
    <row r="278" spans="5:5" s="22" customFormat="1" ht="23.25" customHeight="1" x14ac:dyDescent="0.2">
      <c r="E278" s="21"/>
    </row>
    <row r="279" spans="5:5" s="22" customFormat="1" ht="23.25" customHeight="1" x14ac:dyDescent="0.2">
      <c r="E279" s="21"/>
    </row>
    <row r="280" spans="5:5" s="22" customFormat="1" ht="23.25" customHeight="1" x14ac:dyDescent="0.2">
      <c r="E280" s="21"/>
    </row>
    <row r="281" spans="5:5" s="22" customFormat="1" ht="23.25" customHeight="1" x14ac:dyDescent="0.2">
      <c r="E281" s="21"/>
    </row>
    <row r="282" spans="5:5" s="22" customFormat="1" ht="23.25" customHeight="1" x14ac:dyDescent="0.2">
      <c r="E282" s="21"/>
    </row>
    <row r="283" spans="5:5" s="22" customFormat="1" ht="23.25" customHeight="1" x14ac:dyDescent="0.2">
      <c r="E283" s="21"/>
    </row>
    <row r="284" spans="5:5" s="22" customFormat="1" ht="23.25" customHeight="1" x14ac:dyDescent="0.2">
      <c r="E284" s="21"/>
    </row>
    <row r="285" spans="5:5" s="22" customFormat="1" ht="23.25" customHeight="1" x14ac:dyDescent="0.2">
      <c r="E285" s="21"/>
    </row>
    <row r="286" spans="5:5" s="22" customFormat="1" ht="23.25" customHeight="1" x14ac:dyDescent="0.2">
      <c r="E286" s="21"/>
    </row>
    <row r="287" spans="5:5" s="22" customFormat="1" ht="23.25" customHeight="1" x14ac:dyDescent="0.2">
      <c r="E287" s="21"/>
    </row>
    <row r="288" spans="5:5" s="22" customFormat="1" ht="23.25" customHeight="1" x14ac:dyDescent="0.2">
      <c r="E288" s="21"/>
    </row>
    <row r="289" spans="5:5" s="22" customFormat="1" ht="23.25" customHeight="1" x14ac:dyDescent="0.2">
      <c r="E289" s="21"/>
    </row>
    <row r="290" spans="5:5" s="22" customFormat="1" ht="23.25" customHeight="1" x14ac:dyDescent="0.2">
      <c r="E290" s="21"/>
    </row>
    <row r="291" spans="5:5" s="22" customFormat="1" ht="23.25" customHeight="1" x14ac:dyDescent="0.2">
      <c r="E291" s="21"/>
    </row>
    <row r="292" spans="5:5" s="22" customFormat="1" ht="23.25" customHeight="1" x14ac:dyDescent="0.2">
      <c r="E292" s="21"/>
    </row>
    <row r="293" spans="5:5" s="22" customFormat="1" ht="23.25" customHeight="1" x14ac:dyDescent="0.2">
      <c r="E293" s="21"/>
    </row>
    <row r="294" spans="5:5" s="22" customFormat="1" ht="23.25" customHeight="1" x14ac:dyDescent="0.2">
      <c r="E294" s="21"/>
    </row>
    <row r="295" spans="5:5" s="22" customFormat="1" ht="23.25" customHeight="1" x14ac:dyDescent="0.2">
      <c r="E295" s="21"/>
    </row>
    <row r="296" spans="5:5" s="22" customFormat="1" ht="23.25" customHeight="1" x14ac:dyDescent="0.2">
      <c r="E296" s="21"/>
    </row>
    <row r="297" spans="5:5" s="22" customFormat="1" ht="23.25" customHeight="1" x14ac:dyDescent="0.2">
      <c r="E297" s="21"/>
    </row>
    <row r="298" spans="5:5" s="22" customFormat="1" ht="23.25" customHeight="1" x14ac:dyDescent="0.2">
      <c r="E298" s="21"/>
    </row>
    <row r="299" spans="5:5" s="22" customFormat="1" ht="23.25" customHeight="1" x14ac:dyDescent="0.2">
      <c r="E299" s="21"/>
    </row>
    <row r="300" spans="5:5" s="22" customFormat="1" ht="23.25" customHeight="1" x14ac:dyDescent="0.2">
      <c r="E300" s="21"/>
    </row>
    <row r="301" spans="5:5" s="22" customFormat="1" ht="23.25" customHeight="1" x14ac:dyDescent="0.2">
      <c r="E301" s="21"/>
    </row>
    <row r="302" spans="5:5" s="22" customFormat="1" ht="23.25" customHeight="1" x14ac:dyDescent="0.2">
      <c r="E302" s="21"/>
    </row>
    <row r="303" spans="5:5" s="22" customFormat="1" ht="23.25" customHeight="1" x14ac:dyDescent="0.2">
      <c r="E303" s="21"/>
    </row>
    <row r="304" spans="5:5" s="22" customFormat="1" ht="23.25" customHeight="1" x14ac:dyDescent="0.2">
      <c r="E304" s="21"/>
    </row>
    <row r="305" spans="5:5" s="22" customFormat="1" ht="23.25" customHeight="1" x14ac:dyDescent="0.2">
      <c r="E305" s="21"/>
    </row>
    <row r="306" spans="5:5" s="22" customFormat="1" ht="23.25" customHeight="1" x14ac:dyDescent="0.2">
      <c r="E306" s="21"/>
    </row>
    <row r="307" spans="5:5" s="22" customFormat="1" ht="23.25" customHeight="1" x14ac:dyDescent="0.2">
      <c r="E307" s="21"/>
    </row>
    <row r="308" spans="5:5" s="22" customFormat="1" ht="23.25" customHeight="1" x14ac:dyDescent="0.2">
      <c r="E308" s="21"/>
    </row>
    <row r="309" spans="5:5" s="22" customFormat="1" ht="23.25" customHeight="1" x14ac:dyDescent="0.2">
      <c r="E309" s="21"/>
    </row>
    <row r="310" spans="5:5" s="22" customFormat="1" ht="23.25" customHeight="1" x14ac:dyDescent="0.2">
      <c r="E310" s="21"/>
    </row>
    <row r="311" spans="5:5" s="22" customFormat="1" ht="23.25" customHeight="1" x14ac:dyDescent="0.2">
      <c r="E311" s="21"/>
    </row>
    <row r="312" spans="5:5" s="22" customFormat="1" ht="23.25" customHeight="1" x14ac:dyDescent="0.2">
      <c r="E312" s="21"/>
    </row>
    <row r="313" spans="5:5" s="22" customFormat="1" ht="23.25" customHeight="1" x14ac:dyDescent="0.2">
      <c r="E313" s="21"/>
    </row>
    <row r="314" spans="5:5" s="22" customFormat="1" ht="23.25" customHeight="1" x14ac:dyDescent="0.2">
      <c r="E314" s="21"/>
    </row>
    <row r="315" spans="5:5" s="22" customFormat="1" ht="23.25" customHeight="1" x14ac:dyDescent="0.2">
      <c r="E315" s="21"/>
    </row>
    <row r="316" spans="5:5" s="22" customFormat="1" ht="23.25" customHeight="1" x14ac:dyDescent="0.2">
      <c r="E316" s="21"/>
    </row>
    <row r="317" spans="5:5" s="22" customFormat="1" ht="23.25" customHeight="1" x14ac:dyDescent="0.2">
      <c r="E317" s="21"/>
    </row>
    <row r="318" spans="5:5" s="22" customFormat="1" ht="23.25" customHeight="1" x14ac:dyDescent="0.2">
      <c r="E318" s="21"/>
    </row>
    <row r="319" spans="5:5" s="22" customFormat="1" ht="23.25" customHeight="1" x14ac:dyDescent="0.2">
      <c r="E319" s="21"/>
    </row>
    <row r="320" spans="5:5" s="22" customFormat="1" ht="23.25" customHeight="1" x14ac:dyDescent="0.2">
      <c r="E320" s="21"/>
    </row>
    <row r="321" spans="5:5" s="22" customFormat="1" ht="23.25" customHeight="1" x14ac:dyDescent="0.2">
      <c r="E321" s="21"/>
    </row>
    <row r="322" spans="5:5" s="22" customFormat="1" ht="23.25" customHeight="1" x14ac:dyDescent="0.2">
      <c r="E322" s="21"/>
    </row>
    <row r="323" spans="5:5" s="22" customFormat="1" ht="23.25" customHeight="1" x14ac:dyDescent="0.2">
      <c r="E323" s="21"/>
    </row>
    <row r="324" spans="5:5" s="22" customFormat="1" ht="23.25" customHeight="1" x14ac:dyDescent="0.2">
      <c r="E324" s="21"/>
    </row>
    <row r="325" spans="5:5" s="22" customFormat="1" ht="23.25" customHeight="1" x14ac:dyDescent="0.2">
      <c r="E325" s="21"/>
    </row>
    <row r="326" spans="5:5" s="22" customFormat="1" ht="23.25" customHeight="1" x14ac:dyDescent="0.2">
      <c r="E326" s="21"/>
    </row>
    <row r="327" spans="5:5" s="22" customFormat="1" ht="23.25" customHeight="1" x14ac:dyDescent="0.2">
      <c r="E327" s="21"/>
    </row>
    <row r="328" spans="5:5" s="22" customFormat="1" ht="23.25" customHeight="1" x14ac:dyDescent="0.2">
      <c r="E328" s="21"/>
    </row>
    <row r="329" spans="5:5" s="22" customFormat="1" ht="23.25" customHeight="1" x14ac:dyDescent="0.2">
      <c r="E329" s="21"/>
    </row>
    <row r="330" spans="5:5" s="22" customFormat="1" ht="23.25" customHeight="1" x14ac:dyDescent="0.2">
      <c r="E330" s="21"/>
    </row>
    <row r="331" spans="5:5" s="22" customFormat="1" ht="23.25" customHeight="1" x14ac:dyDescent="0.2">
      <c r="E331" s="21"/>
    </row>
    <row r="332" spans="5:5" s="22" customFormat="1" ht="23.25" customHeight="1" x14ac:dyDescent="0.2">
      <c r="E332" s="21"/>
    </row>
    <row r="333" spans="5:5" s="22" customFormat="1" ht="23.25" customHeight="1" x14ac:dyDescent="0.2">
      <c r="E333" s="21"/>
    </row>
    <row r="334" spans="5:5" s="22" customFormat="1" ht="23.25" customHeight="1" x14ac:dyDescent="0.2">
      <c r="E334" s="21"/>
    </row>
    <row r="335" spans="5:5" s="22" customFormat="1" ht="23.25" customHeight="1" x14ac:dyDescent="0.2">
      <c r="E335" s="21"/>
    </row>
    <row r="336" spans="5:5" s="22" customFormat="1" ht="23.25" customHeight="1" x14ac:dyDescent="0.2">
      <c r="E336" s="21"/>
    </row>
    <row r="337" spans="5:5" s="22" customFormat="1" ht="23.25" customHeight="1" x14ac:dyDescent="0.2">
      <c r="E337" s="21"/>
    </row>
    <row r="338" spans="5:5" s="22" customFormat="1" ht="23.25" customHeight="1" x14ac:dyDescent="0.2">
      <c r="E338" s="21"/>
    </row>
    <row r="339" spans="5:5" s="22" customFormat="1" ht="23.25" customHeight="1" x14ac:dyDescent="0.2">
      <c r="E339" s="21"/>
    </row>
    <row r="340" spans="5:5" s="22" customFormat="1" ht="23.25" customHeight="1" x14ac:dyDescent="0.2">
      <c r="E340" s="21"/>
    </row>
    <row r="341" spans="5:5" s="22" customFormat="1" ht="23.25" customHeight="1" x14ac:dyDescent="0.2">
      <c r="E341" s="21"/>
    </row>
    <row r="342" spans="5:5" s="22" customFormat="1" ht="23.25" customHeight="1" x14ac:dyDescent="0.2">
      <c r="E342" s="21"/>
    </row>
    <row r="343" spans="5:5" s="22" customFormat="1" ht="23.25" customHeight="1" x14ac:dyDescent="0.2">
      <c r="E343" s="21"/>
    </row>
    <row r="344" spans="5:5" s="22" customFormat="1" ht="23.25" customHeight="1" x14ac:dyDescent="0.2">
      <c r="E344" s="21"/>
    </row>
    <row r="345" spans="5:5" s="22" customFormat="1" ht="23.25" customHeight="1" x14ac:dyDescent="0.2">
      <c r="E345" s="21"/>
    </row>
    <row r="346" spans="5:5" s="22" customFormat="1" ht="23.25" customHeight="1" x14ac:dyDescent="0.2">
      <c r="E346" s="21"/>
    </row>
    <row r="347" spans="5:5" s="22" customFormat="1" ht="23.25" customHeight="1" x14ac:dyDescent="0.2">
      <c r="E347" s="21"/>
    </row>
    <row r="348" spans="5:5" s="22" customFormat="1" ht="23.25" customHeight="1" x14ac:dyDescent="0.2">
      <c r="E348" s="21"/>
    </row>
    <row r="349" spans="5:5" s="22" customFormat="1" ht="23.25" customHeight="1" x14ac:dyDescent="0.2">
      <c r="E349" s="21"/>
    </row>
    <row r="350" spans="5:5" s="22" customFormat="1" ht="23.25" customHeight="1" x14ac:dyDescent="0.2">
      <c r="E350" s="21"/>
    </row>
    <row r="351" spans="5:5" s="22" customFormat="1" ht="23.25" customHeight="1" x14ac:dyDescent="0.2">
      <c r="E351" s="21"/>
    </row>
    <row r="352" spans="5:5" s="22" customFormat="1" ht="23.25" customHeight="1" x14ac:dyDescent="0.2">
      <c r="E352" s="21"/>
    </row>
    <row r="353" spans="5:5" s="22" customFormat="1" ht="23.25" customHeight="1" x14ac:dyDescent="0.2">
      <c r="E353" s="21"/>
    </row>
    <row r="354" spans="5:5" s="22" customFormat="1" ht="23.25" customHeight="1" x14ac:dyDescent="0.2">
      <c r="E354" s="21"/>
    </row>
    <row r="355" spans="5:5" s="22" customFormat="1" ht="23.25" customHeight="1" x14ac:dyDescent="0.2">
      <c r="E355" s="21"/>
    </row>
    <row r="356" spans="5:5" s="22" customFormat="1" ht="23.25" customHeight="1" x14ac:dyDescent="0.2">
      <c r="E356" s="21"/>
    </row>
    <row r="357" spans="5:5" s="22" customFormat="1" ht="23.25" customHeight="1" x14ac:dyDescent="0.2">
      <c r="E357" s="21"/>
    </row>
    <row r="358" spans="5:5" s="22" customFormat="1" ht="23.25" customHeight="1" x14ac:dyDescent="0.2">
      <c r="E358" s="21"/>
    </row>
    <row r="359" spans="5:5" s="22" customFormat="1" ht="23.25" customHeight="1" x14ac:dyDescent="0.2">
      <c r="E359" s="21"/>
    </row>
    <row r="360" spans="5:5" s="22" customFormat="1" ht="23.25" customHeight="1" x14ac:dyDescent="0.2">
      <c r="E360" s="21"/>
    </row>
    <row r="361" spans="5:5" s="22" customFormat="1" ht="23.25" customHeight="1" x14ac:dyDescent="0.2">
      <c r="E361" s="21"/>
    </row>
    <row r="362" spans="5:5" s="22" customFormat="1" ht="23.25" customHeight="1" x14ac:dyDescent="0.2">
      <c r="E362" s="21"/>
    </row>
    <row r="363" spans="5:5" s="22" customFormat="1" ht="23.25" customHeight="1" x14ac:dyDescent="0.2">
      <c r="E363" s="21"/>
    </row>
    <row r="364" spans="5:5" s="22" customFormat="1" ht="23.25" customHeight="1" x14ac:dyDescent="0.2">
      <c r="E364" s="21"/>
    </row>
    <row r="365" spans="5:5" s="22" customFormat="1" ht="23.25" customHeight="1" x14ac:dyDescent="0.2">
      <c r="E365" s="21"/>
    </row>
    <row r="366" spans="5:5" s="22" customFormat="1" ht="23.25" customHeight="1" x14ac:dyDescent="0.2">
      <c r="E366" s="21"/>
    </row>
    <row r="367" spans="5:5" s="22" customFormat="1" ht="23.25" customHeight="1" x14ac:dyDescent="0.2">
      <c r="E367" s="21"/>
    </row>
    <row r="368" spans="5:5" s="22" customFormat="1" ht="23.25" customHeight="1" x14ac:dyDescent="0.2">
      <c r="E368" s="21"/>
    </row>
    <row r="369" spans="5:5" s="22" customFormat="1" ht="23.25" customHeight="1" x14ac:dyDescent="0.2">
      <c r="E369" s="21"/>
    </row>
    <row r="370" spans="5:5" s="22" customFormat="1" ht="23.25" customHeight="1" x14ac:dyDescent="0.2">
      <c r="E370" s="21"/>
    </row>
    <row r="371" spans="5:5" ht="23.25" customHeight="1" x14ac:dyDescent="0.2"/>
    <row r="372" spans="5:5" ht="23.25" customHeight="1" x14ac:dyDescent="0.2"/>
    <row r="373" spans="5:5" ht="23.25" customHeight="1" x14ac:dyDescent="0.2"/>
    <row r="374" spans="5:5" ht="23.25" customHeight="1" x14ac:dyDescent="0.2"/>
    <row r="375" spans="5:5" ht="23.25" customHeight="1" x14ac:dyDescent="0.2"/>
    <row r="376" spans="5:5" ht="23.25" customHeight="1" x14ac:dyDescent="0.2"/>
    <row r="377" spans="5:5" ht="23.25" customHeight="1" x14ac:dyDescent="0.2"/>
    <row r="378" spans="5:5" ht="23.25" customHeight="1" x14ac:dyDescent="0.2"/>
    <row r="379" spans="5:5" ht="23.25" customHeight="1" x14ac:dyDescent="0.2"/>
    <row r="380" spans="5:5" ht="23.25" customHeight="1" x14ac:dyDescent="0.2"/>
    <row r="381" spans="5:5" ht="23.25" customHeight="1" x14ac:dyDescent="0.2"/>
    <row r="382" spans="5:5" ht="23.25" customHeight="1" x14ac:dyDescent="0.2"/>
    <row r="383" spans="5:5" ht="23.25" customHeight="1" x14ac:dyDescent="0.2"/>
    <row r="384" spans="5:5" ht="23.25" customHeight="1" x14ac:dyDescent="0.2"/>
    <row r="385" ht="23.25" customHeight="1" x14ac:dyDescent="0.2"/>
    <row r="386" ht="23.25" customHeight="1" x14ac:dyDescent="0.2"/>
    <row r="387" ht="23.25" customHeight="1" x14ac:dyDescent="0.2"/>
    <row r="388" ht="23.25" customHeight="1" x14ac:dyDescent="0.2"/>
    <row r="389" ht="23.25" customHeight="1" x14ac:dyDescent="0.2"/>
    <row r="390" ht="23.25" customHeight="1" x14ac:dyDescent="0.2"/>
    <row r="391" ht="23.25" customHeight="1" x14ac:dyDescent="0.2"/>
    <row r="392" ht="23.25" customHeight="1" x14ac:dyDescent="0.2"/>
    <row r="393" ht="23.25" customHeight="1" x14ac:dyDescent="0.2"/>
    <row r="394" ht="23.25" customHeight="1" x14ac:dyDescent="0.2"/>
    <row r="395" ht="23.25" customHeight="1" x14ac:dyDescent="0.2"/>
    <row r="396" ht="23.25" customHeight="1" x14ac:dyDescent="0.2"/>
    <row r="397" ht="23.25" customHeight="1" x14ac:dyDescent="0.2"/>
    <row r="398" ht="23.25" customHeight="1" x14ac:dyDescent="0.2"/>
    <row r="399" ht="23.25" customHeight="1" x14ac:dyDescent="0.2"/>
    <row r="400" ht="23.25" customHeight="1" x14ac:dyDescent="0.2"/>
    <row r="401" ht="23.25" customHeight="1" x14ac:dyDescent="0.2"/>
    <row r="402" ht="23.25" customHeight="1" x14ac:dyDescent="0.2"/>
    <row r="403" ht="23.25" customHeight="1" x14ac:dyDescent="0.2"/>
    <row r="404" ht="23.25" customHeight="1" x14ac:dyDescent="0.2"/>
    <row r="405" ht="23.25" customHeight="1" x14ac:dyDescent="0.2"/>
    <row r="406" ht="23.25" customHeight="1" x14ac:dyDescent="0.2"/>
    <row r="407" ht="23.25" customHeight="1" x14ac:dyDescent="0.2"/>
    <row r="408" ht="23.25" customHeight="1" x14ac:dyDescent="0.2"/>
    <row r="409" ht="23.25" customHeight="1" x14ac:dyDescent="0.2"/>
    <row r="410" ht="23.25" customHeight="1" x14ac:dyDescent="0.2"/>
    <row r="411" ht="23.25" customHeight="1" x14ac:dyDescent="0.2"/>
    <row r="412" ht="23.25" customHeight="1" x14ac:dyDescent="0.2"/>
    <row r="413" ht="23.25" customHeight="1" x14ac:dyDescent="0.2"/>
    <row r="414" ht="23.25" customHeight="1" x14ac:dyDescent="0.2"/>
    <row r="415" ht="23.25" customHeight="1" x14ac:dyDescent="0.2"/>
    <row r="416" ht="23.25" customHeight="1" x14ac:dyDescent="0.2"/>
    <row r="417" ht="23.25" customHeight="1" x14ac:dyDescent="0.2"/>
    <row r="418" ht="23.25" customHeight="1" x14ac:dyDescent="0.2"/>
    <row r="419" ht="23.25" customHeight="1" x14ac:dyDescent="0.2"/>
    <row r="420" ht="23.25" customHeight="1" x14ac:dyDescent="0.2"/>
    <row r="421" ht="23.25" customHeight="1" x14ac:dyDescent="0.2"/>
    <row r="422" ht="23.25" customHeight="1" x14ac:dyDescent="0.2"/>
    <row r="423" ht="23.25" customHeight="1" x14ac:dyDescent="0.2"/>
    <row r="424" ht="23.25" customHeight="1" x14ac:dyDescent="0.2"/>
    <row r="425" ht="23.25" customHeight="1" x14ac:dyDescent="0.2"/>
    <row r="426" ht="23.25" customHeight="1" x14ac:dyDescent="0.2"/>
    <row r="427" ht="23.25" customHeight="1" x14ac:dyDescent="0.2"/>
    <row r="428" ht="23.25" customHeight="1" x14ac:dyDescent="0.2"/>
    <row r="429" ht="23.25" customHeight="1" x14ac:dyDescent="0.2"/>
    <row r="430" ht="23.25" customHeight="1" x14ac:dyDescent="0.2"/>
    <row r="431" ht="23.25" customHeight="1" x14ac:dyDescent="0.2"/>
  </sheetData>
  <sheetProtection algorithmName="SHA-512" hashValue="iVutHVC2f00fXFaxjiX+BYy2VF5ULtdxOoq4B6Kl+3xwhy7w63zx/0gvT85LNboZnouqNBS/xIXdJNKRVMd0SQ==" saltValue="7lHwFLuFuTtkQGCGHEM3Iw==" spinCount="100000" sheet="1" selectLockedCells="1"/>
  <dataConsolidate link="1"/>
  <mergeCells count="15">
    <mergeCell ref="A32:B32"/>
    <mergeCell ref="B91:C91"/>
    <mergeCell ref="A93:D93"/>
    <mergeCell ref="A1:D1"/>
    <mergeCell ref="A3:B3"/>
    <mergeCell ref="A9:B9"/>
    <mergeCell ref="A15:B15"/>
    <mergeCell ref="A21:B21"/>
    <mergeCell ref="A26:B26"/>
    <mergeCell ref="A38:B38"/>
    <mergeCell ref="A44:B44"/>
    <mergeCell ref="A50:B50"/>
    <mergeCell ref="A56:B56"/>
    <mergeCell ref="A62:B62"/>
    <mergeCell ref="A68:B68"/>
  </mergeCells>
  <printOptions horizontalCentered="1"/>
  <pageMargins left="0.23622047244094491" right="0.23622047244094491" top="0.74803149606299213" bottom="0.74803149606299213" header="0.31496062992125984" footer="0.31496062992125984"/>
  <pageSetup paperSize="9" scale="54" fitToHeight="0" orientation="portrait"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rowBreaks count="1" manualBreakCount="1">
    <brk id="55"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AAD3C-FDA7-4051-AAB7-F079BDCEBF59}">
  <sheetPr>
    <tabColor theme="6" tint="0.59999389629810485"/>
    <pageSetUpPr fitToPage="1"/>
  </sheetPr>
  <dimension ref="A1:BV415"/>
  <sheetViews>
    <sheetView showGridLines="0" workbookViewId="0">
      <selection activeCell="C4" sqref="C4"/>
    </sheetView>
    <sheetView tabSelected="1" workbookViewId="1"/>
  </sheetViews>
  <sheetFormatPr defaultColWidth="9" defaultRowHeight="12.75" x14ac:dyDescent="0.2"/>
  <cols>
    <col min="1" max="1" width="109" style="12" customWidth="1"/>
    <col min="2" max="3" width="35.140625" style="12" customWidth="1"/>
    <col min="4" max="4" width="9" style="10"/>
    <col min="5" max="5" width="47.85546875" style="10" customWidth="1"/>
    <col min="6" max="6" width="9" style="11"/>
    <col min="7" max="55" width="9" style="10"/>
    <col min="56" max="16384" width="9" style="12"/>
  </cols>
  <sheetData>
    <row r="1" spans="1:74" ht="33.75" customHeight="1" x14ac:dyDescent="0.2">
      <c r="A1" s="8" t="s">
        <v>50</v>
      </c>
      <c r="B1" s="128" t="s">
        <v>6</v>
      </c>
      <c r="C1" s="128"/>
      <c r="D1" s="9"/>
    </row>
    <row r="2" spans="1:74" ht="27" customHeight="1" x14ac:dyDescent="0.2">
      <c r="A2" s="129" t="s">
        <v>7</v>
      </c>
      <c r="B2" s="129"/>
      <c r="C2" s="13" t="s">
        <v>51</v>
      </c>
      <c r="D2" s="14"/>
    </row>
    <row r="3" spans="1:74" ht="14.25" x14ac:dyDescent="0.2">
      <c r="A3" s="2"/>
      <c r="B3" s="2"/>
      <c r="C3" s="2"/>
      <c r="D3" s="14"/>
    </row>
    <row r="4" spans="1:74" ht="38.25" x14ac:dyDescent="0.2">
      <c r="A4" s="130" t="s">
        <v>52</v>
      </c>
      <c r="B4" s="131"/>
      <c r="C4" s="15">
        <v>0</v>
      </c>
      <c r="D4" s="14"/>
      <c r="E4" s="16" t="s">
        <v>53</v>
      </c>
    </row>
    <row r="5" spans="1:74" ht="14.25" x14ac:dyDescent="0.2">
      <c r="A5" s="2"/>
      <c r="B5" s="2"/>
      <c r="C5" s="2"/>
      <c r="D5" s="14"/>
    </row>
    <row r="6" spans="1:74" ht="27" customHeight="1" x14ac:dyDescent="0.2">
      <c r="A6" s="132" t="s">
        <v>54</v>
      </c>
      <c r="B6" s="132"/>
      <c r="C6" s="132"/>
      <c r="D6" s="14"/>
    </row>
    <row r="7" spans="1:74" s="10" customFormat="1" ht="14.25" x14ac:dyDescent="0.2">
      <c r="A7" s="17"/>
      <c r="B7" s="17"/>
      <c r="C7" s="17"/>
      <c r="D7" s="14"/>
      <c r="F7" s="11"/>
    </row>
    <row r="8" spans="1:74" s="1" customFormat="1" ht="42" customHeight="1" x14ac:dyDescent="0.2">
      <c r="A8" s="133" t="s">
        <v>55</v>
      </c>
      <c r="B8" s="133"/>
      <c r="C8" s="133"/>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row>
    <row r="9" spans="1:74" s="10" customFormat="1" ht="14.25" x14ac:dyDescent="0.2">
      <c r="A9" s="19"/>
      <c r="B9" s="19"/>
      <c r="C9" s="19"/>
      <c r="D9" s="14"/>
      <c r="F9" s="11"/>
    </row>
    <row r="10" spans="1:74" s="10" customFormat="1" ht="14.25" x14ac:dyDescent="0.2">
      <c r="A10" s="19"/>
      <c r="B10" s="19"/>
      <c r="C10" s="19"/>
      <c r="D10" s="14"/>
      <c r="F10" s="11"/>
    </row>
    <row r="11" spans="1:74" s="10" customFormat="1" ht="14.25" x14ac:dyDescent="0.2">
      <c r="A11" s="19"/>
      <c r="B11" s="19"/>
      <c r="C11" s="19"/>
      <c r="D11" s="14"/>
      <c r="F11" s="11"/>
    </row>
    <row r="12" spans="1:74" s="10" customFormat="1" ht="14.25" x14ac:dyDescent="0.2">
      <c r="A12" s="19"/>
      <c r="B12" s="19"/>
      <c r="C12" s="19"/>
      <c r="D12" s="14"/>
      <c r="F12" s="11"/>
    </row>
    <row r="13" spans="1:74" s="10" customFormat="1" ht="14.25" x14ac:dyDescent="0.2">
      <c r="A13" s="20"/>
      <c r="B13" s="20"/>
      <c r="C13" s="19"/>
      <c r="D13" s="14"/>
      <c r="F13" s="11"/>
    </row>
    <row r="14" spans="1:74" s="10" customFormat="1" ht="14.25" x14ac:dyDescent="0.2">
      <c r="A14" s="19"/>
      <c r="B14" s="19"/>
      <c r="C14" s="19"/>
      <c r="D14" s="14"/>
      <c r="F14" s="11"/>
    </row>
    <row r="15" spans="1:74" s="10" customFormat="1" ht="14.25" x14ac:dyDescent="0.2">
      <c r="A15" s="19"/>
      <c r="B15" s="19"/>
      <c r="C15" s="19"/>
      <c r="D15" s="14"/>
      <c r="F15" s="11"/>
    </row>
    <row r="16" spans="1:74" s="10" customFormat="1" ht="14.25" x14ac:dyDescent="0.2">
      <c r="A16" s="19"/>
      <c r="B16" s="19"/>
      <c r="C16" s="19"/>
      <c r="D16" s="14"/>
      <c r="F16" s="11"/>
    </row>
    <row r="17" spans="1:6" s="10" customFormat="1" ht="14.25" x14ac:dyDescent="0.2">
      <c r="A17" s="19"/>
      <c r="B17" s="19"/>
      <c r="C17" s="19"/>
      <c r="D17" s="14"/>
      <c r="F17" s="11"/>
    </row>
    <row r="18" spans="1:6" s="10" customFormat="1" ht="14.25" x14ac:dyDescent="0.2">
      <c r="A18" s="19"/>
      <c r="B18" s="19"/>
      <c r="C18" s="19"/>
      <c r="D18" s="14"/>
      <c r="F18" s="11"/>
    </row>
    <row r="19" spans="1:6" s="10" customFormat="1" ht="14.25" x14ac:dyDescent="0.2">
      <c r="A19" s="19"/>
      <c r="B19" s="19"/>
      <c r="C19" s="19"/>
      <c r="D19" s="14"/>
      <c r="F19" s="11"/>
    </row>
    <row r="20" spans="1:6" s="10" customFormat="1" ht="14.25" x14ac:dyDescent="0.2">
      <c r="A20" s="19"/>
      <c r="B20" s="19"/>
      <c r="C20" s="19"/>
      <c r="D20" s="14"/>
      <c r="F20" s="11"/>
    </row>
    <row r="21" spans="1:6" s="10" customFormat="1" ht="14.25" x14ac:dyDescent="0.2">
      <c r="A21" s="19"/>
      <c r="B21" s="19"/>
      <c r="C21" s="19"/>
      <c r="D21" s="14"/>
      <c r="F21" s="11"/>
    </row>
    <row r="22" spans="1:6" s="10" customFormat="1" ht="14.25" x14ac:dyDescent="0.2">
      <c r="A22" s="19"/>
      <c r="B22" s="19"/>
      <c r="C22" s="19"/>
      <c r="D22" s="14"/>
      <c r="F22" s="11"/>
    </row>
    <row r="23" spans="1:6" s="10" customFormat="1" ht="14.25" x14ac:dyDescent="0.2">
      <c r="A23" s="19"/>
      <c r="B23" s="19"/>
      <c r="C23" s="19"/>
      <c r="D23" s="14"/>
      <c r="F23" s="11"/>
    </row>
    <row r="24" spans="1:6" s="10" customFormat="1" ht="14.25" x14ac:dyDescent="0.2">
      <c r="A24" s="19"/>
      <c r="B24" s="19"/>
      <c r="C24" s="19"/>
      <c r="D24" s="14"/>
      <c r="F24" s="11"/>
    </row>
    <row r="25" spans="1:6" s="10" customFormat="1" ht="14.25" x14ac:dyDescent="0.2">
      <c r="A25" s="19"/>
      <c r="B25" s="19"/>
      <c r="C25" s="19"/>
      <c r="D25" s="14"/>
      <c r="F25" s="11"/>
    </row>
    <row r="26" spans="1:6" s="10" customFormat="1" ht="14.25" x14ac:dyDescent="0.2">
      <c r="A26" s="19"/>
      <c r="B26" s="19"/>
      <c r="C26" s="19"/>
      <c r="D26" s="14"/>
      <c r="F26" s="11"/>
    </row>
    <row r="27" spans="1:6" s="10" customFormat="1" ht="14.25" x14ac:dyDescent="0.2">
      <c r="A27" s="19"/>
      <c r="B27" s="19"/>
      <c r="C27" s="19"/>
      <c r="D27" s="14"/>
      <c r="F27" s="11"/>
    </row>
    <row r="28" spans="1:6" s="10" customFormat="1" ht="14.25" x14ac:dyDescent="0.2">
      <c r="A28" s="19"/>
      <c r="B28" s="19"/>
      <c r="C28" s="19"/>
      <c r="D28" s="14"/>
      <c r="F28" s="11"/>
    </row>
    <row r="29" spans="1:6" s="10" customFormat="1" ht="14.25" x14ac:dyDescent="0.2">
      <c r="A29" s="19"/>
      <c r="B29" s="19"/>
      <c r="C29" s="19"/>
      <c r="D29" s="14"/>
      <c r="F29" s="11"/>
    </row>
    <row r="30" spans="1:6" s="10" customFormat="1" ht="14.25" x14ac:dyDescent="0.2">
      <c r="A30" s="19"/>
      <c r="B30" s="19"/>
      <c r="C30" s="19"/>
      <c r="D30" s="14"/>
      <c r="F30" s="11"/>
    </row>
    <row r="31" spans="1:6" s="10" customFormat="1" ht="14.25" x14ac:dyDescent="0.2">
      <c r="A31" s="19"/>
      <c r="B31" s="19"/>
      <c r="C31" s="19"/>
      <c r="D31" s="14"/>
      <c r="F31" s="11"/>
    </row>
    <row r="32" spans="1:6" s="10" customFormat="1" ht="14.25" x14ac:dyDescent="0.2">
      <c r="A32" s="19"/>
      <c r="B32" s="19"/>
      <c r="C32" s="19"/>
      <c r="D32" s="14"/>
      <c r="F32" s="11"/>
    </row>
    <row r="33" spans="1:6" s="10" customFormat="1" ht="14.25" x14ac:dyDescent="0.2">
      <c r="A33" s="19"/>
      <c r="B33" s="19"/>
      <c r="C33" s="19"/>
      <c r="D33" s="14"/>
      <c r="F33" s="11"/>
    </row>
    <row r="34" spans="1:6" s="10" customFormat="1" ht="14.25" x14ac:dyDescent="0.2">
      <c r="A34" s="19"/>
      <c r="B34" s="19"/>
      <c r="C34" s="19"/>
      <c r="D34" s="14"/>
      <c r="F34" s="11"/>
    </row>
    <row r="35" spans="1:6" s="10" customFormat="1" ht="14.25" x14ac:dyDescent="0.2">
      <c r="A35" s="19"/>
      <c r="B35" s="19"/>
      <c r="C35" s="19"/>
      <c r="D35" s="14"/>
      <c r="F35" s="11"/>
    </row>
    <row r="36" spans="1:6" s="10" customFormat="1" ht="14.25" x14ac:dyDescent="0.2">
      <c r="A36" s="19"/>
      <c r="B36" s="19"/>
      <c r="C36" s="19"/>
      <c r="D36" s="14"/>
      <c r="F36" s="11"/>
    </row>
    <row r="37" spans="1:6" s="10" customFormat="1" ht="14.25" x14ac:dyDescent="0.2">
      <c r="A37" s="19"/>
      <c r="B37" s="19"/>
      <c r="C37" s="19"/>
      <c r="D37" s="14"/>
      <c r="F37" s="11"/>
    </row>
    <row r="38" spans="1:6" s="10" customFormat="1" ht="14.25" x14ac:dyDescent="0.2">
      <c r="A38" s="19"/>
      <c r="B38" s="19"/>
      <c r="C38" s="19"/>
      <c r="D38" s="14"/>
      <c r="F38" s="11"/>
    </row>
    <row r="39" spans="1:6" s="10" customFormat="1" ht="14.25" x14ac:dyDescent="0.2">
      <c r="A39" s="19"/>
      <c r="B39" s="19"/>
      <c r="C39" s="19"/>
      <c r="D39" s="14"/>
      <c r="F39" s="11"/>
    </row>
    <row r="40" spans="1:6" s="10" customFormat="1" ht="14.25" x14ac:dyDescent="0.2">
      <c r="A40" s="19"/>
      <c r="B40" s="19"/>
      <c r="C40" s="19"/>
      <c r="D40" s="14"/>
      <c r="F40" s="11"/>
    </row>
    <row r="41" spans="1:6" s="10" customFormat="1" ht="14.25" x14ac:dyDescent="0.2">
      <c r="A41" s="19"/>
      <c r="B41" s="19"/>
      <c r="C41" s="19"/>
      <c r="D41" s="14"/>
      <c r="F41" s="11"/>
    </row>
    <row r="42" spans="1:6" s="10" customFormat="1" ht="14.25" x14ac:dyDescent="0.2">
      <c r="A42" s="19"/>
      <c r="B42" s="19"/>
      <c r="C42" s="19"/>
      <c r="D42" s="14"/>
      <c r="F42" s="11"/>
    </row>
    <row r="43" spans="1:6" s="10" customFormat="1" ht="14.25" x14ac:dyDescent="0.2">
      <c r="A43" s="19"/>
      <c r="B43" s="19"/>
      <c r="C43" s="19"/>
      <c r="D43" s="14"/>
      <c r="F43" s="11"/>
    </row>
    <row r="44" spans="1:6" s="10" customFormat="1" ht="14.25" x14ac:dyDescent="0.2">
      <c r="A44" s="19"/>
      <c r="B44" s="19"/>
      <c r="C44" s="19"/>
      <c r="D44" s="14"/>
      <c r="F44" s="11"/>
    </row>
    <row r="45" spans="1:6" s="10" customFormat="1" ht="14.25" x14ac:dyDescent="0.2">
      <c r="A45" s="19"/>
      <c r="B45" s="19"/>
      <c r="C45" s="19"/>
      <c r="D45" s="14"/>
      <c r="F45" s="11"/>
    </row>
    <row r="46" spans="1:6" s="10" customFormat="1" ht="14.25" x14ac:dyDescent="0.2">
      <c r="A46" s="19"/>
      <c r="B46" s="19"/>
      <c r="C46" s="19"/>
      <c r="D46" s="14"/>
      <c r="F46" s="11"/>
    </row>
    <row r="47" spans="1:6" s="10" customFormat="1" ht="14.25" x14ac:dyDescent="0.2">
      <c r="A47" s="19"/>
      <c r="B47" s="19"/>
      <c r="C47" s="19"/>
      <c r="D47" s="14"/>
      <c r="F47" s="11"/>
    </row>
    <row r="48" spans="1:6" s="10" customFormat="1" ht="14.25" x14ac:dyDescent="0.2">
      <c r="A48" s="19"/>
      <c r="B48" s="19"/>
      <c r="C48" s="19"/>
      <c r="D48" s="14"/>
      <c r="F48" s="11"/>
    </row>
    <row r="49" spans="1:6" s="10" customFormat="1" ht="14.25" x14ac:dyDescent="0.2">
      <c r="A49" s="19"/>
      <c r="B49" s="19"/>
      <c r="C49" s="19"/>
      <c r="D49" s="14"/>
      <c r="F49" s="11"/>
    </row>
    <row r="50" spans="1:6" s="10" customFormat="1" ht="51" customHeight="1" x14ac:dyDescent="0.2">
      <c r="A50" s="19"/>
      <c r="B50" s="19"/>
      <c r="C50" s="19"/>
      <c r="D50" s="14"/>
      <c r="F50" s="11"/>
    </row>
    <row r="51" spans="1:6" s="10" customFormat="1" ht="14.25" x14ac:dyDescent="0.2">
      <c r="A51" s="19"/>
      <c r="B51" s="19"/>
      <c r="C51" s="19"/>
      <c r="D51" s="14"/>
      <c r="F51" s="11"/>
    </row>
    <row r="52" spans="1:6" s="10" customFormat="1" ht="14.25" x14ac:dyDescent="0.2">
      <c r="A52" s="19"/>
      <c r="B52" s="19"/>
      <c r="C52" s="19"/>
      <c r="D52" s="14"/>
      <c r="F52" s="11"/>
    </row>
    <row r="53" spans="1:6" s="10" customFormat="1" ht="14.25" x14ac:dyDescent="0.2">
      <c r="A53" s="19"/>
      <c r="B53" s="19"/>
      <c r="C53" s="19"/>
      <c r="D53" s="14"/>
      <c r="F53" s="11"/>
    </row>
    <row r="54" spans="1:6" s="10" customFormat="1" ht="14.25" x14ac:dyDescent="0.2">
      <c r="A54" s="19"/>
      <c r="B54" s="19"/>
      <c r="C54" s="19"/>
      <c r="D54" s="14"/>
      <c r="F54" s="11"/>
    </row>
    <row r="55" spans="1:6" s="10" customFormat="1" ht="14.25" x14ac:dyDescent="0.2">
      <c r="A55" s="19"/>
      <c r="B55" s="19"/>
      <c r="C55" s="19"/>
      <c r="D55" s="14"/>
      <c r="F55" s="11"/>
    </row>
    <row r="56" spans="1:6" s="10" customFormat="1" ht="14.25" x14ac:dyDescent="0.2">
      <c r="A56" s="19"/>
      <c r="B56" s="19"/>
      <c r="C56" s="19"/>
      <c r="D56" s="14"/>
      <c r="F56" s="11"/>
    </row>
    <row r="57" spans="1:6" s="10" customFormat="1" ht="14.25" x14ac:dyDescent="0.2">
      <c r="A57" s="19"/>
      <c r="B57" s="19"/>
      <c r="C57" s="19"/>
      <c r="D57" s="14"/>
      <c r="F57" s="11"/>
    </row>
    <row r="58" spans="1:6" s="10" customFormat="1" ht="14.25" x14ac:dyDescent="0.2">
      <c r="A58" s="19"/>
      <c r="B58" s="19"/>
      <c r="C58" s="19"/>
      <c r="D58" s="14"/>
      <c r="F58" s="11"/>
    </row>
    <row r="59" spans="1:6" s="10" customFormat="1" ht="14.25" x14ac:dyDescent="0.2">
      <c r="A59" s="19"/>
      <c r="B59" s="19"/>
      <c r="C59" s="19"/>
      <c r="D59" s="14"/>
      <c r="F59" s="11"/>
    </row>
    <row r="60" spans="1:6" s="10" customFormat="1" ht="14.25" x14ac:dyDescent="0.2">
      <c r="A60" s="19"/>
      <c r="B60" s="19"/>
      <c r="C60" s="19"/>
      <c r="D60" s="14"/>
      <c r="F60" s="11"/>
    </row>
    <row r="61" spans="1:6" s="10" customFormat="1" ht="14.25" x14ac:dyDescent="0.2">
      <c r="A61" s="19"/>
      <c r="B61" s="19"/>
      <c r="C61" s="19"/>
      <c r="D61" s="14"/>
      <c r="F61" s="11"/>
    </row>
    <row r="62" spans="1:6" s="10" customFormat="1" ht="14.25" x14ac:dyDescent="0.2">
      <c r="A62" s="19"/>
      <c r="B62" s="19"/>
      <c r="C62" s="19"/>
      <c r="D62" s="14"/>
      <c r="F62" s="11"/>
    </row>
    <row r="63" spans="1:6" s="10" customFormat="1" ht="14.25" x14ac:dyDescent="0.2">
      <c r="A63" s="19"/>
      <c r="B63" s="19"/>
      <c r="C63" s="19"/>
      <c r="D63" s="14"/>
      <c r="F63" s="11"/>
    </row>
    <row r="64" spans="1:6" s="10" customFormat="1" ht="14.25" x14ac:dyDescent="0.2">
      <c r="A64" s="19"/>
      <c r="B64" s="19"/>
      <c r="C64" s="19"/>
      <c r="D64" s="14"/>
      <c r="F64" s="11"/>
    </row>
    <row r="65" spans="1:6" s="10" customFormat="1" ht="14.25" x14ac:dyDescent="0.2">
      <c r="A65" s="19"/>
      <c r="B65" s="19"/>
      <c r="C65" s="19"/>
      <c r="D65" s="14"/>
      <c r="F65" s="11"/>
    </row>
    <row r="66" spans="1:6" s="10" customFormat="1" ht="14.25" x14ac:dyDescent="0.2">
      <c r="A66" s="19"/>
      <c r="B66" s="19"/>
      <c r="C66" s="19"/>
      <c r="D66" s="14"/>
      <c r="F66" s="11"/>
    </row>
    <row r="67" spans="1:6" s="10" customFormat="1" ht="14.25" x14ac:dyDescent="0.2">
      <c r="A67" s="19"/>
      <c r="B67" s="19"/>
      <c r="C67" s="19"/>
      <c r="D67" s="14"/>
      <c r="F67" s="11"/>
    </row>
    <row r="68" spans="1:6" s="10" customFormat="1" ht="14.25" x14ac:dyDescent="0.2">
      <c r="A68" s="19"/>
      <c r="B68" s="19"/>
      <c r="C68" s="19"/>
      <c r="D68" s="14"/>
      <c r="F68" s="11"/>
    </row>
    <row r="69" spans="1:6" s="10" customFormat="1" ht="14.25" x14ac:dyDescent="0.2">
      <c r="A69" s="19"/>
      <c r="B69" s="19"/>
      <c r="C69" s="19"/>
      <c r="D69" s="14"/>
      <c r="F69" s="11"/>
    </row>
    <row r="70" spans="1:6" s="10" customFormat="1" ht="14.25" x14ac:dyDescent="0.2">
      <c r="A70" s="19"/>
      <c r="B70" s="19"/>
      <c r="C70" s="19"/>
      <c r="D70" s="14"/>
      <c r="F70" s="11"/>
    </row>
    <row r="71" spans="1:6" s="10" customFormat="1" ht="14.25" x14ac:dyDescent="0.2">
      <c r="A71" s="19"/>
      <c r="B71" s="19"/>
      <c r="C71" s="19"/>
      <c r="D71" s="14"/>
      <c r="F71" s="11"/>
    </row>
    <row r="72" spans="1:6" s="10" customFormat="1" ht="14.25" x14ac:dyDescent="0.2">
      <c r="A72" s="19"/>
      <c r="B72" s="19"/>
      <c r="C72" s="19"/>
      <c r="D72" s="14"/>
      <c r="F72" s="11"/>
    </row>
    <row r="73" spans="1:6" s="10" customFormat="1" ht="14.25" x14ac:dyDescent="0.2">
      <c r="A73" s="19"/>
      <c r="B73" s="19"/>
      <c r="C73" s="19"/>
      <c r="D73" s="14"/>
      <c r="F73" s="11"/>
    </row>
    <row r="74" spans="1:6" s="10" customFormat="1" ht="14.25" x14ac:dyDescent="0.2">
      <c r="A74" s="19"/>
      <c r="B74" s="19"/>
      <c r="C74" s="19"/>
      <c r="D74" s="14"/>
      <c r="F74" s="11"/>
    </row>
    <row r="75" spans="1:6" s="10" customFormat="1" ht="14.25" x14ac:dyDescent="0.2">
      <c r="A75" s="19"/>
      <c r="B75" s="19"/>
      <c r="C75" s="19"/>
      <c r="D75" s="14"/>
      <c r="F75" s="11"/>
    </row>
    <row r="76" spans="1:6" s="10" customFormat="1" ht="14.25" x14ac:dyDescent="0.2">
      <c r="A76" s="19"/>
      <c r="B76" s="19"/>
      <c r="C76" s="19"/>
      <c r="D76" s="14"/>
      <c r="F76" s="11"/>
    </row>
    <row r="77" spans="1:6" s="10" customFormat="1" ht="14.25" x14ac:dyDescent="0.2">
      <c r="A77" s="19"/>
      <c r="B77" s="19"/>
      <c r="C77" s="19"/>
      <c r="D77" s="14"/>
      <c r="F77" s="11"/>
    </row>
    <row r="78" spans="1:6" s="10" customFormat="1" ht="14.25" x14ac:dyDescent="0.2">
      <c r="A78" s="19"/>
      <c r="B78" s="19"/>
      <c r="C78" s="19"/>
      <c r="D78" s="14"/>
      <c r="F78" s="11"/>
    </row>
    <row r="79" spans="1:6" s="10" customFormat="1" ht="14.25" x14ac:dyDescent="0.2">
      <c r="A79" s="19"/>
      <c r="B79" s="19"/>
      <c r="C79" s="19"/>
      <c r="D79" s="14"/>
      <c r="F79" s="11"/>
    </row>
    <row r="80" spans="1:6" s="10" customFormat="1" ht="14.25" x14ac:dyDescent="0.2">
      <c r="A80" s="19"/>
      <c r="B80" s="19"/>
      <c r="C80" s="19"/>
      <c r="D80" s="14"/>
      <c r="F80" s="11"/>
    </row>
    <row r="81" spans="1:6" s="10" customFormat="1" ht="14.25" x14ac:dyDescent="0.2">
      <c r="A81" s="19"/>
      <c r="B81" s="19"/>
      <c r="C81" s="19"/>
      <c r="D81" s="14"/>
      <c r="F81" s="11"/>
    </row>
    <row r="82" spans="1:6" s="10" customFormat="1" ht="14.25" x14ac:dyDescent="0.2">
      <c r="A82" s="19"/>
      <c r="B82" s="19"/>
      <c r="C82" s="19"/>
      <c r="D82" s="14"/>
      <c r="F82" s="11"/>
    </row>
    <row r="83" spans="1:6" s="10" customFormat="1" ht="14.25" x14ac:dyDescent="0.2">
      <c r="A83" s="19"/>
      <c r="B83" s="19"/>
      <c r="C83" s="19"/>
      <c r="D83" s="14"/>
      <c r="F83" s="11"/>
    </row>
    <row r="84" spans="1:6" s="10" customFormat="1" ht="14.25" x14ac:dyDescent="0.2">
      <c r="A84" s="19"/>
      <c r="B84" s="19"/>
      <c r="C84" s="19"/>
      <c r="D84" s="14"/>
      <c r="F84" s="11"/>
    </row>
    <row r="85" spans="1:6" s="10" customFormat="1" ht="14.25" x14ac:dyDescent="0.2">
      <c r="A85" s="19"/>
      <c r="B85" s="19"/>
      <c r="C85" s="19"/>
      <c r="D85" s="14"/>
      <c r="F85" s="11"/>
    </row>
    <row r="86" spans="1:6" s="10" customFormat="1" ht="14.25" x14ac:dyDescent="0.2">
      <c r="A86" s="19"/>
      <c r="B86" s="19"/>
      <c r="C86" s="19"/>
      <c r="D86" s="14"/>
      <c r="F86" s="11"/>
    </row>
    <row r="87" spans="1:6" s="10" customFormat="1" ht="14.25" x14ac:dyDescent="0.2">
      <c r="A87" s="19"/>
      <c r="B87" s="19"/>
      <c r="C87" s="19"/>
      <c r="D87" s="14"/>
      <c r="F87" s="11"/>
    </row>
    <row r="88" spans="1:6" s="10" customFormat="1" ht="14.25" x14ac:dyDescent="0.2">
      <c r="A88" s="19"/>
      <c r="B88" s="19"/>
      <c r="C88" s="19"/>
      <c r="D88" s="14"/>
      <c r="F88" s="11"/>
    </row>
    <row r="89" spans="1:6" s="10" customFormat="1" ht="14.25" x14ac:dyDescent="0.2">
      <c r="A89" s="19"/>
      <c r="B89" s="19"/>
      <c r="C89" s="19"/>
      <c r="D89" s="14"/>
      <c r="F89" s="11"/>
    </row>
    <row r="90" spans="1:6" s="10" customFormat="1" ht="14.25" x14ac:dyDescent="0.2">
      <c r="A90" s="19"/>
      <c r="B90" s="19"/>
      <c r="C90" s="19"/>
      <c r="D90" s="14"/>
      <c r="F90" s="11"/>
    </row>
    <row r="91" spans="1:6" s="10" customFormat="1" ht="14.25" x14ac:dyDescent="0.2">
      <c r="A91" s="19"/>
      <c r="B91" s="19"/>
      <c r="C91" s="19"/>
      <c r="D91" s="14"/>
      <c r="F91" s="11"/>
    </row>
    <row r="92" spans="1:6" s="10" customFormat="1" ht="14.25" x14ac:dyDescent="0.2">
      <c r="A92" s="19"/>
      <c r="B92" s="19"/>
      <c r="C92" s="19"/>
      <c r="D92" s="14"/>
      <c r="F92" s="11"/>
    </row>
    <row r="93" spans="1:6" s="10" customFormat="1" ht="14.25" x14ac:dyDescent="0.2">
      <c r="A93" s="19"/>
      <c r="B93" s="19"/>
      <c r="C93" s="19"/>
      <c r="D93" s="14"/>
      <c r="F93" s="11"/>
    </row>
    <row r="94" spans="1:6" s="10" customFormat="1" ht="14.25" x14ac:dyDescent="0.2">
      <c r="A94" s="19"/>
      <c r="B94" s="19"/>
      <c r="C94" s="19"/>
      <c r="D94" s="14"/>
      <c r="F94" s="11"/>
    </row>
    <row r="95" spans="1:6" s="10" customFormat="1" ht="14.25" x14ac:dyDescent="0.2">
      <c r="A95" s="19"/>
      <c r="B95" s="19"/>
      <c r="C95" s="19"/>
      <c r="D95" s="14"/>
      <c r="F95" s="11"/>
    </row>
    <row r="96" spans="1:6" s="10" customFormat="1" ht="14.25" x14ac:dyDescent="0.2">
      <c r="A96" s="19"/>
      <c r="B96" s="19"/>
      <c r="C96" s="19"/>
      <c r="D96" s="14"/>
      <c r="F96" s="11"/>
    </row>
    <row r="97" spans="1:6" s="10" customFormat="1" ht="14.25" x14ac:dyDescent="0.2">
      <c r="A97" s="19"/>
      <c r="B97" s="19"/>
      <c r="C97" s="19"/>
      <c r="D97" s="14"/>
      <c r="F97" s="11"/>
    </row>
    <row r="98" spans="1:6" s="10" customFormat="1" ht="14.25" x14ac:dyDescent="0.2">
      <c r="A98" s="19"/>
      <c r="B98" s="19"/>
      <c r="C98" s="19"/>
      <c r="D98" s="14"/>
      <c r="F98" s="11"/>
    </row>
    <row r="99" spans="1:6" s="10" customFormat="1" ht="14.25" x14ac:dyDescent="0.2">
      <c r="A99" s="19"/>
      <c r="B99" s="19"/>
      <c r="C99" s="19"/>
      <c r="D99" s="14"/>
      <c r="F99" s="11"/>
    </row>
    <row r="100" spans="1:6" s="10" customFormat="1" ht="14.25" x14ac:dyDescent="0.2">
      <c r="A100" s="19"/>
      <c r="B100" s="19"/>
      <c r="C100" s="19"/>
      <c r="D100" s="14"/>
      <c r="F100" s="11"/>
    </row>
    <row r="101" spans="1:6" s="10" customFormat="1" ht="14.25" x14ac:dyDescent="0.2">
      <c r="A101" s="19"/>
      <c r="B101" s="19"/>
      <c r="C101" s="19"/>
      <c r="D101" s="14"/>
      <c r="F101" s="11"/>
    </row>
    <row r="102" spans="1:6" s="10" customFormat="1" ht="14.25" x14ac:dyDescent="0.2">
      <c r="A102" s="19"/>
      <c r="B102" s="19"/>
      <c r="C102" s="19"/>
      <c r="D102" s="14"/>
      <c r="F102" s="11"/>
    </row>
    <row r="103" spans="1:6" s="10" customFormat="1" ht="14.25" x14ac:dyDescent="0.2">
      <c r="A103" s="19"/>
      <c r="B103" s="19"/>
      <c r="C103" s="19"/>
      <c r="D103" s="14"/>
      <c r="F103" s="11"/>
    </row>
    <row r="104" spans="1:6" s="10" customFormat="1" ht="14.25" x14ac:dyDescent="0.2">
      <c r="A104" s="19"/>
      <c r="B104" s="19"/>
      <c r="C104" s="19"/>
      <c r="D104" s="14"/>
      <c r="F104" s="11"/>
    </row>
    <row r="105" spans="1:6" s="10" customFormat="1" ht="14.25" x14ac:dyDescent="0.2">
      <c r="A105" s="19"/>
      <c r="B105" s="19"/>
      <c r="C105" s="19"/>
      <c r="D105" s="14"/>
      <c r="F105" s="11"/>
    </row>
    <row r="106" spans="1:6" s="10" customFormat="1" ht="14.25" x14ac:dyDescent="0.2">
      <c r="A106" s="19"/>
      <c r="B106" s="19"/>
      <c r="C106" s="19"/>
      <c r="D106" s="14"/>
      <c r="F106" s="11"/>
    </row>
    <row r="107" spans="1:6" s="10" customFormat="1" ht="14.25" x14ac:dyDescent="0.2">
      <c r="A107" s="19"/>
      <c r="B107" s="19"/>
      <c r="C107" s="19"/>
      <c r="D107" s="14"/>
      <c r="F107" s="11"/>
    </row>
    <row r="108" spans="1:6" s="10" customFormat="1" ht="14.25" x14ac:dyDescent="0.2">
      <c r="A108" s="19"/>
      <c r="B108" s="19"/>
      <c r="C108" s="19"/>
      <c r="D108" s="14"/>
      <c r="F108" s="11"/>
    </row>
    <row r="109" spans="1:6" s="10" customFormat="1" ht="14.25" x14ac:dyDescent="0.2">
      <c r="A109" s="19"/>
      <c r="B109" s="19"/>
      <c r="C109" s="19"/>
      <c r="D109" s="14"/>
      <c r="F109" s="11"/>
    </row>
    <row r="110" spans="1:6" s="10" customFormat="1" ht="14.25" x14ac:dyDescent="0.2">
      <c r="A110" s="19"/>
      <c r="B110" s="19"/>
      <c r="C110" s="19"/>
      <c r="D110" s="14"/>
      <c r="F110" s="11"/>
    </row>
    <row r="111" spans="1:6" s="10" customFormat="1" ht="14.25" x14ac:dyDescent="0.2">
      <c r="A111" s="19"/>
      <c r="B111" s="19"/>
      <c r="C111" s="19"/>
      <c r="D111" s="14"/>
      <c r="F111" s="11"/>
    </row>
    <row r="112" spans="1:6" s="10" customFormat="1" ht="14.25" x14ac:dyDescent="0.2">
      <c r="A112" s="19"/>
      <c r="B112" s="19"/>
      <c r="C112" s="19"/>
      <c r="D112" s="14"/>
      <c r="F112" s="11"/>
    </row>
    <row r="113" spans="1:6" s="10" customFormat="1" ht="14.25" x14ac:dyDescent="0.2">
      <c r="A113" s="19"/>
      <c r="B113" s="19"/>
      <c r="C113" s="19"/>
      <c r="D113" s="14"/>
      <c r="F113" s="11"/>
    </row>
    <row r="114" spans="1:6" s="10" customFormat="1" ht="14.25" x14ac:dyDescent="0.2">
      <c r="A114" s="19"/>
      <c r="B114" s="19"/>
      <c r="C114" s="19"/>
      <c r="D114" s="14"/>
      <c r="F114" s="11"/>
    </row>
    <row r="115" spans="1:6" s="10" customFormat="1" ht="14.25" x14ac:dyDescent="0.2">
      <c r="A115" s="19"/>
      <c r="B115" s="19"/>
      <c r="C115" s="19"/>
      <c r="D115" s="14"/>
      <c r="F115" s="11"/>
    </row>
    <row r="116" spans="1:6" s="10" customFormat="1" ht="14.25" x14ac:dyDescent="0.2">
      <c r="A116" s="19"/>
      <c r="B116" s="19"/>
      <c r="C116" s="19"/>
      <c r="D116" s="14"/>
      <c r="F116" s="11"/>
    </row>
    <row r="117" spans="1:6" s="10" customFormat="1" ht="14.25" x14ac:dyDescent="0.2">
      <c r="A117" s="19"/>
      <c r="B117" s="19"/>
      <c r="C117" s="19"/>
      <c r="D117" s="14"/>
      <c r="F117" s="11"/>
    </row>
    <row r="118" spans="1:6" s="10" customFormat="1" ht="14.25" x14ac:dyDescent="0.2">
      <c r="A118" s="19"/>
      <c r="B118" s="19"/>
      <c r="C118" s="19"/>
      <c r="D118" s="14"/>
      <c r="F118" s="11"/>
    </row>
    <row r="119" spans="1:6" s="10" customFormat="1" ht="14.25" x14ac:dyDescent="0.2">
      <c r="A119" s="19"/>
      <c r="B119" s="19"/>
      <c r="C119" s="19"/>
      <c r="D119" s="14"/>
      <c r="F119" s="11"/>
    </row>
    <row r="120" spans="1:6" s="10" customFormat="1" ht="14.25" x14ac:dyDescent="0.2">
      <c r="A120" s="19"/>
      <c r="B120" s="19"/>
      <c r="C120" s="19"/>
      <c r="D120" s="14"/>
      <c r="F120" s="11"/>
    </row>
    <row r="121" spans="1:6" s="10" customFormat="1" ht="14.25" x14ac:dyDescent="0.2">
      <c r="A121" s="19"/>
      <c r="B121" s="19"/>
      <c r="C121" s="19"/>
      <c r="D121" s="14"/>
      <c r="F121" s="11"/>
    </row>
    <row r="122" spans="1:6" s="10" customFormat="1" ht="14.25" x14ac:dyDescent="0.2">
      <c r="A122" s="19"/>
      <c r="B122" s="19"/>
      <c r="C122" s="19"/>
      <c r="D122" s="14"/>
      <c r="F122" s="11"/>
    </row>
    <row r="123" spans="1:6" s="10" customFormat="1" ht="14.25" x14ac:dyDescent="0.2">
      <c r="A123" s="19"/>
      <c r="B123" s="19"/>
      <c r="C123" s="19"/>
      <c r="D123" s="14"/>
      <c r="F123" s="11"/>
    </row>
    <row r="124" spans="1:6" s="10" customFormat="1" ht="14.25" x14ac:dyDescent="0.2">
      <c r="A124" s="19"/>
      <c r="B124" s="19"/>
      <c r="C124" s="19"/>
      <c r="D124" s="14"/>
      <c r="F124" s="11"/>
    </row>
    <row r="125" spans="1:6" s="10" customFormat="1" ht="14.25" x14ac:dyDescent="0.2">
      <c r="A125" s="19"/>
      <c r="B125" s="19"/>
      <c r="C125" s="19"/>
      <c r="D125" s="14"/>
      <c r="F125" s="11"/>
    </row>
    <row r="126" spans="1:6" s="10" customFormat="1" ht="14.25" x14ac:dyDescent="0.2">
      <c r="A126" s="19"/>
      <c r="B126" s="19"/>
      <c r="C126" s="19"/>
      <c r="D126" s="14"/>
      <c r="F126" s="11"/>
    </row>
    <row r="127" spans="1:6" s="10" customFormat="1" ht="14.25" x14ac:dyDescent="0.2">
      <c r="A127" s="19"/>
      <c r="B127" s="19"/>
      <c r="C127" s="19"/>
      <c r="D127" s="14"/>
      <c r="F127" s="11"/>
    </row>
    <row r="128" spans="1:6" s="10" customFormat="1" ht="14.25" x14ac:dyDescent="0.2">
      <c r="A128" s="19"/>
      <c r="B128" s="19"/>
      <c r="C128" s="19"/>
      <c r="D128" s="14"/>
      <c r="F128" s="11"/>
    </row>
    <row r="129" spans="1:6" s="10" customFormat="1" ht="14.25" x14ac:dyDescent="0.2">
      <c r="A129" s="19"/>
      <c r="B129" s="19"/>
      <c r="C129" s="19"/>
      <c r="D129" s="14"/>
      <c r="F129" s="11"/>
    </row>
    <row r="130" spans="1:6" s="10" customFormat="1" ht="14.25" x14ac:dyDescent="0.2">
      <c r="A130" s="19"/>
      <c r="B130" s="19"/>
      <c r="C130" s="19"/>
      <c r="D130" s="14"/>
      <c r="F130" s="11"/>
    </row>
    <row r="131" spans="1:6" s="10" customFormat="1" ht="14.25" x14ac:dyDescent="0.2">
      <c r="A131" s="19"/>
      <c r="B131" s="19"/>
      <c r="C131" s="19"/>
      <c r="D131" s="14"/>
      <c r="F131" s="11"/>
    </row>
    <row r="132" spans="1:6" s="10" customFormat="1" ht="14.25" x14ac:dyDescent="0.2">
      <c r="A132" s="19"/>
      <c r="B132" s="19"/>
      <c r="C132" s="19"/>
      <c r="D132" s="14"/>
      <c r="F132" s="11"/>
    </row>
    <row r="133" spans="1:6" s="10" customFormat="1" ht="14.25" x14ac:dyDescent="0.2">
      <c r="A133" s="19"/>
      <c r="B133" s="19"/>
      <c r="C133" s="19"/>
      <c r="D133" s="14"/>
      <c r="F133" s="11"/>
    </row>
    <row r="134" spans="1:6" s="10" customFormat="1" ht="14.25" x14ac:dyDescent="0.2">
      <c r="A134" s="19"/>
      <c r="B134" s="19"/>
      <c r="C134" s="19"/>
      <c r="D134" s="14"/>
      <c r="F134" s="11"/>
    </row>
    <row r="135" spans="1:6" s="10" customFormat="1" ht="14.25" x14ac:dyDescent="0.2">
      <c r="A135" s="19"/>
      <c r="B135" s="19"/>
      <c r="C135" s="19"/>
      <c r="D135" s="14"/>
      <c r="F135" s="11"/>
    </row>
    <row r="136" spans="1:6" s="10" customFormat="1" ht="14.25" x14ac:dyDescent="0.2">
      <c r="A136" s="19"/>
      <c r="B136" s="19"/>
      <c r="C136" s="19"/>
      <c r="D136" s="14"/>
      <c r="F136" s="11"/>
    </row>
    <row r="137" spans="1:6" s="10" customFormat="1" ht="14.25" x14ac:dyDescent="0.2">
      <c r="A137" s="19"/>
      <c r="B137" s="19"/>
      <c r="C137" s="19"/>
      <c r="D137" s="14"/>
      <c r="F137" s="11"/>
    </row>
    <row r="138" spans="1:6" s="10" customFormat="1" ht="14.25" x14ac:dyDescent="0.2">
      <c r="A138" s="19"/>
      <c r="B138" s="19"/>
      <c r="C138" s="19"/>
      <c r="D138" s="14"/>
      <c r="F138" s="11"/>
    </row>
    <row r="139" spans="1:6" s="10" customFormat="1" ht="14.25" x14ac:dyDescent="0.2">
      <c r="A139" s="19"/>
      <c r="B139" s="19"/>
      <c r="C139" s="19"/>
      <c r="D139" s="14"/>
      <c r="F139" s="11"/>
    </row>
    <row r="140" spans="1:6" s="10" customFormat="1" ht="14.25" x14ac:dyDescent="0.2">
      <c r="A140" s="19"/>
      <c r="B140" s="19"/>
      <c r="C140" s="19"/>
      <c r="D140" s="14"/>
      <c r="F140" s="11"/>
    </row>
    <row r="141" spans="1:6" s="10" customFormat="1" ht="14.25" x14ac:dyDescent="0.2">
      <c r="A141" s="19"/>
      <c r="B141" s="19"/>
      <c r="C141" s="19"/>
      <c r="D141" s="14"/>
      <c r="F141" s="11"/>
    </row>
    <row r="142" spans="1:6" s="10" customFormat="1" ht="14.25" x14ac:dyDescent="0.2">
      <c r="A142" s="19"/>
      <c r="B142" s="19"/>
      <c r="C142" s="19"/>
      <c r="D142" s="14"/>
      <c r="F142" s="11"/>
    </row>
    <row r="143" spans="1:6" s="10" customFormat="1" ht="14.25" x14ac:dyDescent="0.2">
      <c r="A143" s="19"/>
      <c r="B143" s="19"/>
      <c r="C143" s="19"/>
      <c r="D143" s="14"/>
      <c r="F143" s="11"/>
    </row>
    <row r="144" spans="1:6" s="10" customFormat="1" ht="14.25" x14ac:dyDescent="0.2">
      <c r="A144" s="19"/>
      <c r="B144" s="19"/>
      <c r="C144" s="19"/>
      <c r="D144" s="14"/>
      <c r="F144" s="11"/>
    </row>
    <row r="145" spans="1:6" s="10" customFormat="1" ht="14.25" x14ac:dyDescent="0.2">
      <c r="A145" s="19"/>
      <c r="B145" s="19"/>
      <c r="C145" s="19"/>
      <c r="D145" s="14"/>
      <c r="F145" s="11"/>
    </row>
    <row r="146" spans="1:6" s="10" customFormat="1" ht="14.25" x14ac:dyDescent="0.2">
      <c r="A146" s="19"/>
      <c r="B146" s="19"/>
      <c r="C146" s="19"/>
      <c r="D146" s="14"/>
      <c r="F146" s="11"/>
    </row>
    <row r="147" spans="1:6" s="10" customFormat="1" ht="14.25" x14ac:dyDescent="0.2">
      <c r="A147" s="19"/>
      <c r="B147" s="19"/>
      <c r="C147" s="19"/>
      <c r="D147" s="14"/>
      <c r="F147" s="11"/>
    </row>
    <row r="148" spans="1:6" s="10" customFormat="1" ht="14.25" x14ac:dyDescent="0.2">
      <c r="A148" s="19"/>
      <c r="B148" s="19"/>
      <c r="C148" s="19"/>
      <c r="D148" s="14"/>
      <c r="F148" s="11"/>
    </row>
    <row r="149" spans="1:6" s="10" customFormat="1" ht="14.25" x14ac:dyDescent="0.2">
      <c r="A149" s="19"/>
      <c r="B149" s="19"/>
      <c r="C149" s="19"/>
      <c r="D149" s="14"/>
      <c r="F149" s="11"/>
    </row>
    <row r="150" spans="1:6" s="10" customFormat="1" ht="14.25" x14ac:dyDescent="0.2">
      <c r="A150" s="19"/>
      <c r="B150" s="19"/>
      <c r="C150" s="19"/>
      <c r="D150" s="14"/>
      <c r="F150" s="11"/>
    </row>
    <row r="151" spans="1:6" s="10" customFormat="1" ht="14.25" x14ac:dyDescent="0.2">
      <c r="A151" s="19"/>
      <c r="B151" s="19"/>
      <c r="C151" s="19"/>
      <c r="D151" s="14"/>
      <c r="F151" s="11"/>
    </row>
    <row r="152" spans="1:6" s="10" customFormat="1" ht="14.25" x14ac:dyDescent="0.2">
      <c r="A152" s="19"/>
      <c r="B152" s="19"/>
      <c r="C152" s="19"/>
      <c r="D152" s="14"/>
      <c r="F152" s="11"/>
    </row>
    <row r="153" spans="1:6" s="10" customFormat="1" ht="14.25" x14ac:dyDescent="0.2">
      <c r="A153" s="19"/>
      <c r="B153" s="19"/>
      <c r="C153" s="19"/>
      <c r="D153" s="14"/>
      <c r="F153" s="11"/>
    </row>
    <row r="154" spans="1:6" s="10" customFormat="1" ht="14.25" x14ac:dyDescent="0.2">
      <c r="A154" s="19"/>
      <c r="B154" s="19"/>
      <c r="C154" s="19"/>
      <c r="D154" s="14"/>
      <c r="F154" s="11"/>
    </row>
    <row r="155" spans="1:6" s="10" customFormat="1" ht="14.25" x14ac:dyDescent="0.2">
      <c r="A155" s="19"/>
      <c r="B155" s="19"/>
      <c r="C155" s="19"/>
      <c r="D155" s="14"/>
      <c r="F155" s="11"/>
    </row>
    <row r="156" spans="1:6" s="10" customFormat="1" ht="14.25" x14ac:dyDescent="0.2">
      <c r="A156" s="19"/>
      <c r="B156" s="19"/>
      <c r="C156" s="19"/>
      <c r="D156" s="14"/>
      <c r="F156" s="11"/>
    </row>
    <row r="157" spans="1:6" s="10" customFormat="1" ht="14.25" x14ac:dyDescent="0.2">
      <c r="A157" s="19"/>
      <c r="B157" s="19"/>
      <c r="C157" s="19"/>
      <c r="D157" s="14"/>
      <c r="F157" s="11"/>
    </row>
    <row r="158" spans="1:6" s="10" customFormat="1" ht="14.25" x14ac:dyDescent="0.2">
      <c r="A158" s="19"/>
      <c r="B158" s="19"/>
      <c r="C158" s="19"/>
      <c r="D158" s="14"/>
      <c r="F158" s="11"/>
    </row>
    <row r="159" spans="1:6" s="10" customFormat="1" ht="14.25" x14ac:dyDescent="0.2">
      <c r="A159" s="19"/>
      <c r="B159" s="19"/>
      <c r="C159" s="19"/>
      <c r="D159" s="14"/>
      <c r="F159" s="11"/>
    </row>
    <row r="160" spans="1:6" s="10" customFormat="1" ht="14.25" x14ac:dyDescent="0.2">
      <c r="A160" s="19"/>
      <c r="B160" s="19"/>
      <c r="C160" s="19"/>
      <c r="D160" s="14"/>
      <c r="F160" s="11"/>
    </row>
    <row r="161" spans="1:6" s="10" customFormat="1" ht="14.25" x14ac:dyDescent="0.2">
      <c r="A161" s="19"/>
      <c r="B161" s="19"/>
      <c r="C161" s="19"/>
      <c r="D161" s="14"/>
      <c r="F161" s="11"/>
    </row>
    <row r="162" spans="1:6" s="10" customFormat="1" ht="14.25" x14ac:dyDescent="0.2">
      <c r="A162" s="19"/>
      <c r="B162" s="19"/>
      <c r="C162" s="19"/>
      <c r="D162" s="14"/>
      <c r="F162" s="11"/>
    </row>
    <row r="163" spans="1:6" s="10" customFormat="1" ht="14.25" x14ac:dyDescent="0.2">
      <c r="A163" s="19"/>
      <c r="B163" s="19"/>
      <c r="C163" s="19"/>
      <c r="D163" s="14"/>
      <c r="F163" s="11"/>
    </row>
    <row r="164" spans="1:6" s="10" customFormat="1" ht="14.25" x14ac:dyDescent="0.2">
      <c r="A164" s="19"/>
      <c r="B164" s="19"/>
      <c r="C164" s="19"/>
      <c r="D164" s="14"/>
      <c r="F164" s="11"/>
    </row>
    <row r="165" spans="1:6" s="10" customFormat="1" ht="14.25" x14ac:dyDescent="0.2">
      <c r="A165" s="19"/>
      <c r="B165" s="19"/>
      <c r="C165" s="19"/>
      <c r="D165" s="14"/>
      <c r="F165" s="11"/>
    </row>
    <row r="166" spans="1:6" s="10" customFormat="1" ht="14.25" x14ac:dyDescent="0.2">
      <c r="A166" s="19"/>
      <c r="B166" s="19"/>
      <c r="C166" s="19"/>
      <c r="D166" s="14"/>
      <c r="F166" s="11"/>
    </row>
    <row r="167" spans="1:6" s="10" customFormat="1" ht="14.25" x14ac:dyDescent="0.2">
      <c r="A167" s="19"/>
      <c r="B167" s="19"/>
      <c r="C167" s="19"/>
      <c r="D167" s="14"/>
      <c r="F167" s="11"/>
    </row>
    <row r="168" spans="1:6" s="10" customFormat="1" ht="14.25" x14ac:dyDescent="0.2">
      <c r="A168" s="19"/>
      <c r="B168" s="19"/>
      <c r="C168" s="19"/>
      <c r="D168" s="14"/>
      <c r="F168" s="11"/>
    </row>
    <row r="169" spans="1:6" s="10" customFormat="1" ht="14.25" x14ac:dyDescent="0.2">
      <c r="A169" s="19"/>
      <c r="B169" s="19"/>
      <c r="C169" s="19"/>
      <c r="D169" s="14"/>
      <c r="F169" s="11"/>
    </row>
    <row r="170" spans="1:6" s="10" customFormat="1" ht="14.25" x14ac:dyDescent="0.2">
      <c r="A170" s="19"/>
      <c r="B170" s="19"/>
      <c r="C170" s="19"/>
      <c r="D170" s="14"/>
      <c r="F170" s="11"/>
    </row>
    <row r="171" spans="1:6" s="10" customFormat="1" ht="14.25" x14ac:dyDescent="0.2">
      <c r="A171" s="19"/>
      <c r="B171" s="19"/>
      <c r="C171" s="19"/>
      <c r="D171" s="14"/>
      <c r="F171" s="11"/>
    </row>
    <row r="172" spans="1:6" s="10" customFormat="1" ht="14.25" x14ac:dyDescent="0.2">
      <c r="A172" s="19"/>
      <c r="B172" s="19"/>
      <c r="C172" s="19"/>
      <c r="D172" s="14"/>
      <c r="F172" s="11"/>
    </row>
    <row r="173" spans="1:6" s="10" customFormat="1" ht="14.25" x14ac:dyDescent="0.2">
      <c r="A173" s="19"/>
      <c r="B173" s="19"/>
      <c r="C173" s="19"/>
      <c r="D173" s="14"/>
      <c r="F173" s="11"/>
    </row>
    <row r="174" spans="1:6" s="10" customFormat="1" ht="14.25" x14ac:dyDescent="0.2">
      <c r="A174" s="19"/>
      <c r="B174" s="19"/>
      <c r="C174" s="19"/>
      <c r="D174" s="14"/>
      <c r="F174" s="11"/>
    </row>
    <row r="175" spans="1:6" s="10" customFormat="1" ht="14.25" x14ac:dyDescent="0.2">
      <c r="A175" s="19"/>
      <c r="B175" s="19"/>
      <c r="C175" s="19"/>
      <c r="D175" s="14"/>
      <c r="F175" s="11"/>
    </row>
    <row r="176" spans="1:6" s="10" customFormat="1" ht="14.25" x14ac:dyDescent="0.2">
      <c r="A176" s="19"/>
      <c r="B176" s="19"/>
      <c r="C176" s="19"/>
      <c r="D176" s="14"/>
      <c r="F176" s="11"/>
    </row>
    <row r="177" spans="1:6" s="10" customFormat="1" ht="14.25" x14ac:dyDescent="0.2">
      <c r="A177" s="19"/>
      <c r="B177" s="19"/>
      <c r="C177" s="19"/>
      <c r="D177" s="14"/>
      <c r="F177" s="11"/>
    </row>
    <row r="178" spans="1:6" s="10" customFormat="1" ht="14.25" x14ac:dyDescent="0.2">
      <c r="A178" s="19"/>
      <c r="B178" s="19"/>
      <c r="C178" s="19"/>
      <c r="D178" s="14"/>
      <c r="F178" s="11"/>
    </row>
    <row r="179" spans="1:6" s="10" customFormat="1" ht="14.25" x14ac:dyDescent="0.2">
      <c r="A179" s="19"/>
      <c r="B179" s="19"/>
      <c r="C179" s="19"/>
      <c r="D179" s="14"/>
      <c r="F179" s="11"/>
    </row>
    <row r="180" spans="1:6" s="10" customFormat="1" ht="14.25" x14ac:dyDescent="0.2">
      <c r="A180" s="19"/>
      <c r="B180" s="19"/>
      <c r="C180" s="19"/>
      <c r="D180" s="14"/>
      <c r="F180" s="11"/>
    </row>
    <row r="181" spans="1:6" s="10" customFormat="1" ht="14.25" x14ac:dyDescent="0.2">
      <c r="A181" s="19"/>
      <c r="B181" s="19"/>
      <c r="C181" s="19"/>
      <c r="D181" s="14"/>
      <c r="F181" s="11"/>
    </row>
    <row r="182" spans="1:6" s="10" customFormat="1" ht="14.25" x14ac:dyDescent="0.2">
      <c r="A182" s="19"/>
      <c r="B182" s="19"/>
      <c r="C182" s="19"/>
      <c r="D182" s="14"/>
      <c r="F182" s="11"/>
    </row>
    <row r="183" spans="1:6" s="10" customFormat="1" ht="14.25" x14ac:dyDescent="0.2">
      <c r="A183" s="19"/>
      <c r="B183" s="19"/>
      <c r="C183" s="19"/>
      <c r="D183" s="14"/>
      <c r="F183" s="11"/>
    </row>
    <row r="184" spans="1:6" s="10" customFormat="1" ht="14.25" x14ac:dyDescent="0.2">
      <c r="A184" s="19"/>
      <c r="B184" s="19"/>
      <c r="C184" s="19"/>
      <c r="D184" s="14"/>
      <c r="F184" s="11"/>
    </row>
    <row r="185" spans="1:6" s="10" customFormat="1" ht="14.25" x14ac:dyDescent="0.2">
      <c r="A185" s="19"/>
      <c r="B185" s="19"/>
      <c r="C185" s="19"/>
      <c r="D185" s="14"/>
      <c r="F185" s="11"/>
    </row>
    <row r="186" spans="1:6" s="10" customFormat="1" ht="14.25" x14ac:dyDescent="0.2">
      <c r="A186" s="19"/>
      <c r="B186" s="19"/>
      <c r="C186" s="19"/>
      <c r="D186" s="14"/>
      <c r="F186" s="11"/>
    </row>
    <row r="187" spans="1:6" s="10" customFormat="1" ht="14.25" x14ac:dyDescent="0.2">
      <c r="A187" s="19"/>
      <c r="B187" s="19"/>
      <c r="C187" s="19"/>
      <c r="D187" s="14"/>
      <c r="F187" s="11"/>
    </row>
    <row r="188" spans="1:6" s="10" customFormat="1" ht="14.25" x14ac:dyDescent="0.2">
      <c r="A188" s="19"/>
      <c r="B188" s="19"/>
      <c r="C188" s="19"/>
      <c r="D188" s="14"/>
      <c r="F188" s="11"/>
    </row>
    <row r="189" spans="1:6" s="10" customFormat="1" ht="14.25" x14ac:dyDescent="0.2">
      <c r="A189" s="19"/>
      <c r="B189" s="19"/>
      <c r="C189" s="19"/>
      <c r="D189" s="14"/>
      <c r="F189" s="11"/>
    </row>
    <row r="190" spans="1:6" s="10" customFormat="1" ht="14.25" x14ac:dyDescent="0.2">
      <c r="A190" s="19"/>
      <c r="B190" s="19"/>
      <c r="C190" s="19"/>
      <c r="D190" s="14"/>
      <c r="F190" s="11"/>
    </row>
    <row r="191" spans="1:6" s="10" customFormat="1" ht="14.25" x14ac:dyDescent="0.2">
      <c r="A191" s="19"/>
      <c r="B191" s="19"/>
      <c r="C191" s="19"/>
      <c r="D191" s="14"/>
      <c r="F191" s="11"/>
    </row>
    <row r="192" spans="1:6" s="10" customFormat="1" ht="14.25" x14ac:dyDescent="0.2">
      <c r="A192" s="19"/>
      <c r="B192" s="19"/>
      <c r="C192" s="19"/>
      <c r="D192" s="14"/>
      <c r="F192" s="11"/>
    </row>
    <row r="193" spans="1:6" s="10" customFormat="1" ht="14.25" x14ac:dyDescent="0.2">
      <c r="A193" s="19"/>
      <c r="B193" s="19"/>
      <c r="C193" s="19"/>
      <c r="D193" s="14"/>
      <c r="F193" s="11"/>
    </row>
    <row r="194" spans="1:6" s="10" customFormat="1" ht="14.25" x14ac:dyDescent="0.2">
      <c r="A194" s="19"/>
      <c r="B194" s="19"/>
      <c r="C194" s="19"/>
      <c r="D194" s="14"/>
      <c r="F194" s="11"/>
    </row>
    <row r="195" spans="1:6" s="10" customFormat="1" ht="14.25" x14ac:dyDescent="0.2">
      <c r="A195" s="19"/>
      <c r="B195" s="19"/>
      <c r="C195" s="19"/>
      <c r="D195" s="14"/>
      <c r="F195" s="11"/>
    </row>
    <row r="196" spans="1:6" s="10" customFormat="1" ht="14.25" x14ac:dyDescent="0.2">
      <c r="A196" s="19"/>
      <c r="B196" s="19"/>
      <c r="C196" s="19"/>
      <c r="D196" s="14"/>
      <c r="F196" s="11"/>
    </row>
    <row r="197" spans="1:6" s="10" customFormat="1" ht="14.25" x14ac:dyDescent="0.2">
      <c r="A197" s="19"/>
      <c r="B197" s="19"/>
      <c r="C197" s="19"/>
      <c r="D197" s="14"/>
      <c r="F197" s="11"/>
    </row>
    <row r="198" spans="1:6" s="10" customFormat="1" ht="14.25" x14ac:dyDescent="0.2">
      <c r="A198" s="19"/>
      <c r="B198" s="19"/>
      <c r="C198" s="19"/>
      <c r="D198" s="14"/>
      <c r="F198" s="11"/>
    </row>
    <row r="199" spans="1:6" s="10" customFormat="1" ht="14.25" x14ac:dyDescent="0.2">
      <c r="A199" s="19"/>
      <c r="B199" s="19"/>
      <c r="C199" s="19"/>
      <c r="D199" s="14"/>
      <c r="F199" s="11"/>
    </row>
    <row r="200" spans="1:6" s="10" customFormat="1" ht="14.25" x14ac:dyDescent="0.2">
      <c r="A200" s="19"/>
      <c r="B200" s="19"/>
      <c r="C200" s="19"/>
      <c r="D200" s="14"/>
      <c r="F200" s="11"/>
    </row>
    <row r="201" spans="1:6" s="10" customFormat="1" ht="14.25" x14ac:dyDescent="0.2">
      <c r="A201" s="19"/>
      <c r="B201" s="19"/>
      <c r="C201" s="19"/>
      <c r="D201" s="14"/>
      <c r="F201" s="11"/>
    </row>
    <row r="202" spans="1:6" s="10" customFormat="1" ht="14.25" x14ac:dyDescent="0.2">
      <c r="A202" s="19"/>
      <c r="B202" s="19"/>
      <c r="C202" s="19"/>
      <c r="D202" s="14"/>
      <c r="F202" s="11"/>
    </row>
    <row r="203" spans="1:6" s="10" customFormat="1" ht="14.25" x14ac:dyDescent="0.2">
      <c r="A203" s="19"/>
      <c r="B203" s="19"/>
      <c r="C203" s="19"/>
      <c r="D203" s="14"/>
      <c r="F203" s="11"/>
    </row>
    <row r="204" spans="1:6" s="10" customFormat="1" ht="14.25" x14ac:dyDescent="0.2">
      <c r="A204" s="19"/>
      <c r="B204" s="19"/>
      <c r="C204" s="19"/>
      <c r="D204" s="14"/>
      <c r="F204" s="11"/>
    </row>
    <row r="205" spans="1:6" s="10" customFormat="1" ht="14.25" x14ac:dyDescent="0.2">
      <c r="A205" s="19"/>
      <c r="B205" s="19"/>
      <c r="C205" s="19"/>
      <c r="D205" s="14"/>
      <c r="F205" s="11"/>
    </row>
    <row r="206" spans="1:6" s="10" customFormat="1" ht="14.25" x14ac:dyDescent="0.2">
      <c r="A206" s="19"/>
      <c r="B206" s="19"/>
      <c r="C206" s="19"/>
      <c r="D206" s="14"/>
      <c r="F206" s="11"/>
    </row>
    <row r="207" spans="1:6" s="10" customFormat="1" ht="14.25" x14ac:dyDescent="0.2">
      <c r="A207" s="19"/>
      <c r="B207" s="19"/>
      <c r="C207" s="19"/>
      <c r="D207" s="14"/>
      <c r="F207" s="11"/>
    </row>
    <row r="208" spans="1:6" s="10" customFormat="1" ht="14.25" x14ac:dyDescent="0.2">
      <c r="A208" s="19"/>
      <c r="B208" s="19"/>
      <c r="C208" s="19"/>
      <c r="D208" s="14"/>
      <c r="F208" s="11"/>
    </row>
    <row r="209" spans="1:6" s="10" customFormat="1" ht="14.25" x14ac:dyDescent="0.2">
      <c r="A209" s="19"/>
      <c r="B209" s="19"/>
      <c r="C209" s="19"/>
      <c r="D209" s="14"/>
      <c r="F209" s="11"/>
    </row>
    <row r="210" spans="1:6" s="10" customFormat="1" ht="14.25" x14ac:dyDescent="0.2">
      <c r="A210" s="19"/>
      <c r="B210" s="19"/>
      <c r="C210" s="19"/>
      <c r="D210" s="14"/>
      <c r="F210" s="11"/>
    </row>
    <row r="211" spans="1:6" s="10" customFormat="1" ht="14.25" x14ac:dyDescent="0.2">
      <c r="A211" s="19"/>
      <c r="B211" s="19"/>
      <c r="C211" s="19"/>
      <c r="D211" s="14"/>
      <c r="F211" s="11"/>
    </row>
    <row r="212" spans="1:6" s="10" customFormat="1" ht="14.25" x14ac:dyDescent="0.2">
      <c r="A212" s="19"/>
      <c r="B212" s="19"/>
      <c r="C212" s="19"/>
      <c r="D212" s="14"/>
      <c r="F212" s="11"/>
    </row>
    <row r="213" spans="1:6" s="10" customFormat="1" ht="14.25" x14ac:dyDescent="0.2">
      <c r="A213" s="19"/>
      <c r="B213" s="19"/>
      <c r="C213" s="19"/>
      <c r="D213" s="14"/>
      <c r="F213" s="11"/>
    </row>
    <row r="214" spans="1:6" s="10" customFormat="1" ht="14.25" x14ac:dyDescent="0.2">
      <c r="A214" s="19"/>
      <c r="B214" s="19"/>
      <c r="C214" s="19"/>
      <c r="D214" s="14"/>
      <c r="F214" s="11"/>
    </row>
    <row r="215" spans="1:6" s="10" customFormat="1" ht="14.25" x14ac:dyDescent="0.2">
      <c r="A215" s="19"/>
      <c r="B215" s="19"/>
      <c r="C215" s="19"/>
      <c r="D215" s="14"/>
      <c r="F215" s="11"/>
    </row>
    <row r="216" spans="1:6" s="10" customFormat="1" ht="14.25" x14ac:dyDescent="0.2">
      <c r="A216" s="19"/>
      <c r="B216" s="19"/>
      <c r="C216" s="19"/>
      <c r="D216" s="14"/>
      <c r="F216" s="11"/>
    </row>
    <row r="217" spans="1:6" s="10" customFormat="1" ht="14.25" x14ac:dyDescent="0.2">
      <c r="A217" s="19"/>
      <c r="B217" s="19"/>
      <c r="C217" s="19"/>
      <c r="D217" s="14"/>
      <c r="F217" s="11"/>
    </row>
    <row r="218" spans="1:6" s="10" customFormat="1" ht="14.25" x14ac:dyDescent="0.2">
      <c r="A218" s="19"/>
      <c r="B218" s="19"/>
      <c r="C218" s="19"/>
      <c r="D218" s="14"/>
      <c r="F218" s="11"/>
    </row>
    <row r="219" spans="1:6" s="10" customFormat="1" ht="14.25" x14ac:dyDescent="0.2">
      <c r="A219" s="19"/>
      <c r="B219" s="19"/>
      <c r="C219" s="19"/>
      <c r="D219" s="14"/>
      <c r="F219" s="11"/>
    </row>
    <row r="220" spans="1:6" s="10" customFormat="1" ht="14.25" x14ac:dyDescent="0.2">
      <c r="A220" s="19"/>
      <c r="B220" s="19"/>
      <c r="C220" s="19"/>
      <c r="D220" s="14"/>
      <c r="F220" s="11"/>
    </row>
    <row r="221" spans="1:6" s="10" customFormat="1" ht="14.25" x14ac:dyDescent="0.2">
      <c r="A221" s="19"/>
      <c r="B221" s="19"/>
      <c r="C221" s="19"/>
      <c r="D221" s="14"/>
      <c r="F221" s="11"/>
    </row>
    <row r="222" spans="1:6" s="10" customFormat="1" ht="14.25" x14ac:dyDescent="0.2">
      <c r="A222" s="19"/>
      <c r="B222" s="19"/>
      <c r="C222" s="19"/>
      <c r="D222" s="14"/>
      <c r="F222" s="11"/>
    </row>
    <row r="223" spans="1:6" s="10" customFormat="1" ht="14.25" x14ac:dyDescent="0.2">
      <c r="A223" s="19"/>
      <c r="B223" s="19"/>
      <c r="C223" s="19"/>
      <c r="D223" s="14"/>
      <c r="F223" s="11"/>
    </row>
    <row r="224" spans="1:6" s="10" customFormat="1" ht="14.25" x14ac:dyDescent="0.2">
      <c r="A224" s="19"/>
      <c r="B224" s="19"/>
      <c r="C224" s="19"/>
      <c r="D224" s="14"/>
      <c r="F224" s="11"/>
    </row>
    <row r="225" spans="1:6" s="10" customFormat="1" ht="14.25" x14ac:dyDescent="0.2">
      <c r="A225" s="19"/>
      <c r="B225" s="19"/>
      <c r="C225" s="19"/>
      <c r="D225" s="14"/>
      <c r="F225" s="11"/>
    </row>
    <row r="226" spans="1:6" s="10" customFormat="1" ht="14.25" x14ac:dyDescent="0.2">
      <c r="A226" s="19"/>
      <c r="B226" s="19"/>
      <c r="C226" s="19"/>
      <c r="D226" s="14"/>
      <c r="F226" s="11"/>
    </row>
    <row r="227" spans="1:6" s="10" customFormat="1" ht="14.25" x14ac:dyDescent="0.2">
      <c r="A227" s="19"/>
      <c r="B227" s="19"/>
      <c r="C227" s="19"/>
      <c r="D227" s="14"/>
      <c r="F227" s="11"/>
    </row>
    <row r="228" spans="1:6" s="10" customFormat="1" ht="14.25" x14ac:dyDescent="0.2">
      <c r="A228" s="19"/>
      <c r="B228" s="19"/>
      <c r="C228" s="19"/>
      <c r="D228" s="14"/>
      <c r="F228" s="11"/>
    </row>
    <row r="229" spans="1:6" s="10" customFormat="1" ht="14.25" x14ac:dyDescent="0.2">
      <c r="A229" s="19"/>
      <c r="B229" s="19"/>
      <c r="C229" s="19"/>
      <c r="D229" s="14"/>
      <c r="F229" s="11"/>
    </row>
    <row r="230" spans="1:6" s="10" customFormat="1" ht="14.25" x14ac:dyDescent="0.2">
      <c r="A230" s="19"/>
      <c r="B230" s="19"/>
      <c r="C230" s="19"/>
      <c r="D230" s="14"/>
      <c r="F230" s="11"/>
    </row>
    <row r="231" spans="1:6" s="10" customFormat="1" ht="14.25" x14ac:dyDescent="0.2">
      <c r="A231" s="19"/>
      <c r="B231" s="19"/>
      <c r="C231" s="19"/>
      <c r="D231" s="14"/>
      <c r="F231" s="11"/>
    </row>
    <row r="232" spans="1:6" s="10" customFormat="1" ht="14.25" x14ac:dyDescent="0.2">
      <c r="A232" s="19"/>
      <c r="B232" s="19"/>
      <c r="C232" s="19"/>
      <c r="D232" s="14"/>
      <c r="F232" s="11"/>
    </row>
    <row r="233" spans="1:6" s="10" customFormat="1" ht="14.25" x14ac:dyDescent="0.2">
      <c r="A233" s="19"/>
      <c r="B233" s="19"/>
      <c r="C233" s="19"/>
      <c r="D233" s="14"/>
      <c r="F233" s="11"/>
    </row>
    <row r="234" spans="1:6" s="10" customFormat="1" ht="14.25" x14ac:dyDescent="0.2">
      <c r="A234" s="19"/>
      <c r="B234" s="19"/>
      <c r="C234" s="19"/>
      <c r="D234" s="14"/>
      <c r="F234" s="11"/>
    </row>
    <row r="235" spans="1:6" s="10" customFormat="1" ht="14.25" x14ac:dyDescent="0.2">
      <c r="A235" s="19"/>
      <c r="B235" s="19"/>
      <c r="C235" s="19"/>
      <c r="D235" s="14"/>
      <c r="F235" s="11"/>
    </row>
    <row r="236" spans="1:6" s="10" customFormat="1" ht="14.25" x14ac:dyDescent="0.2">
      <c r="A236" s="19"/>
      <c r="B236" s="19"/>
      <c r="C236" s="19"/>
      <c r="D236" s="14"/>
      <c r="F236" s="11"/>
    </row>
    <row r="237" spans="1:6" s="10" customFormat="1" ht="14.25" x14ac:dyDescent="0.2">
      <c r="A237" s="19"/>
      <c r="B237" s="19"/>
      <c r="C237" s="19"/>
      <c r="D237" s="14"/>
      <c r="F237" s="11"/>
    </row>
    <row r="238" spans="1:6" s="10" customFormat="1" ht="14.25" x14ac:dyDescent="0.2">
      <c r="A238" s="19"/>
      <c r="B238" s="19"/>
      <c r="C238" s="19"/>
      <c r="D238" s="14"/>
      <c r="F238" s="11"/>
    </row>
    <row r="239" spans="1:6" s="10" customFormat="1" ht="14.25" x14ac:dyDescent="0.2">
      <c r="A239" s="19"/>
      <c r="B239" s="19"/>
      <c r="C239" s="19"/>
      <c r="D239" s="14"/>
      <c r="F239" s="11"/>
    </row>
    <row r="240" spans="1:6" s="10" customFormat="1" ht="14.25" x14ac:dyDescent="0.2">
      <c r="A240" s="19"/>
      <c r="B240" s="19"/>
      <c r="C240" s="19"/>
      <c r="D240" s="14"/>
      <c r="F240" s="11"/>
    </row>
    <row r="241" spans="1:6" s="10" customFormat="1" ht="14.25" x14ac:dyDescent="0.2">
      <c r="A241" s="19"/>
      <c r="B241" s="19"/>
      <c r="C241" s="19"/>
      <c r="D241" s="14"/>
      <c r="F241" s="11"/>
    </row>
    <row r="242" spans="1:6" s="10" customFormat="1" ht="14.25" x14ac:dyDescent="0.2">
      <c r="A242" s="19"/>
      <c r="B242" s="19"/>
      <c r="C242" s="19"/>
      <c r="D242" s="14"/>
      <c r="F242" s="11"/>
    </row>
    <row r="243" spans="1:6" s="10" customFormat="1" ht="14.25" x14ac:dyDescent="0.2">
      <c r="A243" s="19"/>
      <c r="B243" s="19"/>
      <c r="C243" s="19"/>
      <c r="D243" s="14"/>
      <c r="F243" s="11"/>
    </row>
    <row r="244" spans="1:6" s="10" customFormat="1" ht="14.25" x14ac:dyDescent="0.2">
      <c r="A244" s="19"/>
      <c r="B244" s="19"/>
      <c r="C244" s="19"/>
      <c r="D244" s="14"/>
      <c r="F244" s="11"/>
    </row>
    <row r="245" spans="1:6" s="10" customFormat="1" ht="14.25" x14ac:dyDescent="0.2">
      <c r="A245" s="19"/>
      <c r="B245" s="19"/>
      <c r="C245" s="19"/>
      <c r="D245" s="14"/>
      <c r="F245" s="11"/>
    </row>
    <row r="246" spans="1:6" s="10" customFormat="1" ht="14.25" x14ac:dyDescent="0.2">
      <c r="A246" s="19"/>
      <c r="B246" s="19"/>
      <c r="C246" s="19"/>
      <c r="D246" s="14"/>
      <c r="F246" s="11"/>
    </row>
    <row r="247" spans="1:6" s="10" customFormat="1" ht="14.25" x14ac:dyDescent="0.2">
      <c r="A247" s="19"/>
      <c r="B247" s="19"/>
      <c r="C247" s="19"/>
      <c r="D247" s="14"/>
      <c r="F247" s="11"/>
    </row>
    <row r="248" spans="1:6" s="10" customFormat="1" ht="14.25" x14ac:dyDescent="0.2">
      <c r="A248" s="19"/>
      <c r="B248" s="19"/>
      <c r="C248" s="19"/>
      <c r="D248" s="14"/>
      <c r="F248" s="11"/>
    </row>
    <row r="249" spans="1:6" s="10" customFormat="1" ht="14.25" x14ac:dyDescent="0.2">
      <c r="A249" s="19"/>
      <c r="B249" s="19"/>
      <c r="C249" s="19"/>
      <c r="D249" s="14"/>
      <c r="F249" s="11"/>
    </row>
    <row r="250" spans="1:6" s="10" customFormat="1" ht="14.25" x14ac:dyDescent="0.2">
      <c r="A250" s="19"/>
      <c r="B250" s="19"/>
      <c r="C250" s="19"/>
      <c r="D250" s="14"/>
      <c r="F250" s="11"/>
    </row>
    <row r="251" spans="1:6" s="10" customFormat="1" ht="14.25" x14ac:dyDescent="0.2">
      <c r="A251" s="19"/>
      <c r="B251" s="19"/>
      <c r="C251" s="19"/>
      <c r="D251" s="14"/>
      <c r="F251" s="11"/>
    </row>
    <row r="252" spans="1:6" s="10" customFormat="1" ht="14.25" x14ac:dyDescent="0.2">
      <c r="A252" s="19"/>
      <c r="B252" s="19"/>
      <c r="C252" s="19"/>
      <c r="D252" s="14"/>
      <c r="F252" s="11"/>
    </row>
    <row r="253" spans="1:6" s="10" customFormat="1" ht="14.25" x14ac:dyDescent="0.2">
      <c r="A253" s="19"/>
      <c r="B253" s="19"/>
      <c r="C253" s="19"/>
      <c r="D253" s="14"/>
      <c r="F253" s="11"/>
    </row>
    <row r="254" spans="1:6" s="10" customFormat="1" ht="14.25" x14ac:dyDescent="0.2">
      <c r="A254" s="19"/>
      <c r="B254" s="19"/>
      <c r="C254" s="19"/>
      <c r="D254" s="14"/>
      <c r="F254" s="11"/>
    </row>
    <row r="255" spans="1:6" s="10" customFormat="1" ht="14.25" x14ac:dyDescent="0.2">
      <c r="A255" s="19"/>
      <c r="B255" s="19"/>
      <c r="C255" s="19"/>
      <c r="D255" s="14"/>
      <c r="F255" s="11"/>
    </row>
    <row r="256" spans="1:6" s="10" customFormat="1" ht="14.25" x14ac:dyDescent="0.2">
      <c r="A256" s="19"/>
      <c r="B256" s="19"/>
      <c r="C256" s="19"/>
      <c r="D256" s="14"/>
      <c r="F256" s="11"/>
    </row>
    <row r="257" spans="1:6" s="10" customFormat="1" ht="14.25" x14ac:dyDescent="0.2">
      <c r="A257" s="19"/>
      <c r="B257" s="19"/>
      <c r="C257" s="19"/>
      <c r="D257" s="14"/>
      <c r="F257" s="11"/>
    </row>
    <row r="258" spans="1:6" s="10" customFormat="1" ht="14.25" x14ac:dyDescent="0.2">
      <c r="A258" s="19"/>
      <c r="B258" s="19"/>
      <c r="C258" s="19"/>
      <c r="D258" s="14"/>
      <c r="F258" s="11"/>
    </row>
    <row r="259" spans="1:6" s="10" customFormat="1" ht="14.25" x14ac:dyDescent="0.2">
      <c r="A259" s="19"/>
      <c r="B259" s="19"/>
      <c r="C259" s="19"/>
      <c r="D259" s="14"/>
      <c r="F259" s="11"/>
    </row>
    <row r="260" spans="1:6" s="10" customFormat="1" ht="14.25" x14ac:dyDescent="0.2">
      <c r="A260" s="19"/>
      <c r="B260" s="19"/>
      <c r="C260" s="19"/>
      <c r="D260" s="14"/>
      <c r="F260" s="11"/>
    </row>
    <row r="261" spans="1:6" s="10" customFormat="1" ht="14.25" x14ac:dyDescent="0.2">
      <c r="A261" s="19"/>
      <c r="B261" s="19"/>
      <c r="C261" s="19"/>
      <c r="D261" s="14"/>
      <c r="F261" s="11"/>
    </row>
    <row r="262" spans="1:6" s="10" customFormat="1" ht="14.25" x14ac:dyDescent="0.2">
      <c r="A262" s="19"/>
      <c r="B262" s="19"/>
      <c r="C262" s="19"/>
      <c r="D262" s="14"/>
      <c r="F262" s="11"/>
    </row>
    <row r="263" spans="1:6" s="10" customFormat="1" ht="14.25" x14ac:dyDescent="0.2">
      <c r="A263" s="19"/>
      <c r="B263" s="19"/>
      <c r="C263" s="19"/>
      <c r="D263" s="14"/>
      <c r="F263" s="11"/>
    </row>
    <row r="264" spans="1:6" s="10" customFormat="1" ht="14.25" x14ac:dyDescent="0.2">
      <c r="A264" s="19"/>
      <c r="B264" s="19"/>
      <c r="C264" s="19"/>
      <c r="D264" s="14"/>
      <c r="F264" s="11"/>
    </row>
    <row r="265" spans="1:6" s="10" customFormat="1" ht="14.25" x14ac:dyDescent="0.2">
      <c r="A265" s="19"/>
      <c r="B265" s="19"/>
      <c r="C265" s="19"/>
      <c r="D265" s="14"/>
      <c r="F265" s="11"/>
    </row>
    <row r="266" spans="1:6" s="10" customFormat="1" ht="14.25" x14ac:dyDescent="0.2">
      <c r="A266" s="19"/>
      <c r="B266" s="19"/>
      <c r="C266" s="19"/>
      <c r="D266" s="14"/>
      <c r="F266" s="11"/>
    </row>
    <row r="267" spans="1:6" s="10" customFormat="1" ht="14.25" x14ac:dyDescent="0.2">
      <c r="A267" s="19"/>
      <c r="B267" s="19"/>
      <c r="C267" s="19"/>
      <c r="D267" s="14"/>
      <c r="F267" s="11"/>
    </row>
    <row r="268" spans="1:6" s="10" customFormat="1" ht="14.25" x14ac:dyDescent="0.2">
      <c r="A268" s="19"/>
      <c r="B268" s="19"/>
      <c r="C268" s="19"/>
      <c r="D268" s="14"/>
      <c r="F268" s="11"/>
    </row>
    <row r="269" spans="1:6" s="10" customFormat="1" ht="14.25" x14ac:dyDescent="0.2">
      <c r="A269" s="19"/>
      <c r="B269" s="19"/>
      <c r="C269" s="19"/>
      <c r="D269" s="14"/>
      <c r="F269" s="11"/>
    </row>
    <row r="270" spans="1:6" s="10" customFormat="1" ht="14.25" x14ac:dyDescent="0.2">
      <c r="A270" s="19"/>
      <c r="B270" s="19"/>
      <c r="C270" s="19"/>
      <c r="D270" s="14"/>
      <c r="F270" s="11"/>
    </row>
    <row r="271" spans="1:6" s="10" customFormat="1" ht="14.25" x14ac:dyDescent="0.2">
      <c r="A271" s="19"/>
      <c r="B271" s="19"/>
      <c r="C271" s="19"/>
      <c r="D271" s="14"/>
      <c r="F271" s="11"/>
    </row>
    <row r="272" spans="1:6" s="10" customFormat="1" ht="14.25" x14ac:dyDescent="0.2">
      <c r="A272" s="19"/>
      <c r="B272" s="19"/>
      <c r="C272" s="19"/>
      <c r="D272" s="14"/>
      <c r="F272" s="11"/>
    </row>
    <row r="273" spans="1:6" s="10" customFormat="1" ht="14.25" x14ac:dyDescent="0.2">
      <c r="A273" s="19"/>
      <c r="B273" s="19"/>
      <c r="C273" s="19"/>
      <c r="D273" s="14"/>
      <c r="F273" s="11"/>
    </row>
    <row r="274" spans="1:6" s="10" customFormat="1" ht="14.25" x14ac:dyDescent="0.2">
      <c r="A274" s="19"/>
      <c r="B274" s="19"/>
      <c r="C274" s="19"/>
      <c r="D274" s="14"/>
      <c r="F274" s="11"/>
    </row>
    <row r="275" spans="1:6" s="10" customFormat="1" ht="14.25" x14ac:dyDescent="0.2">
      <c r="A275" s="19"/>
      <c r="B275" s="19"/>
      <c r="C275" s="19"/>
      <c r="D275" s="14"/>
      <c r="F275" s="11"/>
    </row>
    <row r="276" spans="1:6" s="10" customFormat="1" ht="14.25" x14ac:dyDescent="0.2">
      <c r="A276" s="19"/>
      <c r="B276" s="19"/>
      <c r="C276" s="19"/>
      <c r="D276" s="14"/>
      <c r="F276" s="11"/>
    </row>
    <row r="277" spans="1:6" s="10" customFormat="1" ht="14.25" x14ac:dyDescent="0.2">
      <c r="A277" s="19"/>
      <c r="B277" s="19"/>
      <c r="C277" s="19"/>
      <c r="D277" s="14"/>
      <c r="F277" s="11"/>
    </row>
    <row r="278" spans="1:6" s="10" customFormat="1" ht="14.25" x14ac:dyDescent="0.2">
      <c r="A278" s="19"/>
      <c r="B278" s="19"/>
      <c r="C278" s="19"/>
      <c r="D278" s="14"/>
      <c r="F278" s="11"/>
    </row>
    <row r="279" spans="1:6" s="10" customFormat="1" ht="14.25" x14ac:dyDescent="0.2">
      <c r="A279" s="19"/>
      <c r="B279" s="19"/>
      <c r="C279" s="19"/>
      <c r="D279" s="14"/>
      <c r="F279" s="11"/>
    </row>
    <row r="280" spans="1:6" s="10" customFormat="1" ht="14.25" x14ac:dyDescent="0.2">
      <c r="A280" s="19"/>
      <c r="B280" s="19"/>
      <c r="C280" s="19"/>
      <c r="D280" s="14"/>
      <c r="F280" s="11"/>
    </row>
    <row r="281" spans="1:6" s="10" customFormat="1" ht="14.25" x14ac:dyDescent="0.2">
      <c r="A281" s="19"/>
      <c r="B281" s="19"/>
      <c r="C281" s="19"/>
      <c r="D281" s="14"/>
      <c r="F281" s="11"/>
    </row>
    <row r="282" spans="1:6" s="10" customFormat="1" ht="14.25" x14ac:dyDescent="0.2">
      <c r="A282" s="19"/>
      <c r="B282" s="19"/>
      <c r="C282" s="19"/>
      <c r="D282" s="14"/>
      <c r="F282" s="11"/>
    </row>
    <row r="283" spans="1:6" s="10" customFormat="1" ht="14.25" x14ac:dyDescent="0.2">
      <c r="A283" s="19"/>
      <c r="B283" s="19"/>
      <c r="C283" s="19"/>
      <c r="D283" s="14"/>
      <c r="F283" s="11"/>
    </row>
    <row r="284" spans="1:6" s="10" customFormat="1" ht="14.25" x14ac:dyDescent="0.2">
      <c r="A284" s="19"/>
      <c r="B284" s="19"/>
      <c r="C284" s="19"/>
      <c r="D284" s="14"/>
      <c r="F284" s="11"/>
    </row>
    <row r="285" spans="1:6" s="10" customFormat="1" ht="14.25" x14ac:dyDescent="0.2">
      <c r="A285" s="19"/>
      <c r="B285" s="19"/>
      <c r="C285" s="19"/>
      <c r="D285" s="14"/>
      <c r="F285" s="11"/>
    </row>
    <row r="286" spans="1:6" s="10" customFormat="1" ht="14.25" x14ac:dyDescent="0.2">
      <c r="A286" s="19"/>
      <c r="B286" s="19"/>
      <c r="C286" s="19"/>
      <c r="D286" s="14"/>
      <c r="F286" s="11"/>
    </row>
    <row r="287" spans="1:6" s="10" customFormat="1" ht="14.25" x14ac:dyDescent="0.2">
      <c r="A287" s="19"/>
      <c r="B287" s="19"/>
      <c r="C287" s="19"/>
      <c r="D287" s="14"/>
      <c r="F287" s="11"/>
    </row>
    <row r="288" spans="1:6" s="10" customFormat="1" ht="14.25" x14ac:dyDescent="0.2">
      <c r="A288" s="19"/>
      <c r="B288" s="19"/>
      <c r="C288" s="19"/>
      <c r="D288" s="14"/>
      <c r="F288" s="11"/>
    </row>
    <row r="289" spans="1:6" s="10" customFormat="1" ht="14.25" x14ac:dyDescent="0.2">
      <c r="A289" s="19"/>
      <c r="B289" s="19"/>
      <c r="C289" s="19"/>
      <c r="D289" s="14"/>
      <c r="F289" s="11"/>
    </row>
    <row r="290" spans="1:6" s="10" customFormat="1" ht="14.25" x14ac:dyDescent="0.2">
      <c r="A290" s="19"/>
      <c r="B290" s="19"/>
      <c r="C290" s="19"/>
      <c r="D290" s="14"/>
      <c r="F290" s="11"/>
    </row>
    <row r="291" spans="1:6" s="10" customFormat="1" ht="14.25" x14ac:dyDescent="0.2">
      <c r="A291" s="19"/>
      <c r="B291" s="19"/>
      <c r="C291" s="19"/>
      <c r="D291" s="14"/>
      <c r="F291" s="11"/>
    </row>
    <row r="292" spans="1:6" s="10" customFormat="1" ht="14.25" x14ac:dyDescent="0.2">
      <c r="A292" s="19"/>
      <c r="B292" s="19"/>
      <c r="C292" s="19"/>
      <c r="D292" s="14"/>
      <c r="F292" s="11"/>
    </row>
    <row r="293" spans="1:6" s="10" customFormat="1" ht="14.25" x14ac:dyDescent="0.2">
      <c r="A293" s="19"/>
      <c r="B293" s="19"/>
      <c r="C293" s="19"/>
      <c r="D293" s="14"/>
      <c r="F293" s="11"/>
    </row>
    <row r="294" spans="1:6" s="10" customFormat="1" ht="14.25" x14ac:dyDescent="0.2">
      <c r="A294" s="19"/>
      <c r="B294" s="19"/>
      <c r="C294" s="19"/>
      <c r="D294" s="14"/>
      <c r="F294" s="11"/>
    </row>
    <row r="295" spans="1:6" s="10" customFormat="1" ht="14.25" x14ac:dyDescent="0.2">
      <c r="A295" s="19"/>
      <c r="B295" s="19"/>
      <c r="C295" s="19"/>
      <c r="D295" s="14"/>
      <c r="F295" s="11"/>
    </row>
    <row r="296" spans="1:6" s="10" customFormat="1" ht="14.25" x14ac:dyDescent="0.2">
      <c r="A296" s="19"/>
      <c r="B296" s="19"/>
      <c r="C296" s="19"/>
      <c r="D296" s="14"/>
      <c r="F296" s="11"/>
    </row>
    <row r="297" spans="1:6" s="10" customFormat="1" ht="14.25" x14ac:dyDescent="0.2">
      <c r="A297" s="19"/>
      <c r="B297" s="19"/>
      <c r="C297" s="19"/>
      <c r="D297" s="14"/>
      <c r="F297" s="11"/>
    </row>
    <row r="298" spans="1:6" s="10" customFormat="1" ht="14.25" x14ac:dyDescent="0.2">
      <c r="A298" s="19"/>
      <c r="B298" s="19"/>
      <c r="C298" s="19"/>
      <c r="D298" s="14"/>
      <c r="F298" s="11"/>
    </row>
    <row r="299" spans="1:6" s="10" customFormat="1" ht="14.25" x14ac:dyDescent="0.2">
      <c r="A299" s="19"/>
      <c r="B299" s="19"/>
      <c r="C299" s="19"/>
      <c r="D299" s="14"/>
      <c r="F299" s="11"/>
    </row>
    <row r="300" spans="1:6" s="10" customFormat="1" ht="14.25" x14ac:dyDescent="0.2">
      <c r="A300" s="19"/>
      <c r="B300" s="19"/>
      <c r="C300" s="19"/>
      <c r="D300" s="14"/>
      <c r="F300" s="11"/>
    </row>
    <row r="301" spans="1:6" s="10" customFormat="1" ht="14.25" x14ac:dyDescent="0.2">
      <c r="A301" s="19"/>
      <c r="B301" s="19"/>
      <c r="C301" s="19"/>
      <c r="D301" s="14"/>
      <c r="F301" s="11"/>
    </row>
    <row r="302" spans="1:6" s="10" customFormat="1" ht="14.25" x14ac:dyDescent="0.2">
      <c r="A302" s="19"/>
      <c r="B302" s="19"/>
      <c r="C302" s="19"/>
      <c r="D302" s="14"/>
      <c r="F302" s="11"/>
    </row>
    <row r="303" spans="1:6" s="10" customFormat="1" ht="14.25" x14ac:dyDescent="0.2">
      <c r="A303" s="19"/>
      <c r="B303" s="19"/>
      <c r="C303" s="19"/>
      <c r="D303" s="14"/>
      <c r="F303" s="11"/>
    </row>
    <row r="304" spans="1:6" s="10" customFormat="1" ht="14.25" x14ac:dyDescent="0.2">
      <c r="A304" s="19"/>
      <c r="B304" s="19"/>
      <c r="C304" s="19"/>
      <c r="D304" s="14"/>
      <c r="F304" s="11"/>
    </row>
    <row r="305" spans="1:6" s="10" customFormat="1" ht="14.25" x14ac:dyDescent="0.2">
      <c r="A305" s="19"/>
      <c r="B305" s="19"/>
      <c r="C305" s="19"/>
      <c r="D305" s="14"/>
      <c r="F305" s="11"/>
    </row>
    <row r="306" spans="1:6" s="10" customFormat="1" ht="14.25" x14ac:dyDescent="0.2">
      <c r="A306" s="19"/>
      <c r="B306" s="19"/>
      <c r="C306" s="19"/>
      <c r="D306" s="14"/>
      <c r="F306" s="11"/>
    </row>
    <row r="307" spans="1:6" s="10" customFormat="1" ht="14.25" x14ac:dyDescent="0.2">
      <c r="A307" s="19"/>
      <c r="B307" s="19"/>
      <c r="C307" s="19"/>
      <c r="D307" s="14"/>
      <c r="F307" s="11"/>
    </row>
    <row r="308" spans="1:6" s="10" customFormat="1" ht="14.25" x14ac:dyDescent="0.2">
      <c r="A308" s="19"/>
      <c r="B308" s="19"/>
      <c r="C308" s="19"/>
      <c r="D308" s="14"/>
      <c r="F308" s="11"/>
    </row>
    <row r="309" spans="1:6" s="10" customFormat="1" ht="14.25" x14ac:dyDescent="0.2">
      <c r="A309" s="19"/>
      <c r="B309" s="19"/>
      <c r="C309" s="19"/>
      <c r="D309" s="14"/>
      <c r="F309" s="11"/>
    </row>
    <row r="310" spans="1:6" s="10" customFormat="1" ht="14.25" x14ac:dyDescent="0.2">
      <c r="A310" s="19"/>
      <c r="B310" s="19"/>
      <c r="C310" s="19"/>
      <c r="D310" s="14"/>
      <c r="F310" s="11"/>
    </row>
    <row r="311" spans="1:6" s="10" customFormat="1" ht="14.25" x14ac:dyDescent="0.2">
      <c r="A311" s="19"/>
      <c r="B311" s="19"/>
      <c r="C311" s="19"/>
      <c r="D311" s="14"/>
      <c r="F311" s="11"/>
    </row>
    <row r="312" spans="1:6" s="10" customFormat="1" ht="14.25" x14ac:dyDescent="0.2">
      <c r="A312" s="19"/>
      <c r="B312" s="19"/>
      <c r="C312" s="19"/>
      <c r="D312" s="14"/>
      <c r="F312" s="11"/>
    </row>
    <row r="313" spans="1:6" s="10" customFormat="1" ht="14.25" x14ac:dyDescent="0.2">
      <c r="A313" s="19"/>
      <c r="B313" s="19"/>
      <c r="C313" s="19"/>
      <c r="D313" s="14"/>
      <c r="F313" s="11"/>
    </row>
    <row r="314" spans="1:6" s="10" customFormat="1" ht="14.25" x14ac:dyDescent="0.2">
      <c r="A314" s="19"/>
      <c r="B314" s="19"/>
      <c r="C314" s="19"/>
      <c r="D314" s="14"/>
      <c r="F314" s="11"/>
    </row>
    <row r="315" spans="1:6" s="10" customFormat="1" ht="14.25" x14ac:dyDescent="0.2">
      <c r="A315" s="19"/>
      <c r="B315" s="19"/>
      <c r="C315" s="19"/>
      <c r="D315" s="14"/>
      <c r="F315" s="11"/>
    </row>
    <row r="316" spans="1:6" s="10" customFormat="1" ht="14.25" x14ac:dyDescent="0.2">
      <c r="A316" s="19"/>
      <c r="B316" s="19"/>
      <c r="C316" s="19"/>
      <c r="D316" s="14"/>
      <c r="F316" s="11"/>
    </row>
    <row r="317" spans="1:6" s="10" customFormat="1" ht="14.25" x14ac:dyDescent="0.2">
      <c r="A317" s="19"/>
      <c r="B317" s="19"/>
      <c r="C317" s="19"/>
      <c r="D317" s="14"/>
      <c r="F317" s="11"/>
    </row>
    <row r="318" spans="1:6" s="10" customFormat="1" ht="14.25" x14ac:dyDescent="0.2">
      <c r="A318" s="19"/>
      <c r="B318" s="19"/>
      <c r="C318" s="19"/>
      <c r="D318" s="14"/>
      <c r="F318" s="11"/>
    </row>
    <row r="319" spans="1:6" s="10" customFormat="1" ht="14.25" x14ac:dyDescent="0.2">
      <c r="A319" s="19"/>
      <c r="B319" s="19"/>
      <c r="C319" s="19"/>
      <c r="D319" s="14"/>
      <c r="F319" s="11"/>
    </row>
    <row r="320" spans="1:6" s="10" customFormat="1" ht="14.25" x14ac:dyDescent="0.2">
      <c r="A320" s="19"/>
      <c r="B320" s="19"/>
      <c r="C320" s="19"/>
      <c r="D320" s="14"/>
      <c r="F320" s="11"/>
    </row>
    <row r="321" spans="1:6" s="10" customFormat="1" ht="14.25" x14ac:dyDescent="0.2">
      <c r="A321" s="19"/>
      <c r="B321" s="19"/>
      <c r="C321" s="19"/>
      <c r="D321" s="14"/>
      <c r="F321" s="11"/>
    </row>
    <row r="322" spans="1:6" s="10" customFormat="1" ht="14.25" x14ac:dyDescent="0.2">
      <c r="A322" s="19"/>
      <c r="B322" s="19"/>
      <c r="C322" s="19"/>
      <c r="D322" s="14"/>
      <c r="F322" s="11"/>
    </row>
    <row r="323" spans="1:6" s="10" customFormat="1" ht="14.25" x14ac:dyDescent="0.2">
      <c r="A323" s="19"/>
      <c r="B323" s="19"/>
      <c r="C323" s="19"/>
      <c r="D323" s="14"/>
      <c r="F323" s="11"/>
    </row>
    <row r="324" spans="1:6" s="10" customFormat="1" ht="14.25" x14ac:dyDescent="0.2">
      <c r="A324" s="19"/>
      <c r="B324" s="19"/>
      <c r="C324" s="19"/>
      <c r="D324" s="14"/>
      <c r="F324" s="11"/>
    </row>
    <row r="325" spans="1:6" s="10" customFormat="1" ht="14.25" x14ac:dyDescent="0.2">
      <c r="A325" s="19"/>
      <c r="B325" s="19"/>
      <c r="C325" s="19"/>
      <c r="D325" s="14"/>
      <c r="F325" s="11"/>
    </row>
    <row r="326" spans="1:6" s="10" customFormat="1" ht="14.25" x14ac:dyDescent="0.2">
      <c r="A326" s="19"/>
      <c r="B326" s="19"/>
      <c r="C326" s="19"/>
      <c r="D326" s="14"/>
      <c r="F326" s="11"/>
    </row>
    <row r="327" spans="1:6" s="10" customFormat="1" ht="14.25" x14ac:dyDescent="0.2">
      <c r="A327" s="19"/>
      <c r="B327" s="19"/>
      <c r="C327" s="19"/>
      <c r="D327" s="14"/>
      <c r="F327" s="11"/>
    </row>
    <row r="328" spans="1:6" s="10" customFormat="1" ht="14.25" x14ac:dyDescent="0.2">
      <c r="A328" s="19"/>
      <c r="B328" s="19"/>
      <c r="C328" s="19"/>
      <c r="D328" s="14"/>
      <c r="F328" s="11"/>
    </row>
    <row r="329" spans="1:6" s="10" customFormat="1" ht="14.25" x14ac:dyDescent="0.2">
      <c r="A329" s="19"/>
      <c r="B329" s="19"/>
      <c r="C329" s="19"/>
      <c r="D329" s="14"/>
      <c r="F329" s="11"/>
    </row>
    <row r="330" spans="1:6" s="10" customFormat="1" ht="14.25" x14ac:dyDescent="0.2">
      <c r="A330" s="19"/>
      <c r="B330" s="19"/>
      <c r="C330" s="19"/>
      <c r="D330" s="14"/>
      <c r="F330" s="11"/>
    </row>
    <row r="331" spans="1:6" s="10" customFormat="1" ht="14.25" x14ac:dyDescent="0.2">
      <c r="A331" s="19"/>
      <c r="B331" s="19"/>
      <c r="C331" s="19"/>
      <c r="D331" s="14"/>
      <c r="F331" s="11"/>
    </row>
    <row r="332" spans="1:6" s="10" customFormat="1" ht="14.25" x14ac:dyDescent="0.2">
      <c r="A332" s="19"/>
      <c r="B332" s="19"/>
      <c r="C332" s="19"/>
      <c r="D332" s="14"/>
      <c r="F332" s="11"/>
    </row>
    <row r="333" spans="1:6" s="10" customFormat="1" ht="14.25" x14ac:dyDescent="0.2">
      <c r="A333" s="19"/>
      <c r="B333" s="19"/>
      <c r="C333" s="19"/>
      <c r="D333" s="14"/>
      <c r="F333" s="11"/>
    </row>
    <row r="334" spans="1:6" s="10" customFormat="1" ht="14.25" x14ac:dyDescent="0.2">
      <c r="A334" s="19"/>
      <c r="B334" s="19"/>
      <c r="C334" s="19"/>
      <c r="D334" s="14"/>
      <c r="F334" s="11"/>
    </row>
    <row r="335" spans="1:6" s="10" customFormat="1" ht="14.25" x14ac:dyDescent="0.2">
      <c r="A335" s="19"/>
      <c r="B335" s="19"/>
      <c r="C335" s="19"/>
      <c r="D335" s="14"/>
      <c r="F335" s="11"/>
    </row>
    <row r="336" spans="1:6" s="10" customFormat="1" ht="14.25" x14ac:dyDescent="0.2">
      <c r="A336" s="19"/>
      <c r="B336" s="19"/>
      <c r="C336" s="19"/>
      <c r="D336" s="14"/>
      <c r="F336" s="11"/>
    </row>
    <row r="337" spans="1:6" s="10" customFormat="1" ht="14.25" x14ac:dyDescent="0.2">
      <c r="A337" s="19"/>
      <c r="B337" s="19"/>
      <c r="C337" s="19"/>
      <c r="D337" s="14"/>
      <c r="F337" s="11"/>
    </row>
    <row r="338" spans="1:6" s="10" customFormat="1" ht="14.25" x14ac:dyDescent="0.2">
      <c r="A338" s="19"/>
      <c r="B338" s="19"/>
      <c r="C338" s="19"/>
      <c r="D338" s="14"/>
      <c r="F338" s="11"/>
    </row>
    <row r="339" spans="1:6" s="10" customFormat="1" ht="14.25" x14ac:dyDescent="0.2">
      <c r="A339" s="19"/>
      <c r="B339" s="19"/>
      <c r="C339" s="19"/>
      <c r="D339" s="14"/>
      <c r="F339" s="11"/>
    </row>
    <row r="340" spans="1:6" s="10" customFormat="1" ht="14.25" x14ac:dyDescent="0.2">
      <c r="A340" s="19"/>
      <c r="B340" s="19"/>
      <c r="C340" s="19"/>
      <c r="D340" s="14"/>
      <c r="F340" s="11"/>
    </row>
    <row r="341" spans="1:6" s="10" customFormat="1" ht="14.25" x14ac:dyDescent="0.2">
      <c r="A341" s="19"/>
      <c r="B341" s="19"/>
      <c r="C341" s="19"/>
      <c r="D341" s="14"/>
      <c r="F341" s="11"/>
    </row>
    <row r="342" spans="1:6" s="10" customFormat="1" ht="14.25" x14ac:dyDescent="0.2">
      <c r="A342" s="19"/>
      <c r="B342" s="19"/>
      <c r="C342" s="19"/>
      <c r="D342" s="14"/>
      <c r="F342" s="11"/>
    </row>
    <row r="343" spans="1:6" s="10" customFormat="1" ht="14.25" x14ac:dyDescent="0.2">
      <c r="A343" s="19"/>
      <c r="B343" s="19"/>
      <c r="C343" s="19"/>
      <c r="D343" s="14"/>
      <c r="F343" s="11"/>
    </row>
    <row r="344" spans="1:6" s="10" customFormat="1" ht="14.25" x14ac:dyDescent="0.2">
      <c r="A344" s="19"/>
      <c r="B344" s="19"/>
      <c r="C344" s="19"/>
      <c r="D344" s="14"/>
      <c r="F344" s="11"/>
    </row>
    <row r="345" spans="1:6" s="10" customFormat="1" ht="14.25" x14ac:dyDescent="0.2">
      <c r="A345" s="19"/>
      <c r="B345" s="19"/>
      <c r="C345" s="19"/>
      <c r="D345" s="14"/>
      <c r="F345" s="11"/>
    </row>
    <row r="346" spans="1:6" s="10" customFormat="1" ht="14.25" x14ac:dyDescent="0.2">
      <c r="A346" s="19"/>
      <c r="B346" s="19"/>
      <c r="C346" s="19"/>
      <c r="D346" s="14"/>
      <c r="F346" s="11"/>
    </row>
    <row r="347" spans="1:6" s="10" customFormat="1" ht="14.25" x14ac:dyDescent="0.2">
      <c r="A347" s="19"/>
      <c r="B347" s="19"/>
      <c r="C347" s="19"/>
      <c r="D347" s="14"/>
      <c r="F347" s="11"/>
    </row>
    <row r="348" spans="1:6" s="10" customFormat="1" ht="14.25" x14ac:dyDescent="0.2">
      <c r="A348" s="19"/>
      <c r="B348" s="19"/>
      <c r="C348" s="19"/>
      <c r="D348" s="14"/>
      <c r="F348" s="11"/>
    </row>
    <row r="349" spans="1:6" s="10" customFormat="1" ht="14.25" x14ac:dyDescent="0.2">
      <c r="A349" s="19"/>
      <c r="B349" s="19"/>
      <c r="C349" s="19"/>
      <c r="D349" s="14"/>
      <c r="F349" s="11"/>
    </row>
    <row r="350" spans="1:6" s="10" customFormat="1" ht="14.25" x14ac:dyDescent="0.2">
      <c r="A350" s="19"/>
      <c r="B350" s="19"/>
      <c r="C350" s="19"/>
      <c r="D350" s="14"/>
      <c r="F350" s="11"/>
    </row>
    <row r="351" spans="1:6" s="10" customFormat="1" ht="14.25" x14ac:dyDescent="0.2">
      <c r="A351" s="19"/>
      <c r="B351" s="19"/>
      <c r="C351" s="19"/>
      <c r="D351" s="14"/>
      <c r="F351" s="11"/>
    </row>
    <row r="352" spans="1:6" s="10" customFormat="1" ht="14.25" x14ac:dyDescent="0.2">
      <c r="A352" s="19"/>
      <c r="B352" s="19"/>
      <c r="C352" s="19"/>
      <c r="D352" s="14"/>
      <c r="F352" s="11"/>
    </row>
    <row r="353" spans="1:6" s="10" customFormat="1" ht="14.25" x14ac:dyDescent="0.2">
      <c r="A353" s="19"/>
      <c r="B353" s="19"/>
      <c r="C353" s="19"/>
      <c r="D353" s="14"/>
      <c r="F353" s="11"/>
    </row>
    <row r="354" spans="1:6" s="10" customFormat="1" ht="14.25" x14ac:dyDescent="0.2">
      <c r="A354" s="19"/>
      <c r="B354" s="19"/>
      <c r="C354" s="19"/>
      <c r="D354" s="14"/>
      <c r="F354" s="11"/>
    </row>
    <row r="355" spans="1:6" s="10" customFormat="1" ht="14.25" x14ac:dyDescent="0.2">
      <c r="A355" s="19"/>
      <c r="B355" s="19"/>
      <c r="C355" s="19"/>
      <c r="D355" s="14"/>
      <c r="F355" s="11"/>
    </row>
    <row r="356" spans="1:6" s="10" customFormat="1" ht="14.25" x14ac:dyDescent="0.2">
      <c r="A356" s="19"/>
      <c r="B356" s="19"/>
      <c r="C356" s="19"/>
      <c r="D356" s="14"/>
      <c r="F356" s="11"/>
    </row>
    <row r="357" spans="1:6" s="10" customFormat="1" ht="14.25" x14ac:dyDescent="0.2">
      <c r="A357" s="19"/>
      <c r="B357" s="19"/>
      <c r="C357" s="19"/>
      <c r="D357" s="14"/>
      <c r="F357" s="11"/>
    </row>
    <row r="358" spans="1:6" s="10" customFormat="1" ht="14.25" x14ac:dyDescent="0.2">
      <c r="A358" s="19"/>
      <c r="B358" s="19"/>
      <c r="C358" s="19"/>
      <c r="D358" s="14"/>
      <c r="F358" s="11"/>
    </row>
    <row r="359" spans="1:6" s="10" customFormat="1" ht="14.25" x14ac:dyDescent="0.2">
      <c r="A359" s="19"/>
      <c r="B359" s="19"/>
      <c r="C359" s="19"/>
      <c r="D359" s="14"/>
      <c r="F359" s="11"/>
    </row>
    <row r="360" spans="1:6" s="10" customFormat="1" ht="14.25" x14ac:dyDescent="0.2">
      <c r="A360" s="19"/>
      <c r="B360" s="19"/>
      <c r="C360" s="19"/>
      <c r="D360" s="14"/>
      <c r="F360" s="11"/>
    </row>
    <row r="361" spans="1:6" s="10" customFormat="1" ht="14.25" x14ac:dyDescent="0.2">
      <c r="A361" s="19"/>
      <c r="B361" s="19"/>
      <c r="C361" s="19"/>
      <c r="D361" s="14"/>
      <c r="F361" s="11"/>
    </row>
    <row r="362" spans="1:6" s="10" customFormat="1" ht="14.25" x14ac:dyDescent="0.2">
      <c r="A362" s="19"/>
      <c r="B362" s="19"/>
      <c r="C362" s="19"/>
      <c r="D362" s="14"/>
      <c r="F362" s="11"/>
    </row>
    <row r="363" spans="1:6" s="10" customFormat="1" ht="14.25" x14ac:dyDescent="0.2">
      <c r="A363" s="19"/>
      <c r="B363" s="19"/>
      <c r="C363" s="19"/>
      <c r="D363" s="14"/>
      <c r="F363" s="11"/>
    </row>
    <row r="364" spans="1:6" s="10" customFormat="1" ht="14.25" x14ac:dyDescent="0.2">
      <c r="A364" s="19"/>
      <c r="B364" s="19"/>
      <c r="C364" s="19"/>
      <c r="D364" s="14"/>
      <c r="F364" s="11"/>
    </row>
    <row r="365" spans="1:6" s="10" customFormat="1" ht="14.25" x14ac:dyDescent="0.2">
      <c r="A365" s="19"/>
      <c r="B365" s="19"/>
      <c r="C365" s="19"/>
      <c r="D365" s="14"/>
      <c r="F365" s="11"/>
    </row>
    <row r="366" spans="1:6" s="10" customFormat="1" ht="14.25" x14ac:dyDescent="0.2">
      <c r="A366" s="19"/>
      <c r="B366" s="19"/>
      <c r="C366" s="19"/>
      <c r="D366" s="14"/>
      <c r="F366" s="11"/>
    </row>
    <row r="367" spans="1:6" s="10" customFormat="1" ht="14.25" x14ac:dyDescent="0.2">
      <c r="A367" s="19"/>
      <c r="B367" s="19"/>
      <c r="C367" s="19"/>
      <c r="D367" s="14"/>
      <c r="F367" s="11"/>
    </row>
    <row r="368" spans="1:6" s="10" customFormat="1" ht="14.25" x14ac:dyDescent="0.2">
      <c r="A368" s="19"/>
      <c r="B368" s="19"/>
      <c r="C368" s="19"/>
      <c r="D368" s="14"/>
      <c r="F368" s="11"/>
    </row>
    <row r="369" spans="1:6" s="10" customFormat="1" ht="14.25" x14ac:dyDescent="0.2">
      <c r="A369" s="19"/>
      <c r="B369" s="19"/>
      <c r="C369" s="19"/>
      <c r="D369" s="14"/>
      <c r="F369" s="11"/>
    </row>
    <row r="370" spans="1:6" s="10" customFormat="1" ht="14.25" x14ac:dyDescent="0.2">
      <c r="A370" s="19"/>
      <c r="B370" s="19"/>
      <c r="C370" s="19"/>
      <c r="D370" s="14"/>
      <c r="F370" s="11"/>
    </row>
    <row r="371" spans="1:6" s="10" customFormat="1" ht="14.25" x14ac:dyDescent="0.2">
      <c r="A371" s="19"/>
      <c r="B371" s="19"/>
      <c r="C371" s="19"/>
      <c r="D371" s="14"/>
      <c r="F371" s="11"/>
    </row>
    <row r="372" spans="1:6" s="10" customFormat="1" ht="14.25" x14ac:dyDescent="0.2">
      <c r="A372" s="19"/>
      <c r="B372" s="19"/>
      <c r="C372" s="19"/>
      <c r="D372" s="14"/>
      <c r="F372" s="11"/>
    </row>
    <row r="373" spans="1:6" s="10" customFormat="1" ht="14.25" x14ac:dyDescent="0.2">
      <c r="A373" s="19"/>
      <c r="B373" s="19"/>
      <c r="C373" s="19"/>
      <c r="D373" s="14"/>
      <c r="F373" s="11"/>
    </row>
    <row r="374" spans="1:6" s="10" customFormat="1" ht="14.25" x14ac:dyDescent="0.2">
      <c r="A374" s="19"/>
      <c r="B374" s="19"/>
      <c r="C374" s="19"/>
      <c r="D374" s="14"/>
      <c r="F374" s="11"/>
    </row>
    <row r="375" spans="1:6" s="10" customFormat="1" ht="14.25" x14ac:dyDescent="0.2">
      <c r="A375" s="19"/>
      <c r="B375" s="19"/>
      <c r="C375" s="19"/>
      <c r="D375" s="14"/>
      <c r="F375" s="11"/>
    </row>
    <row r="376" spans="1:6" s="10" customFormat="1" ht="14.25" x14ac:dyDescent="0.2">
      <c r="A376" s="19"/>
      <c r="B376" s="19"/>
      <c r="C376" s="19"/>
      <c r="D376" s="14"/>
      <c r="F376" s="11"/>
    </row>
    <row r="377" spans="1:6" s="10" customFormat="1" ht="14.25" x14ac:dyDescent="0.2">
      <c r="A377" s="19"/>
      <c r="B377" s="19"/>
      <c r="C377" s="19"/>
      <c r="D377" s="14"/>
      <c r="F377" s="11"/>
    </row>
    <row r="378" spans="1:6" s="10" customFormat="1" ht="14.25" x14ac:dyDescent="0.2">
      <c r="A378" s="19"/>
      <c r="B378" s="19"/>
      <c r="C378" s="19"/>
      <c r="D378" s="14"/>
      <c r="F378" s="11"/>
    </row>
    <row r="379" spans="1:6" s="10" customFormat="1" ht="14.25" x14ac:dyDescent="0.2">
      <c r="A379" s="19"/>
      <c r="B379" s="19"/>
      <c r="C379" s="19"/>
      <c r="D379" s="14"/>
      <c r="F379" s="11"/>
    </row>
    <row r="380" spans="1:6" s="10" customFormat="1" ht="14.25" x14ac:dyDescent="0.2">
      <c r="A380" s="19"/>
      <c r="B380" s="19"/>
      <c r="C380" s="19"/>
      <c r="D380" s="14"/>
      <c r="F380" s="11"/>
    </row>
    <row r="381" spans="1:6" s="10" customFormat="1" ht="14.25" x14ac:dyDescent="0.2">
      <c r="A381" s="19"/>
      <c r="B381" s="19"/>
      <c r="C381" s="19"/>
      <c r="D381" s="14"/>
      <c r="F381" s="11"/>
    </row>
    <row r="382" spans="1:6" s="10" customFormat="1" ht="14.25" x14ac:dyDescent="0.2">
      <c r="A382" s="19"/>
      <c r="B382" s="19"/>
      <c r="C382" s="19"/>
      <c r="D382" s="14"/>
      <c r="F382" s="11"/>
    </row>
    <row r="383" spans="1:6" s="10" customFormat="1" ht="14.25" x14ac:dyDescent="0.2">
      <c r="A383" s="19"/>
      <c r="B383" s="19"/>
      <c r="C383" s="19"/>
      <c r="D383" s="14"/>
      <c r="F383" s="11"/>
    </row>
    <row r="384" spans="1:6" s="10" customFormat="1" ht="14.25" x14ac:dyDescent="0.2">
      <c r="A384" s="19"/>
      <c r="B384" s="19"/>
      <c r="C384" s="19"/>
      <c r="D384" s="14"/>
      <c r="F384" s="11"/>
    </row>
    <row r="385" spans="1:6" s="10" customFormat="1" ht="14.25" x14ac:dyDescent="0.2">
      <c r="A385" s="19"/>
      <c r="B385" s="19"/>
      <c r="C385" s="19"/>
      <c r="D385" s="14"/>
      <c r="F385" s="11"/>
    </row>
    <row r="386" spans="1:6" s="10" customFormat="1" ht="14.25" x14ac:dyDescent="0.2">
      <c r="A386" s="19"/>
      <c r="B386" s="19"/>
      <c r="C386" s="19"/>
      <c r="D386" s="14"/>
      <c r="F386" s="11"/>
    </row>
    <row r="387" spans="1:6" s="10" customFormat="1" ht="14.25" x14ac:dyDescent="0.2">
      <c r="A387" s="19"/>
      <c r="B387" s="19"/>
      <c r="C387" s="19"/>
      <c r="D387" s="14"/>
      <c r="F387" s="11"/>
    </row>
    <row r="388" spans="1:6" s="10" customFormat="1" ht="14.25" x14ac:dyDescent="0.2">
      <c r="A388" s="19"/>
      <c r="B388" s="19"/>
      <c r="C388" s="19"/>
      <c r="D388" s="14"/>
      <c r="F388" s="11"/>
    </row>
    <row r="389" spans="1:6" s="10" customFormat="1" ht="14.25" x14ac:dyDescent="0.2">
      <c r="A389" s="19"/>
      <c r="B389" s="19"/>
      <c r="C389" s="19"/>
      <c r="D389" s="14"/>
      <c r="F389" s="11"/>
    </row>
    <row r="390" spans="1:6" s="10" customFormat="1" ht="14.25" x14ac:dyDescent="0.2">
      <c r="A390" s="19"/>
      <c r="B390" s="19"/>
      <c r="C390" s="19"/>
      <c r="D390" s="14"/>
      <c r="F390" s="11"/>
    </row>
    <row r="391" spans="1:6" s="10" customFormat="1" ht="14.25" x14ac:dyDescent="0.2">
      <c r="A391" s="19"/>
      <c r="B391" s="19"/>
      <c r="C391" s="19"/>
      <c r="D391" s="14"/>
      <c r="F391" s="11"/>
    </row>
    <row r="392" spans="1:6" s="10" customFormat="1" ht="14.25" x14ac:dyDescent="0.2">
      <c r="A392" s="19"/>
      <c r="B392" s="19"/>
      <c r="C392" s="19"/>
      <c r="D392" s="14"/>
      <c r="F392" s="11"/>
    </row>
    <row r="393" spans="1:6" s="10" customFormat="1" ht="14.25" x14ac:dyDescent="0.2">
      <c r="A393" s="19"/>
      <c r="B393" s="19"/>
      <c r="C393" s="19"/>
      <c r="D393" s="14"/>
      <c r="F393" s="11"/>
    </row>
    <row r="394" spans="1:6" s="10" customFormat="1" ht="14.25" x14ac:dyDescent="0.2">
      <c r="A394" s="19"/>
      <c r="B394" s="19"/>
      <c r="C394" s="19"/>
      <c r="D394" s="14"/>
      <c r="F394" s="11"/>
    </row>
    <row r="395" spans="1:6" s="10" customFormat="1" ht="14.25" x14ac:dyDescent="0.2">
      <c r="A395" s="19"/>
      <c r="B395" s="19"/>
      <c r="C395" s="19"/>
      <c r="D395" s="14"/>
      <c r="F395" s="11"/>
    </row>
    <row r="396" spans="1:6" s="10" customFormat="1" ht="14.25" x14ac:dyDescent="0.2">
      <c r="A396" s="19"/>
      <c r="B396" s="19"/>
      <c r="C396" s="19"/>
      <c r="D396" s="14"/>
      <c r="F396" s="11"/>
    </row>
    <row r="397" spans="1:6" s="10" customFormat="1" ht="14.25" x14ac:dyDescent="0.2">
      <c r="A397" s="19"/>
      <c r="B397" s="19"/>
      <c r="C397" s="19"/>
      <c r="D397" s="14"/>
      <c r="F397" s="11"/>
    </row>
    <row r="398" spans="1:6" s="10" customFormat="1" ht="14.25" x14ac:dyDescent="0.2">
      <c r="A398" s="19"/>
      <c r="B398" s="19"/>
      <c r="C398" s="19"/>
      <c r="D398" s="14"/>
      <c r="F398" s="11"/>
    </row>
    <row r="399" spans="1:6" s="10" customFormat="1" ht="14.25" x14ac:dyDescent="0.2">
      <c r="A399" s="19"/>
      <c r="B399" s="19"/>
      <c r="C399" s="19"/>
      <c r="D399" s="14"/>
      <c r="F399" s="11"/>
    </row>
    <row r="400" spans="1:6" s="10" customFormat="1" ht="14.25" x14ac:dyDescent="0.2">
      <c r="A400" s="19"/>
      <c r="B400" s="19"/>
      <c r="C400" s="19"/>
      <c r="D400" s="14"/>
      <c r="F400" s="11"/>
    </row>
    <row r="401" spans="1:6" s="10" customFormat="1" ht="14.25" x14ac:dyDescent="0.2">
      <c r="A401" s="19"/>
      <c r="B401" s="19"/>
      <c r="C401" s="19"/>
      <c r="D401" s="14"/>
      <c r="F401" s="11"/>
    </row>
    <row r="402" spans="1:6" s="10" customFormat="1" ht="14.25" x14ac:dyDescent="0.2">
      <c r="A402" s="19"/>
      <c r="B402" s="19"/>
      <c r="C402" s="19"/>
      <c r="D402" s="14"/>
      <c r="F402" s="11"/>
    </row>
    <row r="403" spans="1:6" s="10" customFormat="1" ht="14.25" x14ac:dyDescent="0.2">
      <c r="A403" s="19"/>
      <c r="B403" s="19"/>
      <c r="C403" s="19"/>
      <c r="D403" s="14"/>
      <c r="F403" s="11"/>
    </row>
    <row r="404" spans="1:6" s="10" customFormat="1" ht="14.25" x14ac:dyDescent="0.2">
      <c r="A404" s="19"/>
      <c r="B404" s="19"/>
      <c r="C404" s="19"/>
      <c r="D404" s="14"/>
      <c r="F404" s="11"/>
    </row>
    <row r="405" spans="1:6" s="10" customFormat="1" ht="14.25" x14ac:dyDescent="0.2">
      <c r="A405" s="19"/>
      <c r="B405" s="19"/>
      <c r="C405" s="19"/>
      <c r="D405" s="14"/>
      <c r="F405" s="11"/>
    </row>
    <row r="406" spans="1:6" s="10" customFormat="1" ht="14.25" x14ac:dyDescent="0.2">
      <c r="A406" s="19"/>
      <c r="B406" s="19"/>
      <c r="C406" s="19"/>
      <c r="D406" s="14"/>
      <c r="F406" s="11"/>
    </row>
    <row r="407" spans="1:6" s="10" customFormat="1" ht="14.25" x14ac:dyDescent="0.2">
      <c r="A407" s="19"/>
      <c r="B407" s="19"/>
      <c r="C407" s="19"/>
      <c r="D407" s="14"/>
      <c r="F407" s="11"/>
    </row>
    <row r="408" spans="1:6" s="10" customFormat="1" ht="14.25" x14ac:dyDescent="0.2">
      <c r="A408" s="19"/>
      <c r="B408" s="19"/>
      <c r="C408" s="19"/>
      <c r="D408" s="14"/>
      <c r="F408" s="11"/>
    </row>
    <row r="409" spans="1:6" s="10" customFormat="1" ht="14.25" x14ac:dyDescent="0.2">
      <c r="A409" s="19"/>
      <c r="B409" s="19"/>
      <c r="C409" s="19"/>
      <c r="D409" s="14"/>
      <c r="F409" s="11"/>
    </row>
    <row r="410" spans="1:6" ht="14.25" x14ac:dyDescent="0.2">
      <c r="A410" s="17"/>
      <c r="B410" s="17"/>
      <c r="C410" s="17"/>
      <c r="D410" s="14"/>
    </row>
    <row r="411" spans="1:6" ht="14.25" x14ac:dyDescent="0.2">
      <c r="A411" s="3"/>
      <c r="B411" s="3"/>
      <c r="C411" s="3"/>
      <c r="D411" s="14"/>
    </row>
    <row r="412" spans="1:6" ht="14.25" x14ac:dyDescent="0.2">
      <c r="A412" s="3"/>
      <c r="B412" s="3"/>
      <c r="C412" s="3"/>
      <c r="D412" s="14"/>
    </row>
    <row r="413" spans="1:6" ht="14.25" x14ac:dyDescent="0.2">
      <c r="A413" s="3"/>
      <c r="B413" s="3"/>
      <c r="C413" s="3"/>
      <c r="D413" s="14"/>
    </row>
    <row r="414" spans="1:6" ht="14.25" x14ac:dyDescent="0.2">
      <c r="A414" s="3"/>
      <c r="B414" s="3"/>
      <c r="C414" s="3"/>
      <c r="D414" s="14"/>
    </row>
    <row r="415" spans="1:6" ht="14.25" x14ac:dyDescent="0.2">
      <c r="A415" s="3"/>
      <c r="B415" s="3"/>
      <c r="C415" s="3"/>
      <c r="D415" s="14"/>
    </row>
  </sheetData>
  <sheetProtection algorithmName="SHA-512" hashValue="QKg0o4qmNppUQo+cy+T5tAL46AYOcxSh99ZjzKxgUs8Z2h1f4HrXIXpXvMgeT7p9UkZg9B2fP4jLKq8tfpgJSQ==" saltValue="jPfaRUSn7KHOYW41nzdyPg==" spinCount="100000" sheet="1" selectLockedCells="1"/>
  <dataConsolidate link="1"/>
  <mergeCells count="5">
    <mergeCell ref="B1:C1"/>
    <mergeCell ref="A2:B2"/>
    <mergeCell ref="A4:B4"/>
    <mergeCell ref="A6:C6"/>
    <mergeCell ref="A8:C8"/>
  </mergeCells>
  <printOptions horizontalCentered="1"/>
  <pageMargins left="0.70866141732283472" right="0.70866141732283472" top="0.74803149606299213" bottom="0.74803149606299213" header="0.31496062992125984" footer="0.31496062992125984"/>
  <pageSetup paperSize="9" scale="74" fitToHeight="0" orientation="landscape" r:id="rId1"/>
  <headerFooter>
    <oddFooter xml:space="preserve">&amp;L&amp;"Century Gothic,Standaard"&amp;8&amp;F
&amp;D&amp;C&amp;"Century Gothic,Standaard"&amp;8Pagina &amp;P van &amp;N&amp;R&amp;"Century Gothic,Vet"&amp;12United Quality&amp;"Century Gothic,Cursief"&amp;8
Advies en Aanbesteding in Afval en Automotive&amp;"Arial,Standaard"&amp;10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EA728-D0F4-43A7-8520-EE98FE6E1266}">
  <sheetPr>
    <pageSetUpPr fitToPage="1"/>
  </sheetPr>
  <dimension ref="A1:D247"/>
  <sheetViews>
    <sheetView showGridLines="0" tabSelected="1" zoomScaleNormal="100" workbookViewId="0">
      <pane xSplit="1" ySplit="3" topLeftCell="B4" activePane="bottomRight" state="frozen"/>
      <selection activeCell="B1" sqref="B1:C1"/>
      <selection pane="topRight" activeCell="B1" sqref="B1:C1"/>
      <selection pane="bottomLeft" activeCell="B1" sqref="B1:C1"/>
      <selection pane="bottomRight" activeCell="C33" sqref="C33"/>
    </sheetView>
    <sheetView showGridLines="0" workbookViewId="1"/>
  </sheetViews>
  <sheetFormatPr defaultColWidth="9.140625" defaultRowHeight="15" x14ac:dyDescent="0.25"/>
  <cols>
    <col min="1" max="1" width="57.28515625" style="83" customWidth="1"/>
    <col min="2" max="4" width="43.140625" style="81" customWidth="1"/>
    <col min="5" max="16384" width="9.140625" style="81"/>
  </cols>
  <sheetData>
    <row r="1" spans="1:4" s="56" customFormat="1" ht="15.75" x14ac:dyDescent="0.25">
      <c r="A1" s="84" t="s">
        <v>8</v>
      </c>
      <c r="B1" s="136" t="s">
        <v>95</v>
      </c>
      <c r="C1" s="136"/>
      <c r="D1" s="136"/>
    </row>
    <row r="2" spans="1:4" s="57" customFormat="1" ht="13.5" x14ac:dyDescent="0.2">
      <c r="A2" s="137" t="s">
        <v>9</v>
      </c>
      <c r="B2" s="137"/>
      <c r="C2" s="137"/>
      <c r="D2" s="137"/>
    </row>
    <row r="3" spans="1:4" s="60" customFormat="1" ht="12.75" x14ac:dyDescent="0.2">
      <c r="A3" s="58" t="s">
        <v>10</v>
      </c>
      <c r="B3" s="92" t="s">
        <v>65</v>
      </c>
      <c r="C3" s="92" t="s">
        <v>66</v>
      </c>
      <c r="D3" s="92" t="s">
        <v>67</v>
      </c>
    </row>
    <row r="4" spans="1:4" s="57" customFormat="1" ht="14.25" x14ac:dyDescent="0.2">
      <c r="A4" s="61" t="s">
        <v>1</v>
      </c>
      <c r="B4" s="96" t="s">
        <v>5</v>
      </c>
      <c r="C4" s="96" t="s">
        <v>68</v>
      </c>
      <c r="D4" s="96" t="s">
        <v>43</v>
      </c>
    </row>
    <row r="5" spans="1:4" s="57" customFormat="1" ht="14.25" x14ac:dyDescent="0.2">
      <c r="A5" s="61" t="s">
        <v>2</v>
      </c>
      <c r="B5" s="96" t="s">
        <v>97</v>
      </c>
      <c r="C5" s="96" t="s">
        <v>69</v>
      </c>
      <c r="D5" s="96" t="s">
        <v>70</v>
      </c>
    </row>
    <row r="6" spans="1:4" s="57" customFormat="1" ht="14.25" x14ac:dyDescent="0.2">
      <c r="A6" s="61" t="s">
        <v>3</v>
      </c>
      <c r="B6" s="110" t="s">
        <v>201</v>
      </c>
      <c r="C6" s="96" t="s">
        <v>107</v>
      </c>
      <c r="D6" s="96" t="s">
        <v>107</v>
      </c>
    </row>
    <row r="7" spans="1:4" s="57" customFormat="1" ht="14.25" x14ac:dyDescent="0.2">
      <c r="A7" s="61" t="s">
        <v>11</v>
      </c>
      <c r="B7" s="96" t="s">
        <v>96</v>
      </c>
      <c r="C7" s="96" t="s">
        <v>96</v>
      </c>
      <c r="D7" s="96" t="s">
        <v>96</v>
      </c>
    </row>
    <row r="8" spans="1:4" s="57" customFormat="1" ht="14.25" x14ac:dyDescent="0.2">
      <c r="A8" s="61" t="s">
        <v>12</v>
      </c>
      <c r="B8" s="96" t="s">
        <v>13</v>
      </c>
      <c r="C8" s="96" t="s">
        <v>13</v>
      </c>
      <c r="D8" s="96" t="s">
        <v>13</v>
      </c>
    </row>
    <row r="9" spans="1:4" s="57" customFormat="1" ht="14.25" x14ac:dyDescent="0.2">
      <c r="A9" s="61" t="s">
        <v>71</v>
      </c>
      <c r="B9" s="97">
        <v>1658</v>
      </c>
      <c r="C9" s="70">
        <v>1749</v>
      </c>
      <c r="D9" s="70">
        <v>1749</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(B13*1.21)+B14</f>
        <v>39318.949999999997</v>
      </c>
      <c r="C12" s="91">
        <f>(C13*1.21)+C14</f>
        <v>33631.949999999997</v>
      </c>
      <c r="D12" s="91">
        <f>(D13*1.21)+D14</f>
        <v>33631.949999999997</v>
      </c>
    </row>
    <row r="13" spans="1:4" s="57" customFormat="1" ht="14.25" x14ac:dyDescent="0.2">
      <c r="A13" s="61" t="s">
        <v>16</v>
      </c>
      <c r="B13" s="91">
        <v>32495</v>
      </c>
      <c r="C13" s="91">
        <v>27795</v>
      </c>
      <c r="D13" s="91">
        <v>27795</v>
      </c>
    </row>
    <row r="14" spans="1:4" s="57" customFormat="1" ht="14.25" x14ac:dyDescent="0.2">
      <c r="A14" s="61" t="s">
        <v>47</v>
      </c>
      <c r="B14" s="91">
        <v>0</v>
      </c>
      <c r="C14" s="91">
        <v>0</v>
      </c>
      <c r="D14" s="91">
        <v>0</v>
      </c>
    </row>
    <row r="15" spans="1:4" s="65" customFormat="1" ht="185.25" x14ac:dyDescent="0.2">
      <c r="A15" s="88" t="s">
        <v>17</v>
      </c>
      <c r="B15" s="93" t="s">
        <v>106</v>
      </c>
      <c r="C15" s="93" t="s">
        <v>98</v>
      </c>
      <c r="D15" s="93" t="s">
        <v>99</v>
      </c>
    </row>
    <row r="16" spans="1:4" s="57" customFormat="1" ht="14.25" x14ac:dyDescent="0.2">
      <c r="A16" s="61" t="s">
        <v>18</v>
      </c>
      <c r="B16" s="91">
        <f>300+750</f>
        <v>1050</v>
      </c>
      <c r="C16" s="91">
        <f>1450+750+100+350+100</f>
        <v>2750</v>
      </c>
      <c r="D16" s="91">
        <f>1450+750+100+350+100</f>
        <v>2750</v>
      </c>
    </row>
    <row r="17" spans="1:4" s="66" customFormat="1" ht="164.25" customHeight="1" x14ac:dyDescent="0.2">
      <c r="A17" s="89" t="s">
        <v>19</v>
      </c>
      <c r="B17" s="93" t="s">
        <v>155</v>
      </c>
      <c r="C17" s="93" t="s">
        <v>154</v>
      </c>
      <c r="D17" s="93" t="s">
        <v>154</v>
      </c>
    </row>
    <row r="18" spans="1:4" s="57" customFormat="1" ht="14.25" x14ac:dyDescent="0.2">
      <c r="A18" s="61" t="s">
        <v>20</v>
      </c>
      <c r="B18" s="91">
        <v>2000</v>
      </c>
      <c r="C18" s="91">
        <v>2300</v>
      </c>
      <c r="D18" s="91">
        <v>2300</v>
      </c>
    </row>
    <row r="19" spans="1:4" s="57" customFormat="1" ht="14.25" x14ac:dyDescent="0.2">
      <c r="A19" s="61" t="s">
        <v>72</v>
      </c>
      <c r="B19" s="91">
        <v>937.18</v>
      </c>
      <c r="C19" s="91">
        <v>900</v>
      </c>
      <c r="D19" s="91">
        <v>900</v>
      </c>
    </row>
    <row r="20" spans="1:4" s="57" customFormat="1" ht="14.25" x14ac:dyDescent="0.2">
      <c r="A20" s="61" t="s">
        <v>21</v>
      </c>
      <c r="B20" s="94">
        <f>B19+B18+B16+B14+B13</f>
        <v>36482.18</v>
      </c>
      <c r="C20" s="94">
        <f t="shared" ref="C20:D20" si="0">C19+C18+C16+C14+C13</f>
        <v>33745</v>
      </c>
      <c r="D20" s="94">
        <f t="shared" si="0"/>
        <v>33745</v>
      </c>
    </row>
    <row r="21" spans="1:4" s="57" customFormat="1" ht="14.25" x14ac:dyDescent="0.2">
      <c r="A21" s="61" t="s">
        <v>22</v>
      </c>
      <c r="B21" s="95">
        <v>0</v>
      </c>
      <c r="C21" s="95">
        <v>0</v>
      </c>
      <c r="D21" s="95">
        <v>0</v>
      </c>
    </row>
    <row r="22" spans="1:4" s="57" customFormat="1" ht="14.25" x14ac:dyDescent="0.2">
      <c r="A22" s="61" t="s">
        <v>23</v>
      </c>
      <c r="B22" s="94">
        <f>B20-B21</f>
        <v>36482.18</v>
      </c>
      <c r="C22" s="94">
        <f t="shared" ref="C22:D22" si="1">C20-C21</f>
        <v>33745</v>
      </c>
      <c r="D22" s="94">
        <f t="shared" si="1"/>
        <v>33745</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72</v>
      </c>
      <c r="C25" s="70">
        <v>72</v>
      </c>
      <c r="D25" s="70">
        <v>72</v>
      </c>
    </row>
    <row r="26" spans="1:4" s="57" customFormat="1" ht="14.25" x14ac:dyDescent="0.2">
      <c r="A26" s="61" t="s">
        <v>26</v>
      </c>
      <c r="B26" s="70">
        <v>10000</v>
      </c>
      <c r="C26" s="70">
        <v>10000</v>
      </c>
      <c r="D26" s="70">
        <v>10000</v>
      </c>
    </row>
    <row r="27" spans="1:4" s="57" customFormat="1" ht="28.5" x14ac:dyDescent="0.2">
      <c r="A27" s="71" t="s">
        <v>73</v>
      </c>
      <c r="B27" s="138">
        <v>2.5000000000000001E-2</v>
      </c>
      <c r="C27" s="138"/>
      <c r="D27" s="138"/>
    </row>
    <row r="28" spans="1:4" s="57" customFormat="1" ht="28.5" x14ac:dyDescent="0.2">
      <c r="A28" s="71" t="s">
        <v>74</v>
      </c>
      <c r="B28" s="139">
        <f>'Prijsinvulf overige zaken'!C4</f>
        <v>0</v>
      </c>
      <c r="C28" s="139"/>
      <c r="D28" s="139"/>
    </row>
    <row r="29" spans="1:4" s="57" customFormat="1" ht="14.25" x14ac:dyDescent="0.2">
      <c r="A29" s="71" t="s">
        <v>75</v>
      </c>
      <c r="B29" s="139">
        <f>B27+B28</f>
        <v>2.5000000000000001E-2</v>
      </c>
      <c r="C29" s="139"/>
      <c r="D29" s="139"/>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3">
        <v>0</v>
      </c>
      <c r="C32" s="73">
        <v>0</v>
      </c>
      <c r="D32" s="73">
        <v>0</v>
      </c>
    </row>
    <row r="33" spans="1:4" s="57" customFormat="1" ht="14.25" x14ac:dyDescent="0.2">
      <c r="A33" s="61" t="s">
        <v>29</v>
      </c>
      <c r="B33" s="73">
        <v>0</v>
      </c>
      <c r="C33" s="73">
        <v>0</v>
      </c>
      <c r="D33" s="73">
        <v>0</v>
      </c>
    </row>
    <row r="34" spans="1:4" s="57" customFormat="1" ht="14.25" x14ac:dyDescent="0.2">
      <c r="A34" s="61" t="s">
        <v>224</v>
      </c>
      <c r="B34" s="73">
        <v>0</v>
      </c>
      <c r="C34" s="73">
        <v>0</v>
      </c>
      <c r="D34" s="73">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111">
        <v>16.333333333333332</v>
      </c>
      <c r="C43" s="111">
        <v>16.333333333333332</v>
      </c>
      <c r="D43" s="111">
        <v>16.333333333333332</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16.333333333333332</v>
      </c>
      <c r="C51" s="78">
        <f t="shared" ref="C51:D51" si="2">C37+C38+C39+C40+C41+C42+C43+C44+C45+C46+C47+C49</f>
        <v>16.333333333333332</v>
      </c>
      <c r="D51" s="78">
        <f t="shared" si="2"/>
        <v>16.333333333333332</v>
      </c>
    </row>
    <row r="52" spans="1:4" s="57" customFormat="1" ht="14.25" x14ac:dyDescent="0.2">
      <c r="A52" s="62"/>
      <c r="B52" s="69"/>
      <c r="C52" s="69"/>
      <c r="D52" s="69"/>
    </row>
    <row r="53" spans="1:4" s="79" customFormat="1" ht="51" customHeight="1" x14ac:dyDescent="0.2">
      <c r="A53" s="134" t="s">
        <v>79</v>
      </c>
      <c r="B53" s="135"/>
      <c r="C53" s="135"/>
      <c r="D53" s="135"/>
    </row>
    <row r="54" spans="1:4" x14ac:dyDescent="0.25">
      <c r="A54" s="80" t="s">
        <v>30</v>
      </c>
    </row>
    <row r="55" spans="1:4" x14ac:dyDescent="0.25">
      <c r="A55" s="80" t="s">
        <v>30</v>
      </c>
    </row>
    <row r="56" spans="1:4" x14ac:dyDescent="0.25">
      <c r="A56" s="80"/>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2"/>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ht="64.5" x14ac:dyDescent="0.25">
      <c r="A109" s="82" t="s">
        <v>80</v>
      </c>
    </row>
    <row r="110" spans="1:1" x14ac:dyDescent="0.25">
      <c r="A110" s="82"/>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sheetData>
  <sheetProtection algorithmName="SHA-512" hashValue="DjXfG7YYtPBggPi2uSRRNWgy91FB2IqCWmmaHMVuClpbujKsYKNF+T+CfZ2/yY4wJaTJbdgFDPBpx4xsiB1Lbw==" saltValue="ZT4tI9ZORgIsP+h+M8XKog==" spinCount="100000" sheet="1" selectLockedCells="1"/>
  <mergeCells count="8">
    <mergeCell ref="A53:D53"/>
    <mergeCell ref="B1:D1"/>
    <mergeCell ref="A2:D2"/>
    <mergeCell ref="B27:D27"/>
    <mergeCell ref="B28:D28"/>
    <mergeCell ref="B29:D29"/>
    <mergeCell ref="B48:D48"/>
    <mergeCell ref="B30:D30"/>
  </mergeCells>
  <pageMargins left="0.25" right="0.25" top="0.75" bottom="0.75" header="0.3" footer="0.3"/>
  <pageSetup paperSize="9" scale="78"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A26B8-4236-4F20-B5F3-E5C28B171169}">
  <dimension ref="A1:D247"/>
  <sheetViews>
    <sheetView showGridLines="0" zoomScaleNormal="100" workbookViewId="0">
      <pane xSplit="1" ySplit="3" topLeftCell="B21" activePane="bottomRight" state="frozen"/>
      <selection activeCell="B1" sqref="B1:C1"/>
      <selection pane="topRight" activeCell="B1" sqref="B1:C1"/>
      <selection pane="bottomLeft" activeCell="B1" sqref="B1:C1"/>
      <selection pane="bottomRight" activeCell="B21" sqref="B21"/>
    </sheetView>
    <sheetView showGridLines="0" workbookViewId="1"/>
  </sheetViews>
  <sheetFormatPr defaultColWidth="9.140625" defaultRowHeight="15" x14ac:dyDescent="0.25"/>
  <cols>
    <col min="1" max="1" width="57.28515625" style="83" customWidth="1"/>
    <col min="2" max="4" width="43.140625" style="81" customWidth="1"/>
    <col min="5" max="16384" width="9.140625" style="81"/>
  </cols>
  <sheetData>
    <row r="1" spans="1:4" s="56" customFormat="1" ht="15.75" x14ac:dyDescent="0.25">
      <c r="A1" s="84" t="s">
        <v>8</v>
      </c>
      <c r="B1" s="136" t="s">
        <v>100</v>
      </c>
      <c r="C1" s="136"/>
      <c r="D1" s="136"/>
    </row>
    <row r="2" spans="1:4" s="57" customFormat="1" ht="13.5" x14ac:dyDescent="0.2">
      <c r="A2" s="137" t="s">
        <v>9</v>
      </c>
      <c r="B2" s="137"/>
      <c r="C2" s="137"/>
      <c r="D2" s="137"/>
    </row>
    <row r="3" spans="1:4" s="60" customFormat="1" ht="12.75" x14ac:dyDescent="0.2">
      <c r="A3" s="58" t="s">
        <v>10</v>
      </c>
      <c r="B3" s="92" t="s">
        <v>65</v>
      </c>
      <c r="C3" s="92" t="s">
        <v>66</v>
      </c>
      <c r="D3" s="92" t="s">
        <v>67</v>
      </c>
    </row>
    <row r="4" spans="1:4" s="57" customFormat="1" ht="14.25" x14ac:dyDescent="0.2">
      <c r="A4" s="61" t="s">
        <v>1</v>
      </c>
      <c r="B4" s="96" t="s">
        <v>5</v>
      </c>
      <c r="C4" s="96" t="s">
        <v>68</v>
      </c>
      <c r="D4" s="96" t="s">
        <v>43</v>
      </c>
    </row>
    <row r="5" spans="1:4" s="57" customFormat="1" ht="14.25" x14ac:dyDescent="0.2">
      <c r="A5" s="61" t="s">
        <v>2</v>
      </c>
      <c r="B5" s="96" t="s">
        <v>97</v>
      </c>
      <c r="C5" s="96" t="s">
        <v>69</v>
      </c>
      <c r="D5" s="96" t="s">
        <v>70</v>
      </c>
    </row>
    <row r="6" spans="1:4" s="57" customFormat="1" ht="14.25" x14ac:dyDescent="0.2">
      <c r="A6" s="61" t="s">
        <v>3</v>
      </c>
      <c r="B6" s="96" t="s">
        <v>102</v>
      </c>
      <c r="C6" s="96" t="s">
        <v>108</v>
      </c>
      <c r="D6" s="96" t="s">
        <v>108</v>
      </c>
    </row>
    <row r="7" spans="1:4" s="57" customFormat="1" ht="14.25" x14ac:dyDescent="0.2">
      <c r="A7" s="61" t="s">
        <v>11</v>
      </c>
      <c r="B7" s="96" t="s">
        <v>96</v>
      </c>
      <c r="C7" s="96" t="s">
        <v>96</v>
      </c>
      <c r="D7" s="96" t="s">
        <v>96</v>
      </c>
    </row>
    <row r="8" spans="1:4" s="57" customFormat="1" ht="14.25" x14ac:dyDescent="0.2">
      <c r="A8" s="61" t="s">
        <v>12</v>
      </c>
      <c r="B8" s="96" t="s">
        <v>13</v>
      </c>
      <c r="C8" s="96" t="s">
        <v>13</v>
      </c>
      <c r="D8" s="96" t="s">
        <v>13</v>
      </c>
    </row>
    <row r="9" spans="1:4" s="57" customFormat="1" ht="14.25" x14ac:dyDescent="0.2">
      <c r="A9" s="61" t="s">
        <v>71</v>
      </c>
      <c r="B9" s="70">
        <v>1739</v>
      </c>
      <c r="C9" s="70">
        <v>1816</v>
      </c>
      <c r="D9" s="70">
        <v>1816</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(B13*1.21)+B14</f>
        <v>41012.949999999997</v>
      </c>
      <c r="C12" s="91">
        <f>(C13*1.21)+C14</f>
        <v>34781.449999999997</v>
      </c>
      <c r="D12" s="91">
        <f>(D13*1.21)+D14</f>
        <v>34781.449999999997</v>
      </c>
    </row>
    <row r="13" spans="1:4" s="57" customFormat="1" ht="14.25" x14ac:dyDescent="0.2">
      <c r="A13" s="61" t="s">
        <v>16</v>
      </c>
      <c r="B13" s="91">
        <v>33895</v>
      </c>
      <c r="C13" s="91">
        <v>28745</v>
      </c>
      <c r="D13" s="91">
        <v>28745</v>
      </c>
    </row>
    <row r="14" spans="1:4" s="57" customFormat="1" ht="14.25" x14ac:dyDescent="0.2">
      <c r="A14" s="61" t="s">
        <v>47</v>
      </c>
      <c r="B14" s="91">
        <v>0</v>
      </c>
      <c r="C14" s="91">
        <v>0</v>
      </c>
      <c r="D14" s="91">
        <v>0</v>
      </c>
    </row>
    <row r="15" spans="1:4" s="57" customFormat="1" ht="156.75" x14ac:dyDescent="0.2">
      <c r="A15" s="61" t="s">
        <v>17</v>
      </c>
      <c r="B15" s="93" t="s">
        <v>105</v>
      </c>
      <c r="C15" s="93" t="s">
        <v>104</v>
      </c>
      <c r="D15" s="93" t="s">
        <v>101</v>
      </c>
    </row>
    <row r="16" spans="1:4" s="57" customFormat="1" ht="14.25" x14ac:dyDescent="0.2">
      <c r="A16" s="61" t="s">
        <v>18</v>
      </c>
      <c r="B16" s="91">
        <f>300+750+600</f>
        <v>1650</v>
      </c>
      <c r="C16" s="91">
        <f>1450+750+100+100+250</f>
        <v>2650</v>
      </c>
      <c r="D16" s="91">
        <f>1450+750+100+100+250</f>
        <v>2650</v>
      </c>
    </row>
    <row r="17" spans="1:4" s="85" customFormat="1" ht="228" x14ac:dyDescent="0.2">
      <c r="A17" s="61" t="s">
        <v>19</v>
      </c>
      <c r="B17" s="93" t="s">
        <v>120</v>
      </c>
      <c r="C17" s="93" t="s">
        <v>121</v>
      </c>
      <c r="D17" s="93" t="s">
        <v>122</v>
      </c>
    </row>
    <row r="18" spans="1:4" s="57" customFormat="1" ht="14.25" x14ac:dyDescent="0.2">
      <c r="A18" s="61" t="s">
        <v>20</v>
      </c>
      <c r="B18" s="91">
        <v>6000</v>
      </c>
      <c r="C18" s="91">
        <v>6700</v>
      </c>
      <c r="D18" s="91">
        <v>6000</v>
      </c>
    </row>
    <row r="19" spans="1:4" s="57" customFormat="1" ht="14.25" x14ac:dyDescent="0.2">
      <c r="A19" s="61" t="s">
        <v>72</v>
      </c>
      <c r="B19" s="91">
        <v>937.18</v>
      </c>
      <c r="C19" s="91">
        <v>900</v>
      </c>
      <c r="D19" s="91">
        <v>900</v>
      </c>
    </row>
    <row r="20" spans="1:4" s="57" customFormat="1" ht="14.25" x14ac:dyDescent="0.2">
      <c r="A20" s="61" t="s">
        <v>21</v>
      </c>
      <c r="B20" s="94">
        <f>B19+B18+B16+B14+B13</f>
        <v>42482.18</v>
      </c>
      <c r="C20" s="94">
        <f t="shared" ref="C20" si="0">C19+C18+C16+C14+C13</f>
        <v>38995</v>
      </c>
      <c r="D20" s="94">
        <f>D19+D18+D16+D14+D13</f>
        <v>38295</v>
      </c>
    </row>
    <row r="21" spans="1:4" s="57" customFormat="1" ht="14.25" x14ac:dyDescent="0.2">
      <c r="A21" s="61" t="s">
        <v>22</v>
      </c>
      <c r="B21" s="95">
        <v>0</v>
      </c>
      <c r="C21" s="95">
        <v>0</v>
      </c>
      <c r="D21" s="95">
        <v>0</v>
      </c>
    </row>
    <row r="22" spans="1:4" s="57" customFormat="1" ht="14.25" x14ac:dyDescent="0.2">
      <c r="A22" s="61" t="s">
        <v>23</v>
      </c>
      <c r="B22" s="94">
        <f>B20-B21</f>
        <v>42482.18</v>
      </c>
      <c r="C22" s="94">
        <f t="shared" ref="C22:D22" si="1">C20-C21</f>
        <v>38995</v>
      </c>
      <c r="D22" s="94">
        <f t="shared" si="1"/>
        <v>38295</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72</v>
      </c>
      <c r="C25" s="70">
        <v>72</v>
      </c>
      <c r="D25" s="70">
        <v>72</v>
      </c>
    </row>
    <row r="26" spans="1:4" s="57" customFormat="1" ht="14.25" x14ac:dyDescent="0.2">
      <c r="A26" s="61" t="s">
        <v>26</v>
      </c>
      <c r="B26" s="70">
        <v>10000</v>
      </c>
      <c r="C26" s="70">
        <v>10000</v>
      </c>
      <c r="D26" s="70">
        <v>10000</v>
      </c>
    </row>
    <row r="27" spans="1:4" s="57" customFormat="1" ht="28.5" x14ac:dyDescent="0.2">
      <c r="A27" s="71" t="s">
        <v>73</v>
      </c>
      <c r="B27" s="138">
        <v>2.5000000000000001E-2</v>
      </c>
      <c r="C27" s="138"/>
      <c r="D27" s="138"/>
    </row>
    <row r="28" spans="1:4" s="57" customFormat="1" ht="28.5" x14ac:dyDescent="0.2">
      <c r="A28" s="71" t="s">
        <v>74</v>
      </c>
      <c r="B28" s="139">
        <f>'Prijsinvulf overige zaken'!C4</f>
        <v>0</v>
      </c>
      <c r="C28" s="139"/>
      <c r="D28" s="139"/>
    </row>
    <row r="29" spans="1:4" s="57" customFormat="1" ht="14.25" x14ac:dyDescent="0.2">
      <c r="A29" s="71" t="s">
        <v>75</v>
      </c>
      <c r="B29" s="139">
        <f>B27+B28</f>
        <v>2.5000000000000001E-2</v>
      </c>
      <c r="C29" s="139"/>
      <c r="D29" s="139"/>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2">
        <v>0</v>
      </c>
      <c r="C32" s="72">
        <v>0</v>
      </c>
      <c r="D32" s="72">
        <v>0</v>
      </c>
    </row>
    <row r="33" spans="1:4" s="57" customFormat="1" ht="14.25" x14ac:dyDescent="0.2">
      <c r="A33" s="61" t="s">
        <v>29</v>
      </c>
      <c r="B33" s="72">
        <v>0</v>
      </c>
      <c r="C33" s="72">
        <v>0</v>
      </c>
      <c r="D33" s="72">
        <v>0</v>
      </c>
    </row>
    <row r="34" spans="1:4" s="57" customFormat="1" ht="14.25" x14ac:dyDescent="0.2">
      <c r="A34" s="61" t="s">
        <v>224</v>
      </c>
      <c r="B34" s="72">
        <v>0</v>
      </c>
      <c r="C34" s="72">
        <v>0</v>
      </c>
      <c r="D34" s="72">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49/3</f>
        <v>16.333333333333332</v>
      </c>
      <c r="C43" s="91">
        <f>53/3</f>
        <v>17.666666666666668</v>
      </c>
      <c r="D43" s="91">
        <f>53/3</f>
        <v>17.666666666666668</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16.333333333333332</v>
      </c>
      <c r="C51" s="78">
        <f t="shared" ref="C51:D51" si="2">C37+C38+C39+C40+C41+C42+C43+C44+C45+C46+C47+C49</f>
        <v>17.666666666666668</v>
      </c>
      <c r="D51" s="78">
        <f t="shared" si="2"/>
        <v>17.666666666666668</v>
      </c>
    </row>
    <row r="52" spans="1:4" s="57" customFormat="1" ht="14.25" x14ac:dyDescent="0.2">
      <c r="A52" s="62"/>
      <c r="B52" s="69"/>
      <c r="C52" s="69"/>
      <c r="D52" s="69"/>
    </row>
    <row r="53" spans="1:4" ht="51" customHeight="1" x14ac:dyDescent="0.25">
      <c r="A53" s="134" t="s">
        <v>79</v>
      </c>
      <c r="B53" s="135"/>
      <c r="C53" s="135"/>
      <c r="D53" s="135"/>
    </row>
    <row r="54" spans="1:4" x14ac:dyDescent="0.25">
      <c r="A54" s="80"/>
    </row>
    <row r="55" spans="1:4" x14ac:dyDescent="0.25">
      <c r="A55" s="80" t="s">
        <v>30</v>
      </c>
    </row>
    <row r="56" spans="1:4" x14ac:dyDescent="0.25">
      <c r="A56" s="80"/>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2"/>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ht="64.5" x14ac:dyDescent="0.25">
      <c r="A109" s="82" t="s">
        <v>80</v>
      </c>
    </row>
    <row r="110" spans="1:1" x14ac:dyDescent="0.25">
      <c r="A110" s="82"/>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sheetData>
  <sheetProtection algorithmName="SHA-512" hashValue="gg1ndhNv33cFuf99NhZGHID8cEAQaczok/sCLRGAEk0zDypD2xiBksxYtgexOl3ixXhM1IwPJkqkKhZjOt6yfQ==" saltValue="ctWITarRn1GpToYiNJeeVQ==" spinCount="100000" sheet="1" selectLockedCells="1"/>
  <mergeCells count="8">
    <mergeCell ref="A53:D53"/>
    <mergeCell ref="B1:D1"/>
    <mergeCell ref="A2:D2"/>
    <mergeCell ref="B27:D27"/>
    <mergeCell ref="B28:D28"/>
    <mergeCell ref="B29:D29"/>
    <mergeCell ref="B48:D48"/>
    <mergeCell ref="B30:D30"/>
  </mergeCells>
  <pageMargins left="0.23622047244094491" right="0.23622047244094491" top="0.74803149606299213" bottom="0.74803149606299213" header="0.31496062992125984" footer="0.31496062992125984"/>
  <pageSetup paperSize="9" scale="69"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2"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E0AF-820A-48F5-A983-BFFB2A1E9464}">
  <sheetPr>
    <pageSetUpPr fitToPage="1"/>
  </sheetPr>
  <dimension ref="A1:D53"/>
  <sheetViews>
    <sheetView showGridLines="0" zoomScaleNormal="100" workbookViewId="0">
      <pane xSplit="1" ySplit="3" topLeftCell="B28" activePane="bottomRight" state="frozen"/>
      <selection activeCell="B1" sqref="B1:C1"/>
      <selection pane="topRight" activeCell="B1" sqref="B1:C1"/>
      <selection pane="bottomLeft" activeCell="B1" sqref="B1:C1"/>
      <selection pane="bottomRight" activeCell="B18" sqref="B18"/>
    </sheetView>
    <sheetView showGridLines="0" workbookViewId="1"/>
  </sheetViews>
  <sheetFormatPr defaultColWidth="9.140625" defaultRowHeight="12.75" x14ac:dyDescent="0.2"/>
  <cols>
    <col min="1" max="1" width="68.85546875" style="3" customWidth="1"/>
    <col min="2" max="2" width="47.140625" style="3" customWidth="1"/>
    <col min="3" max="3" width="47.5703125" style="3" customWidth="1"/>
    <col min="4" max="4" width="48.140625" style="3" customWidth="1"/>
    <col min="5" max="16384" width="9.140625" style="3"/>
  </cols>
  <sheetData>
    <row r="1" spans="1:4" ht="15" x14ac:dyDescent="0.2">
      <c r="A1" s="84" t="s">
        <v>8</v>
      </c>
      <c r="B1" s="136" t="s">
        <v>199</v>
      </c>
      <c r="C1" s="136"/>
      <c r="D1" s="136"/>
    </row>
    <row r="2" spans="1:4" ht="13.5" x14ac:dyDescent="0.2">
      <c r="A2" s="137" t="s">
        <v>9</v>
      </c>
      <c r="B2" s="137"/>
      <c r="C2" s="137"/>
      <c r="D2" s="137"/>
    </row>
    <row r="3" spans="1:4" x14ac:dyDescent="0.2">
      <c r="A3" s="58" t="s">
        <v>10</v>
      </c>
      <c r="B3" s="92" t="s">
        <v>65</v>
      </c>
      <c r="C3" s="92" t="s">
        <v>66</v>
      </c>
      <c r="D3" s="92" t="s">
        <v>67</v>
      </c>
    </row>
    <row r="4" spans="1:4" ht="14.25" x14ac:dyDescent="0.2">
      <c r="A4" s="61" t="s">
        <v>1</v>
      </c>
      <c r="B4" s="96" t="s">
        <v>5</v>
      </c>
      <c r="C4" s="96" t="s">
        <v>68</v>
      </c>
      <c r="D4" s="96" t="s">
        <v>43</v>
      </c>
    </row>
    <row r="5" spans="1:4" ht="14.25" x14ac:dyDescent="0.2">
      <c r="A5" s="61" t="s">
        <v>2</v>
      </c>
      <c r="B5" s="96" t="s">
        <v>97</v>
      </c>
      <c r="C5" s="96" t="s">
        <v>69</v>
      </c>
      <c r="D5" s="96" t="s">
        <v>70</v>
      </c>
    </row>
    <row r="6" spans="1:4" ht="14.25" x14ac:dyDescent="0.2">
      <c r="A6" s="61" t="s">
        <v>3</v>
      </c>
      <c r="B6" s="107" t="s">
        <v>157</v>
      </c>
      <c r="C6" s="107" t="s">
        <v>161</v>
      </c>
      <c r="D6" s="107" t="s">
        <v>162</v>
      </c>
    </row>
    <row r="7" spans="1:4" ht="14.25" x14ac:dyDescent="0.2">
      <c r="A7" s="61" t="s">
        <v>11</v>
      </c>
      <c r="B7" s="107" t="s">
        <v>156</v>
      </c>
      <c r="C7" s="107" t="s">
        <v>156</v>
      </c>
      <c r="D7" s="107" t="s">
        <v>156</v>
      </c>
    </row>
    <row r="8" spans="1:4" ht="14.25" x14ac:dyDescent="0.2">
      <c r="A8" s="61" t="s">
        <v>12</v>
      </c>
      <c r="B8" s="96" t="s">
        <v>13</v>
      </c>
      <c r="C8" s="96" t="s">
        <v>13</v>
      </c>
      <c r="D8" s="96" t="s">
        <v>13</v>
      </c>
    </row>
    <row r="9" spans="1:4" ht="14.25" x14ac:dyDescent="0.2">
      <c r="A9" s="61" t="s">
        <v>71</v>
      </c>
      <c r="B9" s="70">
        <v>1808</v>
      </c>
      <c r="C9" s="70">
        <v>1888</v>
      </c>
      <c r="D9" s="70">
        <v>1888</v>
      </c>
    </row>
    <row r="10" spans="1:4" ht="14.25" x14ac:dyDescent="0.2">
      <c r="A10" s="62"/>
      <c r="B10" s="63"/>
      <c r="C10" s="63"/>
      <c r="D10" s="63"/>
    </row>
    <row r="11" spans="1:4" x14ac:dyDescent="0.2">
      <c r="A11" s="58" t="s">
        <v>14</v>
      </c>
      <c r="B11" s="92"/>
      <c r="C11" s="92"/>
      <c r="D11" s="92"/>
    </row>
    <row r="12" spans="1:4" ht="14.25" x14ac:dyDescent="0.2">
      <c r="A12" s="61" t="s">
        <v>15</v>
      </c>
      <c r="B12" s="91">
        <f>(B13*1.21)+B14</f>
        <v>42585.95</v>
      </c>
      <c r="C12" s="91">
        <f>(C13*1.21)+C14</f>
        <v>36717.449999999997</v>
      </c>
      <c r="D12" s="91">
        <f>(D13*1.21)+D14</f>
        <v>36717.449999999997</v>
      </c>
    </row>
    <row r="13" spans="1:4" ht="14.25" x14ac:dyDescent="0.2">
      <c r="A13" s="61" t="s">
        <v>16</v>
      </c>
      <c r="B13" s="91">
        <v>35195</v>
      </c>
      <c r="C13" s="91">
        <v>30345</v>
      </c>
      <c r="D13" s="91">
        <v>30345</v>
      </c>
    </row>
    <row r="14" spans="1:4" ht="14.25" x14ac:dyDescent="0.2">
      <c r="A14" s="61" t="s">
        <v>47</v>
      </c>
      <c r="B14" s="91">
        <v>0</v>
      </c>
      <c r="C14" s="91">
        <v>0</v>
      </c>
      <c r="D14" s="91">
        <v>0</v>
      </c>
    </row>
    <row r="15" spans="1:4" ht="142.5" x14ac:dyDescent="0.2">
      <c r="A15" s="61" t="s">
        <v>17</v>
      </c>
      <c r="B15" s="93" t="s">
        <v>153</v>
      </c>
      <c r="C15" s="93" t="s">
        <v>160</v>
      </c>
      <c r="D15" s="93" t="s">
        <v>160</v>
      </c>
    </row>
    <row r="16" spans="1:4" ht="14.25" x14ac:dyDescent="0.2">
      <c r="A16" s="61" t="s">
        <v>18</v>
      </c>
      <c r="B16" s="108">
        <f>300+350+400</f>
        <v>1050</v>
      </c>
      <c r="C16" s="108">
        <f>750+850</f>
        <v>1600</v>
      </c>
      <c r="D16" s="108">
        <f>750+850</f>
        <v>1600</v>
      </c>
    </row>
    <row r="17" spans="1:4" ht="142.5" x14ac:dyDescent="0.2">
      <c r="A17" s="61" t="s">
        <v>19</v>
      </c>
      <c r="B17" s="93" t="s">
        <v>158</v>
      </c>
      <c r="C17" s="93" t="s">
        <v>159</v>
      </c>
      <c r="D17" s="93" t="s">
        <v>159</v>
      </c>
    </row>
    <row r="18" spans="1:4" ht="14.25" x14ac:dyDescent="0.2">
      <c r="A18" s="61" t="s">
        <v>20</v>
      </c>
      <c r="B18" s="91">
        <v>2100</v>
      </c>
      <c r="C18" s="91">
        <v>2200</v>
      </c>
      <c r="D18" s="91">
        <v>2200</v>
      </c>
    </row>
    <row r="19" spans="1:4" ht="14.25" x14ac:dyDescent="0.2">
      <c r="A19" s="61" t="s">
        <v>72</v>
      </c>
      <c r="B19" s="91">
        <v>937.18</v>
      </c>
      <c r="C19" s="91">
        <v>900</v>
      </c>
      <c r="D19" s="91">
        <v>900</v>
      </c>
    </row>
    <row r="20" spans="1:4" ht="14.25" x14ac:dyDescent="0.2">
      <c r="A20" s="61" t="s">
        <v>21</v>
      </c>
      <c r="B20" s="94">
        <f>B19+B18+B16+B14+B13</f>
        <v>39282.18</v>
      </c>
      <c r="C20" s="94">
        <f t="shared" ref="C20" si="0">C19+C18+C16+C14+C13</f>
        <v>35045</v>
      </c>
      <c r="D20" s="94">
        <f>D19+D18+D16+D14+D13</f>
        <v>35045</v>
      </c>
    </row>
    <row r="21" spans="1:4" ht="14.25" x14ac:dyDescent="0.2">
      <c r="A21" s="61" t="s">
        <v>22</v>
      </c>
      <c r="B21" s="95">
        <v>0</v>
      </c>
      <c r="C21" s="95">
        <v>0</v>
      </c>
      <c r="D21" s="95">
        <v>0</v>
      </c>
    </row>
    <row r="22" spans="1:4" ht="14.25" x14ac:dyDescent="0.2">
      <c r="A22" s="61" t="s">
        <v>23</v>
      </c>
      <c r="B22" s="94">
        <f>B20-B21</f>
        <v>39282.18</v>
      </c>
      <c r="C22" s="94">
        <f t="shared" ref="C22:D22" si="1">C20-C21</f>
        <v>35045</v>
      </c>
      <c r="D22" s="94">
        <f t="shared" si="1"/>
        <v>35045</v>
      </c>
    </row>
    <row r="23" spans="1:4" ht="14.25" x14ac:dyDescent="0.2">
      <c r="A23" s="62"/>
      <c r="B23" s="69"/>
      <c r="C23" s="69"/>
      <c r="D23" s="69"/>
    </row>
    <row r="24" spans="1:4" x14ac:dyDescent="0.2">
      <c r="A24" s="58" t="s">
        <v>24</v>
      </c>
      <c r="B24" s="92"/>
      <c r="C24" s="92"/>
      <c r="D24" s="92"/>
    </row>
    <row r="25" spans="1:4" ht="14.25" x14ac:dyDescent="0.2">
      <c r="A25" s="61" t="s">
        <v>25</v>
      </c>
      <c r="B25" s="70">
        <v>72</v>
      </c>
      <c r="C25" s="70">
        <v>72</v>
      </c>
      <c r="D25" s="70">
        <v>72</v>
      </c>
    </row>
    <row r="26" spans="1:4" ht="14.25" x14ac:dyDescent="0.2">
      <c r="A26" s="61" t="s">
        <v>26</v>
      </c>
      <c r="B26" s="70">
        <v>10000</v>
      </c>
      <c r="C26" s="70">
        <v>10000</v>
      </c>
      <c r="D26" s="70">
        <v>10000</v>
      </c>
    </row>
    <row r="27" spans="1:4" ht="14.25" x14ac:dyDescent="0.2">
      <c r="A27" s="71" t="s">
        <v>73</v>
      </c>
      <c r="B27" s="138">
        <v>2.5000000000000001E-2</v>
      </c>
      <c r="C27" s="138"/>
      <c r="D27" s="138"/>
    </row>
    <row r="28" spans="1:4" ht="28.5" x14ac:dyDescent="0.2">
      <c r="A28" s="71" t="s">
        <v>74</v>
      </c>
      <c r="B28" s="139">
        <f>'Prijsinvulf overige zaken'!C4</f>
        <v>0</v>
      </c>
      <c r="C28" s="139"/>
      <c r="D28" s="139"/>
    </row>
    <row r="29" spans="1:4" ht="14.25" x14ac:dyDescent="0.2">
      <c r="A29" s="71" t="s">
        <v>75</v>
      </c>
      <c r="B29" s="139">
        <f>B27+B28</f>
        <v>2.5000000000000001E-2</v>
      </c>
      <c r="C29" s="139"/>
      <c r="D29" s="139"/>
    </row>
    <row r="30" spans="1:4" ht="14.25" x14ac:dyDescent="0.2">
      <c r="A30" s="123" t="s">
        <v>225</v>
      </c>
      <c r="B30" s="141">
        <v>0.1</v>
      </c>
      <c r="C30" s="142"/>
      <c r="D30" s="143"/>
    </row>
    <row r="31" spans="1:4" ht="14.25" x14ac:dyDescent="0.2">
      <c r="A31" s="61" t="s">
        <v>27</v>
      </c>
      <c r="B31" s="72">
        <v>0</v>
      </c>
      <c r="C31" s="72">
        <v>0</v>
      </c>
      <c r="D31" s="72">
        <v>0</v>
      </c>
    </row>
    <row r="32" spans="1:4" ht="14.25" x14ac:dyDescent="0.2">
      <c r="A32" s="61" t="s">
        <v>28</v>
      </c>
      <c r="B32" s="72">
        <v>0</v>
      </c>
      <c r="C32" s="72">
        <v>0</v>
      </c>
      <c r="D32" s="72">
        <v>0</v>
      </c>
    </row>
    <row r="33" spans="1:4" ht="14.25" x14ac:dyDescent="0.2">
      <c r="A33" s="61" t="s">
        <v>29</v>
      </c>
      <c r="B33" s="72">
        <v>0</v>
      </c>
      <c r="C33" s="72">
        <v>0</v>
      </c>
      <c r="D33" s="72">
        <v>0</v>
      </c>
    </row>
    <row r="34" spans="1:4" ht="14.25" x14ac:dyDescent="0.2">
      <c r="A34" s="61" t="s">
        <v>224</v>
      </c>
      <c r="B34" s="72">
        <v>0</v>
      </c>
      <c r="C34" s="72">
        <v>0</v>
      </c>
      <c r="D34" s="72">
        <v>0</v>
      </c>
    </row>
    <row r="35" spans="1:4" ht="14.25" x14ac:dyDescent="0.2">
      <c r="A35" s="62"/>
      <c r="B35" s="63"/>
      <c r="C35" s="63"/>
      <c r="D35" s="63"/>
    </row>
    <row r="36" spans="1:4" ht="13.5" x14ac:dyDescent="0.2">
      <c r="A36" s="58" t="s">
        <v>44</v>
      </c>
      <c r="B36" s="90"/>
      <c r="C36" s="90"/>
      <c r="D36" s="90"/>
    </row>
    <row r="37" spans="1:4" ht="14.25" x14ac:dyDescent="0.2">
      <c r="A37" s="61" t="s">
        <v>31</v>
      </c>
      <c r="B37" s="72">
        <v>0</v>
      </c>
      <c r="C37" s="72">
        <v>0</v>
      </c>
      <c r="D37" s="72">
        <v>0</v>
      </c>
    </row>
    <row r="38" spans="1:4" ht="14.25" x14ac:dyDescent="0.2">
      <c r="A38" s="61" t="s">
        <v>32</v>
      </c>
      <c r="B38" s="72">
        <v>0</v>
      </c>
      <c r="C38" s="75">
        <v>0</v>
      </c>
      <c r="D38" s="75">
        <v>0</v>
      </c>
    </row>
    <row r="39" spans="1:4" ht="14.25" x14ac:dyDescent="0.2">
      <c r="A39" s="61" t="s">
        <v>33</v>
      </c>
      <c r="B39" s="72">
        <v>0</v>
      </c>
      <c r="C39" s="72">
        <v>0</v>
      </c>
      <c r="D39" s="72">
        <v>0</v>
      </c>
    </row>
    <row r="40" spans="1:4" ht="14.25" x14ac:dyDescent="0.2">
      <c r="A40" s="61" t="s">
        <v>34</v>
      </c>
      <c r="B40" s="72">
        <v>0</v>
      </c>
      <c r="C40" s="72">
        <v>0</v>
      </c>
      <c r="D40" s="72">
        <v>0</v>
      </c>
    </row>
    <row r="41" spans="1:4" ht="14.25" x14ac:dyDescent="0.2">
      <c r="A41" s="61" t="s">
        <v>35</v>
      </c>
      <c r="B41" s="72">
        <v>0</v>
      </c>
      <c r="C41" s="72">
        <v>0</v>
      </c>
      <c r="D41" s="72">
        <v>0</v>
      </c>
    </row>
    <row r="42" spans="1:4" ht="14.25" x14ac:dyDescent="0.2">
      <c r="A42" s="114" t="s">
        <v>36</v>
      </c>
      <c r="B42" s="72">
        <v>0</v>
      </c>
      <c r="C42" s="72">
        <v>0</v>
      </c>
      <c r="D42" s="72">
        <v>0</v>
      </c>
    </row>
    <row r="43" spans="1:4" ht="14.25" x14ac:dyDescent="0.2">
      <c r="A43" s="61" t="s">
        <v>37</v>
      </c>
      <c r="B43" s="91">
        <f>88/3</f>
        <v>29.333333333333332</v>
      </c>
      <c r="C43" s="91">
        <f>95/3</f>
        <v>31.666666666666668</v>
      </c>
      <c r="D43" s="91">
        <f>95/3</f>
        <v>31.666666666666668</v>
      </c>
    </row>
    <row r="44" spans="1:4" ht="14.25" x14ac:dyDescent="0.2">
      <c r="A44" s="61" t="s">
        <v>39</v>
      </c>
      <c r="B44" s="72">
        <v>0</v>
      </c>
      <c r="C44" s="72">
        <v>0</v>
      </c>
      <c r="D44" s="72">
        <v>0</v>
      </c>
    </row>
    <row r="45" spans="1:4" ht="14.25" x14ac:dyDescent="0.2">
      <c r="A45" s="71" t="s">
        <v>76</v>
      </c>
      <c r="B45" s="72">
        <v>0</v>
      </c>
      <c r="C45" s="72">
        <v>0</v>
      </c>
      <c r="D45" s="72">
        <v>0</v>
      </c>
    </row>
    <row r="46" spans="1:4" ht="14.25" x14ac:dyDescent="0.2">
      <c r="A46" s="61" t="s">
        <v>40</v>
      </c>
      <c r="B46" s="72">
        <v>0</v>
      </c>
      <c r="C46" s="72">
        <v>0</v>
      </c>
      <c r="D46" s="72">
        <v>0</v>
      </c>
    </row>
    <row r="47" spans="1:4" ht="14.25" x14ac:dyDescent="0.2">
      <c r="A47" s="71" t="s">
        <v>41</v>
      </c>
      <c r="B47" s="72">
        <v>0</v>
      </c>
      <c r="C47" s="76">
        <v>0</v>
      </c>
      <c r="D47" s="76">
        <v>0</v>
      </c>
    </row>
    <row r="48" spans="1:4" ht="54" customHeight="1" x14ac:dyDescent="0.2">
      <c r="A48" s="71" t="s">
        <v>42</v>
      </c>
      <c r="B48" s="140" t="s">
        <v>77</v>
      </c>
      <c r="C48" s="140"/>
      <c r="D48" s="140"/>
    </row>
    <row r="49" spans="1:4" ht="14.25" x14ac:dyDescent="0.2">
      <c r="A49" s="123" t="s">
        <v>226</v>
      </c>
      <c r="B49" s="124">
        <f>(B26*B30*B34)/12</f>
        <v>0</v>
      </c>
      <c r="C49" s="124">
        <f>(C26*B30*C34)/12</f>
        <v>0</v>
      </c>
      <c r="D49" s="124">
        <f>(D26*B30*D34)/12</f>
        <v>0</v>
      </c>
    </row>
    <row r="50" spans="1:4" ht="14.25" x14ac:dyDescent="0.2">
      <c r="A50" s="62"/>
      <c r="B50" s="69"/>
      <c r="C50" s="69"/>
      <c r="D50" s="69"/>
    </row>
    <row r="51" spans="1:4" x14ac:dyDescent="0.2">
      <c r="A51" s="77" t="s">
        <v>78</v>
      </c>
      <c r="B51" s="78">
        <f>B37+B38+B39+B40+B41+B42+B43+B44+B45+B46+B47+B49</f>
        <v>29.333333333333332</v>
      </c>
      <c r="C51" s="78">
        <f t="shared" ref="C51:D51" si="2">C37+C38+C39+C40+C41+C42+C43+C44+C45+C46+C47+C49</f>
        <v>31.666666666666668</v>
      </c>
      <c r="D51" s="78">
        <f t="shared" si="2"/>
        <v>31.666666666666668</v>
      </c>
    </row>
    <row r="52" spans="1:4" ht="14.25" x14ac:dyDescent="0.2">
      <c r="A52" s="62"/>
      <c r="B52" s="69"/>
      <c r="C52" s="69"/>
      <c r="D52" s="69"/>
    </row>
    <row r="53" spans="1:4" ht="51" customHeight="1" x14ac:dyDescent="0.2">
      <c r="A53" s="134" t="s">
        <v>79</v>
      </c>
      <c r="B53" s="135"/>
      <c r="C53" s="135"/>
      <c r="D53" s="135"/>
    </row>
  </sheetData>
  <sheetProtection algorithmName="SHA-512" hashValue="82hiOBM3xS2V3khejZxyUtvLBPkn8Ep8tVnYPu591QADDTBL+Lf4y5BJH7mSurxf9Toc74BvsVtvfS7MWSFwJA==" saltValue="1l8ZEe3cB7LsX28iWczFGA==" spinCount="100000" sheet="1" objects="1" scenarios="1"/>
  <mergeCells count="8">
    <mergeCell ref="A53:D53"/>
    <mergeCell ref="B1:D1"/>
    <mergeCell ref="A2:D2"/>
    <mergeCell ref="B27:D27"/>
    <mergeCell ref="B28:D28"/>
    <mergeCell ref="B29:D29"/>
    <mergeCell ref="B48:D48"/>
    <mergeCell ref="B30:D30"/>
  </mergeCells>
  <pageMargins left="0.23622047244094491" right="0.23622047244094491" top="0.74803149606299213" bottom="0.74803149606299213" header="0.31496062992125984" footer="0.31496062992125984"/>
  <pageSetup paperSize="9" scale="69"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37560-AA8D-4701-8339-7EA57D1E749D}">
  <sheetPr>
    <pageSetUpPr fitToPage="1"/>
  </sheetPr>
  <dimension ref="A1:C248"/>
  <sheetViews>
    <sheetView showGridLines="0" zoomScaleNormal="100" workbookViewId="0">
      <pane xSplit="1" ySplit="3" topLeftCell="B28" activePane="bottomRight" state="frozen"/>
      <selection activeCell="B1" sqref="B1:C1"/>
      <selection pane="topRight" activeCell="B1" sqref="B1:C1"/>
      <selection pane="bottomLeft" activeCell="B1" sqref="B1:C1"/>
      <selection pane="bottomRight" activeCell="B42" sqref="B42"/>
    </sheetView>
    <sheetView showGridLines="0" workbookViewId="1"/>
  </sheetViews>
  <sheetFormatPr defaultColWidth="9.140625" defaultRowHeight="15" x14ac:dyDescent="0.25"/>
  <cols>
    <col min="1" max="1" width="59.28515625" style="83" customWidth="1"/>
    <col min="2" max="2" width="47.42578125" style="81" customWidth="1"/>
    <col min="3" max="3" width="47.28515625" style="81" customWidth="1"/>
    <col min="4" max="16384" width="9.140625" style="81"/>
  </cols>
  <sheetData>
    <row r="1" spans="1:3" s="56" customFormat="1" ht="15.75" x14ac:dyDescent="0.25">
      <c r="A1" s="84" t="s">
        <v>8</v>
      </c>
      <c r="B1" s="136" t="s">
        <v>212</v>
      </c>
      <c r="C1" s="136"/>
    </row>
    <row r="2" spans="1:3" s="57" customFormat="1" ht="13.5" x14ac:dyDescent="0.2">
      <c r="A2" s="137" t="s">
        <v>9</v>
      </c>
      <c r="B2" s="137"/>
    </row>
    <row r="3" spans="1:3" s="60" customFormat="1" ht="12.75" x14ac:dyDescent="0.2">
      <c r="A3" s="58" t="s">
        <v>10</v>
      </c>
      <c r="B3" s="92" t="s">
        <v>65</v>
      </c>
      <c r="C3" s="92" t="s">
        <v>66</v>
      </c>
    </row>
    <row r="4" spans="1:3" s="57" customFormat="1" ht="14.25" x14ac:dyDescent="0.2">
      <c r="A4" s="61" t="s">
        <v>1</v>
      </c>
      <c r="B4" s="118" t="s">
        <v>68</v>
      </c>
      <c r="C4" s="118" t="s">
        <v>43</v>
      </c>
    </row>
    <row r="5" spans="1:3" s="57" customFormat="1" ht="14.25" x14ac:dyDescent="0.2">
      <c r="A5" s="61" t="s">
        <v>2</v>
      </c>
      <c r="B5" s="118" t="s">
        <v>209</v>
      </c>
      <c r="C5" s="118" t="s">
        <v>207</v>
      </c>
    </row>
    <row r="6" spans="1:3" s="57" customFormat="1" ht="14.25" x14ac:dyDescent="0.2">
      <c r="A6" s="61" t="s">
        <v>3</v>
      </c>
      <c r="B6" s="118" t="s">
        <v>210</v>
      </c>
      <c r="C6" s="118" t="s">
        <v>211</v>
      </c>
    </row>
    <row r="7" spans="1:3" s="57" customFormat="1" ht="14.25" x14ac:dyDescent="0.2">
      <c r="A7" s="61" t="s">
        <v>11</v>
      </c>
      <c r="B7" s="118" t="s">
        <v>202</v>
      </c>
      <c r="C7" s="118" t="s">
        <v>202</v>
      </c>
    </row>
    <row r="8" spans="1:3" s="57" customFormat="1" ht="14.25" x14ac:dyDescent="0.2">
      <c r="A8" s="61" t="s">
        <v>12</v>
      </c>
      <c r="B8" s="118" t="s">
        <v>13</v>
      </c>
      <c r="C8" s="118" t="s">
        <v>13</v>
      </c>
    </row>
    <row r="9" spans="1:3" s="57" customFormat="1" ht="18" customHeight="1" x14ac:dyDescent="0.2">
      <c r="A9" s="61" t="s">
        <v>71</v>
      </c>
      <c r="B9" s="97">
        <v>2100</v>
      </c>
      <c r="C9" s="97">
        <v>2100</v>
      </c>
    </row>
    <row r="10" spans="1:3" s="57" customFormat="1" ht="14.25" x14ac:dyDescent="0.2">
      <c r="A10" s="62"/>
      <c r="B10" s="119"/>
      <c r="C10" s="119"/>
    </row>
    <row r="11" spans="1:3" s="60" customFormat="1" ht="12.75" x14ac:dyDescent="0.2">
      <c r="A11" s="58" t="s">
        <v>14</v>
      </c>
      <c r="B11" s="120"/>
      <c r="C11" s="120"/>
    </row>
    <row r="12" spans="1:3" s="57" customFormat="1" ht="28.5" x14ac:dyDescent="0.2">
      <c r="A12" s="61" t="s">
        <v>15</v>
      </c>
      <c r="B12" s="98">
        <f>(B13*1.21)+B14</f>
        <v>52272</v>
      </c>
      <c r="C12" s="98">
        <f>(C13*1.21)+C14</f>
        <v>52030</v>
      </c>
    </row>
    <row r="13" spans="1:3" s="57" customFormat="1" ht="14.25" x14ac:dyDescent="0.2">
      <c r="A13" s="61" t="s">
        <v>16</v>
      </c>
      <c r="B13" s="98">
        <v>43200</v>
      </c>
      <c r="C13" s="98">
        <v>43000</v>
      </c>
    </row>
    <row r="14" spans="1:3" s="57" customFormat="1" ht="14.25" x14ac:dyDescent="0.2">
      <c r="A14" s="61" t="s">
        <v>47</v>
      </c>
      <c r="B14" s="98">
        <v>0</v>
      </c>
      <c r="C14" s="98">
        <v>0</v>
      </c>
    </row>
    <row r="15" spans="1:3" s="57" customFormat="1" ht="34.5" customHeight="1" x14ac:dyDescent="0.2">
      <c r="A15" s="61" t="s">
        <v>17</v>
      </c>
      <c r="B15" s="93" t="s">
        <v>219</v>
      </c>
      <c r="C15" s="93" t="s">
        <v>219</v>
      </c>
    </row>
    <row r="16" spans="1:3" s="57" customFormat="1" ht="14.25" x14ac:dyDescent="0.2">
      <c r="A16" s="61" t="s">
        <v>18</v>
      </c>
      <c r="B16" s="98">
        <v>500</v>
      </c>
      <c r="C16" s="98">
        <f>500</f>
        <v>500</v>
      </c>
    </row>
    <row r="17" spans="1:3" s="57" customFormat="1" ht="213.75" x14ac:dyDescent="0.2">
      <c r="A17" s="61" t="s">
        <v>19</v>
      </c>
      <c r="B17" s="93" t="s">
        <v>208</v>
      </c>
      <c r="C17" s="93" t="s">
        <v>208</v>
      </c>
    </row>
    <row r="18" spans="1:3" s="57" customFormat="1" ht="14.25" x14ac:dyDescent="0.2">
      <c r="A18" s="61" t="s">
        <v>20</v>
      </c>
      <c r="B18" s="98">
        <v>24000</v>
      </c>
      <c r="C18" s="98">
        <v>24000</v>
      </c>
    </row>
    <row r="19" spans="1:3" s="57" customFormat="1" ht="14.25" x14ac:dyDescent="0.2">
      <c r="A19" s="61" t="s">
        <v>72</v>
      </c>
      <c r="B19" s="98">
        <v>900</v>
      </c>
      <c r="C19" s="98">
        <v>900</v>
      </c>
    </row>
    <row r="20" spans="1:3" s="57" customFormat="1" ht="14.25" x14ac:dyDescent="0.2">
      <c r="A20" s="61" t="s">
        <v>21</v>
      </c>
      <c r="B20" s="121">
        <f t="shared" ref="B20:C20" si="0">B19+B18+B16+B14+B13</f>
        <v>68600</v>
      </c>
      <c r="C20" s="121">
        <f t="shared" si="0"/>
        <v>68400</v>
      </c>
    </row>
    <row r="21" spans="1:3" s="57" customFormat="1" ht="14.25" x14ac:dyDescent="0.2">
      <c r="A21" s="61" t="s">
        <v>22</v>
      </c>
      <c r="B21" s="122">
        <v>0</v>
      </c>
      <c r="C21" s="122">
        <v>0</v>
      </c>
    </row>
    <row r="22" spans="1:3" s="57" customFormat="1" ht="14.25" x14ac:dyDescent="0.2">
      <c r="A22" s="61" t="s">
        <v>23</v>
      </c>
      <c r="B22" s="94">
        <f t="shared" ref="B22:C22" si="1">B20-B21</f>
        <v>68600</v>
      </c>
      <c r="C22" s="94">
        <f t="shared" si="1"/>
        <v>68400</v>
      </c>
    </row>
    <row r="23" spans="1:3" s="57" customFormat="1" ht="14.25" x14ac:dyDescent="0.2">
      <c r="A23" s="62"/>
      <c r="B23" s="69"/>
      <c r="C23" s="69"/>
    </row>
    <row r="24" spans="1:3" s="60" customFormat="1" ht="12.75" x14ac:dyDescent="0.2">
      <c r="A24" s="58" t="s">
        <v>24</v>
      </c>
      <c r="B24" s="92"/>
      <c r="C24" s="92"/>
    </row>
    <row r="25" spans="1:3" s="57" customFormat="1" ht="14.25" x14ac:dyDescent="0.2">
      <c r="A25" s="61" t="s">
        <v>25</v>
      </c>
      <c r="B25" s="70">
        <v>72</v>
      </c>
      <c r="C25" s="70">
        <v>72</v>
      </c>
    </row>
    <row r="26" spans="1:3" s="57" customFormat="1" ht="14.25" x14ac:dyDescent="0.2">
      <c r="A26" s="61" t="s">
        <v>26</v>
      </c>
      <c r="B26" s="70">
        <v>10000</v>
      </c>
      <c r="C26" s="70">
        <v>10000</v>
      </c>
    </row>
    <row r="27" spans="1:3" s="57" customFormat="1" ht="14.25" x14ac:dyDescent="0.2">
      <c r="A27" s="71" t="s">
        <v>73</v>
      </c>
      <c r="B27" s="138"/>
      <c r="C27" s="138"/>
    </row>
    <row r="28" spans="1:3" s="57" customFormat="1" ht="28.5" x14ac:dyDescent="0.2">
      <c r="A28" s="71" t="s">
        <v>74</v>
      </c>
      <c r="B28" s="139"/>
      <c r="C28" s="139"/>
    </row>
    <row r="29" spans="1:3" s="57" customFormat="1" ht="14.25" x14ac:dyDescent="0.2">
      <c r="A29" s="71" t="s">
        <v>75</v>
      </c>
      <c r="B29" s="139"/>
      <c r="C29" s="139"/>
    </row>
    <row r="30" spans="1:3" s="57" customFormat="1" ht="14.25" x14ac:dyDescent="0.2">
      <c r="A30" s="123" t="s">
        <v>225</v>
      </c>
      <c r="B30" s="146">
        <v>0.1</v>
      </c>
      <c r="C30" s="147"/>
    </row>
    <row r="31" spans="1:3" s="57" customFormat="1" ht="14.25" x14ac:dyDescent="0.2">
      <c r="A31" s="61" t="s">
        <v>27</v>
      </c>
      <c r="B31" s="72">
        <v>0</v>
      </c>
      <c r="C31" s="72">
        <v>0</v>
      </c>
    </row>
    <row r="32" spans="1:3" s="57" customFormat="1" ht="14.25" x14ac:dyDescent="0.2">
      <c r="A32" s="61" t="s">
        <v>28</v>
      </c>
      <c r="B32" s="72">
        <v>0</v>
      </c>
      <c r="C32" s="72">
        <v>0</v>
      </c>
    </row>
    <row r="33" spans="1:3" s="57" customFormat="1" ht="14.25" x14ac:dyDescent="0.2">
      <c r="A33" s="61" t="s">
        <v>29</v>
      </c>
      <c r="B33" s="72">
        <v>0</v>
      </c>
      <c r="C33" s="72">
        <v>0</v>
      </c>
    </row>
    <row r="34" spans="1:3" s="57" customFormat="1" ht="14.25" x14ac:dyDescent="0.2">
      <c r="A34" s="61" t="s">
        <v>224</v>
      </c>
      <c r="B34" s="72">
        <v>0</v>
      </c>
      <c r="C34" s="72">
        <v>0</v>
      </c>
    </row>
    <row r="35" spans="1:3" s="57" customFormat="1" ht="14.25" x14ac:dyDescent="0.2">
      <c r="A35" s="62"/>
      <c r="B35" s="63"/>
      <c r="C35" s="63"/>
    </row>
    <row r="36" spans="1:3" s="60" customFormat="1" ht="13.5" x14ac:dyDescent="0.2">
      <c r="A36" s="58" t="s">
        <v>44</v>
      </c>
      <c r="B36" s="90"/>
      <c r="C36" s="90"/>
    </row>
    <row r="37" spans="1:3" s="57" customFormat="1" ht="14.25" x14ac:dyDescent="0.2">
      <c r="A37" s="61" t="s">
        <v>31</v>
      </c>
      <c r="B37" s="72">
        <v>0</v>
      </c>
      <c r="C37" s="72">
        <v>0</v>
      </c>
    </row>
    <row r="38" spans="1:3" s="57" customFormat="1" ht="14.25" x14ac:dyDescent="0.2">
      <c r="A38" s="61" t="s">
        <v>32</v>
      </c>
      <c r="B38" s="75">
        <v>0</v>
      </c>
      <c r="C38" s="75">
        <v>0</v>
      </c>
    </row>
    <row r="39" spans="1:3" s="57" customFormat="1" ht="14.25" x14ac:dyDescent="0.2">
      <c r="A39" s="61" t="s">
        <v>33</v>
      </c>
      <c r="B39" s="72">
        <v>0</v>
      </c>
      <c r="C39" s="72">
        <v>0</v>
      </c>
    </row>
    <row r="40" spans="1:3" s="57" customFormat="1" ht="14.25" x14ac:dyDescent="0.2">
      <c r="A40" s="61" t="s">
        <v>34</v>
      </c>
      <c r="B40" s="72">
        <v>0</v>
      </c>
      <c r="C40" s="72">
        <v>0</v>
      </c>
    </row>
    <row r="41" spans="1:3" s="57" customFormat="1" ht="14.25" x14ac:dyDescent="0.2">
      <c r="A41" s="61" t="s">
        <v>35</v>
      </c>
      <c r="B41" s="72">
        <v>0</v>
      </c>
      <c r="C41" s="72">
        <v>0</v>
      </c>
    </row>
    <row r="42" spans="1:3" s="57" customFormat="1" ht="14.25" x14ac:dyDescent="0.2">
      <c r="A42" s="114" t="s">
        <v>36</v>
      </c>
      <c r="B42" s="72">
        <v>0</v>
      </c>
      <c r="C42" s="72">
        <v>0</v>
      </c>
    </row>
    <row r="43" spans="1:3" s="57" customFormat="1" ht="14.25" x14ac:dyDescent="0.2">
      <c r="A43" s="61" t="s">
        <v>37</v>
      </c>
      <c r="B43" s="98">
        <f>61/3</f>
        <v>20.333333333333332</v>
      </c>
      <c r="C43" s="98">
        <f>61/3</f>
        <v>20.333333333333332</v>
      </c>
    </row>
    <row r="44" spans="1:3" s="57" customFormat="1" ht="14.25" x14ac:dyDescent="0.2">
      <c r="A44" s="61" t="s">
        <v>39</v>
      </c>
      <c r="B44" s="72">
        <v>0</v>
      </c>
      <c r="C44" s="72">
        <v>0</v>
      </c>
    </row>
    <row r="45" spans="1:3" s="57" customFormat="1" ht="14.25" x14ac:dyDescent="0.2">
      <c r="A45" s="71" t="s">
        <v>76</v>
      </c>
      <c r="B45" s="72">
        <v>0</v>
      </c>
      <c r="C45" s="72">
        <v>0</v>
      </c>
    </row>
    <row r="46" spans="1:3" s="57" customFormat="1" ht="14.25" x14ac:dyDescent="0.2">
      <c r="A46" s="61" t="s">
        <v>40</v>
      </c>
      <c r="B46" s="72">
        <v>0</v>
      </c>
      <c r="C46" s="72">
        <v>0</v>
      </c>
    </row>
    <row r="47" spans="1:3" s="57" customFormat="1" ht="14.25" x14ac:dyDescent="0.2">
      <c r="A47" s="71" t="s">
        <v>41</v>
      </c>
      <c r="B47" s="76">
        <v>0</v>
      </c>
      <c r="C47" s="76">
        <v>0</v>
      </c>
    </row>
    <row r="48" spans="1:3" s="57" customFormat="1" ht="54" customHeight="1" x14ac:dyDescent="0.2">
      <c r="A48" s="71" t="s">
        <v>42</v>
      </c>
      <c r="B48" s="144"/>
      <c r="C48" s="145"/>
    </row>
    <row r="49" spans="1:3" s="57" customFormat="1" ht="14.25" x14ac:dyDescent="0.2">
      <c r="A49" s="123" t="s">
        <v>226</v>
      </c>
      <c r="B49" s="124">
        <f>(B26*B30*B34)/12</f>
        <v>0</v>
      </c>
      <c r="C49" s="124">
        <f>(C26*B30*C34)/12</f>
        <v>0</v>
      </c>
    </row>
    <row r="50" spans="1:3" s="57" customFormat="1" ht="14.25" x14ac:dyDescent="0.2">
      <c r="A50" s="62"/>
      <c r="B50" s="69"/>
      <c r="C50" s="69"/>
    </row>
    <row r="51" spans="1:3" s="60" customFormat="1" ht="12.75" x14ac:dyDescent="0.2">
      <c r="A51" s="77" t="s">
        <v>78</v>
      </c>
      <c r="B51" s="78">
        <f>B37+B38+B39+B40+B41+B42+B43+B44+B45+B46+B47+B49</f>
        <v>20.333333333333332</v>
      </c>
      <c r="C51" s="78">
        <f>C37+C38+C39+C40+C41+C42+C43+C44+C45+C46+C47+C49</f>
        <v>20.333333333333332</v>
      </c>
    </row>
    <row r="52" spans="1:3" s="57" customFormat="1" ht="14.25" x14ac:dyDescent="0.2">
      <c r="A52" s="62"/>
      <c r="B52" s="69"/>
      <c r="C52" s="69"/>
    </row>
    <row r="53" spans="1:3" s="79" customFormat="1" ht="51" customHeight="1" x14ac:dyDescent="0.2">
      <c r="A53" s="134" t="s">
        <v>79</v>
      </c>
      <c r="B53" s="135"/>
      <c r="C53" s="135"/>
    </row>
    <row r="54" spans="1:3" x14ac:dyDescent="0.25">
      <c r="A54" s="80" t="s">
        <v>30</v>
      </c>
    </row>
    <row r="55" spans="1:3" x14ac:dyDescent="0.25">
      <c r="A55" s="80"/>
    </row>
    <row r="56" spans="1:3" x14ac:dyDescent="0.25">
      <c r="A56" s="80" t="s">
        <v>30</v>
      </c>
    </row>
    <row r="57" spans="1:3" x14ac:dyDescent="0.25">
      <c r="A57" s="80"/>
    </row>
    <row r="58" spans="1:3" x14ac:dyDescent="0.25">
      <c r="A58" s="80"/>
    </row>
    <row r="59" spans="1:3" x14ac:dyDescent="0.25">
      <c r="A59" s="80"/>
    </row>
    <row r="60" spans="1:3" x14ac:dyDescent="0.25">
      <c r="A60" s="80"/>
    </row>
    <row r="61" spans="1:3" x14ac:dyDescent="0.25">
      <c r="A61" s="80"/>
    </row>
    <row r="62" spans="1:3" x14ac:dyDescent="0.25">
      <c r="A62" s="80"/>
    </row>
    <row r="63" spans="1:3" x14ac:dyDescent="0.25">
      <c r="A63" s="80"/>
    </row>
    <row r="64" spans="1:3"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0"/>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x14ac:dyDescent="0.25">
      <c r="A109" s="82"/>
    </row>
    <row r="110" spans="1:1" ht="64.5" x14ac:dyDescent="0.25">
      <c r="A110" s="82" t="s">
        <v>80</v>
      </c>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row r="248" spans="1:1" x14ac:dyDescent="0.25">
      <c r="A248" s="82"/>
    </row>
  </sheetData>
  <sheetProtection algorithmName="SHA-512" hashValue="AiQr0loUSRJwn4BNj1TwvLv2mWcMZsjet+IG9WTM1cG2db4LdsuTcvSdCJBxqMrmJnLTrChZTzOiHPXUhdpVlQ==" saltValue="eDu93CK7vksQ/iz+7cqT3Q==" spinCount="100000" sheet="1" selectLockedCells="1"/>
  <mergeCells count="8">
    <mergeCell ref="B48:C48"/>
    <mergeCell ref="A53:C53"/>
    <mergeCell ref="B1:C1"/>
    <mergeCell ref="A2:B2"/>
    <mergeCell ref="B27:C27"/>
    <mergeCell ref="B28:C28"/>
    <mergeCell ref="B29:C29"/>
    <mergeCell ref="B30:C30"/>
  </mergeCells>
  <pageMargins left="0.25" right="0.25" top="0.75" bottom="0.75" header="0.3" footer="0.3"/>
  <pageSetup paperSize="9" scale="91"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2" manualBreakCount="2">
    <brk id="22" max="2" man="1"/>
    <brk id="23"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2D350-51CC-40A0-B87D-EE8B4D57FD05}">
  <sheetPr>
    <pageSetUpPr fitToPage="1"/>
  </sheetPr>
  <dimension ref="A1:D246"/>
  <sheetViews>
    <sheetView showGridLines="0" zoomScaleNormal="100" workbookViewId="0">
      <pane xSplit="1" ySplit="3" topLeftCell="B34" activePane="bottomRight" state="frozen"/>
      <selection activeCell="B1" sqref="B1:C1"/>
      <selection pane="topRight" activeCell="B1" sqref="B1:C1"/>
      <selection pane="bottomLeft" activeCell="B1" sqref="B1:C1"/>
      <selection pane="bottomRight" activeCell="D21" sqref="D21"/>
    </sheetView>
    <sheetView showGridLines="0" workbookViewId="1"/>
  </sheetViews>
  <sheetFormatPr defaultColWidth="9.140625" defaultRowHeight="15" x14ac:dyDescent="0.25"/>
  <cols>
    <col min="1" max="1" width="57.28515625" style="83" customWidth="1"/>
    <col min="2" max="4" width="45" style="81" customWidth="1"/>
    <col min="5" max="16384" width="9.140625" style="81"/>
  </cols>
  <sheetData>
    <row r="1" spans="1:4" s="56" customFormat="1" ht="15.75" x14ac:dyDescent="0.25">
      <c r="A1" s="84" t="s">
        <v>8</v>
      </c>
      <c r="B1" s="136" t="s">
        <v>149</v>
      </c>
      <c r="C1" s="136"/>
      <c r="D1" s="136"/>
    </row>
    <row r="2" spans="1:4" s="57" customFormat="1" ht="14.25" x14ac:dyDescent="0.2">
      <c r="A2" s="137" t="s">
        <v>9</v>
      </c>
      <c r="B2" s="137"/>
      <c r="C2" s="137"/>
      <c r="D2" s="69"/>
    </row>
    <row r="3" spans="1:4" s="60" customFormat="1" ht="12.75" x14ac:dyDescent="0.2">
      <c r="A3" s="58" t="s">
        <v>10</v>
      </c>
      <c r="B3" s="92" t="s">
        <v>65</v>
      </c>
      <c r="C3" s="92" t="s">
        <v>66</v>
      </c>
      <c r="D3" s="92" t="s">
        <v>67</v>
      </c>
    </row>
    <row r="4" spans="1:4" s="57" customFormat="1" ht="14.25" customHeight="1" x14ac:dyDescent="0.2">
      <c r="A4" s="61" t="s">
        <v>1</v>
      </c>
      <c r="B4" s="96" t="s">
        <v>81</v>
      </c>
      <c r="C4" s="96" t="s">
        <v>68</v>
      </c>
      <c r="D4" s="96" t="s">
        <v>5</v>
      </c>
    </row>
    <row r="5" spans="1:4" s="57" customFormat="1" ht="14.25" x14ac:dyDescent="0.2">
      <c r="A5" s="61" t="s">
        <v>2</v>
      </c>
      <c r="B5" s="96" t="s">
        <v>109</v>
      </c>
      <c r="C5" s="96" t="s">
        <v>114</v>
      </c>
      <c r="D5" s="96" t="s">
        <v>111</v>
      </c>
    </row>
    <row r="6" spans="1:4" s="57" customFormat="1" ht="14.25" x14ac:dyDescent="0.2">
      <c r="A6" s="61" t="s">
        <v>3</v>
      </c>
      <c r="B6" s="96" t="s">
        <v>110</v>
      </c>
      <c r="C6" s="96" t="s">
        <v>115</v>
      </c>
      <c r="D6" s="96" t="s">
        <v>112</v>
      </c>
    </row>
    <row r="7" spans="1:4" s="57" customFormat="1" ht="14.25" x14ac:dyDescent="0.2">
      <c r="A7" s="61" t="s">
        <v>11</v>
      </c>
      <c r="B7" s="96" t="s">
        <v>82</v>
      </c>
      <c r="C7" s="96" t="s">
        <v>82</v>
      </c>
      <c r="D7" s="96" t="s">
        <v>83</v>
      </c>
    </row>
    <row r="8" spans="1:4" s="57" customFormat="1" ht="14.25" x14ac:dyDescent="0.2">
      <c r="A8" s="61" t="s">
        <v>12</v>
      </c>
      <c r="B8" s="96" t="s">
        <v>13</v>
      </c>
      <c r="C8" s="96" t="s">
        <v>13</v>
      </c>
      <c r="D8" s="96" t="s">
        <v>13</v>
      </c>
    </row>
    <row r="9" spans="1:4" s="57" customFormat="1" ht="14.25" x14ac:dyDescent="0.2">
      <c r="A9" s="61" t="s">
        <v>71</v>
      </c>
      <c r="B9" s="70">
        <v>2395</v>
      </c>
      <c r="C9" s="70">
        <v>2790</v>
      </c>
      <c r="D9" s="70">
        <v>2278</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(B13*1.21)+B14</f>
        <v>79074.709999999992</v>
      </c>
      <c r="C12" s="91">
        <f>(C13*1.21)+C14</f>
        <v>64977</v>
      </c>
      <c r="D12" s="91">
        <f>(D13*1.21)+D14</f>
        <v>61589</v>
      </c>
    </row>
    <row r="13" spans="1:4" s="57" customFormat="1" ht="14.25" x14ac:dyDescent="0.2">
      <c r="A13" s="61" t="s">
        <v>16</v>
      </c>
      <c r="B13" s="91">
        <v>65351</v>
      </c>
      <c r="C13" s="91">
        <v>53700</v>
      </c>
      <c r="D13" s="91">
        <v>50900</v>
      </c>
    </row>
    <row r="14" spans="1:4" s="57" customFormat="1" ht="14.25" x14ac:dyDescent="0.2">
      <c r="A14" s="61" t="s">
        <v>47</v>
      </c>
      <c r="B14" s="91">
        <v>0</v>
      </c>
      <c r="C14" s="91">
        <v>0</v>
      </c>
      <c r="D14" s="91">
        <v>0</v>
      </c>
    </row>
    <row r="15" spans="1:4" s="57" customFormat="1" ht="114" x14ac:dyDescent="0.2">
      <c r="A15" s="61" t="s">
        <v>17</v>
      </c>
      <c r="B15" s="93" t="s">
        <v>117</v>
      </c>
      <c r="C15" s="93" t="s">
        <v>116</v>
      </c>
      <c r="D15" s="93" t="s">
        <v>113</v>
      </c>
    </row>
    <row r="16" spans="1:4" s="57" customFormat="1" ht="14.25" x14ac:dyDescent="0.2">
      <c r="A16" s="61" t="s">
        <v>18</v>
      </c>
      <c r="B16" s="91">
        <v>2080</v>
      </c>
      <c r="C16" s="91">
        <f>750+300</f>
        <v>1050</v>
      </c>
      <c r="D16" s="91">
        <f>400+500+600</f>
        <v>1500</v>
      </c>
    </row>
    <row r="17" spans="1:4" s="57" customFormat="1" ht="213.75" x14ac:dyDescent="0.2">
      <c r="A17" s="61" t="s">
        <v>19</v>
      </c>
      <c r="B17" s="93" t="s">
        <v>123</v>
      </c>
      <c r="C17" s="93" t="s">
        <v>124</v>
      </c>
      <c r="D17" s="93" t="s">
        <v>125</v>
      </c>
    </row>
    <row r="18" spans="1:4" s="57" customFormat="1" ht="14.25" x14ac:dyDescent="0.2">
      <c r="A18" s="61" t="s">
        <v>20</v>
      </c>
      <c r="B18" s="91">
        <v>8000</v>
      </c>
      <c r="C18" s="91">
        <v>9000</v>
      </c>
      <c r="D18" s="91">
        <v>8100</v>
      </c>
    </row>
    <row r="19" spans="1:4" s="57" customFormat="1" ht="14.25" x14ac:dyDescent="0.2">
      <c r="A19" s="61" t="s">
        <v>72</v>
      </c>
      <c r="B19" s="91">
        <f>1425+50+16.53+13.1</f>
        <v>1504.6299999999999</v>
      </c>
      <c r="C19" s="91">
        <v>900</v>
      </c>
      <c r="D19" s="91">
        <v>981.69</v>
      </c>
    </row>
    <row r="20" spans="1:4" s="57" customFormat="1" ht="14.25" x14ac:dyDescent="0.2">
      <c r="A20" s="61" t="s">
        <v>21</v>
      </c>
      <c r="B20" s="94">
        <f>B19+B18+B16+B14+B13</f>
        <v>76935.63</v>
      </c>
      <c r="C20" s="94">
        <f t="shared" ref="C20:D20" si="0">C19+C18+C16+C14+C13</f>
        <v>64650</v>
      </c>
      <c r="D20" s="94">
        <f t="shared" si="0"/>
        <v>61481.69</v>
      </c>
    </row>
    <row r="21" spans="1:4" s="57" customFormat="1" ht="14.25" x14ac:dyDescent="0.2">
      <c r="A21" s="61" t="s">
        <v>22</v>
      </c>
      <c r="B21" s="95">
        <v>0</v>
      </c>
      <c r="C21" s="95">
        <v>0</v>
      </c>
      <c r="D21" s="95">
        <v>0</v>
      </c>
    </row>
    <row r="22" spans="1:4" s="57" customFormat="1" ht="14.25" x14ac:dyDescent="0.2">
      <c r="A22" s="61" t="s">
        <v>23</v>
      </c>
      <c r="B22" s="94">
        <f>B20-B21</f>
        <v>76935.63</v>
      </c>
      <c r="C22" s="94">
        <f t="shared" ref="C22:D22" si="1">C20-C21</f>
        <v>64650</v>
      </c>
      <c r="D22" s="94">
        <f t="shared" si="1"/>
        <v>61481.69</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84</v>
      </c>
      <c r="C25" s="70">
        <v>84</v>
      </c>
      <c r="D25" s="70">
        <v>84</v>
      </c>
    </row>
    <row r="26" spans="1:4" s="57" customFormat="1" ht="14.25" x14ac:dyDescent="0.2">
      <c r="A26" s="61" t="s">
        <v>26</v>
      </c>
      <c r="B26" s="70">
        <v>10000</v>
      </c>
      <c r="C26" s="70">
        <v>10000</v>
      </c>
      <c r="D26" s="70">
        <v>10000</v>
      </c>
    </row>
    <row r="27" spans="1:4" s="57" customFormat="1" ht="28.5" x14ac:dyDescent="0.2">
      <c r="A27" s="71" t="s">
        <v>73</v>
      </c>
      <c r="B27" s="138">
        <v>2.5000000000000001E-2</v>
      </c>
      <c r="C27" s="138"/>
      <c r="D27" s="138"/>
    </row>
    <row r="28" spans="1:4" s="57" customFormat="1" ht="28.5" x14ac:dyDescent="0.2">
      <c r="A28" s="71" t="s">
        <v>74</v>
      </c>
      <c r="B28" s="139">
        <f>'Prijsinvulf overige zaken'!C4</f>
        <v>0</v>
      </c>
      <c r="C28" s="139"/>
      <c r="D28" s="139"/>
    </row>
    <row r="29" spans="1:4" s="57" customFormat="1" ht="14.25" x14ac:dyDescent="0.2">
      <c r="A29" s="71" t="s">
        <v>75</v>
      </c>
      <c r="B29" s="139">
        <f>B27+B28</f>
        <v>2.5000000000000001E-2</v>
      </c>
      <c r="C29" s="139"/>
      <c r="D29" s="139"/>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2">
        <v>0</v>
      </c>
      <c r="C32" s="72">
        <v>0</v>
      </c>
      <c r="D32" s="72">
        <v>0</v>
      </c>
    </row>
    <row r="33" spans="1:4" s="57" customFormat="1" ht="14.25" x14ac:dyDescent="0.2">
      <c r="A33" s="61" t="s">
        <v>29</v>
      </c>
      <c r="B33" s="72">
        <v>0</v>
      </c>
      <c r="C33" s="72">
        <v>0</v>
      </c>
      <c r="D33" s="72">
        <v>0</v>
      </c>
    </row>
    <row r="34" spans="1:4" s="57" customFormat="1" ht="14.25" x14ac:dyDescent="0.2">
      <c r="A34" s="61" t="s">
        <v>224</v>
      </c>
      <c r="B34" s="72">
        <v>0</v>
      </c>
      <c r="C34" s="72">
        <v>0</v>
      </c>
      <c r="D34" s="72">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78/3</f>
        <v>26</v>
      </c>
      <c r="C43" s="91">
        <f>95/3</f>
        <v>31.666666666666668</v>
      </c>
      <c r="D43" s="91">
        <f>74/3</f>
        <v>24.666666666666668</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26</v>
      </c>
      <c r="C51" s="78">
        <f t="shared" ref="C51:D51" si="2">C37+C38+C39+C40+C41+C42+C43+C44+C45+C46+C47+C49</f>
        <v>31.666666666666668</v>
      </c>
      <c r="D51" s="78">
        <f t="shared" si="2"/>
        <v>24.666666666666668</v>
      </c>
    </row>
    <row r="52" spans="1:4" s="57" customFormat="1" ht="14.25" x14ac:dyDescent="0.2">
      <c r="A52" s="62"/>
    </row>
    <row r="53" spans="1:4" s="57" customFormat="1" ht="51" customHeight="1" x14ac:dyDescent="0.2">
      <c r="A53" s="134" t="s">
        <v>79</v>
      </c>
      <c r="B53" s="135"/>
      <c r="C53" s="135"/>
      <c r="D53" s="135"/>
    </row>
    <row r="54" spans="1:4" x14ac:dyDescent="0.25">
      <c r="A54" s="80" t="s">
        <v>30</v>
      </c>
    </row>
    <row r="55" spans="1:4" x14ac:dyDescent="0.25">
      <c r="A55" s="80"/>
    </row>
    <row r="56" spans="1:4" x14ac:dyDescent="0.25">
      <c r="A56" s="80" t="s">
        <v>30</v>
      </c>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2"/>
    </row>
    <row r="73" spans="1:1" x14ac:dyDescent="0.25">
      <c r="A73" s="82"/>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x14ac:dyDescent="0.25">
      <c r="A109" s="82"/>
    </row>
    <row r="110" spans="1:1" ht="64.5" x14ac:dyDescent="0.25">
      <c r="A110" s="82" t="s">
        <v>80</v>
      </c>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sheetData>
  <sheetProtection algorithmName="SHA-512" hashValue="juJ8WmkKjxpgQKGFcu7Yy8Vewolsxr/a1BvlRZip0rGNMruqZ4xwRww8EPp6cn4jGIffM6SafXtho+qoTZOJhg==" saltValue="DIy3huQ0gLhZek2+ANEirA==" spinCount="100000" sheet="1" selectLockedCells="1"/>
  <mergeCells count="8">
    <mergeCell ref="A53:D53"/>
    <mergeCell ref="B1:D1"/>
    <mergeCell ref="A2:C2"/>
    <mergeCell ref="B27:D27"/>
    <mergeCell ref="B28:D28"/>
    <mergeCell ref="B29:D29"/>
    <mergeCell ref="B48:D48"/>
    <mergeCell ref="B30:D30"/>
  </mergeCells>
  <pageMargins left="0.25" right="0.25" top="0.75" bottom="0.75" header="0.3" footer="0.3"/>
  <pageSetup paperSize="9" scale="75"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F4F2-1837-47F7-83EF-BF9735870C6C}">
  <dimension ref="A1:D248"/>
  <sheetViews>
    <sheetView showGridLines="0" zoomScaleNormal="100" workbookViewId="0">
      <pane xSplit="1" ySplit="3" topLeftCell="B29" activePane="bottomRight" state="frozen"/>
      <selection activeCell="B1" sqref="B1:C1"/>
      <selection pane="topRight" activeCell="B1" sqref="B1:C1"/>
      <selection pane="bottomLeft" activeCell="B1" sqref="B1:C1"/>
      <selection pane="bottomRight" activeCell="C45" sqref="C45"/>
    </sheetView>
    <sheetView showGridLines="0" workbookViewId="1"/>
  </sheetViews>
  <sheetFormatPr defaultColWidth="9.140625" defaultRowHeight="15" x14ac:dyDescent="0.25"/>
  <cols>
    <col min="1" max="1" width="59.28515625" style="83" customWidth="1"/>
    <col min="2" max="4" width="43.140625" style="81" customWidth="1"/>
    <col min="5" max="16384" width="9.140625" style="81"/>
  </cols>
  <sheetData>
    <row r="1" spans="1:4" s="56" customFormat="1" ht="15.75" x14ac:dyDescent="0.25">
      <c r="A1" s="84" t="s">
        <v>8</v>
      </c>
      <c r="B1" s="148" t="s">
        <v>134</v>
      </c>
      <c r="C1" s="149"/>
      <c r="D1" s="149"/>
    </row>
    <row r="2" spans="1:4" s="57" customFormat="1" ht="13.5" x14ac:dyDescent="0.2">
      <c r="A2" s="137" t="s">
        <v>9</v>
      </c>
      <c r="B2" s="137"/>
      <c r="C2" s="137"/>
      <c r="D2" s="113"/>
    </row>
    <row r="3" spans="1:4" s="60" customFormat="1" ht="12.75" x14ac:dyDescent="0.2">
      <c r="A3" s="58" t="s">
        <v>10</v>
      </c>
      <c r="B3" s="92" t="s">
        <v>65</v>
      </c>
      <c r="C3" s="92" t="s">
        <v>66</v>
      </c>
      <c r="D3" s="92" t="s">
        <v>67</v>
      </c>
    </row>
    <row r="4" spans="1:4" s="57" customFormat="1" ht="14.25" x14ac:dyDescent="0.2">
      <c r="A4" s="61" t="s">
        <v>1</v>
      </c>
      <c r="B4" s="96" t="s">
        <v>45</v>
      </c>
      <c r="C4" s="96" t="s">
        <v>84</v>
      </c>
      <c r="D4" s="112" t="s">
        <v>204</v>
      </c>
    </row>
    <row r="5" spans="1:4" s="57" customFormat="1" ht="14.25" x14ac:dyDescent="0.2">
      <c r="A5" s="61" t="s">
        <v>2</v>
      </c>
      <c r="B5" s="99" t="s">
        <v>138</v>
      </c>
      <c r="C5" s="99" t="s">
        <v>139</v>
      </c>
      <c r="D5" s="116" t="s">
        <v>205</v>
      </c>
    </row>
    <row r="6" spans="1:4" s="57" customFormat="1" ht="28.5" x14ac:dyDescent="0.2">
      <c r="A6" s="61" t="s">
        <v>3</v>
      </c>
      <c r="B6" s="115" t="s">
        <v>215</v>
      </c>
      <c r="C6" s="115" t="s">
        <v>216</v>
      </c>
      <c r="D6" s="115" t="s">
        <v>214</v>
      </c>
    </row>
    <row r="7" spans="1:4" s="57" customFormat="1" ht="14.25" x14ac:dyDescent="0.2">
      <c r="A7" s="61" t="s">
        <v>11</v>
      </c>
      <c r="B7" s="99" t="s">
        <v>136</v>
      </c>
      <c r="C7" s="99" t="s">
        <v>136</v>
      </c>
      <c r="D7" s="99" t="s">
        <v>136</v>
      </c>
    </row>
    <row r="8" spans="1:4" s="57" customFormat="1" ht="14.25" x14ac:dyDescent="0.2">
      <c r="A8" s="61" t="s">
        <v>12</v>
      </c>
      <c r="B8" s="96" t="s">
        <v>46</v>
      </c>
      <c r="C8" s="96" t="s">
        <v>46</v>
      </c>
      <c r="D8" s="96" t="s">
        <v>46</v>
      </c>
    </row>
    <row r="9" spans="1:4" s="57" customFormat="1" ht="14.25" x14ac:dyDescent="0.2">
      <c r="A9" s="61" t="s">
        <v>71</v>
      </c>
      <c r="B9" s="70">
        <v>3100</v>
      </c>
      <c r="C9" s="70">
        <v>3100</v>
      </c>
      <c r="D9" s="70">
        <v>3300</v>
      </c>
    </row>
    <row r="10" spans="1:4" s="57" customFormat="1" ht="14.25" x14ac:dyDescent="0.2">
      <c r="A10" s="62"/>
      <c r="B10" s="63"/>
      <c r="C10" s="63"/>
      <c r="D10" s="63"/>
    </row>
    <row r="11" spans="1:4" s="60" customFormat="1" ht="12.75" x14ac:dyDescent="0.2">
      <c r="A11" s="58" t="s">
        <v>14</v>
      </c>
      <c r="B11" s="92"/>
      <c r="C11" s="92"/>
      <c r="D11" s="92"/>
    </row>
    <row r="12" spans="1:4" s="57" customFormat="1" ht="28.5" x14ac:dyDescent="0.2">
      <c r="A12" s="61" t="s">
        <v>15</v>
      </c>
      <c r="B12" s="91">
        <f>(B13*1.21)</f>
        <v>65019.35</v>
      </c>
      <c r="C12" s="91">
        <f>(C13*1.21)</f>
        <v>54280.6</v>
      </c>
      <c r="D12" s="91">
        <f>(D13*1.21)</f>
        <v>90453.55</v>
      </c>
    </row>
    <row r="13" spans="1:4" s="57" customFormat="1" ht="14.25" x14ac:dyDescent="0.2">
      <c r="A13" s="61" t="s">
        <v>16</v>
      </c>
      <c r="B13" s="91">
        <v>53735</v>
      </c>
      <c r="C13" s="91">
        <v>44860</v>
      </c>
      <c r="D13" s="91">
        <f>82030-D16</f>
        <v>74755</v>
      </c>
    </row>
    <row r="14" spans="1:4" s="57" customFormat="1" ht="14.25" x14ac:dyDescent="0.2">
      <c r="A14" s="61" t="s">
        <v>47</v>
      </c>
      <c r="B14" s="100" t="s">
        <v>38</v>
      </c>
      <c r="C14" s="100" t="s">
        <v>38</v>
      </c>
      <c r="D14" s="100" t="s">
        <v>38</v>
      </c>
    </row>
    <row r="15" spans="1:4" s="57" customFormat="1" ht="165.75" customHeight="1" x14ac:dyDescent="0.2">
      <c r="A15" s="61" t="s">
        <v>17</v>
      </c>
      <c r="B15" s="93" t="s">
        <v>137</v>
      </c>
      <c r="C15" s="93" t="s">
        <v>140</v>
      </c>
      <c r="D15" s="93" t="s">
        <v>217</v>
      </c>
    </row>
    <row r="16" spans="1:4" s="57" customFormat="1" ht="14.25" x14ac:dyDescent="0.2">
      <c r="A16" s="61" t="s">
        <v>18</v>
      </c>
      <c r="B16" s="100">
        <f>1330+695+230+465+45+390+595+350</f>
        <v>4100</v>
      </c>
      <c r="C16" s="91">
        <f>750+350+40+360</f>
        <v>1500</v>
      </c>
      <c r="D16" s="117">
        <f>3640+1100+2535</f>
        <v>7275</v>
      </c>
    </row>
    <row r="17" spans="1:4" s="57" customFormat="1" ht="256.5" customHeight="1" x14ac:dyDescent="0.2">
      <c r="A17" s="101" t="s">
        <v>135</v>
      </c>
      <c r="B17" s="93" t="s">
        <v>190</v>
      </c>
      <c r="C17" s="93" t="s">
        <v>191</v>
      </c>
      <c r="D17" s="93" t="s">
        <v>218</v>
      </c>
    </row>
    <row r="18" spans="1:4" s="57" customFormat="1" ht="14.25" x14ac:dyDescent="0.2">
      <c r="A18" s="61" t="s">
        <v>20</v>
      </c>
      <c r="B18" s="91">
        <v>28000</v>
      </c>
      <c r="C18" s="91">
        <v>28500</v>
      </c>
      <c r="D18" s="91">
        <v>28000</v>
      </c>
    </row>
    <row r="19" spans="1:4" s="57" customFormat="1" ht="14.25" x14ac:dyDescent="0.2">
      <c r="A19" s="61" t="s">
        <v>72</v>
      </c>
      <c r="B19" s="91">
        <v>1431.68</v>
      </c>
      <c r="C19" s="91">
        <f>1155+7.97</f>
        <v>1162.97</v>
      </c>
      <c r="D19" s="91">
        <v>1100</v>
      </c>
    </row>
    <row r="20" spans="1:4" s="57" customFormat="1" ht="14.25" x14ac:dyDescent="0.2">
      <c r="A20" s="61" t="s">
        <v>21</v>
      </c>
      <c r="B20" s="94">
        <f>B19+B18+B16+B13</f>
        <v>87266.68</v>
      </c>
      <c r="C20" s="94">
        <f>C19+C18+C16+C13</f>
        <v>76022.97</v>
      </c>
      <c r="D20" s="94">
        <f>D19+D18+D16+D13</f>
        <v>111130</v>
      </c>
    </row>
    <row r="21" spans="1:4" s="57" customFormat="1" ht="14.25" x14ac:dyDescent="0.2">
      <c r="A21" s="61" t="s">
        <v>22</v>
      </c>
      <c r="B21" s="95">
        <v>0</v>
      </c>
      <c r="C21" s="95">
        <v>0</v>
      </c>
      <c r="D21" s="95">
        <v>0</v>
      </c>
    </row>
    <row r="22" spans="1:4" s="57" customFormat="1" ht="14.25" x14ac:dyDescent="0.2">
      <c r="A22" s="61" t="s">
        <v>23</v>
      </c>
      <c r="B22" s="94">
        <f>B20-B21</f>
        <v>87266.68</v>
      </c>
      <c r="C22" s="94">
        <f t="shared" ref="C22:D22" si="0">C20-C21</f>
        <v>76022.97</v>
      </c>
      <c r="D22" s="94">
        <f t="shared" si="0"/>
        <v>111130</v>
      </c>
    </row>
    <row r="23" spans="1:4" s="57" customFormat="1" ht="14.25" x14ac:dyDescent="0.2">
      <c r="A23" s="62"/>
      <c r="B23" s="69"/>
      <c r="C23" s="69"/>
      <c r="D23" s="69"/>
    </row>
    <row r="24" spans="1:4" s="60" customFormat="1" ht="12.75" x14ac:dyDescent="0.2">
      <c r="A24" s="58" t="s">
        <v>24</v>
      </c>
      <c r="B24" s="92"/>
      <c r="C24" s="92"/>
      <c r="D24" s="92"/>
    </row>
    <row r="25" spans="1:4" s="57" customFormat="1" ht="14.25" x14ac:dyDescent="0.2">
      <c r="A25" s="61" t="s">
        <v>25</v>
      </c>
      <c r="B25" s="70">
        <v>84</v>
      </c>
      <c r="C25" s="70">
        <v>84</v>
      </c>
      <c r="D25" s="70">
        <v>84</v>
      </c>
    </row>
    <row r="26" spans="1:4" s="57" customFormat="1" ht="14.25" x14ac:dyDescent="0.2">
      <c r="A26" s="61" t="s">
        <v>26</v>
      </c>
      <c r="B26" s="70">
        <v>10000</v>
      </c>
      <c r="C26" s="70">
        <v>10000</v>
      </c>
      <c r="D26" s="70">
        <v>10000</v>
      </c>
    </row>
    <row r="27" spans="1:4" s="57" customFormat="1" ht="14.25" x14ac:dyDescent="0.2">
      <c r="A27" s="71" t="s">
        <v>73</v>
      </c>
      <c r="B27" s="150">
        <v>2.5000000000000001E-2</v>
      </c>
      <c r="C27" s="151"/>
      <c r="D27" s="152"/>
    </row>
    <row r="28" spans="1:4" s="57" customFormat="1" ht="28.5" x14ac:dyDescent="0.2">
      <c r="A28" s="71" t="s">
        <v>74</v>
      </c>
      <c r="B28" s="153">
        <f>'Prijsinvulf overige zaken'!C4</f>
        <v>0</v>
      </c>
      <c r="C28" s="154"/>
      <c r="D28" s="155"/>
    </row>
    <row r="29" spans="1:4" s="57" customFormat="1" ht="14.25" x14ac:dyDescent="0.2">
      <c r="A29" s="71" t="s">
        <v>75</v>
      </c>
      <c r="B29" s="153">
        <f>B27+B28</f>
        <v>2.5000000000000001E-2</v>
      </c>
      <c r="C29" s="154"/>
      <c r="D29" s="155"/>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2">
        <v>0</v>
      </c>
      <c r="C32" s="72">
        <v>0</v>
      </c>
      <c r="D32" s="72">
        <v>0</v>
      </c>
    </row>
    <row r="33" spans="1:4" s="57" customFormat="1" ht="14.25" x14ac:dyDescent="0.2">
      <c r="A33" s="61" t="s">
        <v>29</v>
      </c>
      <c r="B33" s="72">
        <v>0</v>
      </c>
      <c r="C33" s="72">
        <v>0</v>
      </c>
      <c r="D33" s="72">
        <v>0</v>
      </c>
    </row>
    <row r="34" spans="1:4" s="57" customFormat="1" ht="14.25" x14ac:dyDescent="0.2">
      <c r="A34" s="61" t="s">
        <v>224</v>
      </c>
      <c r="B34" s="72">
        <v>0</v>
      </c>
      <c r="C34" s="72">
        <v>0</v>
      </c>
      <c r="D34" s="72">
        <v>0</v>
      </c>
    </row>
    <row r="35" spans="1:4" s="57" customFormat="1" ht="14.25" x14ac:dyDescent="0.2">
      <c r="A35" s="62"/>
      <c r="B35" s="63"/>
      <c r="C35" s="63"/>
      <c r="D35" s="63"/>
    </row>
    <row r="36" spans="1:4" s="60" customFormat="1" ht="13.5" x14ac:dyDescent="0.2">
      <c r="A36" s="58" t="s">
        <v>44</v>
      </c>
      <c r="B36" s="90"/>
      <c r="C36" s="90"/>
      <c r="D36" s="90"/>
    </row>
    <row r="37" spans="1:4" s="57" customFormat="1" ht="14.25" x14ac:dyDescent="0.2">
      <c r="A37" s="61" t="s">
        <v>31</v>
      </c>
      <c r="B37" s="72">
        <v>0</v>
      </c>
      <c r="C37" s="72">
        <v>0</v>
      </c>
      <c r="D37" s="72">
        <v>0</v>
      </c>
    </row>
    <row r="38" spans="1:4" s="57" customFormat="1" ht="14.25" x14ac:dyDescent="0.2">
      <c r="A38" s="61" t="s">
        <v>32</v>
      </c>
      <c r="B38" s="72">
        <v>0</v>
      </c>
      <c r="C38" s="75">
        <v>0</v>
      </c>
      <c r="D38" s="75">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96/3</f>
        <v>32</v>
      </c>
      <c r="C43" s="91">
        <f t="shared" ref="C43:D43" si="1">96/3</f>
        <v>32</v>
      </c>
      <c r="D43" s="91">
        <f t="shared" si="1"/>
        <v>32</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6">
        <v>0</v>
      </c>
    </row>
    <row r="48" spans="1:4" s="57" customFormat="1" ht="54" customHeight="1" x14ac:dyDescent="0.2">
      <c r="A48" s="71" t="s">
        <v>42</v>
      </c>
      <c r="B48" s="156" t="s">
        <v>77</v>
      </c>
      <c r="C48" s="144"/>
      <c r="D48" s="145"/>
    </row>
    <row r="49" spans="1:4" s="57" customFormat="1" ht="14.25" x14ac:dyDescent="0.2">
      <c r="A49" s="123" t="s">
        <v>226</v>
      </c>
      <c r="B49" s="124">
        <f>(B26*B30*B34)/12</f>
        <v>0</v>
      </c>
      <c r="C49" s="124">
        <f>(C26*B30*C34)/12</f>
        <v>0</v>
      </c>
      <c r="D49" s="124">
        <f>(D26*B30*D34)/12</f>
        <v>0</v>
      </c>
    </row>
    <row r="50" spans="1:4" s="57" customFormat="1" ht="14.25" x14ac:dyDescent="0.2">
      <c r="A50" s="62"/>
      <c r="B50" s="69"/>
      <c r="C50" s="69"/>
      <c r="D50" s="69"/>
    </row>
    <row r="51" spans="1:4" s="60" customFormat="1" ht="12.75" x14ac:dyDescent="0.2">
      <c r="A51" s="77" t="s">
        <v>78</v>
      </c>
      <c r="B51" s="78">
        <f>B37+B38+B39+B40+B41+B42+B43+B44+B45+B46+B47+B49</f>
        <v>32</v>
      </c>
      <c r="C51" s="78">
        <f t="shared" ref="C51:D51" si="2">C37+C38+C39+C40+C41+C42+C43+C44+C45+C46+C47+C49</f>
        <v>32</v>
      </c>
      <c r="D51" s="78">
        <f t="shared" si="2"/>
        <v>32</v>
      </c>
    </row>
    <row r="52" spans="1:4" s="57" customFormat="1" ht="14.25" x14ac:dyDescent="0.2">
      <c r="A52" s="62"/>
      <c r="B52" s="69"/>
      <c r="C52" s="69"/>
      <c r="D52" s="69"/>
    </row>
    <row r="53" spans="1:4" s="79" customFormat="1" ht="51" customHeight="1" x14ac:dyDescent="0.2">
      <c r="A53" s="134" t="s">
        <v>79</v>
      </c>
      <c r="B53" s="135"/>
      <c r="C53" s="135"/>
      <c r="D53" s="102"/>
    </row>
    <row r="54" spans="1:4" x14ac:dyDescent="0.25">
      <c r="A54" s="80" t="s">
        <v>30</v>
      </c>
    </row>
    <row r="55" spans="1:4" x14ac:dyDescent="0.25">
      <c r="A55" s="80"/>
    </row>
    <row r="56" spans="1:4" x14ac:dyDescent="0.25">
      <c r="A56" s="80" t="s">
        <v>30</v>
      </c>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0"/>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x14ac:dyDescent="0.25">
      <c r="A109" s="82"/>
    </row>
    <row r="110" spans="1:1" ht="64.5" x14ac:dyDescent="0.25">
      <c r="A110" s="82" t="s">
        <v>80</v>
      </c>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row r="248" spans="1:1" x14ac:dyDescent="0.25">
      <c r="A248" s="82"/>
    </row>
  </sheetData>
  <sheetProtection algorithmName="SHA-512" hashValue="G9+viZybAOumUtvZTw0Pf/KDLuHhAc47IfpvqSHiZMp4fbccxDYCTbFVLP6aYMOQbrZnlgytBLwsC/A5mZG6gQ==" saltValue="RuXy8oUzlrMyzDrRj0B/Rw==" spinCount="100000" sheet="1" selectLockedCells="1"/>
  <mergeCells count="8">
    <mergeCell ref="A53:C53"/>
    <mergeCell ref="A2:C2"/>
    <mergeCell ref="B1:D1"/>
    <mergeCell ref="B27:D27"/>
    <mergeCell ref="B28:D28"/>
    <mergeCell ref="B29:D29"/>
    <mergeCell ref="B48:D48"/>
    <mergeCell ref="B30:D30"/>
  </mergeCells>
  <phoneticPr fontId="16" type="noConversion"/>
  <pageMargins left="0.23622047244094491" right="0.23622047244094491" top="0.74803149606299213" bottom="0.74803149606299213" header="0.31496062992125984" footer="0.31496062992125984"/>
  <pageSetup paperSize="9" scale="66" fitToWidth="0" fitToHeight="2"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7E4E-35BB-4C14-8287-6472A656144B}">
  <sheetPr>
    <pageSetUpPr fitToPage="1"/>
  </sheetPr>
  <dimension ref="A1:G248"/>
  <sheetViews>
    <sheetView showGridLines="0" zoomScaleNormal="100" workbookViewId="0">
      <pane xSplit="1" ySplit="3" topLeftCell="B32" activePane="bottomRight" state="frozen"/>
      <selection activeCell="B1" sqref="B1:C1"/>
      <selection pane="topRight" activeCell="B1" sqref="B1:C1"/>
      <selection pane="bottomLeft" activeCell="B1" sqref="B1:C1"/>
      <selection pane="bottomRight" activeCell="B21" sqref="B21"/>
    </sheetView>
    <sheetView showGridLines="0" workbookViewId="1"/>
  </sheetViews>
  <sheetFormatPr defaultColWidth="9.140625" defaultRowHeight="15" x14ac:dyDescent="0.25"/>
  <cols>
    <col min="1" max="1" width="59.28515625" style="83" customWidth="1"/>
    <col min="2" max="4" width="45.28515625" style="81" customWidth="1"/>
    <col min="5" max="7" width="33.5703125" style="81" customWidth="1"/>
    <col min="8" max="16384" width="9.140625" style="81"/>
  </cols>
  <sheetData>
    <row r="1" spans="1:7" s="56" customFormat="1" ht="15.75" x14ac:dyDescent="0.25">
      <c r="A1" s="84" t="s">
        <v>8</v>
      </c>
      <c r="B1" s="136" t="s">
        <v>141</v>
      </c>
      <c r="C1" s="136"/>
      <c r="D1" s="149"/>
    </row>
    <row r="2" spans="1:7" s="57" customFormat="1" ht="15.75" x14ac:dyDescent="0.25">
      <c r="A2" s="137" t="s">
        <v>9</v>
      </c>
      <c r="B2" s="137"/>
      <c r="C2" s="137"/>
      <c r="E2" s="56"/>
    </row>
    <row r="3" spans="1:7" s="60" customFormat="1" ht="15.75" x14ac:dyDescent="0.25">
      <c r="A3" s="58" t="s">
        <v>10</v>
      </c>
      <c r="B3" s="92" t="s">
        <v>65</v>
      </c>
      <c r="C3" s="92" t="s">
        <v>66</v>
      </c>
      <c r="D3" s="59" t="s">
        <v>87</v>
      </c>
      <c r="E3" s="56"/>
    </row>
    <row r="4" spans="1:7" s="57" customFormat="1" ht="15.75" x14ac:dyDescent="0.25">
      <c r="A4" s="61" t="s">
        <v>1</v>
      </c>
      <c r="B4" s="96" t="s">
        <v>81</v>
      </c>
      <c r="C4" s="96" t="s">
        <v>68</v>
      </c>
      <c r="D4" s="96" t="s">
        <v>5</v>
      </c>
      <c r="E4" s="56"/>
    </row>
    <row r="5" spans="1:7" s="57" customFormat="1" ht="15.75" x14ac:dyDescent="0.25">
      <c r="A5" s="61" t="s">
        <v>2</v>
      </c>
      <c r="B5" s="96" t="s">
        <v>109</v>
      </c>
      <c r="C5" s="96" t="s">
        <v>114</v>
      </c>
      <c r="D5" s="96" t="s">
        <v>111</v>
      </c>
      <c r="E5" s="56"/>
    </row>
    <row r="6" spans="1:7" s="57" customFormat="1" ht="15.75" x14ac:dyDescent="0.25">
      <c r="A6" s="61" t="s">
        <v>3</v>
      </c>
      <c r="B6" s="103" t="s">
        <v>146</v>
      </c>
      <c r="C6" s="103" t="s">
        <v>145</v>
      </c>
      <c r="D6" s="103" t="s">
        <v>143</v>
      </c>
      <c r="E6" s="56"/>
    </row>
    <row r="7" spans="1:7" s="57" customFormat="1" ht="15.75" x14ac:dyDescent="0.25">
      <c r="A7" s="61" t="s">
        <v>11</v>
      </c>
      <c r="B7" s="103" t="s">
        <v>142</v>
      </c>
      <c r="C7" s="103" t="s">
        <v>142</v>
      </c>
      <c r="D7" s="103" t="s">
        <v>142</v>
      </c>
      <c r="E7" s="56"/>
    </row>
    <row r="8" spans="1:7" s="57" customFormat="1" ht="15.75" x14ac:dyDescent="0.25">
      <c r="A8" s="61" t="s">
        <v>12</v>
      </c>
      <c r="B8" s="96" t="s">
        <v>13</v>
      </c>
      <c r="C8" s="96" t="s">
        <v>13</v>
      </c>
      <c r="D8" s="96" t="s">
        <v>13</v>
      </c>
      <c r="E8" s="56"/>
    </row>
    <row r="9" spans="1:7" s="57" customFormat="1" ht="15.75" x14ac:dyDescent="0.25">
      <c r="A9" s="61" t="s">
        <v>71</v>
      </c>
      <c r="B9" s="70">
        <v>2800</v>
      </c>
      <c r="C9" s="70">
        <v>2800</v>
      </c>
      <c r="D9" s="70">
        <v>2800</v>
      </c>
      <c r="E9" s="56"/>
    </row>
    <row r="10" spans="1:7" s="57" customFormat="1" ht="15.75" x14ac:dyDescent="0.25">
      <c r="A10" s="62"/>
      <c r="B10" s="63"/>
      <c r="C10" s="63"/>
      <c r="D10" s="63"/>
      <c r="E10" s="56"/>
    </row>
    <row r="11" spans="1:7" s="60" customFormat="1" ht="15.75" x14ac:dyDescent="0.25">
      <c r="A11" s="58" t="s">
        <v>14</v>
      </c>
      <c r="B11" s="92"/>
      <c r="C11" s="92"/>
      <c r="D11" s="59"/>
      <c r="E11" s="56"/>
      <c r="F11" s="57"/>
      <c r="G11" s="57"/>
    </row>
    <row r="12" spans="1:7" s="57" customFormat="1" ht="28.5" x14ac:dyDescent="0.2">
      <c r="A12" s="61" t="s">
        <v>15</v>
      </c>
      <c r="B12" s="91">
        <f>(B13*1.21)+B14</f>
        <v>61118.31</v>
      </c>
      <c r="C12" s="91">
        <f>(C13*1.21)+C14</f>
        <v>61710</v>
      </c>
      <c r="D12" s="91">
        <f>(D13*1.21)+D14</f>
        <v>60379</v>
      </c>
    </row>
    <row r="13" spans="1:7" s="57" customFormat="1" ht="14.25" x14ac:dyDescent="0.2">
      <c r="A13" s="61" t="s">
        <v>16</v>
      </c>
      <c r="B13" s="91">
        <f>52009-B16</f>
        <v>50511</v>
      </c>
      <c r="C13" s="91">
        <v>51000</v>
      </c>
      <c r="D13" s="64">
        <v>49900</v>
      </c>
    </row>
    <row r="14" spans="1:7" s="57" customFormat="1" ht="14.25" x14ac:dyDescent="0.2">
      <c r="A14" s="61" t="s">
        <v>47</v>
      </c>
      <c r="B14" s="91">
        <v>0</v>
      </c>
      <c r="C14" s="91">
        <v>0</v>
      </c>
      <c r="D14" s="64">
        <v>0</v>
      </c>
    </row>
    <row r="15" spans="1:7" s="57" customFormat="1" ht="128.25" x14ac:dyDescent="0.2">
      <c r="A15" s="104" t="s">
        <v>17</v>
      </c>
      <c r="B15" s="93" t="s">
        <v>144</v>
      </c>
      <c r="C15" s="93" t="s">
        <v>147</v>
      </c>
      <c r="D15" s="93" t="s">
        <v>148</v>
      </c>
      <c r="E15" s="57" t="s">
        <v>30</v>
      </c>
    </row>
    <row r="16" spans="1:7" s="57" customFormat="1" ht="14.25" x14ac:dyDescent="0.2">
      <c r="A16" s="61" t="s">
        <v>18</v>
      </c>
      <c r="B16" s="91">
        <f>388+146+139+220+539+0+66</f>
        <v>1498</v>
      </c>
      <c r="C16" s="105">
        <f>300+250</f>
        <v>550</v>
      </c>
      <c r="D16" s="106">
        <f>400+600</f>
        <v>1000</v>
      </c>
    </row>
    <row r="17" spans="1:4" s="57" customFormat="1" ht="213.75" x14ac:dyDescent="0.2">
      <c r="A17" s="101" t="s">
        <v>135</v>
      </c>
      <c r="B17" s="93" t="s">
        <v>187</v>
      </c>
      <c r="C17" s="93" t="s">
        <v>188</v>
      </c>
      <c r="D17" s="93" t="s">
        <v>189</v>
      </c>
    </row>
    <row r="18" spans="1:4" s="57" customFormat="1" ht="14.25" x14ac:dyDescent="0.2">
      <c r="A18" s="61" t="s">
        <v>20</v>
      </c>
      <c r="B18" s="91">
        <v>32000</v>
      </c>
      <c r="C18" s="91">
        <v>32900</v>
      </c>
      <c r="D18" s="91">
        <v>33000</v>
      </c>
    </row>
    <row r="19" spans="1:4" s="57" customFormat="1" ht="14.25" x14ac:dyDescent="0.2">
      <c r="A19" s="61" t="s">
        <v>72</v>
      </c>
      <c r="B19" s="91">
        <v>1504.63</v>
      </c>
      <c r="C19" s="91">
        <v>900</v>
      </c>
      <c r="D19" s="91">
        <v>981.69</v>
      </c>
    </row>
    <row r="20" spans="1:4" s="57" customFormat="1" ht="14.25" x14ac:dyDescent="0.2">
      <c r="A20" s="61" t="s">
        <v>21</v>
      </c>
      <c r="B20" s="94">
        <f>B19+B18+B16+B14+B13</f>
        <v>85513.63</v>
      </c>
      <c r="C20" s="94">
        <f>C19+C18+C16+C14+C13</f>
        <v>85350</v>
      </c>
      <c r="D20" s="67">
        <f>D19+D18+D16+D14+D13</f>
        <v>84881.69</v>
      </c>
    </row>
    <row r="21" spans="1:4" s="57" customFormat="1" ht="14.25" x14ac:dyDescent="0.2">
      <c r="A21" s="61" t="s">
        <v>22</v>
      </c>
      <c r="B21" s="95">
        <v>0</v>
      </c>
      <c r="C21" s="95">
        <v>0</v>
      </c>
      <c r="D21" s="68">
        <v>0</v>
      </c>
    </row>
    <row r="22" spans="1:4" s="57" customFormat="1" ht="14.25" x14ac:dyDescent="0.2">
      <c r="A22" s="61" t="s">
        <v>23</v>
      </c>
      <c r="B22" s="94">
        <f>B20-B21</f>
        <v>85513.63</v>
      </c>
      <c r="C22" s="94">
        <f t="shared" ref="C22" si="0">C20-C21</f>
        <v>85350</v>
      </c>
      <c r="D22" s="67">
        <f>D20-D21</f>
        <v>84881.69</v>
      </c>
    </row>
    <row r="23" spans="1:4" s="57" customFormat="1" ht="14.25" x14ac:dyDescent="0.2">
      <c r="A23" s="62"/>
      <c r="B23" s="69"/>
      <c r="C23" s="69"/>
      <c r="D23" s="69"/>
    </row>
    <row r="24" spans="1:4" s="60" customFormat="1" ht="12.75" x14ac:dyDescent="0.2">
      <c r="A24" s="58" t="s">
        <v>24</v>
      </c>
      <c r="B24" s="92"/>
      <c r="C24" s="92"/>
      <c r="D24" s="59"/>
    </row>
    <row r="25" spans="1:4" s="57" customFormat="1" ht="14.25" x14ac:dyDescent="0.2">
      <c r="A25" s="61" t="s">
        <v>25</v>
      </c>
      <c r="B25" s="70">
        <v>84</v>
      </c>
      <c r="C25" s="70">
        <v>84</v>
      </c>
      <c r="D25" s="70">
        <v>84</v>
      </c>
    </row>
    <row r="26" spans="1:4" s="57" customFormat="1" ht="14.25" x14ac:dyDescent="0.2">
      <c r="A26" s="61" t="s">
        <v>26</v>
      </c>
      <c r="B26" s="70">
        <v>10000</v>
      </c>
      <c r="C26" s="70">
        <v>10000</v>
      </c>
      <c r="D26" s="70">
        <v>10000</v>
      </c>
    </row>
    <row r="27" spans="1:4" s="57" customFormat="1" ht="14.25" x14ac:dyDescent="0.2">
      <c r="A27" s="71" t="s">
        <v>73</v>
      </c>
      <c r="B27" s="138">
        <v>2.5000000000000001E-2</v>
      </c>
      <c r="C27" s="138"/>
      <c r="D27" s="86">
        <v>2.5000000000000001E-2</v>
      </c>
    </row>
    <row r="28" spans="1:4" s="57" customFormat="1" ht="28.5" x14ac:dyDescent="0.2">
      <c r="A28" s="71" t="s">
        <v>74</v>
      </c>
      <c r="B28" s="153">
        <f>'Prijsinvulf overige zaken'!C4</f>
        <v>0</v>
      </c>
      <c r="C28" s="154"/>
      <c r="D28" s="155"/>
    </row>
    <row r="29" spans="1:4" s="57" customFormat="1" ht="14.25" x14ac:dyDescent="0.2">
      <c r="A29" s="71" t="s">
        <v>75</v>
      </c>
      <c r="B29" s="139">
        <f>B27+B28</f>
        <v>2.5000000000000001E-2</v>
      </c>
      <c r="C29" s="139"/>
      <c r="D29" s="87">
        <f>D27+D28</f>
        <v>2.5000000000000001E-2</v>
      </c>
    </row>
    <row r="30" spans="1:4" s="57" customFormat="1" ht="14.25" x14ac:dyDescent="0.2">
      <c r="A30" s="123" t="s">
        <v>225</v>
      </c>
      <c r="B30" s="141">
        <v>0.1</v>
      </c>
      <c r="C30" s="142"/>
      <c r="D30" s="143"/>
    </row>
    <row r="31" spans="1:4" s="57" customFormat="1" ht="14.25" x14ac:dyDescent="0.2">
      <c r="A31" s="61" t="s">
        <v>27</v>
      </c>
      <c r="B31" s="72">
        <v>0</v>
      </c>
      <c r="C31" s="72">
        <v>0</v>
      </c>
      <c r="D31" s="72">
        <v>0</v>
      </c>
    </row>
    <row r="32" spans="1:4" s="57" customFormat="1" ht="14.25" x14ac:dyDescent="0.2">
      <c r="A32" s="61" t="s">
        <v>28</v>
      </c>
      <c r="B32" s="72">
        <v>0</v>
      </c>
      <c r="C32" s="72">
        <v>0</v>
      </c>
      <c r="D32" s="72">
        <v>0</v>
      </c>
    </row>
    <row r="33" spans="1:4" s="57" customFormat="1" ht="14.25" x14ac:dyDescent="0.2">
      <c r="A33" s="61" t="s">
        <v>29</v>
      </c>
      <c r="B33" s="72">
        <v>0</v>
      </c>
      <c r="C33" s="72">
        <v>0</v>
      </c>
      <c r="D33" s="72">
        <v>0</v>
      </c>
    </row>
    <row r="34" spans="1:4" s="57" customFormat="1" ht="14.25" x14ac:dyDescent="0.2">
      <c r="A34" s="61" t="s">
        <v>224</v>
      </c>
      <c r="B34" s="72">
        <v>0</v>
      </c>
      <c r="C34" s="72">
        <v>0</v>
      </c>
      <c r="D34" s="72">
        <v>0</v>
      </c>
    </row>
    <row r="35" spans="1:4" s="57" customFormat="1" ht="14.25" x14ac:dyDescent="0.2">
      <c r="A35" s="62"/>
      <c r="B35" s="63"/>
      <c r="C35" s="63"/>
      <c r="D35" s="63"/>
    </row>
    <row r="36" spans="1:4" s="60" customFormat="1" ht="13.5" x14ac:dyDescent="0.2">
      <c r="A36" s="58" t="s">
        <v>44</v>
      </c>
      <c r="B36" s="90"/>
      <c r="C36" s="90"/>
      <c r="D36" s="74"/>
    </row>
    <row r="37" spans="1:4" s="57" customFormat="1" ht="14.25" x14ac:dyDescent="0.2">
      <c r="A37" s="61" t="s">
        <v>31</v>
      </c>
      <c r="B37" s="72">
        <v>0</v>
      </c>
      <c r="C37" s="72">
        <v>0</v>
      </c>
      <c r="D37" s="72">
        <v>0</v>
      </c>
    </row>
    <row r="38" spans="1:4" s="57" customFormat="1" ht="14.25" x14ac:dyDescent="0.2">
      <c r="A38" s="61" t="s">
        <v>32</v>
      </c>
      <c r="B38" s="72">
        <v>0</v>
      </c>
      <c r="C38" s="75">
        <v>0</v>
      </c>
      <c r="D38" s="72">
        <v>0</v>
      </c>
    </row>
    <row r="39" spans="1:4" s="57" customFormat="1" ht="14.25" x14ac:dyDescent="0.2">
      <c r="A39" s="61" t="s">
        <v>33</v>
      </c>
      <c r="B39" s="72">
        <v>0</v>
      </c>
      <c r="C39" s="72">
        <v>0</v>
      </c>
      <c r="D39" s="72">
        <v>0</v>
      </c>
    </row>
    <row r="40" spans="1:4" s="57" customFormat="1" ht="14.25" x14ac:dyDescent="0.2">
      <c r="A40" s="61" t="s">
        <v>34</v>
      </c>
      <c r="B40" s="72">
        <v>0</v>
      </c>
      <c r="C40" s="72">
        <v>0</v>
      </c>
      <c r="D40" s="72">
        <v>0</v>
      </c>
    </row>
    <row r="41" spans="1:4" s="57" customFormat="1" ht="14.25" x14ac:dyDescent="0.2">
      <c r="A41" s="61" t="s">
        <v>35</v>
      </c>
      <c r="B41" s="72">
        <v>0</v>
      </c>
      <c r="C41" s="72">
        <v>0</v>
      </c>
      <c r="D41" s="72">
        <v>0</v>
      </c>
    </row>
    <row r="42" spans="1:4" s="57" customFormat="1" ht="14.25" x14ac:dyDescent="0.2">
      <c r="A42" s="114" t="s">
        <v>36</v>
      </c>
      <c r="B42" s="72">
        <v>0</v>
      </c>
      <c r="C42" s="72">
        <v>0</v>
      </c>
      <c r="D42" s="72">
        <v>0</v>
      </c>
    </row>
    <row r="43" spans="1:4" s="57" customFormat="1" ht="14.25" x14ac:dyDescent="0.2">
      <c r="A43" s="61" t="s">
        <v>37</v>
      </c>
      <c r="B43" s="91">
        <f>95/3</f>
        <v>31.666666666666668</v>
      </c>
      <c r="C43" s="91">
        <f>95/3</f>
        <v>31.666666666666668</v>
      </c>
      <c r="D43" s="91">
        <f>95/3</f>
        <v>31.666666666666668</v>
      </c>
    </row>
    <row r="44" spans="1:4" s="57" customFormat="1" ht="14.25" x14ac:dyDescent="0.2">
      <c r="A44" s="61" t="s">
        <v>39</v>
      </c>
      <c r="B44" s="72">
        <v>0</v>
      </c>
      <c r="C44" s="72">
        <v>0</v>
      </c>
      <c r="D44" s="72">
        <v>0</v>
      </c>
    </row>
    <row r="45" spans="1:4" s="57" customFormat="1" ht="14.25" x14ac:dyDescent="0.2">
      <c r="A45" s="71" t="s">
        <v>76</v>
      </c>
      <c r="B45" s="72">
        <v>0</v>
      </c>
      <c r="C45" s="72">
        <v>0</v>
      </c>
      <c r="D45" s="72">
        <v>0</v>
      </c>
    </row>
    <row r="46" spans="1:4" s="57" customFormat="1" ht="14.25" x14ac:dyDescent="0.2">
      <c r="A46" s="61" t="s">
        <v>40</v>
      </c>
      <c r="B46" s="72">
        <v>0</v>
      </c>
      <c r="C46" s="72">
        <v>0</v>
      </c>
      <c r="D46" s="72">
        <v>0</v>
      </c>
    </row>
    <row r="47" spans="1:4" s="57" customFormat="1" ht="14.25" x14ac:dyDescent="0.2">
      <c r="A47" s="71" t="s">
        <v>41</v>
      </c>
      <c r="B47" s="72">
        <v>0</v>
      </c>
      <c r="C47" s="76">
        <v>0</v>
      </c>
      <c r="D47" s="72">
        <v>0</v>
      </c>
    </row>
    <row r="48" spans="1:4" s="57" customFormat="1" ht="54" customHeight="1" x14ac:dyDescent="0.2">
      <c r="A48" s="71" t="s">
        <v>42</v>
      </c>
      <c r="B48" s="140" t="s">
        <v>77</v>
      </c>
      <c r="C48" s="140"/>
      <c r="D48" s="140"/>
    </row>
    <row r="49" spans="1:4" s="57" customFormat="1" ht="14.25" x14ac:dyDescent="0.2">
      <c r="A49" s="123" t="s">
        <v>226</v>
      </c>
      <c r="B49" s="124">
        <f>(B26*B30*B34)/12</f>
        <v>0</v>
      </c>
      <c r="C49" s="124">
        <f>(C26*B30*C34)/12</f>
        <v>0</v>
      </c>
      <c r="D49" s="124">
        <f>(D26*B30*D34)/12</f>
        <v>0</v>
      </c>
    </row>
    <row r="50" spans="1:4" s="57" customFormat="1" ht="14.25" x14ac:dyDescent="0.2">
      <c r="A50" s="62"/>
      <c r="B50" s="69"/>
      <c r="C50" s="69"/>
    </row>
    <row r="51" spans="1:4" s="60" customFormat="1" ht="12.75" x14ac:dyDescent="0.2">
      <c r="A51" s="77" t="s">
        <v>78</v>
      </c>
      <c r="B51" s="78">
        <f>B37+B38+B39+B40+B41+B42+B43+B44+B45+B46+B47+B49</f>
        <v>31.666666666666668</v>
      </c>
      <c r="C51" s="78">
        <f t="shared" ref="C51:D51" si="1">C37+C38+C39+C40+C41+C42+C43+C44+C45+C46+C47+C49</f>
        <v>31.666666666666668</v>
      </c>
      <c r="D51" s="78">
        <f t="shared" si="1"/>
        <v>31.666666666666668</v>
      </c>
    </row>
    <row r="52" spans="1:4" s="57" customFormat="1" ht="14.25" x14ac:dyDescent="0.2">
      <c r="A52" s="62"/>
      <c r="B52" s="69"/>
      <c r="C52" s="69"/>
    </row>
    <row r="53" spans="1:4" s="79" customFormat="1" ht="51" customHeight="1" x14ac:dyDescent="0.2">
      <c r="A53" s="134" t="s">
        <v>79</v>
      </c>
      <c r="B53" s="135"/>
      <c r="C53" s="135"/>
      <c r="D53" s="135"/>
    </row>
    <row r="54" spans="1:4" x14ac:dyDescent="0.25">
      <c r="A54" s="80" t="s">
        <v>30</v>
      </c>
    </row>
    <row r="55" spans="1:4" x14ac:dyDescent="0.25">
      <c r="A55" s="80"/>
    </row>
    <row r="56" spans="1:4" x14ac:dyDescent="0.25">
      <c r="A56" s="80" t="s">
        <v>30</v>
      </c>
    </row>
    <row r="57" spans="1:4" x14ac:dyDescent="0.25">
      <c r="A57" s="80"/>
    </row>
    <row r="58" spans="1:4" x14ac:dyDescent="0.25">
      <c r="A58" s="80"/>
    </row>
    <row r="59" spans="1:4" x14ac:dyDescent="0.25">
      <c r="A59" s="80"/>
    </row>
    <row r="60" spans="1:4" x14ac:dyDescent="0.25">
      <c r="A60" s="80"/>
    </row>
    <row r="61" spans="1:4" x14ac:dyDescent="0.25">
      <c r="A61" s="80"/>
    </row>
    <row r="62" spans="1:4" x14ac:dyDescent="0.25">
      <c r="A62" s="80"/>
    </row>
    <row r="63" spans="1:4" x14ac:dyDescent="0.25">
      <c r="A63" s="80"/>
    </row>
    <row r="64" spans="1:4" x14ac:dyDescent="0.25">
      <c r="A64" s="80"/>
    </row>
    <row r="65" spans="1:1" x14ac:dyDescent="0.25">
      <c r="A65" s="80"/>
    </row>
    <row r="66" spans="1:1" x14ac:dyDescent="0.25">
      <c r="A66" s="80"/>
    </row>
    <row r="67" spans="1:1" x14ac:dyDescent="0.25">
      <c r="A67" s="80"/>
    </row>
    <row r="68" spans="1:1" x14ac:dyDescent="0.25">
      <c r="A68" s="80"/>
    </row>
    <row r="69" spans="1:1" x14ac:dyDescent="0.25">
      <c r="A69" s="80"/>
    </row>
    <row r="70" spans="1:1" x14ac:dyDescent="0.25">
      <c r="A70" s="80"/>
    </row>
    <row r="71" spans="1:1" x14ac:dyDescent="0.25">
      <c r="A71" s="80"/>
    </row>
    <row r="72" spans="1:1" x14ac:dyDescent="0.25">
      <c r="A72" s="80"/>
    </row>
    <row r="73" spans="1:1" x14ac:dyDescent="0.25">
      <c r="A73" s="80"/>
    </row>
    <row r="74" spans="1:1" x14ac:dyDescent="0.25">
      <c r="A74" s="82"/>
    </row>
    <row r="75" spans="1:1" x14ac:dyDescent="0.25">
      <c r="A75" s="82"/>
    </row>
    <row r="76" spans="1:1" x14ac:dyDescent="0.25">
      <c r="A76" s="82"/>
    </row>
    <row r="77" spans="1:1" x14ac:dyDescent="0.25">
      <c r="A77" s="82"/>
    </row>
    <row r="78" spans="1:1" x14ac:dyDescent="0.25">
      <c r="A78" s="82"/>
    </row>
    <row r="79" spans="1:1" x14ac:dyDescent="0.25">
      <c r="A79" s="82"/>
    </row>
    <row r="80" spans="1:1" x14ac:dyDescent="0.25">
      <c r="A80" s="82"/>
    </row>
    <row r="81" spans="1:1" x14ac:dyDescent="0.25">
      <c r="A81" s="82"/>
    </row>
    <row r="82" spans="1:1" x14ac:dyDescent="0.25">
      <c r="A82" s="82"/>
    </row>
    <row r="83" spans="1:1" x14ac:dyDescent="0.25">
      <c r="A83" s="82"/>
    </row>
    <row r="84" spans="1:1" x14ac:dyDescent="0.25">
      <c r="A84" s="82"/>
    </row>
    <row r="85" spans="1:1" x14ac:dyDescent="0.25">
      <c r="A85" s="82"/>
    </row>
    <row r="86" spans="1:1" x14ac:dyDescent="0.25">
      <c r="A86" s="82"/>
    </row>
    <row r="87" spans="1:1" x14ac:dyDescent="0.25">
      <c r="A87" s="82"/>
    </row>
    <row r="88" spans="1:1" x14ac:dyDescent="0.25">
      <c r="A88" s="82"/>
    </row>
    <row r="89" spans="1:1" x14ac:dyDescent="0.25">
      <c r="A89" s="82"/>
    </row>
    <row r="90" spans="1:1" x14ac:dyDescent="0.25">
      <c r="A90" s="82"/>
    </row>
    <row r="91" spans="1:1" x14ac:dyDescent="0.25">
      <c r="A91" s="82"/>
    </row>
    <row r="92" spans="1:1" x14ac:dyDescent="0.25">
      <c r="A92" s="82"/>
    </row>
    <row r="93" spans="1:1" x14ac:dyDescent="0.25">
      <c r="A93" s="82"/>
    </row>
    <row r="94" spans="1:1" x14ac:dyDescent="0.25">
      <c r="A94" s="82"/>
    </row>
    <row r="95" spans="1:1" x14ac:dyDescent="0.25">
      <c r="A95" s="82"/>
    </row>
    <row r="96" spans="1:1" x14ac:dyDescent="0.25">
      <c r="A96" s="82"/>
    </row>
    <row r="97" spans="1:1" x14ac:dyDescent="0.25">
      <c r="A97" s="82"/>
    </row>
    <row r="98" spans="1:1" x14ac:dyDescent="0.25">
      <c r="A98" s="82"/>
    </row>
    <row r="99" spans="1:1" x14ac:dyDescent="0.25">
      <c r="A99" s="82"/>
    </row>
    <row r="100" spans="1:1" x14ac:dyDescent="0.25">
      <c r="A100" s="82"/>
    </row>
    <row r="101" spans="1:1" x14ac:dyDescent="0.25">
      <c r="A101" s="82"/>
    </row>
    <row r="102" spans="1:1" x14ac:dyDescent="0.25">
      <c r="A102" s="82"/>
    </row>
    <row r="103" spans="1:1" x14ac:dyDescent="0.25">
      <c r="A103" s="82"/>
    </row>
    <row r="104" spans="1:1" x14ac:dyDescent="0.25">
      <c r="A104" s="82"/>
    </row>
    <row r="105" spans="1:1" x14ac:dyDescent="0.25">
      <c r="A105" s="82"/>
    </row>
    <row r="106" spans="1:1" x14ac:dyDescent="0.25">
      <c r="A106" s="82"/>
    </row>
    <row r="107" spans="1:1" x14ac:dyDescent="0.25">
      <c r="A107" s="82"/>
    </row>
    <row r="108" spans="1:1" x14ac:dyDescent="0.25">
      <c r="A108" s="82"/>
    </row>
    <row r="109" spans="1:1" x14ac:dyDescent="0.25">
      <c r="A109" s="82"/>
    </row>
    <row r="110" spans="1:1" ht="64.5" x14ac:dyDescent="0.25">
      <c r="A110" s="82" t="s">
        <v>80</v>
      </c>
    </row>
    <row r="111" spans="1:1" x14ac:dyDescent="0.25">
      <c r="A111" s="82"/>
    </row>
    <row r="112" spans="1:1" x14ac:dyDescent="0.25">
      <c r="A112" s="82"/>
    </row>
    <row r="113" spans="1:1" x14ac:dyDescent="0.25">
      <c r="A113" s="82"/>
    </row>
    <row r="114" spans="1:1" x14ac:dyDescent="0.25">
      <c r="A114" s="82"/>
    </row>
    <row r="115" spans="1:1" x14ac:dyDescent="0.25">
      <c r="A115" s="82"/>
    </row>
    <row r="116" spans="1:1" x14ac:dyDescent="0.25">
      <c r="A116" s="82"/>
    </row>
    <row r="117" spans="1:1" x14ac:dyDescent="0.25">
      <c r="A117" s="82"/>
    </row>
    <row r="118" spans="1:1" x14ac:dyDescent="0.25">
      <c r="A118" s="82"/>
    </row>
    <row r="119" spans="1:1" x14ac:dyDescent="0.25">
      <c r="A119" s="82"/>
    </row>
    <row r="120" spans="1:1" x14ac:dyDescent="0.25">
      <c r="A120" s="82"/>
    </row>
    <row r="121" spans="1:1" x14ac:dyDescent="0.25">
      <c r="A121" s="82"/>
    </row>
    <row r="122" spans="1:1" x14ac:dyDescent="0.25">
      <c r="A122" s="82"/>
    </row>
    <row r="123" spans="1:1" x14ac:dyDescent="0.25">
      <c r="A123" s="82"/>
    </row>
    <row r="124" spans="1:1" x14ac:dyDescent="0.25">
      <c r="A124" s="82"/>
    </row>
    <row r="125" spans="1:1" x14ac:dyDescent="0.25">
      <c r="A125" s="82"/>
    </row>
    <row r="126" spans="1:1" x14ac:dyDescent="0.25">
      <c r="A126" s="82"/>
    </row>
    <row r="127" spans="1:1" x14ac:dyDescent="0.25">
      <c r="A127" s="82"/>
    </row>
    <row r="128" spans="1:1" x14ac:dyDescent="0.25">
      <c r="A128" s="82"/>
    </row>
    <row r="129" spans="1:1" x14ac:dyDescent="0.25">
      <c r="A129" s="82"/>
    </row>
    <row r="130" spans="1:1" x14ac:dyDescent="0.25">
      <c r="A130" s="82"/>
    </row>
    <row r="131" spans="1:1" x14ac:dyDescent="0.25">
      <c r="A131" s="82"/>
    </row>
    <row r="132" spans="1:1" x14ac:dyDescent="0.25">
      <c r="A132" s="82"/>
    </row>
    <row r="133" spans="1:1" x14ac:dyDescent="0.25">
      <c r="A133" s="82"/>
    </row>
    <row r="134" spans="1:1" x14ac:dyDescent="0.25">
      <c r="A134" s="82"/>
    </row>
    <row r="135" spans="1:1" x14ac:dyDescent="0.25">
      <c r="A135" s="82"/>
    </row>
    <row r="136" spans="1:1" x14ac:dyDescent="0.25">
      <c r="A136" s="82"/>
    </row>
    <row r="137" spans="1:1" x14ac:dyDescent="0.25">
      <c r="A137" s="82"/>
    </row>
    <row r="138" spans="1:1" x14ac:dyDescent="0.25">
      <c r="A138" s="82"/>
    </row>
    <row r="139" spans="1:1" x14ac:dyDescent="0.25">
      <c r="A139" s="82"/>
    </row>
    <row r="140" spans="1:1" x14ac:dyDescent="0.25">
      <c r="A140" s="82"/>
    </row>
    <row r="141" spans="1:1" x14ac:dyDescent="0.25">
      <c r="A141" s="82"/>
    </row>
    <row r="142" spans="1:1" x14ac:dyDescent="0.25">
      <c r="A142" s="82"/>
    </row>
    <row r="143" spans="1:1" x14ac:dyDescent="0.25">
      <c r="A143" s="82"/>
    </row>
    <row r="144" spans="1:1" x14ac:dyDescent="0.25">
      <c r="A144" s="82"/>
    </row>
    <row r="145" spans="1:1" x14ac:dyDescent="0.25">
      <c r="A145" s="82"/>
    </row>
    <row r="146" spans="1:1" x14ac:dyDescent="0.25">
      <c r="A146" s="82"/>
    </row>
    <row r="147" spans="1:1" x14ac:dyDescent="0.25">
      <c r="A147" s="82"/>
    </row>
    <row r="148" spans="1:1" x14ac:dyDescent="0.25">
      <c r="A148" s="82"/>
    </row>
    <row r="149" spans="1:1" x14ac:dyDescent="0.25">
      <c r="A149" s="82"/>
    </row>
    <row r="150" spans="1:1" x14ac:dyDescent="0.25">
      <c r="A150" s="82"/>
    </row>
    <row r="151" spans="1:1" x14ac:dyDescent="0.25">
      <c r="A151" s="82"/>
    </row>
    <row r="152" spans="1:1" x14ac:dyDescent="0.25">
      <c r="A152" s="82"/>
    </row>
    <row r="153" spans="1:1" x14ac:dyDescent="0.25">
      <c r="A153" s="82"/>
    </row>
    <row r="154" spans="1:1" x14ac:dyDescent="0.25">
      <c r="A154" s="82"/>
    </row>
    <row r="155" spans="1:1" x14ac:dyDescent="0.25">
      <c r="A155" s="82"/>
    </row>
    <row r="156" spans="1:1" x14ac:dyDescent="0.25">
      <c r="A156" s="82"/>
    </row>
    <row r="157" spans="1:1" x14ac:dyDescent="0.25">
      <c r="A157" s="82"/>
    </row>
    <row r="158" spans="1:1" x14ac:dyDescent="0.25">
      <c r="A158" s="82"/>
    </row>
    <row r="159" spans="1:1" x14ac:dyDescent="0.25">
      <c r="A159" s="82"/>
    </row>
    <row r="160" spans="1:1" x14ac:dyDescent="0.25">
      <c r="A160" s="82"/>
    </row>
    <row r="161" spans="1:1" x14ac:dyDescent="0.25">
      <c r="A161" s="82"/>
    </row>
    <row r="162" spans="1:1" x14ac:dyDescent="0.25">
      <c r="A162" s="82"/>
    </row>
    <row r="163" spans="1:1" x14ac:dyDescent="0.25">
      <c r="A163" s="82"/>
    </row>
    <row r="164" spans="1:1" x14ac:dyDescent="0.25">
      <c r="A164" s="82"/>
    </row>
    <row r="165" spans="1:1" x14ac:dyDescent="0.25">
      <c r="A165" s="82"/>
    </row>
    <row r="166" spans="1:1" x14ac:dyDescent="0.25">
      <c r="A166" s="82"/>
    </row>
    <row r="167" spans="1:1" x14ac:dyDescent="0.25">
      <c r="A167" s="82"/>
    </row>
    <row r="168" spans="1:1" x14ac:dyDescent="0.25">
      <c r="A168" s="82"/>
    </row>
    <row r="169" spans="1:1" x14ac:dyDescent="0.25">
      <c r="A169" s="82"/>
    </row>
    <row r="170" spans="1:1" x14ac:dyDescent="0.25">
      <c r="A170" s="82"/>
    </row>
    <row r="171" spans="1:1" x14ac:dyDescent="0.25">
      <c r="A171" s="82"/>
    </row>
    <row r="172" spans="1:1" x14ac:dyDescent="0.25">
      <c r="A172" s="82"/>
    </row>
    <row r="173" spans="1:1" x14ac:dyDescent="0.25">
      <c r="A173" s="82"/>
    </row>
    <row r="174" spans="1:1" x14ac:dyDescent="0.25">
      <c r="A174" s="82"/>
    </row>
    <row r="175" spans="1:1" x14ac:dyDescent="0.25">
      <c r="A175" s="82"/>
    </row>
    <row r="176" spans="1:1" x14ac:dyDescent="0.25">
      <c r="A176" s="82"/>
    </row>
    <row r="177" spans="1:1" x14ac:dyDescent="0.25">
      <c r="A177" s="82"/>
    </row>
    <row r="178" spans="1:1" x14ac:dyDescent="0.25">
      <c r="A178" s="82"/>
    </row>
    <row r="179" spans="1:1" x14ac:dyDescent="0.25">
      <c r="A179" s="82"/>
    </row>
    <row r="180" spans="1:1" x14ac:dyDescent="0.25">
      <c r="A180" s="82"/>
    </row>
    <row r="181" spans="1:1" x14ac:dyDescent="0.25">
      <c r="A181" s="82"/>
    </row>
    <row r="182" spans="1:1" x14ac:dyDescent="0.25">
      <c r="A182" s="82"/>
    </row>
    <row r="183" spans="1:1" x14ac:dyDescent="0.25">
      <c r="A183" s="82"/>
    </row>
    <row r="184" spans="1:1" x14ac:dyDescent="0.25">
      <c r="A184" s="82"/>
    </row>
    <row r="185" spans="1:1" x14ac:dyDescent="0.25">
      <c r="A185" s="82"/>
    </row>
    <row r="186" spans="1:1" x14ac:dyDescent="0.25">
      <c r="A186" s="82"/>
    </row>
    <row r="187" spans="1:1" x14ac:dyDescent="0.25">
      <c r="A187" s="82"/>
    </row>
    <row r="188" spans="1:1" x14ac:dyDescent="0.25">
      <c r="A188" s="82"/>
    </row>
    <row r="189" spans="1:1" x14ac:dyDescent="0.25">
      <c r="A189" s="82"/>
    </row>
    <row r="190" spans="1:1" x14ac:dyDescent="0.25">
      <c r="A190" s="82"/>
    </row>
    <row r="191" spans="1:1" x14ac:dyDescent="0.25">
      <c r="A191" s="82"/>
    </row>
    <row r="192" spans="1:1" x14ac:dyDescent="0.25">
      <c r="A192" s="82"/>
    </row>
    <row r="193" spans="1:1" x14ac:dyDescent="0.25">
      <c r="A193" s="82"/>
    </row>
    <row r="194" spans="1:1" x14ac:dyDescent="0.25">
      <c r="A194" s="82"/>
    </row>
    <row r="195" spans="1:1" x14ac:dyDescent="0.25">
      <c r="A195" s="82"/>
    </row>
    <row r="196" spans="1:1" x14ac:dyDescent="0.25">
      <c r="A196" s="82"/>
    </row>
    <row r="197" spans="1:1" x14ac:dyDescent="0.25">
      <c r="A197" s="82"/>
    </row>
    <row r="198" spans="1:1" x14ac:dyDescent="0.25">
      <c r="A198" s="82"/>
    </row>
    <row r="199" spans="1:1" x14ac:dyDescent="0.25">
      <c r="A199" s="82"/>
    </row>
    <row r="200" spans="1:1" x14ac:dyDescent="0.25">
      <c r="A200" s="82"/>
    </row>
    <row r="201" spans="1:1" x14ac:dyDescent="0.25">
      <c r="A201" s="82"/>
    </row>
    <row r="202" spans="1:1" x14ac:dyDescent="0.25">
      <c r="A202" s="82"/>
    </row>
    <row r="203" spans="1:1" x14ac:dyDescent="0.25">
      <c r="A203" s="82"/>
    </row>
    <row r="204" spans="1:1" x14ac:dyDescent="0.25">
      <c r="A204" s="82"/>
    </row>
    <row r="205" spans="1:1" x14ac:dyDescent="0.25">
      <c r="A205" s="82"/>
    </row>
    <row r="206" spans="1:1" x14ac:dyDescent="0.25">
      <c r="A206" s="82"/>
    </row>
    <row r="207" spans="1:1" x14ac:dyDescent="0.25">
      <c r="A207" s="82"/>
    </row>
    <row r="208" spans="1:1" x14ac:dyDescent="0.25">
      <c r="A208" s="82"/>
    </row>
    <row r="209" spans="1:1" x14ac:dyDescent="0.25">
      <c r="A209" s="82"/>
    </row>
    <row r="210" spans="1:1" x14ac:dyDescent="0.25">
      <c r="A210" s="82"/>
    </row>
    <row r="211" spans="1:1" x14ac:dyDescent="0.25">
      <c r="A211" s="82"/>
    </row>
    <row r="212" spans="1:1" x14ac:dyDescent="0.25">
      <c r="A212" s="82"/>
    </row>
    <row r="213" spans="1:1" x14ac:dyDescent="0.25">
      <c r="A213" s="82"/>
    </row>
    <row r="214" spans="1:1" x14ac:dyDescent="0.25">
      <c r="A214" s="82"/>
    </row>
    <row r="215" spans="1:1" x14ac:dyDescent="0.25">
      <c r="A215" s="82"/>
    </row>
    <row r="216" spans="1:1" x14ac:dyDescent="0.25">
      <c r="A216" s="82"/>
    </row>
    <row r="217" spans="1:1" x14ac:dyDescent="0.25">
      <c r="A217" s="82"/>
    </row>
    <row r="218" spans="1:1" x14ac:dyDescent="0.25">
      <c r="A218" s="82"/>
    </row>
    <row r="219" spans="1:1" x14ac:dyDescent="0.25">
      <c r="A219" s="82"/>
    </row>
    <row r="220" spans="1:1" x14ac:dyDescent="0.25">
      <c r="A220" s="82"/>
    </row>
    <row r="221" spans="1:1" x14ac:dyDescent="0.25">
      <c r="A221" s="82"/>
    </row>
    <row r="222" spans="1:1" x14ac:dyDescent="0.25">
      <c r="A222" s="82"/>
    </row>
    <row r="223" spans="1:1" x14ac:dyDescent="0.25">
      <c r="A223" s="82"/>
    </row>
    <row r="224" spans="1:1" x14ac:dyDescent="0.25">
      <c r="A224" s="82"/>
    </row>
    <row r="225" spans="1:1" x14ac:dyDescent="0.25">
      <c r="A225" s="82"/>
    </row>
    <row r="226" spans="1:1" x14ac:dyDescent="0.25">
      <c r="A226" s="82"/>
    </row>
    <row r="227" spans="1:1" x14ac:dyDescent="0.25">
      <c r="A227" s="82"/>
    </row>
    <row r="228" spans="1:1" x14ac:dyDescent="0.25">
      <c r="A228" s="82"/>
    </row>
    <row r="229" spans="1:1" x14ac:dyDescent="0.25">
      <c r="A229" s="82"/>
    </row>
    <row r="230" spans="1:1" x14ac:dyDescent="0.25">
      <c r="A230" s="82"/>
    </row>
    <row r="231" spans="1:1" x14ac:dyDescent="0.25">
      <c r="A231" s="82"/>
    </row>
    <row r="232" spans="1:1" x14ac:dyDescent="0.25">
      <c r="A232" s="82"/>
    </row>
    <row r="233" spans="1:1" x14ac:dyDescent="0.25">
      <c r="A233" s="82"/>
    </row>
    <row r="234" spans="1:1" x14ac:dyDescent="0.25">
      <c r="A234" s="82"/>
    </row>
    <row r="235" spans="1:1" x14ac:dyDescent="0.25">
      <c r="A235" s="82"/>
    </row>
    <row r="236" spans="1:1" x14ac:dyDescent="0.25">
      <c r="A236" s="82"/>
    </row>
    <row r="237" spans="1:1" x14ac:dyDescent="0.25">
      <c r="A237" s="82"/>
    </row>
    <row r="238" spans="1:1" x14ac:dyDescent="0.25">
      <c r="A238" s="82"/>
    </row>
    <row r="239" spans="1:1" x14ac:dyDescent="0.25">
      <c r="A239" s="82"/>
    </row>
    <row r="240" spans="1:1" x14ac:dyDescent="0.25">
      <c r="A240" s="82"/>
    </row>
    <row r="241" spans="1:1" x14ac:dyDescent="0.25">
      <c r="A241" s="82"/>
    </row>
    <row r="242" spans="1:1" x14ac:dyDescent="0.25">
      <c r="A242" s="82"/>
    </row>
    <row r="243" spans="1:1" x14ac:dyDescent="0.25">
      <c r="A243" s="82"/>
    </row>
    <row r="244" spans="1:1" x14ac:dyDescent="0.25">
      <c r="A244" s="82"/>
    </row>
    <row r="245" spans="1:1" x14ac:dyDescent="0.25">
      <c r="A245" s="82"/>
    </row>
    <row r="246" spans="1:1" x14ac:dyDescent="0.25">
      <c r="A246" s="82"/>
    </row>
    <row r="247" spans="1:1" x14ac:dyDescent="0.25">
      <c r="A247" s="82"/>
    </row>
    <row r="248" spans="1:1" x14ac:dyDescent="0.25">
      <c r="A248" s="82"/>
    </row>
  </sheetData>
  <sheetProtection algorithmName="SHA-512" hashValue="e/CjA0ZbMM90sGHIOzFkWjYhvS5jVp6+R8hMJlUJmCZkHd7z2GtRG8+r+0q6o8nOYoh6LO5A0yHy4sKaM9Sm3w==" saltValue="UsSO2q3mo3Byuim/32vcBg==" spinCount="100000" sheet="1" selectLockedCells="1"/>
  <mergeCells count="8">
    <mergeCell ref="B48:D48"/>
    <mergeCell ref="A53:D53"/>
    <mergeCell ref="B28:D28"/>
    <mergeCell ref="B1:D1"/>
    <mergeCell ref="A2:C2"/>
    <mergeCell ref="B27:C27"/>
    <mergeCell ref="B29:C29"/>
    <mergeCell ref="B30:D30"/>
  </mergeCells>
  <pageMargins left="0.25" right="0.25" top="0.75" bottom="0.75" header="0.3" footer="0.3"/>
  <pageSetup paperSize="9" scale="74" fitToHeight="0" orientation="landscape" r:id="rId1"/>
  <headerFooter>
    <oddFooter>&amp;L&amp;"Century Gothic,Standaard"&amp;8&amp;F
&amp;D&amp;C&amp;"Century Gothic,Standaard"&amp;8Pagina &amp;P van &amp;N&amp;R&amp;"Century Gothic,Vet"&amp;12United Quality
&amp;"Century Gothic,Cursief"&amp;8Advies en Aanbesteding in Afval en Automotive</oddFooter>
  </headerFooter>
  <rowBreaks count="1" manualBreakCount="1">
    <brk id="2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24e797489e29d661d8a9350440d8c5a8">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24277d29cc2a634aaba964c0953dc088"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DDB0B4F-B62D-471C-919C-B16B25DAAC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3441AD-B51C-4F53-A4AB-71F326EE17B7}">
  <ds:schemaRefs>
    <ds:schemaRef ds:uri="http://schemas.microsoft.com/sharepoint/v3/contenttype/forms"/>
  </ds:schemaRefs>
</ds:datastoreItem>
</file>

<file path=customXml/itemProps3.xml><?xml version="1.0" encoding="utf-8"?>
<ds:datastoreItem xmlns:ds="http://schemas.openxmlformats.org/officeDocument/2006/customXml" ds:itemID="{76FD2B41-1D64-4899-9253-CFFC3456A76C}">
  <ds:schemaRefs>
    <ds:schemaRef ds:uri="http://schemas.openxmlformats.org/package/2006/metadata/core-properties"/>
    <ds:schemaRef ds:uri="http://purl.org/dc/terms/"/>
    <ds:schemaRef ds:uri="http://schemas.microsoft.com/office/2006/metadata/properties"/>
    <ds:schemaRef ds:uri="http://purl.org/dc/elements/1.1/"/>
    <ds:schemaRef ds:uri="http://purl.org/dc/dcmitype/"/>
    <ds:schemaRef ds:uri="http://schemas.microsoft.com/office/infopath/2007/PartnerControls"/>
    <ds:schemaRef ds:uri="40faa72d-7604-4f4d-a488-93cffb7df14f"/>
    <ds:schemaRef ds:uri="http://schemas.microsoft.com/office/2006/documentManagement/types"/>
    <ds:schemaRef ds:uri="b77e2b43-37d4-4532-953b-53983e0992e2"/>
    <ds:schemaRef ds:uri="962d65e8-ec2e-4f08-b510-02888a857b6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24</vt:i4>
      </vt:variant>
    </vt:vector>
  </HeadingPairs>
  <TitlesOfParts>
    <vt:vector size="39" baseType="lpstr">
      <vt:lpstr>Voorblad</vt:lpstr>
      <vt:lpstr>Prijsinvulf overige zaken</vt:lpstr>
      <vt:lpstr>1.1 Gesloten bestelwagen klein</vt:lpstr>
      <vt:lpstr>1.2 Gesloten bestelwagen middel</vt:lpstr>
      <vt:lpstr>1.3 Bestelwagen personenvervoer</vt:lpstr>
      <vt:lpstr>1.4 Veegvuilwagen compact</vt:lpstr>
      <vt:lpstr>1.5 Gesloten bestelwagen groot</vt:lpstr>
      <vt:lpstr>1.6 Pick-up groot</vt:lpstr>
      <vt:lpstr>1.7 Pick-up groot met laadkr</vt:lpstr>
      <vt:lpstr>1.8 Terreinwagen</vt:lpstr>
      <vt:lpstr>1.9 Personenauto klein</vt:lpstr>
      <vt:lpstr>1.10 Personenwagen groot</vt:lpstr>
      <vt:lpstr>2.1 Gesloten bestelwagen klein</vt:lpstr>
      <vt:lpstr>2.2 Personenwagen middel</vt:lpstr>
      <vt:lpstr>Totalen</vt:lpstr>
      <vt:lpstr>'1.1 Gesloten bestelwagen klein'!Afdrukbereik</vt:lpstr>
      <vt:lpstr>'1.2 Gesloten bestelwagen middel'!Afdrukbereik</vt:lpstr>
      <vt:lpstr>'1.4 Veegvuilwagen compact'!Afdrukbereik</vt:lpstr>
      <vt:lpstr>'1.5 Gesloten bestelwagen groot'!Afdrukbereik</vt:lpstr>
      <vt:lpstr>'1.6 Pick-up groot'!Afdrukbereik</vt:lpstr>
      <vt:lpstr>'1.7 Pick-up groot met laadkr'!Afdrukbereik</vt:lpstr>
      <vt:lpstr>'1.9 Personenauto klein'!Afdrukbereik</vt:lpstr>
      <vt:lpstr>'2.1 Gesloten bestelwagen klein'!Afdrukbereik</vt:lpstr>
      <vt:lpstr>'2.2 Personenwagen middel'!Afdrukbereik</vt:lpstr>
      <vt:lpstr>'Prijsinvulf overige zaken'!Afdrukbereik</vt:lpstr>
      <vt:lpstr>Totalen!Afdrukbereik</vt:lpstr>
      <vt:lpstr>Voorblad!Afdrukbereik</vt:lpstr>
      <vt:lpstr>'1.1 Gesloten bestelwagen klein'!Afdruktitels</vt:lpstr>
      <vt:lpstr>'1.10 Personenwagen groot'!Afdruktitels</vt:lpstr>
      <vt:lpstr>'1.2 Gesloten bestelwagen middel'!Afdruktitels</vt:lpstr>
      <vt:lpstr>'1.3 Bestelwagen personenvervoer'!Afdruktitels</vt:lpstr>
      <vt:lpstr>'1.4 Veegvuilwagen compact'!Afdruktitels</vt:lpstr>
      <vt:lpstr>'1.5 Gesloten bestelwagen groot'!Afdruktitels</vt:lpstr>
      <vt:lpstr>'1.6 Pick-up groot'!Afdruktitels</vt:lpstr>
      <vt:lpstr>'1.7 Pick-up groot met laadkr'!Afdruktitels</vt:lpstr>
      <vt:lpstr>'1.8 Terreinwagen'!Afdruktitels</vt:lpstr>
      <vt:lpstr>'1.9 Personenauto klein'!Afdruktitels</vt:lpstr>
      <vt:lpstr>'2.1 Gesloten bestelwagen klein'!Afdruktitels</vt:lpstr>
      <vt:lpstr>'2.2 Personenwagen middel'!Afdruktitels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Henk Tukker</cp:lastModifiedBy>
  <cp:revision/>
  <cp:lastPrinted>2025-09-16T12:59:51Z</cp:lastPrinted>
  <dcterms:created xsi:type="dcterms:W3CDTF">2008-02-01T08:20:49Z</dcterms:created>
  <dcterms:modified xsi:type="dcterms:W3CDTF">2025-11-19T10:54:28Z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976000</vt:r8>
  </property>
  <property fmtid="{D5CDD505-2E9C-101B-9397-08002B2CF9AE}" pid="4" name="MediaServiceImageTags">
    <vt:lpwstr/>
  </property>
</Properties>
</file>