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Europese Aanbestedingen\Scholen\Gerrit Rietveld Academie\Publiceren\"/>
    </mc:Choice>
  </mc:AlternateContent>
  <xr:revisionPtr revIDLastSave="0" documentId="8_{824DBB4C-56E5-4377-B13C-2D099DB71B0F}" xr6:coauthVersionLast="47" xr6:coauthVersionMax="47" xr10:uidLastSave="{00000000-0000-0000-0000-000000000000}"/>
  <bookViews>
    <workbookView xWindow="-108" yWindow="-108" windowWidth="23256" windowHeight="13896" xr2:uid="{61735FB4-A4DE-42E1-9588-60CFD9B13F09}"/>
  </bookViews>
  <sheets>
    <sheet name="Specificatie" sheetId="1" r:id="rId1"/>
    <sheet name="Taxaties" sheetId="8" r:id="rId2"/>
    <sheet name="Mutaties" sheetId="7" r:id="rId3"/>
    <sheet name="Data" sheetId="4" state="hidden" r:id="rId4"/>
  </sheets>
  <definedNames>
    <definedName name="_xlnm._FilterDatabase" localSheetId="0" hidden="1">Specificatie!$A$1:$T$17</definedName>
    <definedName name="_xlnm.Print_Area" localSheetId="0">Specificatie!$A$1:$T$19</definedName>
    <definedName name="Bouwaard">Data!$B$2:$B$6</definedName>
    <definedName name="CAD">Data!$C$2:$C$3</definedName>
    <definedName name="courtage">#REF!</definedName>
    <definedName name="Interest">Data!$A$2:$A$16</definedName>
    <definedName name="Taxatie">Data!$D$2:$D$4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B5" i="8" l="1"/>
  <c r="B7" i="8"/>
  <c r="B8" i="8"/>
  <c r="B9" i="8"/>
  <c r="B3" i="8"/>
  <c r="L5" i="1"/>
  <c r="E10" i="7" l="1"/>
  <c r="E11" i="7"/>
  <c r="E12" i="7"/>
  <c r="E13" i="7"/>
  <c r="E14" i="7"/>
  <c r="E15" i="7"/>
  <c r="E16" i="7"/>
  <c r="E17" i="7"/>
  <c r="E18" i="7"/>
  <c r="E19" i="7"/>
  <c r="E20" i="7"/>
  <c r="E21" i="7"/>
  <c r="E9" i="7"/>
  <c r="C10" i="7"/>
  <c r="C11" i="7"/>
  <c r="C12" i="7"/>
  <c r="C13" i="7"/>
  <c r="C14" i="7"/>
  <c r="C15" i="7"/>
  <c r="C16" i="7"/>
  <c r="C17" i="7"/>
  <c r="C18" i="7"/>
  <c r="C19" i="7"/>
  <c r="C20" i="7"/>
  <c r="C21" i="7"/>
  <c r="C9" i="7"/>
  <c r="A9" i="7"/>
  <c r="A10" i="7"/>
  <c r="A11" i="7"/>
  <c r="A13" i="7"/>
  <c r="A14" i="7"/>
  <c r="A15" i="7"/>
  <c r="A16" i="7"/>
  <c r="A17" i="7"/>
  <c r="A18" i="7"/>
  <c r="A19" i="7"/>
  <c r="A20" i="7"/>
  <c r="A21" i="7"/>
  <c r="A12" i="7"/>
  <c r="R15" i="1"/>
  <c r="R17" i="1"/>
  <c r="S19" i="1" l="1"/>
  <c r="N19" i="1"/>
  <c r="I22" i="7"/>
  <c r="H22" i="7"/>
  <c r="G22" i="7"/>
  <c r="F22" i="7"/>
  <c r="N14" i="7"/>
  <c r="T14" i="7" s="1"/>
  <c r="S14" i="7" l="1" a="1"/>
  <c r="S14" i="7" s="1"/>
  <c r="R14" i="7" a="1"/>
  <c r="R14" i="7" s="1"/>
  <c r="Q14" i="7"/>
  <c r="A4" i="7"/>
  <c r="A3" i="7"/>
  <c r="A2" i="7"/>
  <c r="B4" i="7"/>
  <c r="B3" i="7"/>
  <c r="B2" i="7"/>
  <c r="N21" i="7"/>
  <c r="R21" i="7" s="1" a="1"/>
  <c r="R21" i="7" s="1"/>
  <c r="N20" i="7"/>
  <c r="R20" i="7" s="1" a="1"/>
  <c r="R20" i="7" s="1"/>
  <c r="N19" i="7"/>
  <c r="R19" i="7" s="1" a="1"/>
  <c r="R19" i="7" s="1"/>
  <c r="N18" i="7"/>
  <c r="R18" i="7" s="1" a="1"/>
  <c r="R18" i="7" s="1"/>
  <c r="N17" i="7"/>
  <c r="R17" i="7" s="1" a="1"/>
  <c r="R17" i="7" s="1"/>
  <c r="N16" i="7"/>
  <c r="N15" i="7"/>
  <c r="N13" i="7"/>
  <c r="R13" i="7" s="1" a="1"/>
  <c r="R13" i="7" s="1"/>
  <c r="N12" i="7"/>
  <c r="R12" i="7" s="1" a="1"/>
  <c r="R12" i="7" s="1"/>
  <c r="N11" i="7"/>
  <c r="R11" i="7" s="1" a="1"/>
  <c r="R11" i="7" s="1"/>
  <c r="N10" i="7"/>
  <c r="N9" i="7"/>
  <c r="U14" i="7" l="1"/>
  <c r="J15" i="7"/>
  <c r="K15" i="7" s="1"/>
  <c r="J16" i="7"/>
  <c r="K16" i="7" s="1"/>
  <c r="J17" i="7"/>
  <c r="K17" i="7" s="1"/>
  <c r="J10" i="7"/>
  <c r="K10" i="7" s="1"/>
  <c r="J18" i="7"/>
  <c r="K18" i="7" s="1"/>
  <c r="J11" i="7"/>
  <c r="K11" i="7" s="1"/>
  <c r="R14" i="1" s="1"/>
  <c r="J19" i="7"/>
  <c r="K19" i="7" s="1"/>
  <c r="J14" i="7"/>
  <c r="K14" i="7" s="1"/>
  <c r="J12" i="7"/>
  <c r="K12" i="7" s="1"/>
  <c r="R16" i="1" s="1"/>
  <c r="J20" i="7"/>
  <c r="K20" i="7" s="1"/>
  <c r="J13" i="7"/>
  <c r="K13" i="7" s="1"/>
  <c r="R18" i="1" s="1"/>
  <c r="P18" i="1" s="1"/>
  <c r="O18" i="1" s="1"/>
  <c r="J21" i="7"/>
  <c r="K21" i="7" s="1"/>
  <c r="Q15" i="7"/>
  <c r="R15" i="7" a="1"/>
  <c r="R15" i="7" s="1"/>
  <c r="Q16" i="7"/>
  <c r="R16" i="7" a="1"/>
  <c r="R16" i="7" s="1"/>
  <c r="Q9" i="7"/>
  <c r="R9" i="7" a="1"/>
  <c r="R9" i="7" s="1"/>
  <c r="Q10" i="7"/>
  <c r="R10" i="7" a="1"/>
  <c r="R10" i="7" s="1"/>
  <c r="T20" i="7"/>
  <c r="T21" i="7"/>
  <c r="T17" i="7"/>
  <c r="T16" i="7"/>
  <c r="T19" i="7"/>
  <c r="T15" i="7"/>
  <c r="T9" i="7"/>
  <c r="T18" i="7"/>
  <c r="T13" i="7"/>
  <c r="T12" i="7"/>
  <c r="T11" i="7"/>
  <c r="T10" i="7"/>
  <c r="S9" i="7" a="1"/>
  <c r="S9" i="7" s="1"/>
  <c r="S13" i="7" a="1"/>
  <c r="S13" i="7" s="1"/>
  <c r="S19" i="7" a="1"/>
  <c r="S19" i="7" s="1"/>
  <c r="S21" i="7" a="1"/>
  <c r="S21" i="7" s="1"/>
  <c r="S16" i="7" a="1"/>
  <c r="S16" i="7" s="1"/>
  <c r="S12" i="7" a="1"/>
  <c r="S12" i="7" s="1"/>
  <c r="S11" i="7" a="1"/>
  <c r="S11" i="7" s="1"/>
  <c r="S18" i="7" a="1"/>
  <c r="S18" i="7" s="1"/>
  <c r="S15" i="7" a="1"/>
  <c r="S15" i="7" s="1"/>
  <c r="S10" i="7" a="1"/>
  <c r="S10" i="7" s="1"/>
  <c r="S20" i="7" a="1"/>
  <c r="S20" i="7" s="1"/>
  <c r="S17" i="7" a="1"/>
  <c r="S17" i="7" s="1"/>
  <c r="Q18" i="7"/>
  <c r="Q13" i="7"/>
  <c r="Q17" i="7"/>
  <c r="Q21" i="7"/>
  <c r="Q12" i="7"/>
  <c r="Q20" i="7"/>
  <c r="Q11" i="7"/>
  <c r="Q19" i="7"/>
  <c r="R13" i="1" l="1"/>
  <c r="P13" i="1" s="1"/>
  <c r="O13" i="1" s="1"/>
  <c r="R12" i="1"/>
  <c r="P12" i="1" s="1"/>
  <c r="O12" i="1" s="1"/>
  <c r="T22" i="7"/>
  <c r="R22" i="7"/>
  <c r="S22" i="7"/>
  <c r="Q22" i="7"/>
  <c r="J9" i="7"/>
  <c r="J22" i="7" s="1"/>
  <c r="E22" i="7"/>
  <c r="U13" i="7"/>
  <c r="U18" i="7"/>
  <c r="U20" i="7"/>
  <c r="U21" i="7"/>
  <c r="U17" i="7"/>
  <c r="U16" i="7"/>
  <c r="U9" i="7"/>
  <c r="U12" i="7"/>
  <c r="U19" i="7"/>
  <c r="U15" i="7"/>
  <c r="U11" i="7"/>
  <c r="U10" i="7"/>
  <c r="U22" i="7" l="1"/>
  <c r="P14" i="1" l="1"/>
  <c r="O14" i="1" s="1"/>
  <c r="P17" i="1"/>
  <c r="O17" i="1" s="1"/>
  <c r="P16" i="1"/>
  <c r="O16" i="1" s="1"/>
  <c r="P15" i="1"/>
  <c r="O15" i="1" s="1"/>
  <c r="K9" i="7" l="1"/>
  <c r="R11" i="1" l="1"/>
  <c r="K22" i="7"/>
  <c r="P11" i="1" l="1"/>
  <c r="P19" i="1" s="1"/>
  <c r="R19" i="1"/>
  <c r="O11" i="1" l="1"/>
  <c r="O1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<sst xmlns="http://schemas.openxmlformats.org/spreadsheetml/2006/main" count="190" uniqueCount="100">
  <si>
    <t>Polisnummer</t>
  </si>
  <si>
    <t>Verzekeringsnemer</t>
  </si>
  <si>
    <t>VNAB-nummer</t>
  </si>
  <si>
    <t>Tot</t>
  </si>
  <si>
    <t>Periode</t>
  </si>
  <si>
    <t>Verzekerde waarde</t>
  </si>
  <si>
    <t>Specificatie</t>
  </si>
  <si>
    <t>Mutaties</t>
  </si>
  <si>
    <t>Situatie voorgaande polis</t>
  </si>
  <si>
    <t>Verzekerde</t>
  </si>
  <si>
    <t>Certificaat</t>
  </si>
  <si>
    <t>Sub</t>
  </si>
  <si>
    <t>Verzekerde interest</t>
  </si>
  <si>
    <t>Bestemming</t>
  </si>
  <si>
    <t>Omschrijving</t>
  </si>
  <si>
    <t>Schadevergoedingstermijn</t>
  </si>
  <si>
    <t>Bouwaard</t>
  </si>
  <si>
    <t>Getaxeerd?</t>
  </si>
  <si>
    <t>Adres</t>
  </si>
  <si>
    <t>Postcode</t>
  </si>
  <si>
    <t>Plaats</t>
  </si>
  <si>
    <t>Land</t>
  </si>
  <si>
    <t>Vorkbedrag</t>
  </si>
  <si>
    <t>Premiegrondslag</t>
  </si>
  <si>
    <t>Index nieuw</t>
  </si>
  <si>
    <t>Verz. Waarde Oud:</t>
  </si>
  <si>
    <t>Index oud</t>
  </si>
  <si>
    <t>Ja/Nee</t>
  </si>
  <si>
    <t>inclusief mutaties</t>
  </si>
  <si>
    <t>Getaxeerd</t>
  </si>
  <si>
    <t>Verzekerde Waarde</t>
  </si>
  <si>
    <t>Gebouwen</t>
  </si>
  <si>
    <t>-</t>
  </si>
  <si>
    <t>Total</t>
  </si>
  <si>
    <t>Getaxeerde objecten</t>
  </si>
  <si>
    <t>Soort interest</t>
  </si>
  <si>
    <t>Taxateur</t>
  </si>
  <si>
    <t>Taxatiedatum</t>
  </si>
  <si>
    <t>Rapportnummer</t>
  </si>
  <si>
    <t>Vervalt op</t>
  </si>
  <si>
    <t>Mutatielijst</t>
  </si>
  <si>
    <t>Klant</t>
  </si>
  <si>
    <t>Omschrijving mutatie:</t>
  </si>
  <si>
    <t>Verzekerd bedrag</t>
  </si>
  <si>
    <t>Mutatiedatum</t>
  </si>
  <si>
    <t>Vervaldatum</t>
  </si>
  <si>
    <t>Dagen</t>
  </si>
  <si>
    <t>Dagen per jaar</t>
  </si>
  <si>
    <t>Sprake van CAD?</t>
  </si>
  <si>
    <t>Verrekeningen</t>
  </si>
  <si>
    <t>Totaal</t>
  </si>
  <si>
    <t>Omschrijving mutatie</t>
  </si>
  <si>
    <t>Subnummer</t>
  </si>
  <si>
    <t>Oud</t>
  </si>
  <si>
    <t>Investering Nieuw</t>
  </si>
  <si>
    <t>Investering bestaand</t>
  </si>
  <si>
    <t>Verlaging</t>
  </si>
  <si>
    <t>Afvoer</t>
  </si>
  <si>
    <t>Inclusief mutatie</t>
  </si>
  <si>
    <t>Som mutaties</t>
  </si>
  <si>
    <t>Investering nieuw2</t>
  </si>
  <si>
    <t>Investering bestaand2</t>
  </si>
  <si>
    <t>Verlaging2</t>
  </si>
  <si>
    <t>Afvoer2</t>
  </si>
  <si>
    <t>Nee</t>
  </si>
  <si>
    <t>Interest</t>
  </si>
  <si>
    <t>CAD</t>
  </si>
  <si>
    <t>Taxatie</t>
  </si>
  <si>
    <t>Ja</t>
  </si>
  <si>
    <t>Bedrijfsschade</t>
  </si>
  <si>
    <t>Hout, harde dekking</t>
  </si>
  <si>
    <t>Bedrijfsuitrusting</t>
  </si>
  <si>
    <t>Hout, rieten dekking</t>
  </si>
  <si>
    <t>Bijzondere kosten</t>
  </si>
  <si>
    <t>Steen, harde dekking</t>
  </si>
  <si>
    <t>Exploitatiekosten</t>
  </si>
  <si>
    <t>Steen, rieten dekking</t>
  </si>
  <si>
    <t>Extra kosten</t>
  </si>
  <si>
    <t>Goederen</t>
  </si>
  <si>
    <t>Goederen van derden</t>
  </si>
  <si>
    <t>Huurdersbelang</t>
  </si>
  <si>
    <t>Huurderving</t>
  </si>
  <si>
    <t>Opruimingskosten</t>
  </si>
  <si>
    <t>Overig</t>
  </si>
  <si>
    <t>Reconstructiekosten</t>
  </si>
  <si>
    <t>Woningverbetering</t>
  </si>
  <si>
    <t>nieuw</t>
  </si>
  <si>
    <t>oud</t>
  </si>
  <si>
    <t>Index</t>
  </si>
  <si>
    <t>Stichting Gerrit Rietveld Academie</t>
  </si>
  <si>
    <t>Fred Roeksestraat 96</t>
  </si>
  <si>
    <t>Fred Roeksestraat 96 &amp; 98 A/B/C</t>
  </si>
  <si>
    <t>Amsterdam</t>
  </si>
  <si>
    <t>Van Ameyde Waarderingen</t>
  </si>
  <si>
    <t>IW221192141</t>
  </si>
  <si>
    <t>IW221192140</t>
  </si>
  <si>
    <t>steen/hard</t>
  </si>
  <si>
    <t>school voor hoger onderwijs</t>
  </si>
  <si>
    <t>beide adressen reconstructiekosten premier risque</t>
  </si>
  <si>
    <t>104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</si>
</sst>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0"/>
    <numFmt numFmtId="165" formatCode="_-* #,##0.00_-;\-* #,##0.00_-;_-* &quot;-&quot;??_-;_-@_-"/>
    <numFmt numFmtId="166" formatCode="_-[$€-2]* #,##0.00_-;\-[$€-2]* #,##0.00_-;_-[$€-2]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 Pro Cond"/>
      <family val="2"/>
    </font>
    <font>
      <sz val="11"/>
      <color theme="1"/>
      <name val="Verdana Pro Cond"/>
      <family val="2"/>
    </font>
    <font>
      <sz val="10"/>
      <name val="Arial"/>
      <family val="2"/>
    </font>
    <font>
      <b/>
      <i/>
      <sz val="10"/>
      <color theme="1"/>
      <name val="Verdana Pro Cond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Verdana Pro Cond"/>
      <family val="2"/>
    </font>
    <font>
      <sz val="10"/>
      <color theme="1"/>
      <name val="Verdana Pro Cond"/>
      <family val="2"/>
    </font>
    <font>
      <i/>
      <sz val="12"/>
      <color theme="1"/>
      <name val="Verdana Pro Cond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6" fillId="6" borderId="8" xfId="0" applyFont="1" applyFill="1" applyBorder="1" applyAlignment="1">
      <alignment horizontal="left" vertical="top"/>
    </xf>
    <xf numFmtId="0" fontId="10" fillId="2" borderId="0" xfId="0" applyFont="1" applyFill="1" applyAlignment="1">
      <alignment vertical="top"/>
    </xf>
    <xf numFmtId="0" fontId="10" fillId="2" borderId="9" xfId="0" applyFont="1" applyFill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4" borderId="2" xfId="0" applyFont="1" applyFill="1" applyBorder="1" applyAlignment="1">
      <alignment vertical="top"/>
    </xf>
    <xf numFmtId="0" fontId="8" fillId="4" borderId="2" xfId="0" applyFont="1" applyFill="1" applyBorder="1" applyAlignment="1">
      <alignment vertical="top" wrapText="1"/>
    </xf>
    <xf numFmtId="0" fontId="8" fillId="3" borderId="18" xfId="0" applyFont="1" applyFill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0" fillId="2" borderId="8" xfId="0" applyFont="1" applyFill="1" applyBorder="1"/>
    <xf numFmtId="0" fontId="10" fillId="2" borderId="0" xfId="0" applyFont="1" applyFill="1"/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1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0" fontId="10" fillId="2" borderId="10" xfId="0" applyFont="1" applyFill="1" applyBorder="1" applyAlignment="1">
      <alignment vertical="top"/>
    </xf>
    <xf numFmtId="0" fontId="8" fillId="3" borderId="8" xfId="0" applyFont="1" applyFill="1" applyBorder="1" applyAlignment="1">
      <alignment vertical="top"/>
    </xf>
    <xf numFmtId="0" fontId="0" fillId="0" borderId="0" xfId="0" quotePrefix="1"/>
    <xf numFmtId="0" fontId="8" fillId="4" borderId="17" xfId="0" applyFont="1" applyFill="1" applyBorder="1" applyAlignment="1" applyProtection="1">
      <alignment vertical="top"/>
      <protection locked="0"/>
    </xf>
    <xf numFmtId="0" fontId="10" fillId="2" borderId="8" xfId="0" applyFont="1" applyFill="1" applyBorder="1" applyAlignment="1" applyProtection="1">
      <alignment vertical="top"/>
      <protection locked="0"/>
    </xf>
    <xf numFmtId="0" fontId="8" fillId="4" borderId="24" xfId="0" applyFont="1" applyFill="1" applyBorder="1" applyAlignment="1" applyProtection="1">
      <alignment vertical="top"/>
      <protection locked="0"/>
    </xf>
    <xf numFmtId="0" fontId="5" fillId="6" borderId="10" xfId="0" applyFont="1" applyFill="1" applyBorder="1" applyAlignment="1">
      <alignment horizontal="left" vertical="top"/>
    </xf>
    <xf numFmtId="0" fontId="5" fillId="6" borderId="11" xfId="0" applyFont="1" applyFill="1" applyBorder="1" applyAlignment="1">
      <alignment horizontal="left" vertical="top"/>
    </xf>
    <xf numFmtId="0" fontId="6" fillId="6" borderId="11" xfId="0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8" borderId="30" xfId="0" applyFont="1" applyFill="1" applyBorder="1" applyAlignment="1">
      <alignment horizontal="left" vertical="top"/>
    </xf>
    <xf numFmtId="0" fontId="8" fillId="7" borderId="31" xfId="4" applyFont="1" applyFill="1" applyBorder="1" applyAlignment="1">
      <alignment horizontal="left" vertical="top"/>
    </xf>
    <xf numFmtId="0" fontId="4" fillId="8" borderId="31" xfId="0" applyFont="1" applyFill="1" applyBorder="1" applyAlignment="1">
      <alignment horizontal="left" vertical="top"/>
    </xf>
    <xf numFmtId="0" fontId="5" fillId="5" borderId="19" xfId="0" applyFont="1" applyFill="1" applyBorder="1" applyAlignment="1">
      <alignment horizontal="left" vertical="top"/>
    </xf>
    <xf numFmtId="0" fontId="8" fillId="5" borderId="3" xfId="4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top"/>
    </xf>
    <xf numFmtId="0" fontId="4" fillId="5" borderId="23" xfId="0" applyFont="1" applyFill="1" applyBorder="1" applyAlignment="1">
      <alignment horizontal="center" vertical="top"/>
    </xf>
    <xf numFmtId="0" fontId="4" fillId="5" borderId="25" xfId="0" applyFont="1" applyFill="1" applyBorder="1" applyAlignment="1">
      <alignment horizontal="center" vertical="top"/>
    </xf>
    <xf numFmtId="0" fontId="0" fillId="5" borderId="6" xfId="0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2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4" fontId="0" fillId="0" borderId="27" xfId="0" applyNumberFormat="1" applyBorder="1" applyAlignment="1">
      <alignment horizontal="left" vertical="top"/>
    </xf>
    <xf numFmtId="44" fontId="0" fillId="0" borderId="28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164" fontId="0" fillId="0" borderId="14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0" fillId="2" borderId="12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vertical="top"/>
    </xf>
    <xf numFmtId="0" fontId="10" fillId="2" borderId="32" xfId="0" applyFont="1" applyFill="1" applyBorder="1" applyAlignment="1">
      <alignment vertical="top"/>
    </xf>
    <xf numFmtId="0" fontId="10" fillId="2" borderId="35" xfId="0" applyFont="1" applyFill="1" applyBorder="1" applyAlignment="1">
      <alignment vertical="top"/>
    </xf>
    <xf numFmtId="0" fontId="11" fillId="4" borderId="17" xfId="0" applyFont="1" applyFill="1" applyBorder="1" applyAlignment="1" applyProtection="1">
      <alignment vertical="top"/>
      <protection locked="0"/>
    </xf>
    <xf numFmtId="0" fontId="11" fillId="4" borderId="24" xfId="0" applyFont="1" applyFill="1" applyBorder="1" applyAlignment="1" applyProtection="1">
      <alignment vertical="top"/>
      <protection locked="0"/>
    </xf>
    <xf numFmtId="0" fontId="11" fillId="4" borderId="2" xfId="0" applyFont="1" applyFill="1" applyBorder="1" applyAlignment="1">
      <alignment vertical="top"/>
    </xf>
    <xf numFmtId="0" fontId="11" fillId="4" borderId="2" xfId="0" applyFont="1" applyFill="1" applyBorder="1" applyAlignment="1">
      <alignment vertical="top" wrapText="1"/>
    </xf>
    <xf numFmtId="0" fontId="11" fillId="3" borderId="8" xfId="0" applyFont="1" applyFill="1" applyBorder="1" applyAlignment="1">
      <alignment vertical="top"/>
    </xf>
    <xf numFmtId="0" fontId="11" fillId="3" borderId="18" xfId="0" applyFont="1" applyFill="1" applyBorder="1" applyAlignment="1">
      <alignment vertical="top"/>
    </xf>
    <xf numFmtId="0" fontId="8" fillId="0" borderId="24" xfId="0" applyFont="1" applyBorder="1" applyAlignment="1" applyProtection="1">
      <alignment vertical="top"/>
      <protection locked="0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5" fillId="5" borderId="23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8" borderId="30" xfId="0" applyFont="1" applyFill="1" applyBorder="1" applyAlignment="1">
      <alignment horizontal="left" vertical="top"/>
    </xf>
    <xf numFmtId="0" fontId="4" fillId="8" borderId="26" xfId="0" applyFont="1" applyFill="1" applyBorder="1" applyAlignment="1">
      <alignment horizontal="left" vertical="top"/>
    </xf>
    <xf numFmtId="0" fontId="4" fillId="5" borderId="19" xfId="0" applyFont="1" applyFill="1" applyBorder="1" applyAlignment="1">
      <alignment horizontal="left" vertical="top"/>
    </xf>
    <xf numFmtId="0" fontId="4" fillId="5" borderId="20" xfId="0" applyFont="1" applyFill="1" applyBorder="1" applyAlignment="1">
      <alignment horizontal="left" vertical="top"/>
    </xf>
    <xf numFmtId="0" fontId="8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8" fillId="4" borderId="34" xfId="0" applyFont="1" applyFill="1" applyBorder="1" applyAlignment="1">
      <alignment vertical="top"/>
    </xf>
    <xf numFmtId="0" fontId="0" fillId="0" borderId="36" xfId="0" applyBorder="1" applyAlignment="1">
      <alignment horizontal="left" vertical="top"/>
    </xf>
    <xf numFmtId="0" fontId="8" fillId="9" borderId="17" xfId="0" applyFont="1" applyFill="1" applyBorder="1" applyAlignment="1">
      <alignment vertical="top"/>
    </xf>
    <xf numFmtId="0" fontId="8" fillId="9" borderId="18" xfId="0" applyFont="1" applyFill="1" applyBorder="1" applyAlignment="1">
      <alignment vertical="top"/>
    </xf>
    <xf numFmtId="0" fontId="8" fillId="9" borderId="24" xfId="0" applyFont="1" applyFill="1" applyBorder="1" applyAlignment="1">
      <alignment vertical="top"/>
    </xf>
    <xf numFmtId="0" fontId="11" fillId="9" borderId="17" xfId="0" applyFont="1" applyFill="1" applyBorder="1" applyAlignment="1">
      <alignment vertical="top"/>
    </xf>
    <xf numFmtId="0" fontId="11" fillId="9" borderId="18" xfId="0" applyFont="1" applyFill="1" applyBorder="1" applyAlignment="1">
      <alignment vertical="top"/>
    </xf>
    <xf numFmtId="0" fontId="11" fillId="9" borderId="24" xfId="0" applyFont="1" applyFill="1" applyBorder="1" applyAlignment="1">
      <alignment vertical="top"/>
    </xf>
    <xf numFmtId="0" fontId="11" fillId="0" borderId="1" xfId="0" applyFont="1" applyBorder="1" applyAlignment="1" applyProtection="1">
      <alignment vertical="top"/>
      <protection locked="0"/>
    </xf>
    <xf numFmtId="164" fontId="11" fillId="0" borderId="1" xfId="0" quotePrefix="1" applyNumberFormat="1" applyFont="1" applyBorder="1" applyAlignment="1" applyProtection="1">
      <alignment horizontal="center" vertical="top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44" fontId="11" fillId="0" borderId="1" xfId="1" applyFont="1" applyFill="1" applyBorder="1" applyAlignment="1" applyProtection="1">
      <alignment vertical="top"/>
      <protection locked="0"/>
    </xf>
    <xf numFmtId="44" fontId="11" fillId="0" borderId="1" xfId="1" applyFont="1" applyFill="1" applyBorder="1" applyAlignment="1">
      <alignment vertical="top"/>
    </xf>
    <xf numFmtId="44" fontId="11" fillId="0" borderId="1" xfId="0" applyNumberFormat="1" applyFont="1" applyBorder="1" applyAlignment="1" applyProtection="1">
      <alignment vertical="top"/>
      <protection locked="0"/>
    </xf>
    <xf numFmtId="164" fontId="0" fillId="0" borderId="0" xfId="0" applyNumberFormat="1"/>
    <xf numFmtId="14" fontId="0" fillId="0" borderId="0" xfId="0" applyNumberFormat="1"/>
    <xf numFmtId="0" fontId="6" fillId="0" borderId="2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1" applyFont="1" applyFill="1" applyBorder="1" applyAlignment="1" applyProtection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44" fontId="0" fillId="0" borderId="38" xfId="1" applyFont="1" applyFill="1" applyBorder="1" applyAlignment="1" applyProtection="1">
      <alignment horizontal="left" vertical="top"/>
    </xf>
    <xf numFmtId="14" fontId="0" fillId="0" borderId="38" xfId="0" applyNumberFormat="1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44" fontId="0" fillId="0" borderId="36" xfId="1" applyFont="1" applyFill="1" applyBorder="1" applyAlignment="1" applyProtection="1">
      <alignment horizontal="left" vertical="top"/>
    </xf>
    <xf numFmtId="14" fontId="0" fillId="0" borderId="36" xfId="0" applyNumberFormat="1" applyBorder="1" applyAlignment="1">
      <alignment horizontal="left" vertical="top"/>
    </xf>
    <xf numFmtId="164" fontId="0" fillId="0" borderId="41" xfId="0" applyNumberFormat="1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44" fontId="0" fillId="0" borderId="37" xfId="1" applyFont="1" applyFill="1" applyBorder="1" applyAlignment="1" applyProtection="1">
      <alignment horizontal="left" vertical="top"/>
    </xf>
    <xf numFmtId="44" fontId="9" fillId="0" borderId="39" xfId="1" applyFont="1" applyFill="1" applyBorder="1" applyAlignment="1" applyProtection="1">
      <alignment horizontal="left" vertical="top"/>
    </xf>
    <xf numFmtId="44" fontId="0" fillId="0" borderId="6" xfId="1" applyFont="1" applyFill="1" applyBorder="1" applyAlignment="1" applyProtection="1">
      <alignment horizontal="left" vertical="top"/>
    </xf>
    <xf numFmtId="44" fontId="9" fillId="0" borderId="7" xfId="1" applyFont="1" applyFill="1" applyBorder="1" applyAlignment="1" applyProtection="1">
      <alignment horizontal="left" vertical="top"/>
    </xf>
    <xf numFmtId="44" fontId="0" fillId="0" borderId="40" xfId="1" applyFont="1" applyFill="1" applyBorder="1" applyAlignment="1" applyProtection="1">
      <alignment horizontal="left" vertical="top"/>
    </xf>
    <xf numFmtId="44" fontId="9" fillId="0" borderId="13" xfId="1" applyFont="1" applyFill="1" applyBorder="1" applyAlignment="1" applyProtection="1">
      <alignment horizontal="left" vertical="top"/>
    </xf>
    <xf numFmtId="14" fontId="0" fillId="0" borderId="6" xfId="0" applyNumberFormat="1" applyBorder="1" applyAlignment="1">
      <alignment horizontal="left" vertical="top"/>
    </xf>
    <xf numFmtId="14" fontId="0" fillId="0" borderId="40" xfId="0" applyNumberFormat="1" applyBorder="1" applyAlignment="1">
      <alignment horizontal="left" vertical="top"/>
    </xf>
    <xf numFmtId="44" fontId="0" fillId="0" borderId="37" xfId="0" applyNumberFormat="1" applyBorder="1" applyAlignment="1">
      <alignment horizontal="left" vertical="top"/>
    </xf>
    <xf numFmtId="44" fontId="9" fillId="0" borderId="39" xfId="0" applyNumberFormat="1" applyFont="1" applyBorder="1" applyAlignment="1">
      <alignment horizontal="left" vertical="top"/>
    </xf>
    <xf numFmtId="44" fontId="0" fillId="0" borderId="6" xfId="0" applyNumberFormat="1" applyBorder="1" applyAlignment="1">
      <alignment horizontal="left" vertical="top"/>
    </xf>
    <xf numFmtId="44" fontId="9" fillId="0" borderId="7" xfId="0" applyNumberFormat="1" applyFont="1" applyBorder="1" applyAlignment="1">
      <alignment horizontal="left" vertical="top"/>
    </xf>
    <xf numFmtId="44" fontId="0" fillId="0" borderId="40" xfId="0" applyNumberFormat="1" applyBorder="1" applyAlignment="1">
      <alignment horizontal="left" vertical="top"/>
    </xf>
    <xf numFmtId="44" fontId="9" fillId="0" borderId="13" xfId="0" applyNumberFormat="1" applyFont="1" applyBorder="1" applyAlignment="1">
      <alignment horizontal="left" vertical="top"/>
    </xf>
    <xf numFmtId="14" fontId="10" fillId="2" borderId="0" xfId="0" applyNumberFormat="1" applyFont="1" applyFill="1"/>
    <xf numFmtId="14" fontId="10" fillId="2" borderId="0" xfId="0" applyNumberFormat="1" applyFont="1" applyFill="1" applyAlignment="1">
      <alignment vertical="top"/>
    </xf>
    <xf numFmtId="0" fontId="8" fillId="4" borderId="33" xfId="0" applyFont="1" applyFill="1" applyBorder="1" applyAlignment="1" applyProtection="1">
      <alignment vertical="top"/>
      <protection locked="0"/>
    </xf>
    <xf numFmtId="0" fontId="8" fillId="4" borderId="42" xfId="0" applyFont="1" applyFill="1" applyBorder="1" applyAlignment="1" applyProtection="1">
      <alignment vertical="top"/>
      <protection locked="0"/>
    </xf>
    <xf numFmtId="0" fontId="8" fillId="4" borderId="34" xfId="0" applyFont="1" applyFill="1" applyBorder="1" applyAlignment="1">
      <alignment vertical="top" wrapText="1"/>
    </xf>
    <xf numFmtId="0" fontId="8" fillId="4" borderId="11" xfId="0" applyFont="1" applyFill="1" applyBorder="1" applyAlignment="1">
      <alignment vertical="top"/>
    </xf>
    <xf numFmtId="0" fontId="8" fillId="9" borderId="33" xfId="0" applyFont="1" applyFill="1" applyBorder="1" applyAlignment="1">
      <alignment vertical="top"/>
    </xf>
    <xf numFmtId="0" fontId="8" fillId="9" borderId="29" xfId="0" applyFont="1" applyFill="1" applyBorder="1" applyAlignment="1">
      <alignment vertical="top"/>
    </xf>
    <xf numFmtId="0" fontId="8" fillId="9" borderId="42" xfId="0" applyFont="1" applyFill="1" applyBorder="1" applyAlignment="1">
      <alignment vertical="top"/>
    </xf>
    <xf numFmtId="0" fontId="8" fillId="3" borderId="10" xfId="0" applyFont="1" applyFill="1" applyBorder="1" applyAlignment="1">
      <alignment vertical="top"/>
    </xf>
    <xf numFmtId="0" fontId="8" fillId="3" borderId="29" xfId="0" applyFont="1" applyFill="1" applyBorder="1" applyAlignment="1">
      <alignment vertical="top"/>
    </xf>
    <xf numFmtId="0" fontId="8" fillId="0" borderId="17" xfId="0" applyFont="1" applyBorder="1" applyAlignment="1" applyProtection="1">
      <alignment vertical="top"/>
      <protection locked="0"/>
    </xf>
    <xf numFmtId="0" fontId="11" fillId="0" borderId="43" xfId="0" applyFont="1" applyBorder="1" applyAlignment="1" applyProtection="1">
      <alignment vertical="top"/>
      <protection locked="0"/>
    </xf>
    <xf numFmtId="0" fontId="11" fillId="0" borderId="44" xfId="0" applyFont="1" applyBorder="1" applyAlignment="1" applyProtection="1">
      <alignment vertical="top"/>
      <protection locked="0"/>
    </xf>
    <xf numFmtId="0" fontId="11" fillId="0" borderId="45" xfId="0" applyFont="1" applyBorder="1" applyAlignment="1" applyProtection="1">
      <alignment horizontal="center" vertical="top"/>
      <protection locked="0"/>
    </xf>
    <xf numFmtId="0" fontId="11" fillId="0" borderId="45" xfId="0" applyFont="1" applyBorder="1" applyAlignment="1" applyProtection="1">
      <alignment vertical="top"/>
      <protection locked="0"/>
    </xf>
    <xf numFmtId="0" fontId="11" fillId="0" borderId="45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vertical="top"/>
      <protection locked="0"/>
    </xf>
    <xf numFmtId="44" fontId="11" fillId="0" borderId="43" xfId="0" applyNumberFormat="1" applyFont="1" applyBorder="1" applyAlignment="1" applyProtection="1">
      <alignment vertical="top"/>
      <protection locked="0"/>
    </xf>
    <xf numFmtId="0" fontId="11" fillId="0" borderId="16" xfId="0" applyFont="1" applyBorder="1" applyAlignment="1" applyProtection="1">
      <alignment vertical="top"/>
      <protection locked="0"/>
    </xf>
    <xf numFmtId="44" fontId="11" fillId="0" borderId="27" xfId="0" applyNumberFormat="1" applyFont="1" applyBorder="1" applyAlignment="1">
      <alignment vertical="top"/>
    </xf>
    <xf numFmtId="3" fontId="10" fillId="2" borderId="0" xfId="0" applyNumberFormat="1" applyFont="1" applyFill="1" applyAlignment="1">
      <alignment vertical="top"/>
    </xf>
    <xf numFmtId="164" fontId="11" fillId="0" borderId="1" xfId="0" applyNumberFormat="1" applyFont="1" applyBorder="1" applyAlignment="1" applyProtection="1">
      <alignment vertical="top"/>
      <protection locked="0"/>
    </xf>
    <xf numFmtId="0" fontId="0" fillId="0" borderId="1" xfId="0" applyBorder="1"/>
    <xf numFmtId="44" fontId="11" fillId="0" borderId="0" xfId="0" applyNumberFormat="1" applyFont="1" applyAlignment="1">
      <alignment vertical="top"/>
    </xf>
    <xf numFmtId="0" fontId="5" fillId="8" borderId="31" xfId="0" applyFont="1" applyFill="1" applyBorder="1" applyAlignment="1">
      <alignment horizontal="center" vertical="top"/>
    </xf>
    <xf numFmtId="0" fontId="4" fillId="8" borderId="30" xfId="0" applyFont="1" applyFill="1" applyBorder="1" applyAlignment="1">
      <alignment horizontal="center" vertical="top"/>
    </xf>
    <xf numFmtId="0" fontId="4" fillId="8" borderId="31" xfId="0" applyFont="1" applyFill="1" applyBorder="1" applyAlignment="1">
      <alignment horizontal="center" vertical="top"/>
    </xf>
    <xf numFmtId="0" fontId="4" fillId="8" borderId="26" xfId="0" applyFont="1" applyFill="1" applyBorder="1" applyAlignment="1">
      <alignment horizontal="center" vertical="top"/>
    </xf>
  </cellXfs>
  <cellStyles count="9">
    <cellStyle name="Comma 2" xfId="5" xr:uid="{0C31A5CA-2788-47F5-8595-86AF3D8D6340}"/>
    <cellStyle name="Euro" xfId="6" xr:uid="{FA1A5A95-47BA-426C-8BF7-4A2E768BBCC7}"/>
    <cellStyle name="Normal 2" xfId="2" xr:uid="{042D0CC4-8D3C-4DBD-B577-B57DA9BD067E}"/>
    <cellStyle name="Normal 3" xfId="4" xr:uid="{2CCB5DFE-C7B7-4BFF-AF96-2AC76775BF9A}"/>
    <cellStyle name="Normal 6" xfId="3" xr:uid="{C724D0DD-173B-44D7-8963-C379B248AB9A}"/>
    <cellStyle name="Percent 2" xfId="7" xr:uid="{79192040-C87C-4346-9B53-9BACCE0E6A89}"/>
    <cellStyle name="Procent 2" xfId="8" xr:uid="{1489CFF9-A365-4C1F-8D3B-F1F5EF5090E9}"/>
    <cellStyle name="Standaard" xfId="0" builtinId="0"/>
    <cellStyle name="Valuta" xfId="1" builtinId="4"/>
  </cellStyles>
  <dxfs count="90"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protection locked="1" hidden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numFmt numFmtId="164" formatCode="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00CCFF"/>
      <color rgb="FFCCFFFF"/>
      <color rgb="FFBB9DD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F08A8D-44F3-42E9-86BB-A1C00B8314DE}" name="Table3" displayName="Table3" ref="A10:T19" totalsRowCount="1" headerRowDxfId="89" dataDxfId="88" tableBorderDxfId="87">
  <autoFilter ref="A10:T18" xr:uid="{6AF08A8D-44F3-42E9-86BB-A1C00B8314DE}"/>
  <tableColumns count="20">
    <tableColumn id="1" xr3:uid="{5DA535AD-6ED3-4B58-8975-8C5347AA9B78}" name="Verzekerde" totalsRowLabel="Total" dataDxfId="86" totalsRowDxfId="85"/>
    <tableColumn id="35" xr3:uid="{3D66882E-214F-4E51-B263-D2DDB4FF2D3B}" name="Certificaat" dataDxfId="84" totalsRowDxfId="83"/>
    <tableColumn id="3" xr3:uid="{46AEA6C0-3771-4B9F-84B0-D1E6E51ED86B}" name="Sub" dataDxfId="82" totalsRowDxfId="81"/>
    <tableColumn id="4" xr3:uid="{9A2B1A2F-6CEB-4F18-A492-54E11736E5C9}" name="Verzekerde interest" dataDxfId="80" totalsRowDxfId="79"/>
    <tableColumn id="5" xr3:uid="{9D760F86-9046-48BB-BD35-80C0CB1AAC94}" name="Bestemming" dataDxfId="78" totalsRowDxfId="77"/>
    <tableColumn id="6" xr3:uid="{AEF7AB71-63FB-4DF7-B373-C23684BDD59F}" name="Omschrijving" dataDxfId="76" totalsRowDxfId="75"/>
    <tableColumn id="2" xr3:uid="{C3F0919A-0C23-4F94-A553-C9326C2AE775}" name="Schadevergoedingstermijn" dataDxfId="74" totalsRowDxfId="73"/>
    <tableColumn id="7" xr3:uid="{80DF863E-C676-467C-9B7F-AEA9BF31EF53}" name="Bouwaard" dataDxfId="72" totalsRowDxfId="71"/>
    <tableColumn id="8" xr3:uid="{A5E447C2-3EF1-4784-8BC8-25520EDB2C61}" name="Getaxeerd" dataDxfId="70" totalsRowDxfId="69"/>
    <tableColumn id="11" xr3:uid="{C537EE58-8FE5-4DC9-B6BF-0D07D6D61AD7}" name="Adres" dataDxfId="68" totalsRowDxfId="67"/>
    <tableColumn id="12" xr3:uid="{339D09B0-2AF5-4303-A5A6-02DD7DB5395D}" name="Postcode" dataDxfId="66" totalsRowDxfId="65"/>
    <tableColumn id="13" xr3:uid="{2B053CF8-65C3-49C4-9661-3DB2CB0CC34A}" name="Plaats" dataDxfId="64" totalsRowDxfId="63"/>
    <tableColumn id="27" xr3:uid="{A0A1AC25-82A1-4637-B86F-C639D75A706C}" name="Land" dataDxfId="62" totalsRowDxfId="61"/>
    <tableColumn id="14" xr3:uid="{6CE5D940-A92A-4A0C-8BD6-B0E3A0EE3390}" name="Vorkbedrag" totalsRowFunction="sum" dataDxfId="60" totalsRowDxfId="59"/>
    <tableColumn id="15" xr3:uid="{2658B486-6155-457E-A473-050992C9D06B}" name="Premiegrondslag" totalsRowFunction="sum" dataDxfId="58" totalsRowDxfId="57"/>
    <tableColumn id="16" xr3:uid="{25E13C69-EE0B-496F-B0A6-615909375448}" name="Verzekerde Waarde" totalsRowFunction="sum" dataDxfId="56" totalsRowDxfId="55"/>
    <tableColumn id="17" xr3:uid="{04C7BDE1-9D3C-4EC4-ADBC-51DCF266AA22}" name="Index nieuw" dataDxfId="54" totalsRowDxfId="53"/>
    <tableColumn id="18" xr3:uid="{448DB753-00BC-43DE-A940-D7A40A6DC875}" name="Mutaties" totalsRowFunction="sum" dataDxfId="52" totalsRowDxfId="51">
      <calculatedColumnFormula>S11+SUMIF(Table4[Subnummer],Table3[[#This Row],[Sub]],Table4[Som mutaties])</calculatedColumnFormula>
    </tableColumn>
    <tableColumn id="19" xr3:uid="{E2C7CD13-246E-4279-9E08-71DF2DD4543D}" name="Verz. Waarde Oud:" totalsRowFunction="sum" dataDxfId="50" totalsRowDxfId="49"/>
    <tableColumn id="20" xr3:uid="{127805A0-511B-445D-9C56-BF76B0B74610}" name="Index oud" dataDxfId="48" totalsRowDxfId="47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8E302D-FAA8-4860-A74C-9E0E501060A6}" name="Table8" displayName="Table8" ref="A2:F9" totalsRowShown="0">
  <autoFilter ref="A2:F9" xr:uid="{8E8E302D-FAA8-4860-A74C-9E0E501060A6}"/>
  <tableColumns count="6">
    <tableColumn id="1" xr3:uid="{425C3F9B-888C-41F2-B864-EC8453BCECCD}" name="Sub" dataDxfId="46"/>
    <tableColumn id="2" xr3:uid="{C808CC8C-B930-4060-8A04-348D8D6F41AE}" name="Soort interest">
      <calculatedColumnFormula>IFERROR(_xlfn.XLOOKUP(Table8[[#This Row],[Sub]],Table3[Sub],Table3[Verzekerde interest]),"-")</calculatedColumnFormula>
    </tableColumn>
    <tableColumn id="3" xr3:uid="{32421018-A694-46BE-AEAB-E4E993B915A5}" name="Taxateur"/>
    <tableColumn id="4" xr3:uid="{7D8C23E6-A111-4604-BE71-E81D202A5BD4}" name="Taxatiedatum"/>
    <tableColumn id="5" xr3:uid="{551951F5-8AC9-4CCF-BECF-1E59AB37760E}" name="Rapportnummer"/>
    <tableColumn id="6" xr3:uid="{9D13D5A9-22FF-40A4-9A6D-107489957FAC}" name="Vervalt op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009779-FE40-4487-BE84-03FE442C5B8A}" name="Table4" displayName="Table4" ref="A8:U22" totalsRowCount="1" headerRowDxfId="45" dataDxfId="44" totalsRowDxfId="42" tableBorderDxfId="43">
  <autoFilter ref="A8:U21" xr:uid="{07009779-FE40-4487-BE84-03FE442C5B8A}"/>
  <tableColumns count="21">
    <tableColumn id="1" xr3:uid="{E829BB11-9544-46D3-83B7-C7220D3E6274}" name="Klant" totalsRowLabel="Totaal" dataDxfId="41" totalsRowDxfId="40">
      <calculatedColumnFormula>IFERROR(_xlfn.XLOOKUP(D9,Specificatie!C:C,Specificatie!A:A),"-")</calculatedColumnFormula>
    </tableColumn>
    <tableColumn id="2" xr3:uid="{667AAFC8-65C7-42B2-919F-E6B1E47706EF}" name="Omschrijving mutatie" dataDxfId="39" totalsRowDxfId="38"/>
    <tableColumn id="35" xr3:uid="{4AEE5333-4894-4B06-8579-37FFCF2525CB}" name="Certificaat" dataDxfId="37" totalsRowDxfId="36">
      <calculatedColumnFormula>IFERROR(_xlfn.XLOOKUP(Table4[[#This Row],[Subnummer]],Table3[Sub],Table3[Certificaat]),"-")</calculatedColumnFormula>
    </tableColumn>
    <tableColumn id="3" xr3:uid="{CF592FF5-35F6-4356-9CD5-06E54941D0B1}" name="Subnummer" dataDxfId="35" totalsRowDxfId="34"/>
    <tableColumn id="4" xr3:uid="{64034314-8866-41BA-99E8-4FF01689406B}" name="Oud" totalsRowFunction="sum" dataDxfId="33" totalsRowDxfId="32">
      <calculatedColumnFormula>IFERROR(_xlfn.XLOOKUP(Table4[[#This Row],[Subnummer]],Table3[Sub],Table3[Verz. Waarde Oud:]),0)</calculatedColumnFormula>
    </tableColumn>
    <tableColumn id="5" xr3:uid="{620AEE7D-66A2-4F1D-A607-E56478BDE8EB}" name="Investering Nieuw" totalsRowFunction="sum" dataDxfId="31" totalsRowDxfId="30"/>
    <tableColumn id="6" xr3:uid="{DE0DE46B-0DDE-437C-8E25-36B068E01C2B}" name="Investering bestaand" totalsRowFunction="sum" dataDxfId="29" totalsRowDxfId="28"/>
    <tableColumn id="7" xr3:uid="{9B36F1F2-A439-4500-896A-6E8BF6F81E51}" name="Verlaging" totalsRowFunction="sum" dataDxfId="27" totalsRowDxfId="26"/>
    <tableColumn id="8" xr3:uid="{FF81AF7B-0259-4E66-B5D9-ECFA30432652}" name="Afvoer" totalsRowFunction="sum" dataDxfId="25" totalsRowDxfId="24"/>
    <tableColumn id="9" xr3:uid="{B6BD1092-5404-4869-8C59-FC9AA463ED6A}" name="Inclusief mutatie" totalsRowFunction="sum" dataDxfId="23" totalsRowDxfId="22">
      <calculatedColumnFormula>E9+F9+G9-H9-I9</calculatedColumnFormula>
    </tableColumn>
    <tableColumn id="10" xr3:uid="{BD8E3966-13F7-42D4-993C-92FE1C430FF3}" name="Som mutaties" totalsRowFunction="sum" dataDxfId="21" totalsRowDxfId="20">
      <calculatedColumnFormula>J9-E9</calculatedColumnFormula>
    </tableColumn>
    <tableColumn id="11" xr3:uid="{20DEF141-CD88-4342-A537-AFDFB517EFA9}" name="Mutatiedatum" dataDxfId="19" totalsRowDxfId="18"/>
    <tableColumn id="12" xr3:uid="{AFB3C57F-C39F-4FD8-8562-9140F30501DB}" name="Vervaldatum" dataDxfId="17" totalsRowDxfId="16"/>
    <tableColumn id="13" xr3:uid="{A6204F43-A2A4-49F5-A101-26FA0846855E}" name="Dagen" dataDxfId="15" totalsRowDxfId="14">
      <calculatedColumnFormula>M9-L9</calculatedColumnFormula>
    </tableColumn>
    <tableColumn id="14" xr3:uid="{AC67BCCF-5297-4253-8212-7F5222B981DA}" name="Dagen per jaar" dataDxfId="13" totalsRowDxfId="12"/>
    <tableColumn id="15" xr3:uid="{A023D2D9-17D1-4E91-B3E7-8153A91C72EF}" name="Sprake van CAD?" dataDxfId="11" totalsRowDxfId="10"/>
    <tableColumn id="16" xr3:uid="{34FCD074-1758-40AA-B151-374A81777B00}" name="Investering nieuw2" totalsRowFunction="sum" dataDxfId="9" totalsRowDxfId="8">
      <calculatedColumnFormula>F9*N9/O9</calculatedColumnFormula>
    </tableColumn>
    <tableColumn id="17" xr3:uid="{361D6950-84B1-4A04-B31D-B79182F444F0}" name="Investering bestaand2" totalsRowFunction="sum" dataDxfId="7" totalsRowDxfId="6">
      <calculatedColumnFormula array="1">_xlfn.IFS($P9="Nee",G9*$N9/$O9,$P9="Ja",G9*0.5)</calculatedColumnFormula>
    </tableColumn>
    <tableColumn id="18" xr3:uid="{B89A019B-B2E3-40D5-A639-F666B76F86C3}" name="Verlaging2" totalsRowFunction="sum" dataDxfId="5" totalsRowDxfId="4">
      <calculatedColumnFormula array="1">_xlfn.IFS($P9="Nee",-(H9*$N9/$O9),$P9="Ja",-(H9*0.5))</calculatedColumnFormula>
    </tableColumn>
    <tableColumn id="19" xr3:uid="{E4087D8E-E10F-4D15-919A-7A90DFB337AD}" name="Afvoer2" totalsRowFunction="sum" dataDxfId="3" totalsRowDxfId="2">
      <calculatedColumnFormula>-I9*N9/O9</calculatedColumnFormula>
    </tableColumn>
    <tableColumn id="20" xr3:uid="{3A456E59-DB29-45F8-81D9-9E1D98E2BAFE}" name="Totaal" totalsRowFunction="sum" dataDxfId="1" totalsRowDxfId="0">
      <calculatedColumnFormula>SUM(Q9:T9)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B097-44BC-46C9-9D12-97A11A00B2C3}">
  <sheetPr codeName="Sheet2"/>
  <dimension ref="A1:T30"/>
  <sheetViews>
    <sheetView showGridLines="0" tabSelected="1" topLeftCell="C1" zoomScale="85" zoomScaleNormal="85" workbookViewId="0">
      <selection activeCell="J11" sqref="J11"/>
    </sheetView>
  </sheetViews>
  <sheetFormatPr defaultColWidth="16" defaultRowHeight="12.6" x14ac:dyDescent="0.3"/>
  <cols>
    <col min="1" max="1" width="28.88671875" style="6" hidden="1" customWidth="1"/>
    <col min="2" max="2" width="13.33203125" style="6" hidden="1" customWidth="1"/>
    <col min="3" max="3" width="7.5546875" style="11" bestFit="1" customWidth="1"/>
    <col min="4" max="4" width="21.44140625" style="11" bestFit="1" customWidth="1"/>
    <col min="5" max="5" width="27.5546875" style="11" bestFit="1" customWidth="1"/>
    <col min="6" max="6" width="18.6640625" style="11" customWidth="1"/>
    <col min="7" max="7" width="13.88671875" style="11" customWidth="1"/>
    <col min="8" max="8" width="18.6640625" style="11" customWidth="1"/>
    <col min="9" max="9" width="13.33203125" style="11" bestFit="1" customWidth="1"/>
    <col min="10" max="10" width="29.33203125" style="6" customWidth="1"/>
    <col min="11" max="11" width="18.6640625" style="6" hidden="1" customWidth="1"/>
    <col min="12" max="12" width="18.6640625" style="6" customWidth="1"/>
    <col min="13" max="13" width="8.44140625" style="6" hidden="1" customWidth="1"/>
    <col min="14" max="14" width="14.33203125" style="6" hidden="1" customWidth="1"/>
    <col min="15" max="15" width="19" style="6" hidden="1" customWidth="1"/>
    <col min="16" max="16" width="21.33203125" style="6" bestFit="1" customWidth="1"/>
    <col min="17" max="17" width="7.6640625" style="6" customWidth="1"/>
    <col min="18" max="18" width="18.44140625" style="6" hidden="1" customWidth="1"/>
    <col min="19" max="19" width="20.88671875" style="6" hidden="1" customWidth="1"/>
    <col min="20" max="20" width="8.109375" style="12" hidden="1" customWidth="1"/>
    <col min="21" max="16384" width="16" style="6"/>
  </cols>
  <sheetData>
    <row r="1" spans="1:20" s="5" customFormat="1" ht="15.75" customHeight="1" x14ac:dyDescent="0.3">
      <c r="A1" s="15"/>
      <c r="B1" s="16"/>
      <c r="C1" s="16"/>
      <c r="D1" s="16" t="s">
        <v>6</v>
      </c>
      <c r="E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64" t="s">
        <v>7</v>
      </c>
      <c r="S1" s="19" t="s">
        <v>8</v>
      </c>
      <c r="T1" s="61"/>
    </row>
    <row r="2" spans="1:20" s="5" customFormat="1" ht="16.2" x14ac:dyDescent="0.3">
      <c r="A2" s="13"/>
      <c r="B2" s="14"/>
      <c r="C2" s="3"/>
      <c r="D2" s="14" t="s">
        <v>0</v>
      </c>
      <c r="E2" s="3"/>
      <c r="F2" s="3"/>
      <c r="G2" s="3"/>
      <c r="H2" s="3"/>
      <c r="I2" s="3"/>
      <c r="J2" s="3" t="e">
        <f>#REF!</f>
        <v>#REF!</v>
      </c>
      <c r="K2" s="3"/>
      <c r="L2" s="3"/>
      <c r="M2" s="3"/>
      <c r="N2" s="3"/>
      <c r="O2" s="3"/>
      <c r="P2" s="3"/>
      <c r="Q2" s="4"/>
      <c r="R2" s="65"/>
      <c r="S2" s="23"/>
      <c r="T2" s="62"/>
    </row>
    <row r="3" spans="1:20" s="5" customFormat="1" ht="16.2" x14ac:dyDescent="0.3">
      <c r="A3" s="13"/>
      <c r="B3" s="14"/>
      <c r="C3" s="3"/>
      <c r="D3" s="14" t="s">
        <v>1</v>
      </c>
      <c r="E3" s="3"/>
      <c r="F3" s="3"/>
      <c r="G3" s="3"/>
      <c r="H3" s="3"/>
      <c r="I3" s="3"/>
      <c r="J3" s="3" t="e">
        <f>#REF!</f>
        <v>#REF!</v>
      </c>
      <c r="K3" s="3"/>
      <c r="L3" s="3"/>
      <c r="M3" s="3"/>
      <c r="N3" s="3"/>
      <c r="O3" s="3"/>
      <c r="P3" s="3"/>
      <c r="Q3" s="4"/>
      <c r="R3" s="65"/>
      <c r="S3" s="63"/>
      <c r="T3" s="62"/>
    </row>
    <row r="4" spans="1:20" s="5" customFormat="1" ht="16.2" x14ac:dyDescent="0.3">
      <c r="A4" s="13"/>
      <c r="B4" s="14"/>
      <c r="C4" s="3"/>
      <c r="D4" s="14" t="s">
        <v>2</v>
      </c>
      <c r="E4" s="157"/>
      <c r="F4" s="3"/>
      <c r="G4" s="3"/>
      <c r="H4" s="3"/>
      <c r="I4" s="3"/>
      <c r="J4" s="3" t="e">
        <f>#REF!</f>
        <v>#REF!</v>
      </c>
      <c r="K4" s="3"/>
      <c r="L4" s="3"/>
      <c r="M4" s="3"/>
      <c r="N4" s="3"/>
      <c r="O4" s="3"/>
      <c r="P4" s="3"/>
      <c r="Q4" s="4"/>
      <c r="R4" s="65"/>
      <c r="S4" s="63"/>
      <c r="T4" s="62"/>
    </row>
    <row r="5" spans="1:20" s="5" customFormat="1" ht="16.8" thickBot="1" x14ac:dyDescent="0.35">
      <c r="A5" s="13"/>
      <c r="B5" s="136"/>
      <c r="C5" s="137"/>
      <c r="D5" s="136" t="s">
        <v>4</v>
      </c>
      <c r="E5" s="137"/>
      <c r="F5" s="137"/>
      <c r="G5" s="137"/>
      <c r="H5" s="137"/>
      <c r="I5" s="3"/>
      <c r="J5" s="137" t="e">
        <f>#REF!</f>
        <v>#REF!</v>
      </c>
      <c r="K5" s="137" t="s">
        <v>3</v>
      </c>
      <c r="L5" s="137" t="e">
        <f>#REF!</f>
        <v>#REF!</v>
      </c>
      <c r="M5" s="3"/>
      <c r="N5" s="3"/>
      <c r="O5" s="3"/>
      <c r="P5" s="3"/>
      <c r="Q5" s="4"/>
      <c r="R5" s="65"/>
      <c r="S5" s="63"/>
      <c r="T5" s="62"/>
    </row>
    <row r="6" spans="1:20" s="7" customFormat="1" ht="25.2" x14ac:dyDescent="0.3">
      <c r="A6" s="138" t="s">
        <v>9</v>
      </c>
      <c r="B6" s="139" t="s">
        <v>10</v>
      </c>
      <c r="C6" s="90" t="s">
        <v>11</v>
      </c>
      <c r="D6" s="90" t="s">
        <v>12</v>
      </c>
      <c r="E6" s="90" t="s">
        <v>13</v>
      </c>
      <c r="F6" s="140" t="s">
        <v>14</v>
      </c>
      <c r="G6" s="140" t="s">
        <v>15</v>
      </c>
      <c r="H6" s="140" t="s">
        <v>16</v>
      </c>
      <c r="I6" s="140" t="s">
        <v>17</v>
      </c>
      <c r="J6" s="140" t="s">
        <v>18</v>
      </c>
      <c r="K6" s="90" t="s">
        <v>19</v>
      </c>
      <c r="L6" s="90" t="s">
        <v>20</v>
      </c>
      <c r="M6" s="141" t="s">
        <v>21</v>
      </c>
      <c r="N6" s="142" t="s">
        <v>22</v>
      </c>
      <c r="O6" s="143" t="s">
        <v>23</v>
      </c>
      <c r="P6" s="144" t="s">
        <v>5</v>
      </c>
      <c r="Q6" s="143" t="s">
        <v>88</v>
      </c>
      <c r="R6" s="145" t="s">
        <v>5</v>
      </c>
      <c r="S6" s="145" t="s">
        <v>25</v>
      </c>
      <c r="T6" s="146" t="s">
        <v>88</v>
      </c>
    </row>
    <row r="7" spans="1:20" s="7" customFormat="1" x14ac:dyDescent="0.3">
      <c r="A7" s="22"/>
      <c r="B7" s="24"/>
      <c r="C7" s="8"/>
      <c r="D7" s="8"/>
      <c r="E7" s="8"/>
      <c r="F7" s="9"/>
      <c r="G7" s="9"/>
      <c r="H7" s="9"/>
      <c r="I7" s="9" t="s">
        <v>27</v>
      </c>
      <c r="J7" s="9"/>
      <c r="K7" s="8"/>
      <c r="L7" s="8"/>
      <c r="M7" s="88"/>
      <c r="N7" s="92"/>
      <c r="O7" s="93"/>
      <c r="P7" s="94"/>
      <c r="Q7" s="93" t="s">
        <v>86</v>
      </c>
      <c r="R7" s="20" t="s">
        <v>28</v>
      </c>
      <c r="S7" s="20"/>
      <c r="T7" s="10" t="s">
        <v>87</v>
      </c>
    </row>
    <row r="8" spans="1:20" s="7" customFormat="1" x14ac:dyDescent="0.3">
      <c r="A8" s="22"/>
      <c r="B8" s="24"/>
      <c r="C8" s="8"/>
      <c r="D8" s="8"/>
      <c r="E8" s="8"/>
      <c r="F8" s="9"/>
      <c r="G8" s="9"/>
      <c r="H8" s="9"/>
      <c r="I8" s="9"/>
      <c r="J8" s="9"/>
      <c r="K8" s="8"/>
      <c r="L8" s="8"/>
      <c r="M8" s="88"/>
      <c r="N8" s="92"/>
      <c r="O8" s="93"/>
      <c r="P8" s="94"/>
      <c r="Q8" s="93"/>
      <c r="R8" s="20"/>
      <c r="S8" s="20"/>
      <c r="T8" s="10"/>
    </row>
    <row r="9" spans="1:20" x14ac:dyDescent="0.3">
      <c r="A9" s="66"/>
      <c r="B9" s="67"/>
      <c r="C9" s="68"/>
      <c r="D9" s="68"/>
      <c r="E9" s="68"/>
      <c r="F9" s="69"/>
      <c r="G9" s="69"/>
      <c r="H9" s="69"/>
      <c r="I9" s="69"/>
      <c r="J9" s="69"/>
      <c r="K9" s="68"/>
      <c r="L9" s="68"/>
      <c r="M9" s="89"/>
      <c r="N9" s="95"/>
      <c r="O9" s="96"/>
      <c r="P9" s="97"/>
      <c r="Q9" s="96"/>
      <c r="R9" s="70"/>
      <c r="S9" s="70"/>
      <c r="T9" s="71"/>
    </row>
    <row r="10" spans="1:20" ht="13.5" customHeight="1" x14ac:dyDescent="0.3">
      <c r="A10" s="147" t="s">
        <v>9</v>
      </c>
      <c r="B10" s="72" t="s">
        <v>10</v>
      </c>
      <c r="C10" s="73" t="s">
        <v>11</v>
      </c>
      <c r="D10" s="73" t="s">
        <v>12</v>
      </c>
      <c r="E10" s="73" t="s">
        <v>13</v>
      </c>
      <c r="F10" s="74" t="s">
        <v>14</v>
      </c>
      <c r="G10" s="74" t="s">
        <v>15</v>
      </c>
      <c r="H10" s="74" t="s">
        <v>16</v>
      </c>
      <c r="I10" s="74" t="s">
        <v>29</v>
      </c>
      <c r="J10" s="74" t="s">
        <v>18</v>
      </c>
      <c r="K10" s="73" t="s">
        <v>19</v>
      </c>
      <c r="L10" s="73" t="s">
        <v>20</v>
      </c>
      <c r="M10" s="7" t="s">
        <v>21</v>
      </c>
      <c r="N10" s="75" t="s">
        <v>22</v>
      </c>
      <c r="O10" s="76" t="s">
        <v>23</v>
      </c>
      <c r="P10" s="77" t="s">
        <v>30</v>
      </c>
      <c r="Q10" s="76" t="s">
        <v>24</v>
      </c>
      <c r="R10" s="78" t="s">
        <v>7</v>
      </c>
      <c r="S10" s="79" t="s">
        <v>25</v>
      </c>
      <c r="T10" s="76" t="s">
        <v>26</v>
      </c>
    </row>
    <row r="11" spans="1:20" ht="13.5" customHeight="1" x14ac:dyDescent="0.3">
      <c r="A11" s="158" t="s">
        <v>89</v>
      </c>
      <c r="B11" s="98">
        <v>0</v>
      </c>
      <c r="C11" s="99">
        <v>1</v>
      </c>
      <c r="D11" s="98" t="s">
        <v>31</v>
      </c>
      <c r="E11" s="159" t="s">
        <v>97</v>
      </c>
      <c r="F11" s="159"/>
      <c r="G11" s="100"/>
      <c r="H11" s="100" t="s">
        <v>96</v>
      </c>
      <c r="I11" s="100" t="s">
        <v>68</v>
      </c>
      <c r="J11" s="100" t="s">
        <v>91</v>
      </c>
      <c r="K11" s="98"/>
      <c r="L11" s="98" t="s">
        <v>92</v>
      </c>
      <c r="M11" s="98"/>
      <c r="N11" s="101">
        <v>0</v>
      </c>
      <c r="O11" s="102">
        <f>IF(N11=0,P11,(P11+N11)/2)</f>
        <v>70946000</v>
      </c>
      <c r="P11" s="102">
        <f t="shared" ref="P11:P17" si="0">IF(Q11=T11,R11,ROUNDUP(R11/T11*Q11,-3))</f>
        <v>70946000</v>
      </c>
      <c r="Q11" s="98">
        <v>128.4</v>
      </c>
      <c r="R11" s="102">
        <f>S11+SUMIF(Table4[Subnummer],Table3[[#This Row],[Sub]],Table4[Som mutaties])</f>
        <v>61000000</v>
      </c>
      <c r="S11" s="103">
        <v>32317000</v>
      </c>
      <c r="T11" s="98">
        <v>110.4</v>
      </c>
    </row>
    <row r="12" spans="1:20" ht="13.5" customHeight="1" x14ac:dyDescent="0.3">
      <c r="A12" s="158" t="s">
        <v>89</v>
      </c>
      <c r="B12" s="98">
        <v>0</v>
      </c>
      <c r="C12" s="99">
        <v>2</v>
      </c>
      <c r="D12" s="98" t="s">
        <v>71</v>
      </c>
      <c r="E12" s="98"/>
      <c r="F12" s="100"/>
      <c r="G12" s="100"/>
      <c r="H12" s="100" t="s">
        <v>32</v>
      </c>
      <c r="I12" s="100" t="s">
        <v>68</v>
      </c>
      <c r="J12" s="100" t="s">
        <v>91</v>
      </c>
      <c r="K12" s="98"/>
      <c r="L12" s="98" t="s">
        <v>92</v>
      </c>
      <c r="M12" s="98"/>
      <c r="N12" s="101">
        <v>0</v>
      </c>
      <c r="O12" s="102">
        <f t="shared" ref="O12" si="1">IF(N12=0,P12,(P12+N12)/2)</f>
        <v>4612000</v>
      </c>
      <c r="P12" s="102">
        <f t="shared" ref="P12" si="2">IF(Q12=T12,R12,ROUNDUP(R12/T12*Q12,-3))</f>
        <v>4612000</v>
      </c>
      <c r="Q12" s="98">
        <v>124.4</v>
      </c>
      <c r="R12" s="102">
        <f>S12+SUMIF(Table4[Subnummer],Table3[[#This Row],[Sub]],Table4[Som mutaties])</f>
        <v>3900000</v>
      </c>
      <c r="S12" s="103">
        <v>3900000</v>
      </c>
      <c r="T12" s="98">
        <v>105.2</v>
      </c>
    </row>
    <row r="13" spans="1:20" ht="13.5" customHeight="1" x14ac:dyDescent="0.3">
      <c r="A13" s="158" t="s">
        <v>89</v>
      </c>
      <c r="B13" s="98">
        <v>0</v>
      </c>
      <c r="C13" s="99">
        <v>3</v>
      </c>
      <c r="D13" s="98" t="s">
        <v>82</v>
      </c>
      <c r="E13" s="98"/>
      <c r="F13" s="100"/>
      <c r="G13" s="100"/>
      <c r="H13" s="100" t="s">
        <v>32</v>
      </c>
      <c r="I13" s="100" t="s">
        <v>32</v>
      </c>
      <c r="J13" s="100" t="s">
        <v>91</v>
      </c>
      <c r="K13" s="98"/>
      <c r="L13" s="98" t="s">
        <v>92</v>
      </c>
      <c r="M13" s="98"/>
      <c r="N13" s="101">
        <v>0</v>
      </c>
      <c r="O13" s="102">
        <f t="shared" ref="O13" si="3">IF(N13=0,P13,(P13+N13)/2)</f>
        <v>3200000</v>
      </c>
      <c r="P13" s="102">
        <f t="shared" ref="P13" si="4">IF(Q13=T13,R13,ROUNDUP(R13/T13*Q13,-3))</f>
        <v>3200000</v>
      </c>
      <c r="Q13" s="98">
        <v>100</v>
      </c>
      <c r="R13" s="102">
        <f>S13+SUMIF(Table4[Subnummer],Table3[[#This Row],[Sub]],Table4[Som mutaties])</f>
        <v>3200000</v>
      </c>
      <c r="S13" s="103">
        <v>0</v>
      </c>
      <c r="T13" s="98">
        <v>100</v>
      </c>
    </row>
    <row r="14" spans="1:20" ht="13.5" customHeight="1" x14ac:dyDescent="0.3">
      <c r="A14" s="158" t="s">
        <v>89</v>
      </c>
      <c r="B14" s="98">
        <v>0</v>
      </c>
      <c r="C14" s="99">
        <v>4</v>
      </c>
      <c r="D14" s="98" t="s">
        <v>31</v>
      </c>
      <c r="E14" s="159" t="s">
        <v>97</v>
      </c>
      <c r="F14" s="100"/>
      <c r="G14" s="100"/>
      <c r="H14" s="100" t="s">
        <v>96</v>
      </c>
      <c r="I14" s="100" t="s">
        <v>68</v>
      </c>
      <c r="J14" s="100" t="s">
        <v>90</v>
      </c>
      <c r="K14" s="98"/>
      <c r="L14" s="98" t="s">
        <v>92</v>
      </c>
      <c r="M14" s="98"/>
      <c r="N14" s="101">
        <v>0</v>
      </c>
      <c r="O14" s="102">
        <f t="shared" ref="O14:O17" si="5">IF(N14=0,P14,(P14+N14)/2)</f>
        <v>8379000</v>
      </c>
      <c r="P14" s="102">
        <f t="shared" si="0"/>
        <v>8379000</v>
      </c>
      <c r="Q14" s="98">
        <v>128.4</v>
      </c>
      <c r="R14" s="102">
        <f>S14+SUMIF(Table4[Subnummer],Table3[[#This Row],[Sub]],Table4[Som mutaties])</f>
        <v>7810550</v>
      </c>
      <c r="S14" s="103">
        <v>13619000</v>
      </c>
      <c r="T14" s="98">
        <v>119.7</v>
      </c>
    </row>
    <row r="15" spans="1:20" ht="13.5" customHeight="1" x14ac:dyDescent="0.3">
      <c r="A15" s="158" t="s">
        <v>89</v>
      </c>
      <c r="B15" s="98">
        <v>0</v>
      </c>
      <c r="C15" s="99">
        <v>5</v>
      </c>
      <c r="D15" s="98" t="s">
        <v>71</v>
      </c>
      <c r="E15" s="98"/>
      <c r="F15" s="100"/>
      <c r="G15" s="100"/>
      <c r="H15" s="100" t="s">
        <v>32</v>
      </c>
      <c r="I15" s="100" t="s">
        <v>68</v>
      </c>
      <c r="J15" s="100" t="s">
        <v>90</v>
      </c>
      <c r="K15" s="98"/>
      <c r="L15" s="98" t="s">
        <v>92</v>
      </c>
      <c r="M15" s="98"/>
      <c r="N15" s="101">
        <v>0</v>
      </c>
      <c r="O15" s="102">
        <f t="shared" si="5"/>
        <v>329000</v>
      </c>
      <c r="P15" s="102">
        <f t="shared" si="0"/>
        <v>329000</v>
      </c>
      <c r="Q15" s="98">
        <v>124.4</v>
      </c>
      <c r="R15" s="102">
        <f>S15+SUMIF(Table4[Subnummer],Table3[[#This Row],[Sub]],Table4[Som mutaties])</f>
        <v>278000</v>
      </c>
      <c r="S15" s="103">
        <v>278000</v>
      </c>
      <c r="T15" s="98">
        <v>105.2</v>
      </c>
    </row>
    <row r="16" spans="1:20" ht="13.5" customHeight="1" x14ac:dyDescent="0.3">
      <c r="A16" s="158" t="s">
        <v>89</v>
      </c>
      <c r="B16" s="98">
        <v>0</v>
      </c>
      <c r="C16" s="99">
        <v>6</v>
      </c>
      <c r="D16" s="98" t="s">
        <v>82</v>
      </c>
      <c r="E16" s="98"/>
      <c r="F16" s="100"/>
      <c r="G16" s="100"/>
      <c r="H16" s="100" t="s">
        <v>32</v>
      </c>
      <c r="I16" s="100" t="s">
        <v>32</v>
      </c>
      <c r="J16" s="100" t="s">
        <v>90</v>
      </c>
      <c r="K16" s="98"/>
      <c r="L16" s="98" t="s">
        <v>92</v>
      </c>
      <c r="M16" s="98"/>
      <c r="N16" s="101">
        <v>0</v>
      </c>
      <c r="O16" s="102">
        <f t="shared" si="5"/>
        <v>450000</v>
      </c>
      <c r="P16" s="102">
        <f t="shared" si="0"/>
        <v>450000</v>
      </c>
      <c r="Q16" s="98">
        <v>100</v>
      </c>
      <c r="R16" s="102">
        <f>S16+SUMIF(Table4[Subnummer],Table3[[#This Row],[Sub]],Table4[Som mutaties])</f>
        <v>450000</v>
      </c>
      <c r="S16" s="103">
        <v>0</v>
      </c>
      <c r="T16" s="98">
        <v>100</v>
      </c>
    </row>
    <row r="17" spans="1:20" ht="37.799999999999997" x14ac:dyDescent="0.3">
      <c r="A17" s="158" t="s">
        <v>89</v>
      </c>
      <c r="B17" s="98">
        <v>0</v>
      </c>
      <c r="C17" s="99">
        <v>7</v>
      </c>
      <c r="D17" s="98" t="s">
        <v>84</v>
      </c>
      <c r="E17" s="98"/>
      <c r="F17" s="100" t="s">
        <v>98</v>
      </c>
      <c r="G17" s="100"/>
      <c r="H17" s="100" t="s">
        <v>32</v>
      </c>
      <c r="I17" s="100" t="s">
        <v>32</v>
      </c>
      <c r="J17" s="100"/>
      <c r="K17" s="98"/>
      <c r="L17" s="98"/>
      <c r="M17" s="98"/>
      <c r="N17" s="101">
        <v>0</v>
      </c>
      <c r="O17" s="102">
        <f t="shared" si="5"/>
        <v>100000</v>
      </c>
      <c r="P17" s="102">
        <f t="shared" si="0"/>
        <v>100000</v>
      </c>
      <c r="Q17" s="98">
        <v>100</v>
      </c>
      <c r="R17" s="102">
        <f>S17+SUMIF(Table4[Subnummer],Table3[[#This Row],[Sub]],Table4[Som mutaties])</f>
        <v>100000</v>
      </c>
      <c r="S17" s="103">
        <v>100000</v>
      </c>
      <c r="T17" s="98">
        <v>100</v>
      </c>
    </row>
    <row r="18" spans="1:20" ht="13.5" customHeight="1" x14ac:dyDescent="0.3">
      <c r="A18" s="158" t="s">
        <v>89</v>
      </c>
      <c r="B18" s="98">
        <v>0</v>
      </c>
      <c r="C18" s="99">
        <v>8</v>
      </c>
      <c r="D18" s="98" t="s">
        <v>73</v>
      </c>
      <c r="E18" s="98"/>
      <c r="F18" s="100"/>
      <c r="G18" s="100" t="s">
        <v>99</v>
      </c>
      <c r="H18" s="100"/>
      <c r="I18" s="100"/>
      <c r="J18" s="100"/>
      <c r="K18" s="98"/>
      <c r="L18" s="98"/>
      <c r="M18" s="98"/>
      <c r="N18" s="101"/>
      <c r="O18" s="102">
        <f t="shared" ref="O18" si="6">IF(N18=0,P18,(P18+N18)/2)</f>
        <v>900000</v>
      </c>
      <c r="P18" s="102">
        <f t="shared" ref="P18" si="7">IF(Q18=T18,R18,ROUNDUP(R18/T18*Q18,-3))</f>
        <v>900000</v>
      </c>
      <c r="Q18" s="98">
        <v>100</v>
      </c>
      <c r="R18" s="102">
        <f>S18+SUMIF(Table4[Subnummer],Table3[[#This Row],[Sub]],Table4[Som mutaties])</f>
        <v>900000</v>
      </c>
      <c r="S18" s="103">
        <v>900000</v>
      </c>
      <c r="T18" s="98">
        <v>100</v>
      </c>
    </row>
    <row r="19" spans="1:20" ht="13.5" customHeight="1" thickBot="1" x14ac:dyDescent="0.35">
      <c r="A19" s="148" t="s">
        <v>33</v>
      </c>
      <c r="B19" s="149"/>
      <c r="C19" s="150"/>
      <c r="D19" s="151"/>
      <c r="E19" s="151"/>
      <c r="F19" s="152"/>
      <c r="G19" s="152"/>
      <c r="H19" s="152"/>
      <c r="I19" s="152"/>
      <c r="J19" s="152"/>
      <c r="K19" s="151"/>
      <c r="L19" s="151"/>
      <c r="M19" s="153"/>
      <c r="N19" s="154">
        <f>SUBTOTAL(109,Table3[Vorkbedrag])</f>
        <v>0</v>
      </c>
      <c r="O19" s="154">
        <f>SUBTOTAL(109,Table3[Premiegrondslag])</f>
        <v>88916000</v>
      </c>
      <c r="P19" s="154">
        <f>SUBTOTAL(109,Table3[Verzekerde Waarde])</f>
        <v>88916000</v>
      </c>
      <c r="Q19" s="155"/>
      <c r="R19" s="156">
        <f>SUBTOTAL(109,Table3[Mutaties])</f>
        <v>77638550</v>
      </c>
      <c r="S19" s="154">
        <f>SUBTOTAL(109,Table3[Verz. Waarde Oud:])</f>
        <v>51114000</v>
      </c>
      <c r="T19" s="155"/>
    </row>
    <row r="20" spans="1:20" x14ac:dyDescent="0.3">
      <c r="P20" s="160"/>
    </row>
    <row r="30" spans="1:20" x14ac:dyDescent="0.3">
      <c r="O30" s="6">
        <v>329</v>
      </c>
    </row>
  </sheetData>
  <sheetProtection formatCells="0" formatRows="0" insertRows="0" deleteRows="0"/>
  <phoneticPr fontId="3" type="noConversion"/>
  <dataValidations count="3">
    <dataValidation type="list" allowBlank="1" showInputMessage="1" showErrorMessage="1" sqref="D11:D18" xr:uid="{01120292-CFD5-4024-9285-AB3464112197}">
      <formula1>Interest</formula1>
    </dataValidation>
    <dataValidation type="list" allowBlank="1" showInputMessage="1" showErrorMessage="1" sqref="H11:H18" xr:uid="{A46D4949-E34B-4AC6-B17A-C4158B4C1F1F}">
      <formula1>Bouwaard</formula1>
    </dataValidation>
    <dataValidation type="list" allowBlank="1" showInputMessage="1" showErrorMessage="1" sqref="I11:I18" xr:uid="{A2AA30C1-EDD4-4BB8-9B89-7DAD80FA1F1F}">
      <formula1>Taxatie</formula1>
    </dataValidation>
  </dataValidations>
  <pageMargins left="0.25" right="0.25" top="0.75" bottom="0.75" header="0.3" footer="0.3"/>
  <pageSetup orientation="landscape" horizontalDpi="1200" verticalDpi="1200" r:id="rId1"/>
  <headerFooter>
    <oddFooter>&amp;L&amp;F
Uniek nr e-ABS XXXXXXXXXXXXXXXXXXX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A77B-CA43-41E5-8C27-BBC72617EFE7}">
  <sheetPr codeName="Sheet3"/>
  <dimension ref="A1:F9"/>
  <sheetViews>
    <sheetView workbookViewId="0">
      <selection activeCell="D21" sqref="D21"/>
    </sheetView>
  </sheetViews>
  <sheetFormatPr defaultRowHeight="14.4" x14ac:dyDescent="0.3"/>
  <cols>
    <col min="1" max="1" width="8.5546875" customWidth="1"/>
    <col min="2" max="2" width="15.5546875" bestFit="1" customWidth="1"/>
    <col min="3" max="3" width="25.88671875" bestFit="1" customWidth="1"/>
    <col min="4" max="4" width="15.5546875" bestFit="1" customWidth="1"/>
    <col min="5" max="5" width="18" bestFit="1" customWidth="1"/>
    <col min="6" max="6" width="12.44140625" bestFit="1" customWidth="1"/>
  </cols>
  <sheetData>
    <row r="1" spans="1:6" x14ac:dyDescent="0.3">
      <c r="A1" t="s">
        <v>34</v>
      </c>
    </row>
    <row r="2" spans="1:6" x14ac:dyDescent="0.3">
      <c r="A2" t="s">
        <v>11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04">
        <v>1</v>
      </c>
      <c r="B3" t="str">
        <f>IFERROR(_xlfn.XLOOKUP(Table8[[#This Row],[Sub]],Table3[Sub],Table3[Verzekerde interest]),"-")</f>
        <v>Gebouwen</v>
      </c>
      <c r="C3" t="s">
        <v>93</v>
      </c>
      <c r="D3" s="105">
        <v>44606</v>
      </c>
      <c r="E3" t="s">
        <v>95</v>
      </c>
      <c r="F3" s="105"/>
    </row>
    <row r="4" spans="1:6" x14ac:dyDescent="0.3">
      <c r="A4" s="104">
        <v>2</v>
      </c>
      <c r="B4" t="s">
        <v>71</v>
      </c>
      <c r="C4" t="s">
        <v>93</v>
      </c>
      <c r="D4" s="105">
        <v>44606</v>
      </c>
      <c r="F4" s="105"/>
    </row>
    <row r="5" spans="1:6" x14ac:dyDescent="0.3">
      <c r="A5" s="104">
        <v>4</v>
      </c>
      <c r="B5" t="str">
        <f>IFERROR(_xlfn.XLOOKUP(Table8[[#This Row],[Sub]],Table3[Sub],Table3[Verzekerde interest]),"-")</f>
        <v>Gebouwen</v>
      </c>
      <c r="C5" t="s">
        <v>93</v>
      </c>
      <c r="D5" s="105">
        <v>44909</v>
      </c>
      <c r="E5" t="s">
        <v>94</v>
      </c>
      <c r="F5" s="105"/>
    </row>
    <row r="6" spans="1:6" x14ac:dyDescent="0.3">
      <c r="A6" s="104">
        <v>5</v>
      </c>
      <c r="B6" t="s">
        <v>71</v>
      </c>
      <c r="C6" t="s">
        <v>93</v>
      </c>
      <c r="D6" s="105">
        <v>44909</v>
      </c>
    </row>
    <row r="7" spans="1:6" hidden="1" x14ac:dyDescent="0.3">
      <c r="A7" s="104">
        <v>0</v>
      </c>
      <c r="B7" t="str">
        <f>IFERROR(_xlfn.XLOOKUP(Table8[[#This Row],[Sub]],Table3[Sub],Table3[Verzekerde interest]),"-")</f>
        <v>-</v>
      </c>
    </row>
    <row r="8" spans="1:6" hidden="1" x14ac:dyDescent="0.3">
      <c r="A8" s="104">
        <v>0</v>
      </c>
      <c r="B8" t="str">
        <f>IFERROR(_xlfn.XLOOKUP(Table8[[#This Row],[Sub]],Table3[Sub],Table3[Verzekerde interest]),"-")</f>
        <v>-</v>
      </c>
    </row>
    <row r="9" spans="1:6" hidden="1" x14ac:dyDescent="0.3">
      <c r="A9" s="104">
        <v>0</v>
      </c>
      <c r="B9" t="str">
        <f>IFERROR(_xlfn.XLOOKUP(Table8[[#This Row],[Sub]],Table3[Sub],Table3[Verzekerde interest]),"-")</f>
        <v>-</v>
      </c>
    </row>
  </sheetData>
  <dataValidations count="1">
    <dataValidation type="list" allowBlank="1" showInputMessage="1" showErrorMessage="1" sqref="B3 B5 B7:B9" xr:uid="{35E0CAF5-70B5-4885-AD2B-3E90160A17FD}">
      <formula1>Interest</formula1>
    </dataValidation>
  </dataValidations>
  <pageMargins left="0.7" right="0.7" top="0.75" bottom="0.75" header="0.3" footer="0.3"/>
  <ignoredErrors>
    <ignoredError sqref="B3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9570-CFC6-457E-96CC-23459DF77E6F}">
  <sheetPr codeName="Sheet4"/>
  <dimension ref="A1:U25"/>
  <sheetViews>
    <sheetView zoomScale="85" zoomScaleNormal="85" workbookViewId="0">
      <selection activeCell="V1" sqref="V1:AQ1048576"/>
    </sheetView>
  </sheetViews>
  <sheetFormatPr defaultColWidth="9.109375" defaultRowHeight="14.4" x14ac:dyDescent="0.3"/>
  <cols>
    <col min="1" max="1" width="34.44140625" style="29" customWidth="1"/>
    <col min="2" max="2" width="25" style="29" bestFit="1" customWidth="1"/>
    <col min="3" max="3" width="13.33203125" style="29" bestFit="1" customWidth="1"/>
    <col min="4" max="4" width="17.33203125" style="29" customWidth="1"/>
    <col min="5" max="5" width="16.44140625" style="29" bestFit="1" customWidth="1"/>
    <col min="6" max="6" width="14.88671875" style="29" bestFit="1" customWidth="1"/>
    <col min="7" max="7" width="15.44140625" style="29" bestFit="1" customWidth="1"/>
    <col min="8" max="8" width="15.109375" style="29" bestFit="1" customWidth="1"/>
    <col min="9" max="9" width="12.6640625" style="29" bestFit="1" customWidth="1"/>
    <col min="10" max="10" width="16.44140625" style="29" bestFit="1" customWidth="1"/>
    <col min="11" max="11" width="15.88671875" style="29" customWidth="1"/>
    <col min="12" max="12" width="14" style="29" bestFit="1" customWidth="1"/>
    <col min="13" max="13" width="12.44140625" style="29" bestFit="1" customWidth="1"/>
    <col min="14" max="14" width="12" style="29" customWidth="1"/>
    <col min="15" max="15" width="13.88671875" style="29" bestFit="1" customWidth="1"/>
    <col min="16" max="16" width="15.88671875" style="29" bestFit="1" customWidth="1"/>
    <col min="17" max="20" width="20.109375" style="29" customWidth="1"/>
    <col min="21" max="21" width="20.109375" customWidth="1"/>
    <col min="22" max="16384" width="9.109375" style="29"/>
  </cols>
  <sheetData>
    <row r="1" spans="1:21" x14ac:dyDescent="0.3">
      <c r="A1" s="25" t="s">
        <v>40</v>
      </c>
      <c r="B1" s="26"/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6"/>
    </row>
    <row r="2" spans="1:21" x14ac:dyDescent="0.3">
      <c r="A2" s="2" t="e">
        <f>#REF!</f>
        <v>#REF!</v>
      </c>
      <c r="B2" s="28" t="e">
        <f>#REF!</f>
        <v>#REF!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x14ac:dyDescent="0.3">
      <c r="A3" s="2" t="e">
        <f>#REF!</f>
        <v>#REF!</v>
      </c>
      <c r="B3" s="28" t="e">
        <f>#REF!</f>
        <v>#REF!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5" thickBot="1" x14ac:dyDescent="0.35">
      <c r="A4" s="2" t="e">
        <f>#REF!</f>
        <v>#REF!</v>
      </c>
      <c r="B4" s="28" t="e">
        <f>#REF!</f>
        <v>#REF!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5" thickBot="1" x14ac:dyDescent="0.35">
      <c r="A5" s="30" t="s">
        <v>41</v>
      </c>
      <c r="B5" s="31" t="s">
        <v>42</v>
      </c>
      <c r="C5" s="31" t="s">
        <v>10</v>
      </c>
      <c r="D5" s="31" t="s">
        <v>11</v>
      </c>
      <c r="E5" s="161" t="s">
        <v>43</v>
      </c>
      <c r="F5" s="161"/>
      <c r="G5" s="161"/>
      <c r="H5" s="161"/>
      <c r="I5" s="161"/>
      <c r="J5" s="161"/>
      <c r="K5" s="161"/>
      <c r="L5" s="84" t="s">
        <v>44</v>
      </c>
      <c r="M5" s="32" t="s">
        <v>45</v>
      </c>
      <c r="N5" s="32" t="s">
        <v>46</v>
      </c>
      <c r="O5" s="32" t="s">
        <v>47</v>
      </c>
      <c r="P5" s="85" t="s">
        <v>48</v>
      </c>
      <c r="Q5" s="162" t="s">
        <v>49</v>
      </c>
      <c r="R5" s="163"/>
      <c r="S5" s="163"/>
      <c r="T5" s="163"/>
      <c r="U5" s="164"/>
    </row>
    <row r="6" spans="1:21" x14ac:dyDescent="0.3">
      <c r="A6" s="33"/>
      <c r="B6" s="34"/>
      <c r="C6" s="34"/>
      <c r="D6" s="34"/>
      <c r="E6" s="35"/>
      <c r="F6" s="35"/>
      <c r="G6" s="35"/>
      <c r="H6" s="35"/>
      <c r="I6" s="35"/>
      <c r="J6" s="35"/>
      <c r="K6" s="80"/>
      <c r="L6" s="86"/>
      <c r="M6" s="36"/>
      <c r="N6" s="36"/>
      <c r="O6" s="36"/>
      <c r="P6" s="87"/>
      <c r="Q6" s="39"/>
      <c r="R6" s="37"/>
      <c r="S6" s="37"/>
      <c r="T6" s="37"/>
      <c r="U6" s="38"/>
    </row>
    <row r="7" spans="1:21" x14ac:dyDescent="0.3">
      <c r="A7" s="40"/>
      <c r="B7" s="41"/>
      <c r="C7" s="41"/>
      <c r="D7" s="42"/>
      <c r="E7" s="41"/>
      <c r="F7" s="42"/>
      <c r="G7" s="42"/>
      <c r="H7" s="42"/>
      <c r="I7" s="42"/>
      <c r="J7" s="41"/>
      <c r="K7" s="81"/>
      <c r="L7" s="40"/>
      <c r="M7" s="43"/>
      <c r="N7" s="43"/>
      <c r="O7" s="43"/>
      <c r="P7" s="45"/>
      <c r="Q7" s="82"/>
      <c r="R7" s="42"/>
      <c r="S7" s="42"/>
      <c r="T7" s="42"/>
      <c r="U7" s="44"/>
    </row>
    <row r="8" spans="1:21" ht="28.2" thickBot="1" x14ac:dyDescent="0.35">
      <c r="A8" s="46" t="s">
        <v>41</v>
      </c>
      <c r="B8" s="106" t="s">
        <v>51</v>
      </c>
      <c r="C8" s="106" t="s">
        <v>10</v>
      </c>
      <c r="D8" s="47" t="s">
        <v>52</v>
      </c>
      <c r="E8" s="48" t="s">
        <v>53</v>
      </c>
      <c r="F8" s="47" t="s">
        <v>54</v>
      </c>
      <c r="G8" s="47" t="s">
        <v>55</v>
      </c>
      <c r="H8" s="47" t="s">
        <v>56</v>
      </c>
      <c r="I8" s="47" t="s">
        <v>57</v>
      </c>
      <c r="J8" s="47" t="s">
        <v>58</v>
      </c>
      <c r="K8" s="49" t="s">
        <v>59</v>
      </c>
      <c r="L8" s="46" t="s">
        <v>44</v>
      </c>
      <c r="M8" s="50" t="s">
        <v>45</v>
      </c>
      <c r="N8" s="50" t="s">
        <v>46</v>
      </c>
      <c r="O8" s="50" t="s">
        <v>47</v>
      </c>
      <c r="P8" s="52" t="s">
        <v>48</v>
      </c>
      <c r="Q8" s="83" t="s">
        <v>60</v>
      </c>
      <c r="R8" s="47" t="s">
        <v>61</v>
      </c>
      <c r="S8" s="47" t="s">
        <v>62</v>
      </c>
      <c r="T8" s="47" t="s">
        <v>63</v>
      </c>
      <c r="U8" s="51" t="s">
        <v>50</v>
      </c>
    </row>
    <row r="9" spans="1:21" x14ac:dyDescent="0.3">
      <c r="A9" s="110" t="str">
        <f>IFERROR(_xlfn.XLOOKUP(D9,Table3[Sub],Table3[Verzekerde]),"-")</f>
        <v>Stichting Gerrit Rietveld Academie</v>
      </c>
      <c r="B9" s="111"/>
      <c r="C9" s="111">
        <f>IFERROR(_xlfn.XLOOKUP(Table4[[#This Row],[Subnummer]],Table3[Sub],Table3[Certificaat]),"-")</f>
        <v>0</v>
      </c>
      <c r="D9" s="120">
        <v>1</v>
      </c>
      <c r="E9" s="122">
        <f>IFERROR(_xlfn.XLOOKUP(Table4[[#This Row],[Subnummer]],Table3[Sub],Table3[Verz. Waarde Oud:]),0)</f>
        <v>32317000</v>
      </c>
      <c r="F9" s="112">
        <v>0</v>
      </c>
      <c r="G9" s="112">
        <v>28683000</v>
      </c>
      <c r="H9" s="112">
        <v>0</v>
      </c>
      <c r="I9" s="112">
        <v>0</v>
      </c>
      <c r="J9" s="112">
        <f>E9+F9+G9-H9-I9</f>
        <v>61000000</v>
      </c>
      <c r="K9" s="123">
        <f t="shared" ref="K9:K21" si="0">J9-E9</f>
        <v>28683000</v>
      </c>
      <c r="L9" s="113">
        <v>44927</v>
      </c>
      <c r="M9" s="113">
        <v>45292</v>
      </c>
      <c r="N9" s="111">
        <f t="shared" ref="N9:N21" si="1">M9-L9</f>
        <v>365</v>
      </c>
      <c r="O9" s="111">
        <v>365</v>
      </c>
      <c r="P9" s="114" t="s">
        <v>64</v>
      </c>
      <c r="Q9" s="130">
        <f t="shared" ref="Q9:Q21" si="2">F9*N9/O9</f>
        <v>0</v>
      </c>
      <c r="R9" s="112" cm="1">
        <f t="array" ref="R9">_xlfn.IFS($P9="Nee",G9*$N9/$O9,$P9="Ja",G9*0.5)</f>
        <v>28683000</v>
      </c>
      <c r="S9" s="112" cm="1">
        <f t="array" ref="S9">_xlfn.IFS($P9="Nee",-(H9*$N9/$O9),$P9="Ja",-(H9*0.5))</f>
        <v>0</v>
      </c>
      <c r="T9" s="112">
        <f t="shared" ref="T9:T21" si="3">-I9*N9/O9</f>
        <v>0</v>
      </c>
      <c r="U9" s="131">
        <f t="shared" ref="U9:U21" si="4">SUM(Q9:T9)</f>
        <v>28683000</v>
      </c>
    </row>
    <row r="10" spans="1:21" x14ac:dyDescent="0.3">
      <c r="A10" s="115" t="str">
        <f>IFERROR(_xlfn.XLOOKUP(D10,Table3[Sub],Table3[Verzekerde]),"-")</f>
        <v>Stichting Gerrit Rietveld Academie</v>
      </c>
      <c r="B10" s="107"/>
      <c r="C10" s="107">
        <f>IFERROR(_xlfn.XLOOKUP(Table4[[#This Row],[Subnummer]],Table3[Sub],Table3[Certificaat]),"-")</f>
        <v>0</v>
      </c>
      <c r="D10" s="121">
        <v>3</v>
      </c>
      <c r="E10" s="124">
        <f>IFERROR(_xlfn.XLOOKUP(Table4[[#This Row],[Subnummer]],Table3[Sub],Table3[Verz. Waarde Oud:]),0)</f>
        <v>0</v>
      </c>
      <c r="F10" s="108">
        <v>3200000</v>
      </c>
      <c r="G10" s="108">
        <v>0</v>
      </c>
      <c r="H10" s="108">
        <v>0</v>
      </c>
      <c r="I10" s="108">
        <v>0</v>
      </c>
      <c r="J10" s="108">
        <f t="shared" ref="J10:J21" si="5">E10+F10+G10-H10-I10</f>
        <v>3200000</v>
      </c>
      <c r="K10" s="125">
        <f t="shared" si="0"/>
        <v>3200000</v>
      </c>
      <c r="L10" s="109">
        <v>44927</v>
      </c>
      <c r="M10" s="109">
        <v>45292</v>
      </c>
      <c r="N10" s="107">
        <f t="shared" si="1"/>
        <v>365</v>
      </c>
      <c r="O10" s="107">
        <v>365</v>
      </c>
      <c r="P10" s="116" t="s">
        <v>64</v>
      </c>
      <c r="Q10" s="132">
        <f t="shared" si="2"/>
        <v>3200000</v>
      </c>
      <c r="R10" s="108" cm="1">
        <f t="array" ref="R10">_xlfn.IFS($P10="Nee",G10*$N10/$O10,$P10="Ja",G10*0.5)</f>
        <v>0</v>
      </c>
      <c r="S10" s="108" cm="1">
        <f t="array" ref="S10">_xlfn.IFS($P10="Nee",-(H10*$N10/$O10),$P10="Ja",-(H10*0.5))</f>
        <v>0</v>
      </c>
      <c r="T10" s="108">
        <f t="shared" si="3"/>
        <v>0</v>
      </c>
      <c r="U10" s="133">
        <f t="shared" si="4"/>
        <v>3200000</v>
      </c>
    </row>
    <row r="11" spans="1:21" x14ac:dyDescent="0.3">
      <c r="A11" s="115" t="str">
        <f>IFERROR(_xlfn.XLOOKUP(D11,Table3[Sub],Table3[Verzekerde]),"-")</f>
        <v>Stichting Gerrit Rietveld Academie</v>
      </c>
      <c r="B11" s="107"/>
      <c r="C11" s="107">
        <f>IFERROR(_xlfn.XLOOKUP(Table4[[#This Row],[Subnummer]],Table3[Sub],Table3[Certificaat]),"-")</f>
        <v>0</v>
      </c>
      <c r="D11" s="121">
        <v>4</v>
      </c>
      <c r="E11" s="124">
        <f>IFERROR(_xlfn.XLOOKUP(Table4[[#This Row],[Subnummer]],Table3[Sub],Table3[Verz. Waarde Oud:]),0)</f>
        <v>13619000</v>
      </c>
      <c r="F11" s="108">
        <v>0</v>
      </c>
      <c r="G11" s="108">
        <v>0</v>
      </c>
      <c r="H11" s="108">
        <v>5808450</v>
      </c>
      <c r="I11" s="108">
        <v>0</v>
      </c>
      <c r="J11" s="108">
        <f t="shared" si="5"/>
        <v>7810550</v>
      </c>
      <c r="K11" s="125">
        <f t="shared" si="0"/>
        <v>-5808450</v>
      </c>
      <c r="L11" s="109">
        <v>44927</v>
      </c>
      <c r="M11" s="109">
        <v>45292</v>
      </c>
      <c r="N11" s="107">
        <f t="shared" si="1"/>
        <v>365</v>
      </c>
      <c r="O11" s="107">
        <v>365</v>
      </c>
      <c r="P11" s="116" t="s">
        <v>64</v>
      </c>
      <c r="Q11" s="132">
        <f t="shared" si="2"/>
        <v>0</v>
      </c>
      <c r="R11" s="108" cm="1">
        <f t="array" ref="R11">_xlfn.IFS($P11="Nee",G11*$N11/$O11,$P11="Ja",G11*0.5)</f>
        <v>0</v>
      </c>
      <c r="S11" s="108" cm="1">
        <f t="array" ref="S11">_xlfn.IFS($P11="Nee",-(H11*$N11/$O11),$P11="Ja",-(H11*0.5))</f>
        <v>-5808450</v>
      </c>
      <c r="T11" s="108">
        <f t="shared" si="3"/>
        <v>0</v>
      </c>
      <c r="U11" s="133">
        <f t="shared" si="4"/>
        <v>-5808450</v>
      </c>
    </row>
    <row r="12" spans="1:21" x14ac:dyDescent="0.3">
      <c r="A12" s="115" t="str">
        <f>IFERROR(_xlfn.XLOOKUP(D12,Table3[Sub],Table3[Verzekerde]),"-")</f>
        <v>Stichting Gerrit Rietveld Academie</v>
      </c>
      <c r="B12" s="107"/>
      <c r="C12" s="107">
        <f>IFERROR(_xlfn.XLOOKUP(Table4[[#This Row],[Subnummer]],Table3[Sub],Table3[Certificaat]),"-")</f>
        <v>0</v>
      </c>
      <c r="D12" s="121">
        <v>6</v>
      </c>
      <c r="E12" s="124">
        <f>IFERROR(_xlfn.XLOOKUP(Table4[[#This Row],[Subnummer]],Table3[Sub],Table3[Verz. Waarde Oud:]),0)</f>
        <v>0</v>
      </c>
      <c r="F12" s="108">
        <v>450000</v>
      </c>
      <c r="G12" s="108">
        <v>0</v>
      </c>
      <c r="H12" s="108">
        <v>0</v>
      </c>
      <c r="I12" s="108">
        <v>0</v>
      </c>
      <c r="J12" s="108">
        <f t="shared" si="5"/>
        <v>450000</v>
      </c>
      <c r="K12" s="125">
        <f t="shared" si="0"/>
        <v>450000</v>
      </c>
      <c r="L12" s="109">
        <v>44927</v>
      </c>
      <c r="M12" s="109">
        <v>45292</v>
      </c>
      <c r="N12" s="107">
        <f t="shared" si="1"/>
        <v>365</v>
      </c>
      <c r="O12" s="107">
        <v>365</v>
      </c>
      <c r="P12" s="116" t="s">
        <v>64</v>
      </c>
      <c r="Q12" s="132">
        <f t="shared" si="2"/>
        <v>450000</v>
      </c>
      <c r="R12" s="108" cm="1">
        <f t="array" ref="R12">_xlfn.IFS($P12="Nee",G12*$N12/$O12,$P12="Ja",G12*0.5)</f>
        <v>0</v>
      </c>
      <c r="S12" s="108" cm="1">
        <f t="array" ref="S12">_xlfn.IFS($P12="Nee",-(H12*$N12/$O12),$P12="Ja",-(H12*0.5))</f>
        <v>0</v>
      </c>
      <c r="T12" s="108">
        <f>-I12*N12/O12</f>
        <v>0</v>
      </c>
      <c r="U12" s="133">
        <f t="shared" si="4"/>
        <v>450000</v>
      </c>
    </row>
    <row r="13" spans="1:21" hidden="1" x14ac:dyDescent="0.3">
      <c r="A13" s="115" t="str">
        <f>IFERROR(_xlfn.XLOOKUP(D13,Table3[Sub],Table3[Verzekerde]),"-")</f>
        <v>-</v>
      </c>
      <c r="B13" s="107"/>
      <c r="C13" s="107" t="str">
        <f>IFERROR(_xlfn.XLOOKUP(Table4[[#This Row],[Subnummer]],Table3[Sub],Table3[Certificaat]),"-")</f>
        <v>-</v>
      </c>
      <c r="D13" s="121">
        <v>0</v>
      </c>
      <c r="E13" s="124">
        <f>IFERROR(_xlfn.XLOOKUP(Table4[[#This Row],[Subnummer]],Table3[Sub],Table3[Verz. Waarde Oud:]),0)</f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f t="shared" si="5"/>
        <v>0</v>
      </c>
      <c r="K13" s="125">
        <f t="shared" si="0"/>
        <v>0</v>
      </c>
      <c r="L13" s="128">
        <v>44562</v>
      </c>
      <c r="M13" s="109">
        <v>44927</v>
      </c>
      <c r="N13" s="107">
        <f t="shared" si="1"/>
        <v>365</v>
      </c>
      <c r="O13" s="107">
        <v>365</v>
      </c>
      <c r="P13" s="116" t="s">
        <v>64</v>
      </c>
      <c r="Q13" s="132">
        <f t="shared" si="2"/>
        <v>0</v>
      </c>
      <c r="R13" s="108" cm="1">
        <f t="array" ref="R13">_xlfn.IFS($P13="Nee",G13*$N13/$O13,$P13="Ja",G13*0.5)</f>
        <v>0</v>
      </c>
      <c r="S13" s="108" cm="1">
        <f t="array" ref="S13">_xlfn.IFS($P13="Nee",-(H13*$N13/$O13),$P13="Ja",-(H13*0.5))</f>
        <v>0</v>
      </c>
      <c r="T13" s="108">
        <f t="shared" si="3"/>
        <v>0</v>
      </c>
      <c r="U13" s="133">
        <f t="shared" si="4"/>
        <v>0</v>
      </c>
    </row>
    <row r="14" spans="1:21" hidden="1" x14ac:dyDescent="0.3">
      <c r="A14" s="115" t="str">
        <f>IFERROR(_xlfn.XLOOKUP(D14,Table3[Sub],Table3[Verzekerde]),"-")</f>
        <v>-</v>
      </c>
      <c r="B14" s="107"/>
      <c r="C14" s="107" t="str">
        <f>IFERROR(_xlfn.XLOOKUP(Table4[[#This Row],[Subnummer]],Table3[Sub],Table3[Certificaat]),"-")</f>
        <v>-</v>
      </c>
      <c r="D14" s="121">
        <v>0</v>
      </c>
      <c r="E14" s="124">
        <f>IFERROR(_xlfn.XLOOKUP(Table4[[#This Row],[Subnummer]],Table3[Sub],Table3[Verz. Waarde Oud:]),0)</f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f>E14+F14+G14-H14-I14</f>
        <v>0</v>
      </c>
      <c r="K14" s="125">
        <f>J14-E14</f>
        <v>0</v>
      </c>
      <c r="L14" s="128">
        <v>44562</v>
      </c>
      <c r="M14" s="109">
        <v>44927</v>
      </c>
      <c r="N14" s="107">
        <f t="shared" ref="N14" si="6">M14-L14</f>
        <v>365</v>
      </c>
      <c r="O14" s="107">
        <v>365</v>
      </c>
      <c r="P14" s="116" t="s">
        <v>64</v>
      </c>
      <c r="Q14" s="132">
        <f>F14*N14/O14</f>
        <v>0</v>
      </c>
      <c r="R14" s="108" cm="1">
        <f t="array" ref="R14">_xlfn.IFS($P14="Nee",G14*$N14/$O14,$P14="Ja",G14*0.5)</f>
        <v>0</v>
      </c>
      <c r="S14" s="108" cm="1">
        <f t="array" ref="S14">_xlfn.IFS($P14="Nee",-(H14*$N14/$O14),$P14="Ja",-(H14*0.5))</f>
        <v>0</v>
      </c>
      <c r="T14" s="108">
        <f>-I14*N14/O14</f>
        <v>0</v>
      </c>
      <c r="U14" s="133">
        <f>SUM(Q14:T14)</f>
        <v>0</v>
      </c>
    </row>
    <row r="15" spans="1:21" hidden="1" x14ac:dyDescent="0.3">
      <c r="A15" s="115" t="str">
        <f>IFERROR(_xlfn.XLOOKUP(D15,Table3[Sub],Table3[Verzekerde]),"-")</f>
        <v>-</v>
      </c>
      <c r="B15" s="107"/>
      <c r="C15" s="107" t="str">
        <f>IFERROR(_xlfn.XLOOKUP(Table4[[#This Row],[Subnummer]],Table3[Sub],Table3[Certificaat]),"-")</f>
        <v>-</v>
      </c>
      <c r="D15" s="121">
        <v>0</v>
      </c>
      <c r="E15" s="124">
        <f>IFERROR(_xlfn.XLOOKUP(Table4[[#This Row],[Subnummer]],Table3[Sub],Table3[Verz. Waarde Oud:]),0)</f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f t="shared" si="5"/>
        <v>0</v>
      </c>
      <c r="K15" s="125">
        <f t="shared" si="0"/>
        <v>0</v>
      </c>
      <c r="L15" s="128">
        <v>44562</v>
      </c>
      <c r="M15" s="109">
        <v>44927</v>
      </c>
      <c r="N15" s="107">
        <f t="shared" si="1"/>
        <v>365</v>
      </c>
      <c r="O15" s="107">
        <v>365</v>
      </c>
      <c r="P15" s="116" t="s">
        <v>64</v>
      </c>
      <c r="Q15" s="132">
        <f t="shared" si="2"/>
        <v>0</v>
      </c>
      <c r="R15" s="108" cm="1">
        <f t="array" ref="R15">_xlfn.IFS($P15="Nee",G15*$N15/$O15,$P15="Ja",G15*0.5)</f>
        <v>0</v>
      </c>
      <c r="S15" s="108" cm="1">
        <f t="array" ref="S15">_xlfn.IFS($P15="Nee",-(H15*$N15/$O15),$P15="Ja",-(H15*0.5))</f>
        <v>0</v>
      </c>
      <c r="T15" s="108">
        <f t="shared" si="3"/>
        <v>0</v>
      </c>
      <c r="U15" s="133">
        <f t="shared" si="4"/>
        <v>0</v>
      </c>
    </row>
    <row r="16" spans="1:21" hidden="1" x14ac:dyDescent="0.3">
      <c r="A16" s="115" t="str">
        <f>IFERROR(_xlfn.XLOOKUP(D16,Table3[Sub],Table3[Verzekerde]),"-")</f>
        <v>-</v>
      </c>
      <c r="B16" s="107"/>
      <c r="C16" s="107" t="str">
        <f>IFERROR(_xlfn.XLOOKUP(Table4[[#This Row],[Subnummer]],Table3[Sub],Table3[Certificaat]),"-")</f>
        <v>-</v>
      </c>
      <c r="D16" s="121">
        <v>0</v>
      </c>
      <c r="E16" s="124">
        <f>IFERROR(_xlfn.XLOOKUP(Table4[[#This Row],[Subnummer]],Table3[Sub],Table3[Verz. Waarde Oud:]),0)</f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f t="shared" si="5"/>
        <v>0</v>
      </c>
      <c r="K16" s="125">
        <f t="shared" si="0"/>
        <v>0</v>
      </c>
      <c r="L16" s="128">
        <v>44562</v>
      </c>
      <c r="M16" s="109">
        <v>44927</v>
      </c>
      <c r="N16" s="107">
        <f t="shared" si="1"/>
        <v>365</v>
      </c>
      <c r="O16" s="107">
        <v>365</v>
      </c>
      <c r="P16" s="116" t="s">
        <v>64</v>
      </c>
      <c r="Q16" s="132">
        <f t="shared" si="2"/>
        <v>0</v>
      </c>
      <c r="R16" s="108" cm="1">
        <f t="array" ref="R16">_xlfn.IFS($P16="Nee",G16*$N16/$O16,$P16="Ja",G16*0.5)</f>
        <v>0</v>
      </c>
      <c r="S16" s="108" cm="1">
        <f t="array" ref="S16">_xlfn.IFS($P16="Nee",-(H16*$N16/$O16),$P16="Ja",-(H16*0.5))</f>
        <v>0</v>
      </c>
      <c r="T16" s="108">
        <f t="shared" si="3"/>
        <v>0</v>
      </c>
      <c r="U16" s="133">
        <f t="shared" si="4"/>
        <v>0</v>
      </c>
    </row>
    <row r="17" spans="1:21" hidden="1" x14ac:dyDescent="0.3">
      <c r="A17" s="115" t="str">
        <f>IFERROR(_xlfn.XLOOKUP(D17,Table3[Sub],Table3[Verzekerde]),"-")</f>
        <v>-</v>
      </c>
      <c r="B17" s="107"/>
      <c r="C17" s="107" t="str">
        <f>IFERROR(_xlfn.XLOOKUP(Table4[[#This Row],[Subnummer]],Table3[Sub],Table3[Certificaat]),"-")</f>
        <v>-</v>
      </c>
      <c r="D17" s="121">
        <v>0</v>
      </c>
      <c r="E17" s="124">
        <f>IFERROR(_xlfn.XLOOKUP(Table4[[#This Row],[Subnummer]],Table3[Sub],Table3[Verz. Waarde Oud:]),0)</f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f t="shared" si="5"/>
        <v>0</v>
      </c>
      <c r="K17" s="125">
        <f t="shared" si="0"/>
        <v>0</v>
      </c>
      <c r="L17" s="128">
        <v>44562</v>
      </c>
      <c r="M17" s="109">
        <v>44927</v>
      </c>
      <c r="N17" s="107">
        <f t="shared" si="1"/>
        <v>365</v>
      </c>
      <c r="O17" s="107">
        <v>365</v>
      </c>
      <c r="P17" s="116" t="s">
        <v>64</v>
      </c>
      <c r="Q17" s="132">
        <f t="shared" si="2"/>
        <v>0</v>
      </c>
      <c r="R17" s="108" cm="1">
        <f t="array" ref="R17">_xlfn.IFS($P17="Nee",G17*$N17/$O17,$P17="Ja",G17*0.5)</f>
        <v>0</v>
      </c>
      <c r="S17" s="108" cm="1">
        <f t="array" ref="S17">_xlfn.IFS($P17="Nee",-(H17*$N17/$O17),$P17="Ja",-(H17*0.5))</f>
        <v>0</v>
      </c>
      <c r="T17" s="108">
        <f t="shared" si="3"/>
        <v>0</v>
      </c>
      <c r="U17" s="133">
        <f t="shared" si="4"/>
        <v>0</v>
      </c>
    </row>
    <row r="18" spans="1:21" hidden="1" x14ac:dyDescent="0.3">
      <c r="A18" s="115" t="str">
        <f>IFERROR(_xlfn.XLOOKUP(D18,Table3[Sub],Table3[Verzekerde]),"-")</f>
        <v>-</v>
      </c>
      <c r="B18" s="107"/>
      <c r="C18" s="107" t="str">
        <f>IFERROR(_xlfn.XLOOKUP(Table4[[#This Row],[Subnummer]],Table3[Sub],Table3[Certificaat]),"-")</f>
        <v>-</v>
      </c>
      <c r="D18" s="121">
        <v>0</v>
      </c>
      <c r="E18" s="124">
        <f>IFERROR(_xlfn.XLOOKUP(Table4[[#This Row],[Subnummer]],Table3[Sub],Table3[Verz. Waarde Oud:]),0)</f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f t="shared" si="5"/>
        <v>0</v>
      </c>
      <c r="K18" s="125">
        <f t="shared" si="0"/>
        <v>0</v>
      </c>
      <c r="L18" s="128">
        <v>44562</v>
      </c>
      <c r="M18" s="109">
        <v>44927</v>
      </c>
      <c r="N18" s="107">
        <f t="shared" si="1"/>
        <v>365</v>
      </c>
      <c r="O18" s="107">
        <v>365</v>
      </c>
      <c r="P18" s="116" t="s">
        <v>64</v>
      </c>
      <c r="Q18" s="132">
        <f t="shared" si="2"/>
        <v>0</v>
      </c>
      <c r="R18" s="108" cm="1">
        <f t="array" ref="R18">_xlfn.IFS($P18="Nee",G18*$N18/$O18,$P18="Ja",G18*0.5)</f>
        <v>0</v>
      </c>
      <c r="S18" s="108" cm="1">
        <f t="array" ref="S18">_xlfn.IFS($P18="Nee",-(H18*$N18/$O18),$P18="Ja",-(H18*0.5))</f>
        <v>0</v>
      </c>
      <c r="T18" s="108">
        <f t="shared" si="3"/>
        <v>0</v>
      </c>
      <c r="U18" s="133">
        <f t="shared" si="4"/>
        <v>0</v>
      </c>
    </row>
    <row r="19" spans="1:21" hidden="1" x14ac:dyDescent="0.3">
      <c r="A19" s="115" t="str">
        <f>IFERROR(_xlfn.XLOOKUP(D19,Table3[Sub],Table3[Verzekerde]),"-")</f>
        <v>-</v>
      </c>
      <c r="B19" s="107"/>
      <c r="C19" s="107" t="str">
        <f>IFERROR(_xlfn.XLOOKUP(Table4[[#This Row],[Subnummer]],Table3[Sub],Table3[Certificaat]),"-")</f>
        <v>-</v>
      </c>
      <c r="D19" s="121">
        <v>0</v>
      </c>
      <c r="E19" s="124">
        <f>IFERROR(_xlfn.XLOOKUP(Table4[[#This Row],[Subnummer]],Table3[Sub],Table3[Verz. Waarde Oud:]),0)</f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f t="shared" si="5"/>
        <v>0</v>
      </c>
      <c r="K19" s="125">
        <f t="shared" si="0"/>
        <v>0</v>
      </c>
      <c r="L19" s="128">
        <v>44562</v>
      </c>
      <c r="M19" s="109">
        <v>44927</v>
      </c>
      <c r="N19" s="107">
        <f t="shared" si="1"/>
        <v>365</v>
      </c>
      <c r="O19" s="107">
        <v>365</v>
      </c>
      <c r="P19" s="116" t="s">
        <v>64</v>
      </c>
      <c r="Q19" s="132">
        <f t="shared" si="2"/>
        <v>0</v>
      </c>
      <c r="R19" s="108" cm="1">
        <f t="array" ref="R19">_xlfn.IFS($P19="Nee",G19*$N19/$O19,$P19="Ja",G19*0.5)</f>
        <v>0</v>
      </c>
      <c r="S19" s="108" cm="1">
        <f t="array" ref="S19">_xlfn.IFS($P19="Nee",-(H19*$N19/$O19),$P19="Ja",-(H19*0.5))</f>
        <v>0</v>
      </c>
      <c r="T19" s="108">
        <f t="shared" si="3"/>
        <v>0</v>
      </c>
      <c r="U19" s="133">
        <f t="shared" si="4"/>
        <v>0</v>
      </c>
    </row>
    <row r="20" spans="1:21" hidden="1" x14ac:dyDescent="0.3">
      <c r="A20" s="115" t="str">
        <f>IFERROR(_xlfn.XLOOKUP(D20,Table3[Sub],Table3[Verzekerde]),"-")</f>
        <v>-</v>
      </c>
      <c r="B20" s="107"/>
      <c r="C20" s="107" t="str">
        <f>IFERROR(_xlfn.XLOOKUP(Table4[[#This Row],[Subnummer]],Table3[Sub],Table3[Certificaat]),"-")</f>
        <v>-</v>
      </c>
      <c r="D20" s="121">
        <v>0</v>
      </c>
      <c r="E20" s="124">
        <f>IFERROR(_xlfn.XLOOKUP(Table4[[#This Row],[Subnummer]],Table3[Sub],Table3[Verz. Waarde Oud:]),0)</f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f t="shared" si="5"/>
        <v>0</v>
      </c>
      <c r="K20" s="125">
        <f t="shared" si="0"/>
        <v>0</v>
      </c>
      <c r="L20" s="128">
        <v>44562</v>
      </c>
      <c r="M20" s="109">
        <v>44927</v>
      </c>
      <c r="N20" s="107">
        <f t="shared" si="1"/>
        <v>365</v>
      </c>
      <c r="O20" s="107">
        <v>365</v>
      </c>
      <c r="P20" s="116" t="s">
        <v>64</v>
      </c>
      <c r="Q20" s="132">
        <f t="shared" si="2"/>
        <v>0</v>
      </c>
      <c r="R20" s="108" cm="1">
        <f t="array" ref="R20">_xlfn.IFS($P20="Nee",G20*$N20/$O20,$P20="Ja",G20*0.5)</f>
        <v>0</v>
      </c>
      <c r="S20" s="108" cm="1">
        <f t="array" ref="S20">_xlfn.IFS($P20="Nee",-(H20*$N20/$O20),$P20="Ja",-(H20*0.5))</f>
        <v>0</v>
      </c>
      <c r="T20" s="108">
        <f t="shared" si="3"/>
        <v>0</v>
      </c>
      <c r="U20" s="133">
        <f t="shared" si="4"/>
        <v>0</v>
      </c>
    </row>
    <row r="21" spans="1:21" ht="15" hidden="1" thickBot="1" x14ac:dyDescent="0.35">
      <c r="A21" s="117" t="str">
        <f>IFERROR(_xlfn.XLOOKUP(D21,Table3[Sub],Table3[Verzekerde]),"-")</f>
        <v>-</v>
      </c>
      <c r="B21" s="91"/>
      <c r="C21" s="91" t="str">
        <f>IFERROR(_xlfn.XLOOKUP(Table4[[#This Row],[Subnummer]],Table3[Sub],Table3[Certificaat]),"-")</f>
        <v>-</v>
      </c>
      <c r="D21" s="59">
        <v>0</v>
      </c>
      <c r="E21" s="126">
        <f>IFERROR(_xlfn.XLOOKUP(Table4[[#This Row],[Subnummer]],Table3[Sub],Table3[Verz. Waarde Oud:]),0)</f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f t="shared" si="5"/>
        <v>0</v>
      </c>
      <c r="K21" s="127">
        <f t="shared" si="0"/>
        <v>0</v>
      </c>
      <c r="L21" s="129">
        <v>44562</v>
      </c>
      <c r="M21" s="119">
        <v>44927</v>
      </c>
      <c r="N21" s="91">
        <f t="shared" si="1"/>
        <v>365</v>
      </c>
      <c r="O21" s="91">
        <v>365</v>
      </c>
      <c r="P21" s="60" t="s">
        <v>64</v>
      </c>
      <c r="Q21" s="134">
        <f t="shared" si="2"/>
        <v>0</v>
      </c>
      <c r="R21" s="118" cm="1">
        <f t="array" ref="R21">_xlfn.IFS($P21="Nee",G21*$N21/$O21,$P21="Ja",G21*0.5)</f>
        <v>0</v>
      </c>
      <c r="S21" s="118" cm="1">
        <f t="array" ref="S21">_xlfn.IFS($P21="Nee",-(H21*$N21/$O21),$P21="Ja",-(H21*0.5))</f>
        <v>0</v>
      </c>
      <c r="T21" s="118">
        <f t="shared" si="3"/>
        <v>0</v>
      </c>
      <c r="U21" s="135">
        <f t="shared" si="4"/>
        <v>0</v>
      </c>
    </row>
    <row r="22" spans="1:21" ht="15" thickBot="1" x14ac:dyDescent="0.35">
      <c r="A22" s="53" t="s">
        <v>50</v>
      </c>
      <c r="B22" s="53"/>
      <c r="C22" s="53"/>
      <c r="D22" s="54"/>
      <c r="E22" s="55">
        <f>SUBTOTAL(109,Table4[Oud])</f>
        <v>45936000</v>
      </c>
      <c r="F22" s="55">
        <f>SUBTOTAL(109,Table4[Investering Nieuw])</f>
        <v>3650000</v>
      </c>
      <c r="G22" s="55">
        <f>SUBTOTAL(109,Table4[Investering bestaand])</f>
        <v>28683000</v>
      </c>
      <c r="H22" s="55">
        <f>SUBTOTAL(109,Table4[Verlaging])</f>
        <v>5808450</v>
      </c>
      <c r="I22" s="55">
        <f>SUBTOTAL(109,Table4[Afvoer])</f>
        <v>0</v>
      </c>
      <c r="J22" s="55">
        <f>SUBTOTAL(109,Table4[Inclusief mutatie])</f>
        <v>72460550</v>
      </c>
      <c r="K22" s="55">
        <f>SUBTOTAL(109,Table4[Som mutaties])</f>
        <v>26524550</v>
      </c>
      <c r="L22" s="53"/>
      <c r="M22" s="54"/>
      <c r="N22" s="54"/>
      <c r="O22" s="54"/>
      <c r="P22" s="57"/>
      <c r="Q22" s="56">
        <f>SUBTOTAL(109,Table4[Investering nieuw2])</f>
        <v>3650000</v>
      </c>
      <c r="R22" s="55">
        <f>SUBTOTAL(109,Table4[Investering bestaand2])</f>
        <v>28683000</v>
      </c>
      <c r="S22" s="55">
        <f>SUBTOTAL(109,Table4[Verlaging2])</f>
        <v>-5808450</v>
      </c>
      <c r="T22" s="55">
        <f>SUBTOTAL(109,Table4[Afvoer2])</f>
        <v>0</v>
      </c>
      <c r="U22" s="55">
        <f>SUBTOTAL(109,Table4[Totaal])</f>
        <v>26524550</v>
      </c>
    </row>
    <row r="24" spans="1:21" x14ac:dyDescent="0.3">
      <c r="D24" s="58"/>
    </row>
    <row r="25" spans="1:21" x14ac:dyDescent="0.3">
      <c r="D25" s="58"/>
    </row>
  </sheetData>
  <sheetProtection formatColumns="0" insertRows="0" deleteRows="0"/>
  <mergeCells count="2">
    <mergeCell ref="E5:K5"/>
    <mergeCell ref="Q5:U5"/>
  </mergeCells>
  <phoneticPr fontId="3" type="noConversion"/>
  <dataValidations disablePrompts="1" count="1">
    <dataValidation type="list" allowBlank="1" showInputMessage="1" showErrorMessage="1" sqref="P9:P21" xr:uid="{64D9E925-208A-4155-956D-CBEDFFFC7C3A}">
      <formula1>CAD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  <headerFooter>
    <oddFooter>&amp;L&amp;F
Uniek nr e-ABS XXXXXXXXXXXXXXXXXXX</oddFooter>
  </headerFooter>
  <colBreaks count="1" manualBreakCount="1">
    <brk id="11" max="1048575" man="1"/>
  </colBreaks>
  <ignoredErrors>
    <ignoredError sqref="A9:A21 C9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4A44-A812-4F49-957D-CE376EF762B5}">
  <sheetPr codeName="Sheet7"/>
  <dimension ref="A1:D16"/>
  <sheetViews>
    <sheetView workbookViewId="0">
      <selection activeCell="C12" sqref="C12"/>
    </sheetView>
  </sheetViews>
  <sheetFormatPr defaultRowHeight="14.4" x14ac:dyDescent="0.3"/>
  <cols>
    <col min="1" max="1" width="30.33203125" customWidth="1"/>
    <col min="2" max="2" width="20.33203125" bestFit="1" customWidth="1"/>
  </cols>
  <sheetData>
    <row r="1" spans="1:4" x14ac:dyDescent="0.3">
      <c r="A1" s="1" t="s">
        <v>65</v>
      </c>
      <c r="B1" s="1" t="s">
        <v>16</v>
      </c>
      <c r="C1" s="1" t="s">
        <v>66</v>
      </c>
      <c r="D1" s="1" t="s">
        <v>67</v>
      </c>
    </row>
    <row r="2" spans="1:4" x14ac:dyDescent="0.3">
      <c r="A2" s="21" t="s">
        <v>32</v>
      </c>
      <c r="B2" s="21" t="s">
        <v>32</v>
      </c>
      <c r="C2" t="s">
        <v>68</v>
      </c>
      <c r="D2" s="21" t="s">
        <v>32</v>
      </c>
    </row>
    <row r="3" spans="1:4" x14ac:dyDescent="0.3">
      <c r="A3" t="s">
        <v>69</v>
      </c>
      <c r="B3" t="s">
        <v>70</v>
      </c>
      <c r="C3" t="s">
        <v>64</v>
      </c>
      <c r="D3" t="s">
        <v>68</v>
      </c>
    </row>
    <row r="4" spans="1:4" x14ac:dyDescent="0.3">
      <c r="A4" t="s">
        <v>71</v>
      </c>
      <c r="B4" t="s">
        <v>72</v>
      </c>
      <c r="D4" t="s">
        <v>64</v>
      </c>
    </row>
    <row r="5" spans="1:4" x14ac:dyDescent="0.3">
      <c r="A5" t="s">
        <v>73</v>
      </c>
      <c r="B5" t="s">
        <v>74</v>
      </c>
    </row>
    <row r="6" spans="1:4" x14ac:dyDescent="0.3">
      <c r="A6" t="s">
        <v>75</v>
      </c>
      <c r="B6" t="s">
        <v>76</v>
      </c>
    </row>
    <row r="7" spans="1:4" x14ac:dyDescent="0.3">
      <c r="A7" t="s">
        <v>77</v>
      </c>
    </row>
    <row r="8" spans="1:4" x14ac:dyDescent="0.3">
      <c r="A8" t="s">
        <v>31</v>
      </c>
    </row>
    <row r="9" spans="1:4" x14ac:dyDescent="0.3">
      <c r="A9" t="s">
        <v>78</v>
      </c>
    </row>
    <row r="10" spans="1:4" x14ac:dyDescent="0.3">
      <c r="A10" t="s">
        <v>79</v>
      </c>
    </row>
    <row r="11" spans="1:4" x14ac:dyDescent="0.3">
      <c r="A11" t="s">
        <v>80</v>
      </c>
    </row>
    <row r="12" spans="1:4" x14ac:dyDescent="0.3">
      <c r="A12" t="s">
        <v>81</v>
      </c>
    </row>
    <row r="13" spans="1:4" x14ac:dyDescent="0.3">
      <c r="A13" t="s">
        <v>82</v>
      </c>
    </row>
    <row r="14" spans="1:4" x14ac:dyDescent="0.3">
      <c r="A14" t="s">
        <v>83</v>
      </c>
    </row>
    <row r="15" spans="1:4" x14ac:dyDescent="0.3">
      <c r="A15" t="s">
        <v>84</v>
      </c>
    </row>
    <row r="16" spans="1:4" x14ac:dyDescent="0.3">
      <c r="A16" t="s">
        <v>85</v>
      </c>
    </row>
  </sheetData>
  <sortState xmlns:xlrd2="http://schemas.microsoft.com/office/spreadsheetml/2017/richdata2" ref="A3:A17">
    <sortCondition ref="A3:A17"/>
  </sortState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0" ma:contentTypeDescription="Create a new document." ma:contentTypeScope="" ma:versionID="d313bd36494f7e7115fce37fb728cbb0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4d5efe2d74536367d40b5617b8f09945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itus xmlns="http://schemas.titus.com/TitusProperties/">
  <TitusGUID xmlns="">d8dec434-cb65-43a6-884f-210a2e4ec213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6BB9-AB99-4C23-8D5C-9E6D16F96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B6809-7B5D-495A-B10F-9713C190A22B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7A3C7FDF-D4C7-40F7-8F63-C8D7D6EC81B0}">
  <ds:schemaRefs>
    <ds:schemaRef ds:uri="http://schemas.microsoft.com/office/2006/metadata/properties"/>
    <ds:schemaRef ds:uri="http://schemas.microsoft.com/office/infopath/2007/PartnerControls"/>
    <ds:schemaRef ds:uri="38304d66-90c6-4335-b1c9-5b3984399988"/>
    <ds:schemaRef ds:uri="41d8d177-be5a-477d-be00-e01547a293a3"/>
  </ds:schemaRefs>
</ds:datastoreItem>
</file>

<file path=customXml/itemProps4.xml><?xml version="1.0" encoding="utf-8"?>
<ds:datastoreItem xmlns:ds="http://schemas.openxmlformats.org/officeDocument/2006/customXml" ds:itemID="{54E56B9C-DAB9-4075-8DE6-12EF5B4A8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Specificatie</vt:lpstr>
      <vt:lpstr>Taxaties</vt:lpstr>
      <vt:lpstr>Mutaties</vt:lpstr>
      <vt:lpstr>Data</vt:lpstr>
      <vt:lpstr>Specificatie!Afdrukbereik</vt:lpstr>
      <vt:lpstr>Bouwaard</vt:lpstr>
      <vt:lpstr>CAD</vt:lpstr>
      <vt:lpstr>Interest</vt:lpstr>
      <vt:lpstr>Taxatie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van Doornewaard</dc:creator>
  <cp:keywords/>
  <dc:description/>
  <cp:lastModifiedBy>Kimberley Kole-Dijkstra</cp:lastModifiedBy>
  <cp:revision/>
  <cp:lastPrinted>2023-01-30T12:49:20Z</cp:lastPrinted>
  <dcterms:created xsi:type="dcterms:W3CDTF">2019-07-21T11:45:44Z</dcterms:created>
  <dcterms:modified xsi:type="dcterms:W3CDTF">2025-09-15T13:44:16Z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0x010100072362D23840384AA44F195D95F9E0FB</vt:lpwstr>
  </property>
  <property fmtid="{D5CDD505-2E9C-101B-9397-08002B2CF9AE}" pid="3" name="TitusGUID">
    <vt:lpwstr>d8dec434-cb65-43a6-884f-210a2e4ec213</vt:lpwstr>
  </property>
  <property fmtid="{D5CDD505-2E9C-101B-9397-08002B2CF9AE}" pid="4" name="AonClassification">
    <vt:lpwstr>ADC_class_200</vt:lpwstr>
  </property>
  <property fmtid="{D5CDD505-2E9C-101B-9397-08002B2CF9AE}" pid="5" name="MediaServiceImageTags">
    <vt:lpwstr/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2024-01-24T11:25:41Z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a6951950-313a-4ef7-a309-dab92d07f60b</vt:lpwstr>
  </property>
  <property fmtid="{D5CDD505-2E9C-101B-9397-08002B2CF9AE}" pid="12" name="MSIP_Label_9043f10a-881e-4653-a55e-02ca2cc829dc_ContentBits">
    <vt:lpwstr>0</vt:lpwstr>
  </property>
</Properties>
</file>