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talnet.sharepoint.com/sites/Schoonmaak-02.Aanbestedingsfase/Gedeelde documenten/02. Aanbestedingsfase/NvI 2/VOvA NvI 2/"/>
    </mc:Choice>
  </mc:AlternateContent>
  <xr:revisionPtr revIDLastSave="1" documentId="8_{F4C10B27-2CAA-480A-83DC-4FC5375C5270}" xr6:coauthVersionLast="47" xr6:coauthVersionMax="47" xr10:uidLastSave="{FE082BD9-EF9B-4EB6-B21C-C122ABCE8179}"/>
  <bookViews>
    <workbookView xWindow="28680" yWindow="-120" windowWidth="29040" windowHeight="15840" tabRatio="947"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 sheetId="47" r:id="rId11"/>
    <sheet name="12-Vloeronderhoud" sheetId="45" r:id="rId12"/>
  </sheets>
  <externalReferences>
    <externalReference r:id="rId13"/>
    <externalReference r:id="rId14"/>
    <externalReference r:id="rId15"/>
    <externalReference r:id="rId16"/>
    <externalReference r:id="rId17"/>
    <externalReference r:id="rId18"/>
  </externalReferences>
  <definedNames>
    <definedName name="__1F" localSheetId="11" hidden="1">[1]Psychiatrie!#REF!</definedName>
    <definedName name="__1F" hidden="1">[1]Psychiatrie!#REF!</definedName>
    <definedName name="__2_0_F" localSheetId="11"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'10-Glasbewassing'!$A$12:$AA$48</definedName>
    <definedName name="_xlnm._FilterDatabase" localSheetId="10" hidden="1">'11-Sanitair'!$A$9:$I$16</definedName>
    <definedName name="_xlnm._FilterDatabase" localSheetId="11" hidden="1">'12-Vloeronderhoud'!$A$10:$R$16</definedName>
    <definedName name="_xlnm._FilterDatabase" localSheetId="1" hidden="1">'2-Kosten per locatie'!$M$11:$M$17</definedName>
    <definedName name="_xlnm._FilterDatabase" localSheetId="3" hidden="1">'4-Basis ruimtestaat'!$B$9:$W$968</definedName>
    <definedName name="_Hlk39130726" localSheetId="0">'1-Uitgangspunten'!$A$16</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locatie'!$A$3:$X$18</definedName>
    <definedName name="_xlnm.Print_Area" localSheetId="3">'4-Basis ruimtestaat'!$B$3:$W$9</definedName>
    <definedName name="_xlnm.Print_Area" localSheetId="4">'5-Premies en opslagen'!$A$3:$E$54</definedName>
    <definedName name="_xlnm.Print_Area" localSheetId="5">'6-Opbouw uurtarief productie'!$A$1:$R$62</definedName>
    <definedName name="_xlnm.Print_Area" localSheetId="8">'9-Afroepprijs'!$A$3:$F$83</definedName>
    <definedName name="_xlnm.Print_Titles" localSheetId="9">'10-Glasbewassing'!$12:$12</definedName>
    <definedName name="_xlnm.Print_Titles" localSheetId="10">'11-Sanitair'!$9:$9</definedName>
    <definedName name="_xlnm.Print_Titles" localSheetId="11">'12-Vloeronderhoud'!$10:$10</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1">#N/A</definedName>
    <definedName name="berichtok" localSheetId="1">'2-Kosten per locatie'!berichtok</definedName>
    <definedName name="berichtok">'2-Kosten per locatie'!berichtok</definedName>
    <definedName name="berichtoke" localSheetId="11">#N/A</definedName>
    <definedName name="berichtoke" localSheetId="1">'2-Kosten per locatie'!berichtoke</definedName>
    <definedName name="berichtoke">'2-Kosten per locatie'!berichtoke</definedName>
    <definedName name="berichtoke1" localSheetId="11">#N/A</definedName>
    <definedName name="berichtoke1" localSheetId="1">'2-Kosten per locatie'!berichtoke1</definedName>
    <definedName name="berichtoke1">'2-Kosten per locatie'!berichtoke1</definedName>
    <definedName name="Berkt" localSheetId="11">#N/A</definedName>
    <definedName name="Berkt" localSheetId="1">'2-Kosten per locatie'!Berkt</definedName>
    <definedName name="Berkt">'2-Kosten per locatie'!Berkt</definedName>
    <definedName name="dffdf" localSheetId="11" hidden="1">'[5]#REF'!#REF!</definedName>
    <definedName name="dffdf" hidden="1">'[5]#REF'!#REF!</definedName>
    <definedName name="einde" localSheetId="11">#N/A</definedName>
    <definedName name="einde" localSheetId="1">'2-Kosten per locatie'!einde</definedName>
    <definedName name="einde">'2-Kosten per locatie'!einde</definedName>
    <definedName name="fghf" localSheetId="11" hidden="1">'[6]#REF'!#REF!</definedName>
    <definedName name="fghf" hidden="1">'[6]#REF'!#REF!</definedName>
    <definedName name="Gan_R" localSheetId="11">#N/A</definedName>
    <definedName name="Gan_R" localSheetId="1">'2-Kosten per locatie'!Gan_R</definedName>
    <definedName name="Gan_R">'2-Kosten per locatie'!Gan_R</definedName>
    <definedName name="gs" localSheetId="11" hidden="1">'[5]#REF'!#REF!</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1"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1" hidden="1">{"'ma_vr'!$A$1:$AA$42"}</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5" l="1"/>
  <c r="H22" i="37" l="1"/>
  <c r="H23" i="37"/>
  <c r="H24" i="37"/>
  <c r="H25" i="37"/>
  <c r="H21" i="37"/>
  <c r="H14" i="31"/>
  <c r="H15" i="31"/>
  <c r="H16" i="31"/>
  <c r="H26" i="37" s="1"/>
  <c r="H13" i="31"/>
  <c r="H19" i="31" l="1"/>
  <c r="K29" i="38" l="1"/>
  <c r="J10" i="47" l="1"/>
  <c r="M29" i="38"/>
  <c r="K52" i="38" l="1"/>
  <c r="J26" i="47" l="1"/>
  <c r="J27" i="47"/>
  <c r="J28" i="47"/>
  <c r="J29" i="47"/>
  <c r="J30" i="47"/>
  <c r="J25" i="47"/>
  <c r="J32" i="47" l="1"/>
  <c r="P28" i="37"/>
  <c r="B4" i="35"/>
  <c r="A7" i="45" l="1"/>
  <c r="A6" i="45"/>
  <c r="A5" i="45"/>
  <c r="A4" i="45"/>
  <c r="A3" i="45"/>
  <c r="E48" i="35" l="1"/>
  <c r="J11" i="47" l="1"/>
  <c r="J12" i="47"/>
  <c r="J13" i="47"/>
  <c r="J14" i="47" l="1"/>
  <c r="J16" i="47" s="1"/>
  <c r="C10" i="47" s="1"/>
  <c r="B7" i="47"/>
  <c r="A7" i="47"/>
  <c r="B6" i="47"/>
  <c r="A6" i="47"/>
  <c r="B5" i="47"/>
  <c r="A5" i="47"/>
  <c r="B4" i="47"/>
  <c r="A4" i="47"/>
  <c r="B3" i="47"/>
  <c r="A3" i="47"/>
  <c r="J21" i="37" l="1"/>
  <c r="C11" i="47"/>
  <c r="J22" i="37" s="1"/>
  <c r="C12" i="47"/>
  <c r="J23" i="37" s="1"/>
  <c r="C13" i="47"/>
  <c r="J24" i="37" s="1"/>
  <c r="C14" i="47"/>
  <c r="J25" i="37" s="1"/>
  <c r="C15" i="47"/>
  <c r="J26" i="37" s="1"/>
  <c r="Y17" i="28"/>
  <c r="B4" i="5" l="1"/>
  <c r="Y11" i="28"/>
  <c r="Y12" i="28"/>
  <c r="Y13" i="28"/>
  <c r="Y14" i="28"/>
  <c r="Y15" i="28"/>
  <c r="Y16" i="28"/>
  <c r="Y18" i="28"/>
  <c r="Y19" i="28"/>
  <c r="Y20" i="28"/>
  <c r="Y21" i="28"/>
  <c r="Y22" i="28"/>
  <c r="Y23" i="28"/>
  <c r="Y24" i="28"/>
  <c r="Y25" i="28"/>
  <c r="Y26" i="28"/>
  <c r="Y27" i="28"/>
  <c r="Y28" i="28"/>
  <c r="R874" i="2" l="1"/>
  <c r="R877" i="2"/>
  <c r="R878" i="2"/>
  <c r="R879" i="2"/>
  <c r="R881" i="2"/>
  <c r="R882" i="2"/>
  <c r="R883" i="2"/>
  <c r="R884" i="2"/>
  <c r="R911" i="2"/>
  <c r="R918" i="2"/>
  <c r="R930" i="2"/>
  <c r="R937" i="2"/>
  <c r="R942" i="2"/>
  <c r="R949" i="2"/>
  <c r="R950" i="2"/>
  <c r="M893" i="2"/>
  <c r="D12" i="45"/>
  <c r="D27" i="45" s="1"/>
  <c r="R32" i="45" l="1"/>
  <c r="M968" i="2" l="1"/>
  <c r="M967" i="2"/>
  <c r="M966" i="2"/>
  <c r="M965" i="2"/>
  <c r="M964" i="2"/>
  <c r="M963" i="2"/>
  <c r="M962" i="2"/>
  <c r="M961" i="2"/>
  <c r="M960" i="2"/>
  <c r="M959" i="2"/>
  <c r="M958" i="2"/>
  <c r="M957" i="2"/>
  <c r="M956" i="2"/>
  <c r="M955" i="2"/>
  <c r="M954" i="2"/>
  <c r="M953" i="2"/>
  <c r="M952" i="2"/>
  <c r="M951" i="2"/>
  <c r="M948" i="2"/>
  <c r="M947" i="2"/>
  <c r="M946" i="2"/>
  <c r="M945" i="2"/>
  <c r="M944" i="2"/>
  <c r="M943" i="2"/>
  <c r="M942" i="2"/>
  <c r="M941" i="2"/>
  <c r="M940" i="2"/>
  <c r="M939" i="2"/>
  <c r="M938" i="2"/>
  <c r="M937" i="2"/>
  <c r="M936" i="2"/>
  <c r="M935" i="2"/>
  <c r="M934" i="2"/>
  <c r="M933" i="2"/>
  <c r="M932" i="2"/>
  <c r="M931" i="2"/>
  <c r="M930" i="2"/>
  <c r="M929" i="2"/>
  <c r="M928" i="2"/>
  <c r="M927" i="2"/>
  <c r="M926" i="2"/>
  <c r="M925" i="2"/>
  <c r="M924" i="2"/>
  <c r="M923" i="2"/>
  <c r="M922" i="2"/>
  <c r="M921" i="2"/>
  <c r="M920" i="2"/>
  <c r="M919" i="2"/>
  <c r="M917" i="2"/>
  <c r="M916" i="2"/>
  <c r="M915" i="2"/>
  <c r="M914" i="2"/>
  <c r="M913" i="2"/>
  <c r="M912" i="2"/>
  <c r="M911" i="2"/>
  <c r="M910" i="2"/>
  <c r="M909" i="2"/>
  <c r="M908" i="2"/>
  <c r="M907" i="2"/>
  <c r="M906" i="2"/>
  <c r="M905" i="2"/>
  <c r="M904" i="2"/>
  <c r="M903" i="2"/>
  <c r="M902" i="2"/>
  <c r="M901" i="2"/>
  <c r="M900" i="2"/>
  <c r="M899" i="2"/>
  <c r="M898" i="2"/>
  <c r="M897" i="2"/>
  <c r="M896" i="2"/>
  <c r="M895" i="2"/>
  <c r="M894" i="2"/>
  <c r="M892" i="2"/>
  <c r="M891" i="2"/>
  <c r="M890" i="2"/>
  <c r="M889" i="2"/>
  <c r="M888" i="2"/>
  <c r="M887" i="2"/>
  <c r="M886" i="2"/>
  <c r="M885" i="2"/>
  <c r="M884" i="2"/>
  <c r="M883" i="2"/>
  <c r="M882" i="2"/>
  <c r="M881" i="2"/>
  <c r="M880" i="2"/>
  <c r="M879" i="2"/>
  <c r="M878" i="2"/>
  <c r="M877" i="2"/>
  <c r="M876" i="2"/>
  <c r="M875" i="2"/>
  <c r="M873" i="2"/>
  <c r="M872" i="2"/>
  <c r="M871" i="2"/>
  <c r="M870" i="2"/>
  <c r="M869" i="2"/>
  <c r="M868" i="2"/>
  <c r="M867" i="2"/>
  <c r="M866" i="2"/>
  <c r="M865" i="2"/>
  <c r="M864" i="2"/>
  <c r="W864" i="2" l="1"/>
  <c r="Q864" i="2" l="1"/>
  <c r="S864" i="2"/>
  <c r="Q865" i="2"/>
  <c r="S865" i="2"/>
  <c r="W865" i="2"/>
  <c r="Q866" i="2"/>
  <c r="S866" i="2"/>
  <c r="W866" i="2"/>
  <c r="Q867" i="2"/>
  <c r="S867" i="2"/>
  <c r="W867" i="2"/>
  <c r="W868" i="2"/>
  <c r="Q868" i="2"/>
  <c r="S868" i="2"/>
  <c r="Q869" i="2"/>
  <c r="S869" i="2"/>
  <c r="W869" i="2"/>
  <c r="Q870" i="2"/>
  <c r="S870" i="2"/>
  <c r="W870" i="2"/>
  <c r="W871" i="2"/>
  <c r="Q871" i="2"/>
  <c r="S871" i="2"/>
  <c r="W872" i="2"/>
  <c r="Q872" i="2"/>
  <c r="S872" i="2"/>
  <c r="Q873" i="2"/>
  <c r="S873" i="2"/>
  <c r="W873" i="2"/>
  <c r="Q874" i="2"/>
  <c r="S874" i="2"/>
  <c r="W874" i="2"/>
  <c r="Q875" i="2"/>
  <c r="S875" i="2"/>
  <c r="W875" i="2"/>
  <c r="W876" i="2"/>
  <c r="Q876" i="2"/>
  <c r="S876" i="2"/>
  <c r="P877" i="2"/>
  <c r="Q877" i="2"/>
  <c r="S877" i="2"/>
  <c r="W877" i="2"/>
  <c r="P878" i="2"/>
  <c r="Q878" i="2"/>
  <c r="S878" i="2"/>
  <c r="W878" i="2"/>
  <c r="W879" i="2"/>
  <c r="P879" i="2"/>
  <c r="Q879" i="2"/>
  <c r="S879" i="2"/>
  <c r="W880" i="2"/>
  <c r="Q880" i="2"/>
  <c r="S880" i="2"/>
  <c r="P881" i="2"/>
  <c r="Q881" i="2"/>
  <c r="S881" i="2"/>
  <c r="W881" i="2"/>
  <c r="P882" i="2"/>
  <c r="Q882" i="2"/>
  <c r="S882" i="2"/>
  <c r="W882" i="2"/>
  <c r="P883" i="2"/>
  <c r="Q883" i="2"/>
  <c r="S883" i="2"/>
  <c r="W883" i="2"/>
  <c r="W884" i="2"/>
  <c r="P884" i="2"/>
  <c r="Q884" i="2"/>
  <c r="S884" i="2"/>
  <c r="Q885" i="2"/>
  <c r="S885" i="2"/>
  <c r="W885" i="2"/>
  <c r="Q886" i="2"/>
  <c r="S886" i="2"/>
  <c r="W886" i="2"/>
  <c r="W887" i="2"/>
  <c r="Q887" i="2"/>
  <c r="S887" i="2"/>
  <c r="W888" i="2"/>
  <c r="Q888" i="2"/>
  <c r="S888" i="2"/>
  <c r="Q889" i="2"/>
  <c r="S889" i="2"/>
  <c r="W889" i="2"/>
  <c r="Q890" i="2"/>
  <c r="S890" i="2"/>
  <c r="W890" i="2"/>
  <c r="Q891" i="2"/>
  <c r="S891" i="2"/>
  <c r="W891" i="2"/>
  <c r="W892" i="2"/>
  <c r="Q892" i="2"/>
  <c r="S892" i="2"/>
  <c r="Q893" i="2"/>
  <c r="S893" i="2"/>
  <c r="W893" i="2"/>
  <c r="Q894" i="2"/>
  <c r="S894" i="2"/>
  <c r="W894" i="2"/>
  <c r="W895" i="2"/>
  <c r="Q895" i="2"/>
  <c r="S895" i="2"/>
  <c r="W896" i="2"/>
  <c r="Q896" i="2"/>
  <c r="S896" i="2"/>
  <c r="Q897" i="2"/>
  <c r="S897" i="2"/>
  <c r="W897" i="2"/>
  <c r="Q898" i="2"/>
  <c r="S898" i="2"/>
  <c r="W898" i="2"/>
  <c r="Q899" i="2"/>
  <c r="S899" i="2"/>
  <c r="W899" i="2"/>
  <c r="W900" i="2"/>
  <c r="Q900" i="2"/>
  <c r="S900" i="2"/>
  <c r="Q901" i="2"/>
  <c r="S901" i="2"/>
  <c r="W901" i="2"/>
  <c r="Q902" i="2"/>
  <c r="S902" i="2"/>
  <c r="W902" i="2"/>
  <c r="W903" i="2"/>
  <c r="Q903" i="2"/>
  <c r="S903" i="2"/>
  <c r="Q904" i="2"/>
  <c r="S904" i="2"/>
  <c r="W904" i="2"/>
  <c r="Q905" i="2"/>
  <c r="S905" i="2"/>
  <c r="W905" i="2"/>
  <c r="Q906" i="2"/>
  <c r="S906" i="2"/>
  <c r="W906" i="2"/>
  <c r="Q907" i="2"/>
  <c r="S907" i="2"/>
  <c r="W907" i="2"/>
  <c r="W908" i="2"/>
  <c r="Q908" i="2"/>
  <c r="S908" i="2"/>
  <c r="Q909" i="2"/>
  <c r="S909" i="2"/>
  <c r="W909" i="2"/>
  <c r="Q910" i="2"/>
  <c r="S910" i="2"/>
  <c r="W910" i="2"/>
  <c r="W911" i="2"/>
  <c r="Q911" i="2"/>
  <c r="S911" i="2"/>
  <c r="Q912" i="2"/>
  <c r="S912" i="2"/>
  <c r="W912" i="2"/>
  <c r="Q913" i="2"/>
  <c r="S913" i="2"/>
  <c r="W913" i="2"/>
  <c r="Q914" i="2"/>
  <c r="S914" i="2"/>
  <c r="W914" i="2"/>
  <c r="Q915" i="2"/>
  <c r="S915" i="2"/>
  <c r="W915" i="2"/>
  <c r="W916" i="2"/>
  <c r="Q916" i="2"/>
  <c r="S916" i="2"/>
  <c r="Q917" i="2"/>
  <c r="S917" i="2"/>
  <c r="W917" i="2"/>
  <c r="Q918" i="2"/>
  <c r="S918" i="2"/>
  <c r="W918" i="2"/>
  <c r="W919" i="2"/>
  <c r="Q919" i="2"/>
  <c r="S919" i="2"/>
  <c r="Q920" i="2"/>
  <c r="S920" i="2"/>
  <c r="W920" i="2"/>
  <c r="Q921" i="2"/>
  <c r="S921" i="2"/>
  <c r="W921" i="2"/>
  <c r="Q922" i="2"/>
  <c r="S922" i="2"/>
  <c r="W922" i="2"/>
  <c r="Q923" i="2"/>
  <c r="S923" i="2"/>
  <c r="W923" i="2"/>
  <c r="W924" i="2"/>
  <c r="Q924" i="2"/>
  <c r="S924" i="2"/>
  <c r="Q925" i="2"/>
  <c r="S925" i="2"/>
  <c r="W925" i="2"/>
  <c r="Q926" i="2"/>
  <c r="S926" i="2"/>
  <c r="W926" i="2"/>
  <c r="W927" i="2"/>
  <c r="Q927" i="2"/>
  <c r="S927" i="2"/>
  <c r="Q928" i="2"/>
  <c r="S928" i="2"/>
  <c r="W928" i="2"/>
  <c r="Q929" i="2"/>
  <c r="S929" i="2"/>
  <c r="W929" i="2"/>
  <c r="Q930" i="2"/>
  <c r="P930" i="2"/>
  <c r="S930" i="2"/>
  <c r="W930" i="2"/>
  <c r="Q931" i="2"/>
  <c r="S931" i="2"/>
  <c r="W931" i="2"/>
  <c r="W932" i="2"/>
  <c r="Q932" i="2"/>
  <c r="S932" i="2"/>
  <c r="Q933" i="2"/>
  <c r="S933" i="2"/>
  <c r="W933" i="2"/>
  <c r="Q934" i="2"/>
  <c r="S934" i="2"/>
  <c r="W934" i="2"/>
  <c r="W935" i="2"/>
  <c r="Q935" i="2"/>
  <c r="S935" i="2"/>
  <c r="Q936" i="2"/>
  <c r="S936" i="2"/>
  <c r="W936" i="2"/>
  <c r="Q937" i="2"/>
  <c r="S937" i="2"/>
  <c r="W937" i="2"/>
  <c r="Q938" i="2"/>
  <c r="S938" i="2"/>
  <c r="W938" i="2"/>
  <c r="Q939" i="2"/>
  <c r="S939" i="2"/>
  <c r="W939" i="2"/>
  <c r="W940" i="2"/>
  <c r="Q940" i="2"/>
  <c r="S940" i="2"/>
  <c r="Q941" i="2"/>
  <c r="S941" i="2"/>
  <c r="W941" i="2"/>
  <c r="P942" i="2"/>
  <c r="Q942" i="2"/>
  <c r="S942" i="2"/>
  <c r="W942" i="2"/>
  <c r="W943" i="2"/>
  <c r="Q943" i="2"/>
  <c r="S943" i="2"/>
  <c r="Q944" i="2"/>
  <c r="S944" i="2"/>
  <c r="W944" i="2"/>
  <c r="Q945" i="2"/>
  <c r="S945" i="2"/>
  <c r="W945" i="2"/>
  <c r="Q946" i="2"/>
  <c r="S946" i="2"/>
  <c r="W946" i="2"/>
  <c r="Q947" i="2"/>
  <c r="S947" i="2"/>
  <c r="W947" i="2"/>
  <c r="W948" i="2"/>
  <c r="Q948" i="2"/>
  <c r="S948" i="2"/>
  <c r="Q949" i="2"/>
  <c r="S949" i="2"/>
  <c r="W949" i="2"/>
  <c r="Q950" i="2"/>
  <c r="S950" i="2"/>
  <c r="W950" i="2"/>
  <c r="W951" i="2"/>
  <c r="Q951" i="2"/>
  <c r="S951" i="2"/>
  <c r="Q952" i="2"/>
  <c r="S952" i="2"/>
  <c r="W952" i="2"/>
  <c r="Q953" i="2"/>
  <c r="S953" i="2"/>
  <c r="W953" i="2"/>
  <c r="Q954" i="2"/>
  <c r="S954" i="2"/>
  <c r="W954" i="2"/>
  <c r="Q955" i="2"/>
  <c r="S955" i="2"/>
  <c r="W955" i="2"/>
  <c r="W956" i="2"/>
  <c r="Q956" i="2"/>
  <c r="S956" i="2"/>
  <c r="Q957" i="2"/>
  <c r="S957" i="2"/>
  <c r="W957" i="2"/>
  <c r="Q958" i="2"/>
  <c r="S958" i="2"/>
  <c r="W958" i="2"/>
  <c r="W959" i="2"/>
  <c r="Q959" i="2"/>
  <c r="S959" i="2"/>
  <c r="Q960" i="2"/>
  <c r="S960" i="2"/>
  <c r="W960" i="2"/>
  <c r="Q961" i="2"/>
  <c r="S961" i="2"/>
  <c r="W961" i="2"/>
  <c r="Q962" i="2"/>
  <c r="S962" i="2"/>
  <c r="W962" i="2"/>
  <c r="Q963" i="2"/>
  <c r="S963" i="2"/>
  <c r="W963" i="2"/>
  <c r="W964" i="2"/>
  <c r="Q964" i="2"/>
  <c r="S964" i="2"/>
  <c r="W965" i="2"/>
  <c r="Q965" i="2"/>
  <c r="S965" i="2"/>
  <c r="Q966" i="2"/>
  <c r="S966" i="2"/>
  <c r="W966" i="2"/>
  <c r="W967" i="2"/>
  <c r="Q967" i="2"/>
  <c r="S967" i="2"/>
  <c r="Q968" i="2"/>
  <c r="S968" i="2"/>
  <c r="W968" i="2"/>
  <c r="B6" i="45" l="1"/>
  <c r="B5" i="45"/>
  <c r="B4" i="45"/>
  <c r="B3" i="45"/>
  <c r="F45" i="35" l="1"/>
  <c r="G45" i="35" s="1"/>
  <c r="I45" i="35" s="1"/>
  <c r="F46" i="35"/>
  <c r="G46" i="35" s="1"/>
  <c r="I46" i="35" s="1"/>
  <c r="F44" i="35"/>
  <c r="G44" i="35" s="1"/>
  <c r="I44" i="35" s="1"/>
  <c r="F43" i="35"/>
  <c r="G43" i="35" s="1"/>
  <c r="I43" i="35" s="1"/>
  <c r="F42" i="35"/>
  <c r="G42" i="35" s="1"/>
  <c r="I42" i="35" s="1"/>
  <c r="F41" i="35"/>
  <c r="G41" i="35" s="1"/>
  <c r="I41" i="35" s="1"/>
  <c r="F40" i="35"/>
  <c r="G40" i="35" s="1"/>
  <c r="I40" i="35" s="1"/>
  <c r="F39" i="35"/>
  <c r="G39" i="35" s="1"/>
  <c r="I39" i="35" s="1"/>
  <c r="F38" i="35"/>
  <c r="G38" i="35" s="1"/>
  <c r="I38" i="35" s="1"/>
  <c r="F37" i="35"/>
  <c r="G37" i="35" s="1"/>
  <c r="I37" i="35" s="1"/>
  <c r="F36" i="35"/>
  <c r="G36" i="35" s="1"/>
  <c r="I36" i="35" s="1"/>
  <c r="F35" i="35"/>
  <c r="G35" i="35" s="1"/>
  <c r="I35" i="35" s="1"/>
  <c r="F34" i="35"/>
  <c r="G34" i="35" s="1"/>
  <c r="I34" i="35" s="1"/>
  <c r="F33" i="35"/>
  <c r="G33" i="35" s="1"/>
  <c r="I33" i="35" s="1"/>
  <c r="F32" i="35"/>
  <c r="G32" i="35" s="1"/>
  <c r="I32" i="35" s="1"/>
  <c r="F31" i="35"/>
  <c r="G31" i="35" s="1"/>
  <c r="I31" i="35" s="1"/>
  <c r="F30" i="35"/>
  <c r="G30" i="35" s="1"/>
  <c r="I30" i="35" s="1"/>
  <c r="F29" i="35"/>
  <c r="G29" i="35" s="1"/>
  <c r="I29" i="35" s="1"/>
  <c r="F28" i="35"/>
  <c r="G28" i="35" s="1"/>
  <c r="I28" i="35" s="1"/>
  <c r="F27" i="35"/>
  <c r="G27" i="35" s="1"/>
  <c r="I27" i="35" s="1"/>
  <c r="F26" i="35"/>
  <c r="G26" i="35" s="1"/>
  <c r="I26" i="35" s="1"/>
  <c r="F25" i="35"/>
  <c r="G25" i="35" s="1"/>
  <c r="I25" i="35" s="1"/>
  <c r="F24" i="35"/>
  <c r="G24" i="35" s="1"/>
  <c r="I24" i="35" s="1"/>
  <c r="F23" i="35"/>
  <c r="G23" i="35" s="1"/>
  <c r="I23" i="35" s="1"/>
  <c r="F22" i="35"/>
  <c r="G22" i="35" s="1"/>
  <c r="I22" i="35" s="1"/>
  <c r="F21" i="35"/>
  <c r="G21" i="35" s="1"/>
  <c r="I21" i="35" s="1"/>
  <c r="F16" i="35"/>
  <c r="G16" i="35" s="1"/>
  <c r="I16" i="35" s="1"/>
  <c r="F19" i="35"/>
  <c r="G19" i="35" s="1"/>
  <c r="I19" i="35" s="1"/>
  <c r="F20" i="35"/>
  <c r="G20" i="35" s="1"/>
  <c r="I20" i="35" s="1"/>
  <c r="F18" i="35"/>
  <c r="G18" i="35" s="1"/>
  <c r="I18" i="35" s="1"/>
  <c r="F17" i="35"/>
  <c r="G17" i="35" s="1"/>
  <c r="I17" i="35" s="1"/>
  <c r="R24" i="2" l="1"/>
  <c r="R29" i="2"/>
  <c r="R30" i="2"/>
  <c r="R34" i="2"/>
  <c r="R35" i="2"/>
  <c r="R36" i="2"/>
  <c r="R39" i="2"/>
  <c r="R40" i="2"/>
  <c r="R41" i="2"/>
  <c r="R42" i="2"/>
  <c r="R43" i="2"/>
  <c r="R44" i="2"/>
  <c r="R84" i="2"/>
  <c r="R87" i="2"/>
  <c r="R95" i="2"/>
  <c r="R98" i="2"/>
  <c r="R100" i="2"/>
  <c r="R101" i="2"/>
  <c r="R102" i="2"/>
  <c r="R103" i="2"/>
  <c r="R104" i="2"/>
  <c r="R105" i="2"/>
  <c r="R106" i="2"/>
  <c r="R107" i="2"/>
  <c r="R108" i="2"/>
  <c r="R109" i="2"/>
  <c r="R110" i="2"/>
  <c r="R111" i="2"/>
  <c r="R112" i="2"/>
  <c r="R113" i="2"/>
  <c r="R156" i="2"/>
  <c r="R165" i="2"/>
  <c r="R166" i="2"/>
  <c r="R167" i="2"/>
  <c r="R168" i="2"/>
  <c r="R169" i="2"/>
  <c r="R170" i="2"/>
  <c r="R171" i="2"/>
  <c r="R172" i="2"/>
  <c r="R173" i="2"/>
  <c r="R334" i="2"/>
  <c r="R335" i="2"/>
  <c r="R338" i="2"/>
  <c r="R339" i="2"/>
  <c r="R340" i="2"/>
  <c r="R341" i="2"/>
  <c r="R342" i="2"/>
  <c r="R343" i="2"/>
  <c r="R344" i="2"/>
  <c r="R345" i="2"/>
  <c r="R346" i="2"/>
  <c r="R347" i="2"/>
  <c r="R356" i="2"/>
  <c r="R378" i="2"/>
  <c r="R379" i="2"/>
  <c r="R380" i="2"/>
  <c r="R381" i="2"/>
  <c r="R382" i="2"/>
  <c r="R383" i="2"/>
  <c r="R384" i="2"/>
  <c r="R385" i="2"/>
  <c r="R425" i="2"/>
  <c r="R426" i="2"/>
  <c r="R427" i="2"/>
  <c r="R428" i="2"/>
  <c r="R453" i="2"/>
  <c r="R454" i="2"/>
  <c r="R470" i="2"/>
  <c r="R471" i="2"/>
  <c r="R472" i="2"/>
  <c r="R473" i="2"/>
  <c r="R474" i="2"/>
  <c r="R475" i="2"/>
  <c r="R477" i="2"/>
  <c r="R478" i="2"/>
  <c r="R526" i="2"/>
  <c r="R536" i="2"/>
  <c r="R537" i="2"/>
  <c r="R538" i="2"/>
  <c r="R539" i="2"/>
  <c r="R584" i="2"/>
  <c r="R616" i="2"/>
  <c r="R617" i="2"/>
  <c r="R618" i="2"/>
  <c r="R619" i="2"/>
  <c r="R643" i="2"/>
  <c r="R644" i="2"/>
  <c r="R645" i="2"/>
  <c r="R646" i="2"/>
  <c r="R647" i="2"/>
  <c r="R648" i="2"/>
  <c r="R649" i="2"/>
  <c r="R675" i="2"/>
  <c r="R676" i="2"/>
  <c r="R730" i="2"/>
  <c r="R738" i="2"/>
  <c r="R739" i="2"/>
  <c r="R740" i="2"/>
  <c r="R741" i="2"/>
  <c r="R742" i="2"/>
  <c r="R743" i="2"/>
  <c r="R801" i="2"/>
  <c r="R806" i="2"/>
  <c r="R807" i="2"/>
  <c r="R808" i="2"/>
  <c r="R809" i="2"/>
  <c r="R810" i="2"/>
  <c r="R848" i="2"/>
  <c r="R849" i="2"/>
  <c r="R850" i="2"/>
  <c r="M20" i="2" l="1"/>
  <c r="M28" i="2"/>
  <c r="M36" i="2"/>
  <c r="M44" i="2"/>
  <c r="M52" i="2"/>
  <c r="M60" i="2"/>
  <c r="M68" i="2"/>
  <c r="M76" i="2"/>
  <c r="M84" i="2"/>
  <c r="M92" i="2"/>
  <c r="M100" i="2"/>
  <c r="M108" i="2"/>
  <c r="M116" i="2"/>
  <c r="M124" i="2"/>
  <c r="M132" i="2"/>
  <c r="M140" i="2"/>
  <c r="M156" i="2"/>
  <c r="M164" i="2"/>
  <c r="M172" i="2"/>
  <c r="M180" i="2"/>
  <c r="M188" i="2"/>
  <c r="M196" i="2"/>
  <c r="M204" i="2"/>
  <c r="M214" i="2"/>
  <c r="M222" i="2"/>
  <c r="M230" i="2"/>
  <c r="M238" i="2"/>
  <c r="M246" i="2"/>
  <c r="M254" i="2"/>
  <c r="M262" i="2"/>
  <c r="M270" i="2"/>
  <c r="M278" i="2"/>
  <c r="M286" i="2"/>
  <c r="M294" i="2"/>
  <c r="M302" i="2"/>
  <c r="M310" i="2"/>
  <c r="M318" i="2"/>
  <c r="M326" i="2"/>
  <c r="M334" i="2"/>
  <c r="M342" i="2"/>
  <c r="M358" i="2"/>
  <c r="M366" i="2"/>
  <c r="M374" i="2"/>
  <c r="M382" i="2"/>
  <c r="M390" i="2"/>
  <c r="M398" i="2"/>
  <c r="M406" i="2"/>
  <c r="M414" i="2"/>
  <c r="M422" i="2"/>
  <c r="M430" i="2"/>
  <c r="M438" i="2"/>
  <c r="M446" i="2"/>
  <c r="M454" i="2"/>
  <c r="M462" i="2"/>
  <c r="M470" i="2"/>
  <c r="M478" i="2"/>
  <c r="M494" i="2"/>
  <c r="M502" i="2"/>
  <c r="M510" i="2"/>
  <c r="M518" i="2"/>
  <c r="M526" i="2"/>
  <c r="M534" i="2"/>
  <c r="M542" i="2"/>
  <c r="M550" i="2"/>
  <c r="M558" i="2"/>
  <c r="M566" i="2"/>
  <c r="M574" i="2"/>
  <c r="M582" i="2"/>
  <c r="M590" i="2"/>
  <c r="M598" i="2"/>
  <c r="M606" i="2"/>
  <c r="M622" i="2"/>
  <c r="M630" i="2"/>
  <c r="M638" i="2"/>
  <c r="M646" i="2"/>
  <c r="M654" i="2"/>
  <c r="M662" i="2"/>
  <c r="M670" i="2"/>
  <c r="M678" i="2"/>
  <c r="M686" i="2"/>
  <c r="M694" i="2"/>
  <c r="M702" i="2"/>
  <c r="M710" i="2"/>
  <c r="M718" i="2"/>
  <c r="M726" i="2"/>
  <c r="M734" i="2"/>
  <c r="M742" i="2"/>
  <c r="M758" i="2"/>
  <c r="M766" i="2"/>
  <c r="M774" i="2"/>
  <c r="M782" i="2"/>
  <c r="M790" i="2"/>
  <c r="M798" i="2"/>
  <c r="M806" i="2"/>
  <c r="M814" i="2"/>
  <c r="M822" i="2"/>
  <c r="M830" i="2"/>
  <c r="M838" i="2"/>
  <c r="M846" i="2"/>
  <c r="M854" i="2"/>
  <c r="M862" i="2"/>
  <c r="M10" i="2"/>
  <c r="M17" i="2"/>
  <c r="M18" i="2"/>
  <c r="M25" i="2"/>
  <c r="M26" i="2"/>
  <c r="M33" i="2"/>
  <c r="M34" i="2"/>
  <c r="M41" i="2"/>
  <c r="M42" i="2"/>
  <c r="M49" i="2"/>
  <c r="M50" i="2"/>
  <c r="M57" i="2"/>
  <c r="M58" i="2"/>
  <c r="M65" i="2"/>
  <c r="M66" i="2"/>
  <c r="M73" i="2"/>
  <c r="M74" i="2"/>
  <c r="M81" i="2"/>
  <c r="M82" i="2"/>
  <c r="M89" i="2"/>
  <c r="M90" i="2"/>
  <c r="M97" i="2"/>
  <c r="M98" i="2"/>
  <c r="M105" i="2"/>
  <c r="M106" i="2"/>
  <c r="M114" i="2"/>
  <c r="M121" i="2"/>
  <c r="M122" i="2"/>
  <c r="M129" i="2"/>
  <c r="M130" i="2"/>
  <c r="M137" i="2"/>
  <c r="M138" i="2"/>
  <c r="M145" i="2"/>
  <c r="M146" i="2"/>
  <c r="M153" i="2"/>
  <c r="M154" i="2"/>
  <c r="M161" i="2"/>
  <c r="M162" i="2"/>
  <c r="M169" i="2"/>
  <c r="M170" i="2"/>
  <c r="M177" i="2"/>
  <c r="M178" i="2"/>
  <c r="M185" i="2"/>
  <c r="M186" i="2"/>
  <c r="M193" i="2"/>
  <c r="M194" i="2"/>
  <c r="M201" i="2"/>
  <c r="M202" i="2"/>
  <c r="M209" i="2"/>
  <c r="M211" i="2"/>
  <c r="M212" i="2"/>
  <c r="M219" i="2"/>
  <c r="M220" i="2"/>
  <c r="M227" i="2"/>
  <c r="M228" i="2"/>
  <c r="M235" i="2"/>
  <c r="M236" i="2"/>
  <c r="M243" i="2"/>
  <c r="M244" i="2"/>
  <c r="M251" i="2"/>
  <c r="M252" i="2"/>
  <c r="M259" i="2"/>
  <c r="M260" i="2"/>
  <c r="M267" i="2"/>
  <c r="M268" i="2"/>
  <c r="M275" i="2"/>
  <c r="M276" i="2"/>
  <c r="M283" i="2"/>
  <c r="M284" i="2"/>
  <c r="M291" i="2"/>
  <c r="M292" i="2"/>
  <c r="M299" i="2"/>
  <c r="M300" i="2"/>
  <c r="M307" i="2"/>
  <c r="M308" i="2"/>
  <c r="M315" i="2"/>
  <c r="M316" i="2"/>
  <c r="M323" i="2"/>
  <c r="M324" i="2"/>
  <c r="M331" i="2"/>
  <c r="M332" i="2"/>
  <c r="M339" i="2"/>
  <c r="M340" i="2"/>
  <c r="M347" i="2"/>
  <c r="M348" i="2"/>
  <c r="M355" i="2"/>
  <c r="M356" i="2"/>
  <c r="M363" i="2"/>
  <c r="M364" i="2"/>
  <c r="M371" i="2"/>
  <c r="M372" i="2"/>
  <c r="M379" i="2"/>
  <c r="M380" i="2"/>
  <c r="M387" i="2"/>
  <c r="M388" i="2"/>
  <c r="M395" i="2"/>
  <c r="M396" i="2"/>
  <c r="M403" i="2"/>
  <c r="M404" i="2"/>
  <c r="M411" i="2"/>
  <c r="M412" i="2"/>
  <c r="M419" i="2"/>
  <c r="M420" i="2"/>
  <c r="M427" i="2"/>
  <c r="M428" i="2"/>
  <c r="M435" i="2"/>
  <c r="M436" i="2"/>
  <c r="M443" i="2"/>
  <c r="M444" i="2"/>
  <c r="M451" i="2"/>
  <c r="M452" i="2"/>
  <c r="M459" i="2"/>
  <c r="M460" i="2"/>
  <c r="M467" i="2"/>
  <c r="M468" i="2"/>
  <c r="M475" i="2"/>
  <c r="M476" i="2"/>
  <c r="M483" i="2"/>
  <c r="M484" i="2"/>
  <c r="M491" i="2"/>
  <c r="M492" i="2"/>
  <c r="M499" i="2"/>
  <c r="M500" i="2"/>
  <c r="M507" i="2"/>
  <c r="M508" i="2"/>
  <c r="M515" i="2"/>
  <c r="M516" i="2"/>
  <c r="M523" i="2"/>
  <c r="M524" i="2"/>
  <c r="M531" i="2"/>
  <c r="M532" i="2"/>
  <c r="M539" i="2"/>
  <c r="M540" i="2"/>
  <c r="M547" i="2"/>
  <c r="M548" i="2"/>
  <c r="M555" i="2"/>
  <c r="M556" i="2"/>
  <c r="M563" i="2"/>
  <c r="M564" i="2"/>
  <c r="M571" i="2"/>
  <c r="M572" i="2"/>
  <c r="M579" i="2"/>
  <c r="M580" i="2"/>
  <c r="M587" i="2"/>
  <c r="M588" i="2"/>
  <c r="M595" i="2"/>
  <c r="M596" i="2"/>
  <c r="M604" i="2"/>
  <c r="M611" i="2"/>
  <c r="M612" i="2"/>
  <c r="M619" i="2"/>
  <c r="M620" i="2"/>
  <c r="M627" i="2"/>
  <c r="M628" i="2"/>
  <c r="M635" i="2"/>
  <c r="M636" i="2"/>
  <c r="M643" i="2"/>
  <c r="M644" i="2"/>
  <c r="M651" i="2"/>
  <c r="M652" i="2"/>
  <c r="M659" i="2"/>
  <c r="M660" i="2"/>
  <c r="M667" i="2"/>
  <c r="M668" i="2"/>
  <c r="M675" i="2"/>
  <c r="M676" i="2"/>
  <c r="M683" i="2"/>
  <c r="M684" i="2"/>
  <c r="M691" i="2"/>
  <c r="M692" i="2"/>
  <c r="M699" i="2"/>
  <c r="M700" i="2"/>
  <c r="M707" i="2"/>
  <c r="M708" i="2"/>
  <c r="M715" i="2"/>
  <c r="M716" i="2"/>
  <c r="M723" i="2"/>
  <c r="M724" i="2"/>
  <c r="M731" i="2"/>
  <c r="M732" i="2"/>
  <c r="M739" i="2"/>
  <c r="M740" i="2"/>
  <c r="M747" i="2"/>
  <c r="M748" i="2"/>
  <c r="M755" i="2"/>
  <c r="M756" i="2"/>
  <c r="M763" i="2"/>
  <c r="M764" i="2"/>
  <c r="M771" i="2"/>
  <c r="M772" i="2"/>
  <c r="M779" i="2"/>
  <c r="M780" i="2"/>
  <c r="M787" i="2"/>
  <c r="M788" i="2"/>
  <c r="M795" i="2"/>
  <c r="M796" i="2"/>
  <c r="M803" i="2"/>
  <c r="M804" i="2"/>
  <c r="M811" i="2"/>
  <c r="M812" i="2"/>
  <c r="M819" i="2"/>
  <c r="M820" i="2"/>
  <c r="M827" i="2"/>
  <c r="M828" i="2"/>
  <c r="M835" i="2"/>
  <c r="M836" i="2"/>
  <c r="M843" i="2"/>
  <c r="M844" i="2"/>
  <c r="M851" i="2"/>
  <c r="M852" i="2"/>
  <c r="M859" i="2"/>
  <c r="M860" i="2"/>
  <c r="M12" i="2"/>
  <c r="M148" i="2"/>
  <c r="M350" i="2"/>
  <c r="M486" i="2"/>
  <c r="M614" i="2"/>
  <c r="M750" i="2"/>
  <c r="M16" i="2"/>
  <c r="M24" i="2"/>
  <c r="M32" i="2"/>
  <c r="M40" i="2"/>
  <c r="M48" i="2"/>
  <c r="M56" i="2"/>
  <c r="M64" i="2"/>
  <c r="M72" i="2"/>
  <c r="M80" i="2"/>
  <c r="M88" i="2"/>
  <c r="M96" i="2"/>
  <c r="M104" i="2"/>
  <c r="M112" i="2"/>
  <c r="M113" i="2"/>
  <c r="M120" i="2"/>
  <c r="M128" i="2"/>
  <c r="M136" i="2"/>
  <c r="M144" i="2"/>
  <c r="M152" i="2"/>
  <c r="M160" i="2"/>
  <c r="M168" i="2"/>
  <c r="M176" i="2"/>
  <c r="M184" i="2"/>
  <c r="M192" i="2"/>
  <c r="M200" i="2"/>
  <c r="M208" i="2"/>
  <c r="M210" i="2"/>
  <c r="M218" i="2"/>
  <c r="M226" i="2"/>
  <c r="M234" i="2"/>
  <c r="M239" i="2"/>
  <c r="M242" i="2"/>
  <c r="M250" i="2"/>
  <c r="M258" i="2"/>
  <c r="M266" i="2"/>
  <c r="M274" i="2"/>
  <c r="M282" i="2"/>
  <c r="M290" i="2"/>
  <c r="M298" i="2"/>
  <c r="M306" i="2"/>
  <c r="M314" i="2"/>
  <c r="M322" i="2"/>
  <c r="M330" i="2"/>
  <c r="M338" i="2"/>
  <c r="M346" i="2"/>
  <c r="M354" i="2"/>
  <c r="M362" i="2"/>
  <c r="M370" i="2"/>
  <c r="M378" i="2"/>
  <c r="M386" i="2"/>
  <c r="M394" i="2"/>
  <c r="M402" i="2"/>
  <c r="M410" i="2"/>
  <c r="M418" i="2"/>
  <c r="M426" i="2"/>
  <c r="M434" i="2"/>
  <c r="M442" i="2"/>
  <c r="M450" i="2"/>
  <c r="M458" i="2"/>
  <c r="M466" i="2"/>
  <c r="M474" i="2"/>
  <c r="M482" i="2"/>
  <c r="M490" i="2"/>
  <c r="M498" i="2"/>
  <c r="M506" i="2"/>
  <c r="M514" i="2"/>
  <c r="M522" i="2"/>
  <c r="M530" i="2"/>
  <c r="M538" i="2"/>
  <c r="M546" i="2"/>
  <c r="M554" i="2"/>
  <c r="M562" i="2"/>
  <c r="M570" i="2"/>
  <c r="M578" i="2"/>
  <c r="M586" i="2"/>
  <c r="M594" i="2"/>
  <c r="M602" i="2"/>
  <c r="M603" i="2"/>
  <c r="M610" i="2"/>
  <c r="M618" i="2"/>
  <c r="M626" i="2"/>
  <c r="M634" i="2"/>
  <c r="M642" i="2"/>
  <c r="M650" i="2"/>
  <c r="M658" i="2"/>
  <c r="M666" i="2"/>
  <c r="M674" i="2"/>
  <c r="M682" i="2"/>
  <c r="M690" i="2"/>
  <c r="M698" i="2"/>
  <c r="M706" i="2"/>
  <c r="M714" i="2"/>
  <c r="M722" i="2"/>
  <c r="M730" i="2"/>
  <c r="M738" i="2"/>
  <c r="M746" i="2"/>
  <c r="M754" i="2"/>
  <c r="M762" i="2"/>
  <c r="M770" i="2"/>
  <c r="M778" i="2"/>
  <c r="M786" i="2"/>
  <c r="M794" i="2"/>
  <c r="M802" i="2"/>
  <c r="M810" i="2"/>
  <c r="M818" i="2"/>
  <c r="M826" i="2"/>
  <c r="M834" i="2"/>
  <c r="M842" i="2"/>
  <c r="M850" i="2"/>
  <c r="M858" i="2"/>
  <c r="M861" i="2" l="1"/>
  <c r="W861" i="2" s="1"/>
  <c r="M853" i="2"/>
  <c r="W853" i="2" s="1"/>
  <c r="M845" i="2"/>
  <c r="W845" i="2" s="1"/>
  <c r="M837" i="2"/>
  <c r="W837" i="2" s="1"/>
  <c r="M829" i="2"/>
  <c r="W829" i="2" s="1"/>
  <c r="M821" i="2"/>
  <c r="W821" i="2" s="1"/>
  <c r="M813" i="2"/>
  <c r="W813" i="2" s="1"/>
  <c r="M805" i="2"/>
  <c r="W805" i="2" s="1"/>
  <c r="M797" i="2"/>
  <c r="W797" i="2" s="1"/>
  <c r="M789" i="2"/>
  <c r="W789" i="2" s="1"/>
  <c r="M781" i="2"/>
  <c r="W781" i="2" s="1"/>
  <c r="M773" i="2"/>
  <c r="W773" i="2" s="1"/>
  <c r="M765" i="2"/>
  <c r="W765" i="2" s="1"/>
  <c r="M757" i="2"/>
  <c r="W757" i="2" s="1"/>
  <c r="M749" i="2"/>
  <c r="W749" i="2" s="1"/>
  <c r="M741" i="2"/>
  <c r="W741" i="2" s="1"/>
  <c r="M733" i="2"/>
  <c r="W733" i="2" s="1"/>
  <c r="M725" i="2"/>
  <c r="W725" i="2" s="1"/>
  <c r="M717" i="2"/>
  <c r="W717" i="2" s="1"/>
  <c r="M709" i="2"/>
  <c r="W709" i="2" s="1"/>
  <c r="M701" i="2"/>
  <c r="W701" i="2" s="1"/>
  <c r="M693" i="2"/>
  <c r="W693" i="2" s="1"/>
  <c r="M685" i="2"/>
  <c r="W685" i="2" s="1"/>
  <c r="M677" i="2"/>
  <c r="W677" i="2" s="1"/>
  <c r="M669" i="2"/>
  <c r="W669" i="2" s="1"/>
  <c r="M661" i="2"/>
  <c r="W661" i="2" s="1"/>
  <c r="M653" i="2"/>
  <c r="W653" i="2" s="1"/>
  <c r="M645" i="2"/>
  <c r="W645" i="2" s="1"/>
  <c r="M637" i="2"/>
  <c r="W637" i="2" s="1"/>
  <c r="M629" i="2"/>
  <c r="W629" i="2" s="1"/>
  <c r="M621" i="2"/>
  <c r="W621" i="2" s="1"/>
  <c r="M613" i="2"/>
  <c r="W613" i="2" s="1"/>
  <c r="M605" i="2"/>
  <c r="W605" i="2" s="1"/>
  <c r="M597" i="2"/>
  <c r="W597" i="2" s="1"/>
  <c r="M589" i="2"/>
  <c r="W589" i="2" s="1"/>
  <c r="M581" i="2"/>
  <c r="W581" i="2" s="1"/>
  <c r="M573" i="2"/>
  <c r="W573" i="2" s="1"/>
  <c r="M565" i="2"/>
  <c r="W565" i="2" s="1"/>
  <c r="M557" i="2"/>
  <c r="W557" i="2" s="1"/>
  <c r="M549" i="2"/>
  <c r="W549" i="2" s="1"/>
  <c r="M541" i="2"/>
  <c r="W541" i="2" s="1"/>
  <c r="M533" i="2"/>
  <c r="W533" i="2" s="1"/>
  <c r="M525" i="2"/>
  <c r="W525" i="2" s="1"/>
  <c r="M517" i="2"/>
  <c r="W517" i="2" s="1"/>
  <c r="M509" i="2"/>
  <c r="W509" i="2" s="1"/>
  <c r="M501" i="2"/>
  <c r="W501" i="2" s="1"/>
  <c r="M493" i="2"/>
  <c r="W493" i="2" s="1"/>
  <c r="M485" i="2"/>
  <c r="W485" i="2" s="1"/>
  <c r="M477" i="2"/>
  <c r="W477" i="2" s="1"/>
  <c r="M469" i="2"/>
  <c r="W469" i="2" s="1"/>
  <c r="M461" i="2"/>
  <c r="W461" i="2" s="1"/>
  <c r="M453" i="2"/>
  <c r="W453" i="2" s="1"/>
  <c r="M445" i="2"/>
  <c r="W445" i="2" s="1"/>
  <c r="M437" i="2"/>
  <c r="W437" i="2" s="1"/>
  <c r="M429" i="2"/>
  <c r="W429" i="2" s="1"/>
  <c r="M421" i="2"/>
  <c r="W421" i="2" s="1"/>
  <c r="M413" i="2"/>
  <c r="W413" i="2" s="1"/>
  <c r="M405" i="2"/>
  <c r="W405" i="2" s="1"/>
  <c r="M397" i="2"/>
  <c r="W397" i="2" s="1"/>
  <c r="M389" i="2"/>
  <c r="W389" i="2" s="1"/>
  <c r="M381" i="2"/>
  <c r="W381" i="2" s="1"/>
  <c r="M373" i="2"/>
  <c r="W373" i="2" s="1"/>
  <c r="M365" i="2"/>
  <c r="W365" i="2" s="1"/>
  <c r="M357" i="2"/>
  <c r="W357" i="2" s="1"/>
  <c r="M349" i="2"/>
  <c r="W349" i="2" s="1"/>
  <c r="M341" i="2"/>
  <c r="W341" i="2" s="1"/>
  <c r="M333" i="2"/>
  <c r="W333" i="2" s="1"/>
  <c r="M325" i="2"/>
  <c r="W325" i="2" s="1"/>
  <c r="M317" i="2"/>
  <c r="W317" i="2" s="1"/>
  <c r="M309" i="2"/>
  <c r="W309" i="2" s="1"/>
  <c r="M301" i="2"/>
  <c r="W301" i="2" s="1"/>
  <c r="M293" i="2"/>
  <c r="W293" i="2" s="1"/>
  <c r="M285" i="2"/>
  <c r="W285" i="2" s="1"/>
  <c r="M277" i="2"/>
  <c r="W277" i="2" s="1"/>
  <c r="M269" i="2"/>
  <c r="W269" i="2" s="1"/>
  <c r="M261" i="2"/>
  <c r="W261" i="2" s="1"/>
  <c r="M253" i="2"/>
  <c r="W253" i="2" s="1"/>
  <c r="M245" i="2"/>
  <c r="W245" i="2" s="1"/>
  <c r="M237" i="2"/>
  <c r="W237" i="2" s="1"/>
  <c r="M229" i="2"/>
  <c r="W229" i="2" s="1"/>
  <c r="M221" i="2"/>
  <c r="W221" i="2" s="1"/>
  <c r="M213" i="2"/>
  <c r="W213" i="2" s="1"/>
  <c r="M203" i="2"/>
  <c r="W203" i="2" s="1"/>
  <c r="M195" i="2"/>
  <c r="W195" i="2" s="1"/>
  <c r="M187" i="2"/>
  <c r="W187" i="2" s="1"/>
  <c r="M179" i="2"/>
  <c r="W179" i="2" s="1"/>
  <c r="M171" i="2"/>
  <c r="W171" i="2" s="1"/>
  <c r="M163" i="2"/>
  <c r="W163" i="2" s="1"/>
  <c r="M155" i="2"/>
  <c r="W155" i="2" s="1"/>
  <c r="M147" i="2"/>
  <c r="W147" i="2" s="1"/>
  <c r="M139" i="2"/>
  <c r="W139" i="2" s="1"/>
  <c r="M131" i="2"/>
  <c r="W131" i="2" s="1"/>
  <c r="M123" i="2"/>
  <c r="W123" i="2" s="1"/>
  <c r="M115" i="2"/>
  <c r="W115" i="2" s="1"/>
  <c r="M107" i="2"/>
  <c r="W107" i="2" s="1"/>
  <c r="M99" i="2"/>
  <c r="W99" i="2" s="1"/>
  <c r="M91" i="2"/>
  <c r="W91" i="2" s="1"/>
  <c r="M83" i="2"/>
  <c r="W83" i="2" s="1"/>
  <c r="M75" i="2"/>
  <c r="W75" i="2" s="1"/>
  <c r="M67" i="2"/>
  <c r="W67" i="2" s="1"/>
  <c r="M59" i="2"/>
  <c r="W59" i="2" s="1"/>
  <c r="M51" i="2"/>
  <c r="W51" i="2" s="1"/>
  <c r="M43" i="2"/>
  <c r="W43" i="2" s="1"/>
  <c r="M35" i="2"/>
  <c r="W35" i="2" s="1"/>
  <c r="M27" i="2"/>
  <c r="W27" i="2" s="1"/>
  <c r="M19" i="2"/>
  <c r="W19" i="2" s="1"/>
  <c r="M11" i="2"/>
  <c r="W11" i="2" s="1"/>
  <c r="M863" i="2"/>
  <c r="W863" i="2" s="1"/>
  <c r="M855" i="2"/>
  <c r="W855" i="2" s="1"/>
  <c r="M847" i="2"/>
  <c r="W847" i="2" s="1"/>
  <c r="M839" i="2"/>
  <c r="W839" i="2" s="1"/>
  <c r="M831" i="2"/>
  <c r="W831" i="2" s="1"/>
  <c r="M823" i="2"/>
  <c r="W823" i="2" s="1"/>
  <c r="M815" i="2"/>
  <c r="W815" i="2" s="1"/>
  <c r="M807" i="2"/>
  <c r="W807" i="2" s="1"/>
  <c r="M799" i="2"/>
  <c r="W799" i="2" s="1"/>
  <c r="M791" i="2"/>
  <c r="W791" i="2" s="1"/>
  <c r="M783" i="2"/>
  <c r="W783" i="2" s="1"/>
  <c r="M775" i="2"/>
  <c r="W775" i="2" s="1"/>
  <c r="M767" i="2"/>
  <c r="W767" i="2" s="1"/>
  <c r="M759" i="2"/>
  <c r="W759" i="2" s="1"/>
  <c r="M751" i="2"/>
  <c r="W751" i="2" s="1"/>
  <c r="M743" i="2"/>
  <c r="W743" i="2" s="1"/>
  <c r="M735" i="2"/>
  <c r="W735" i="2" s="1"/>
  <c r="M727" i="2"/>
  <c r="W727" i="2" s="1"/>
  <c r="M719" i="2"/>
  <c r="W719" i="2" s="1"/>
  <c r="M711" i="2"/>
  <c r="W711" i="2" s="1"/>
  <c r="M703" i="2"/>
  <c r="W703" i="2" s="1"/>
  <c r="M695" i="2"/>
  <c r="W695" i="2" s="1"/>
  <c r="M687" i="2"/>
  <c r="W687" i="2" s="1"/>
  <c r="M679" i="2"/>
  <c r="W679" i="2" s="1"/>
  <c r="M671" i="2"/>
  <c r="W671" i="2" s="1"/>
  <c r="M663" i="2"/>
  <c r="W663" i="2" s="1"/>
  <c r="M655" i="2"/>
  <c r="W655" i="2" s="1"/>
  <c r="M647" i="2"/>
  <c r="W647" i="2" s="1"/>
  <c r="M639" i="2"/>
  <c r="W639" i="2" s="1"/>
  <c r="M631" i="2"/>
  <c r="W631" i="2" s="1"/>
  <c r="M623" i="2"/>
  <c r="W623" i="2" s="1"/>
  <c r="M615" i="2"/>
  <c r="W615" i="2" s="1"/>
  <c r="M607" i="2"/>
  <c r="W607" i="2" s="1"/>
  <c r="M599" i="2"/>
  <c r="W599" i="2" s="1"/>
  <c r="M591" i="2"/>
  <c r="W591" i="2" s="1"/>
  <c r="M583" i="2"/>
  <c r="W583" i="2" s="1"/>
  <c r="M575" i="2"/>
  <c r="W575" i="2" s="1"/>
  <c r="M567" i="2"/>
  <c r="W567" i="2" s="1"/>
  <c r="M559" i="2"/>
  <c r="W559" i="2" s="1"/>
  <c r="M551" i="2"/>
  <c r="W551" i="2" s="1"/>
  <c r="M543" i="2"/>
  <c r="W543" i="2" s="1"/>
  <c r="M535" i="2"/>
  <c r="W535" i="2" s="1"/>
  <c r="M527" i="2"/>
  <c r="W527" i="2" s="1"/>
  <c r="M519" i="2"/>
  <c r="W519" i="2" s="1"/>
  <c r="M511" i="2"/>
  <c r="W511" i="2" s="1"/>
  <c r="M503" i="2"/>
  <c r="W503" i="2" s="1"/>
  <c r="M495" i="2"/>
  <c r="W495" i="2" s="1"/>
  <c r="M487" i="2"/>
  <c r="W487" i="2" s="1"/>
  <c r="M479" i="2"/>
  <c r="W479" i="2" s="1"/>
  <c r="M471" i="2"/>
  <c r="W471" i="2" s="1"/>
  <c r="M463" i="2"/>
  <c r="W463" i="2" s="1"/>
  <c r="M455" i="2"/>
  <c r="W455" i="2" s="1"/>
  <c r="M447" i="2"/>
  <c r="W447" i="2" s="1"/>
  <c r="M439" i="2"/>
  <c r="W439" i="2" s="1"/>
  <c r="M431" i="2"/>
  <c r="W431" i="2" s="1"/>
  <c r="M423" i="2"/>
  <c r="W423" i="2" s="1"/>
  <c r="M415" i="2"/>
  <c r="W415" i="2" s="1"/>
  <c r="M407" i="2"/>
  <c r="W407" i="2" s="1"/>
  <c r="M399" i="2"/>
  <c r="W399" i="2" s="1"/>
  <c r="M856" i="2"/>
  <c r="W856" i="2" s="1"/>
  <c r="M848" i="2"/>
  <c r="W848" i="2" s="1"/>
  <c r="M824" i="2"/>
  <c r="W824" i="2" s="1"/>
  <c r="M816" i="2"/>
  <c r="W816" i="2" s="1"/>
  <c r="M800" i="2"/>
  <c r="W800" i="2" s="1"/>
  <c r="M792" i="2"/>
  <c r="W792" i="2" s="1"/>
  <c r="M784" i="2"/>
  <c r="W784" i="2" s="1"/>
  <c r="M760" i="2"/>
  <c r="W760" i="2" s="1"/>
  <c r="M752" i="2"/>
  <c r="W752" i="2" s="1"/>
  <c r="M736" i="2"/>
  <c r="W736" i="2" s="1"/>
  <c r="M728" i="2"/>
  <c r="W728" i="2" s="1"/>
  <c r="M720" i="2"/>
  <c r="W720" i="2" s="1"/>
  <c r="M696" i="2"/>
  <c r="W696" i="2" s="1"/>
  <c r="M688" i="2"/>
  <c r="W688" i="2" s="1"/>
  <c r="M672" i="2"/>
  <c r="W672" i="2" s="1"/>
  <c r="M664" i="2"/>
  <c r="W664" i="2" s="1"/>
  <c r="M656" i="2"/>
  <c r="W656" i="2" s="1"/>
  <c r="M632" i="2"/>
  <c r="W632" i="2" s="1"/>
  <c r="M624" i="2"/>
  <c r="W624" i="2" s="1"/>
  <c r="M616" i="2"/>
  <c r="W616" i="2" s="1"/>
  <c r="M600" i="2"/>
  <c r="W600" i="2" s="1"/>
  <c r="M592" i="2"/>
  <c r="W592" i="2" s="1"/>
  <c r="M584" i="2"/>
  <c r="W584" i="2" s="1"/>
  <c r="M560" i="2"/>
  <c r="W560" i="2" s="1"/>
  <c r="M552" i="2"/>
  <c r="W552" i="2" s="1"/>
  <c r="M536" i="2"/>
  <c r="W536" i="2" s="1"/>
  <c r="M528" i="2"/>
  <c r="W528" i="2" s="1"/>
  <c r="M520" i="2"/>
  <c r="W520" i="2" s="1"/>
  <c r="M512" i="2"/>
  <c r="W512" i="2" s="1"/>
  <c r="M488" i="2"/>
  <c r="W488" i="2" s="1"/>
  <c r="M480" i="2"/>
  <c r="W480" i="2" s="1"/>
  <c r="M464" i="2"/>
  <c r="W464" i="2" s="1"/>
  <c r="M456" i="2"/>
  <c r="W456" i="2" s="1"/>
  <c r="M448" i="2"/>
  <c r="W448" i="2" s="1"/>
  <c r="M440" i="2"/>
  <c r="W440" i="2" s="1"/>
  <c r="M424" i="2"/>
  <c r="W424" i="2" s="1"/>
  <c r="M408" i="2"/>
  <c r="W408" i="2" s="1"/>
  <c r="M400" i="2"/>
  <c r="W400" i="2" s="1"/>
  <c r="M336" i="2"/>
  <c r="W336" i="2" s="1"/>
  <c r="M280" i="2"/>
  <c r="W280" i="2" s="1"/>
  <c r="M272" i="2"/>
  <c r="W272" i="2" s="1"/>
  <c r="M216" i="2"/>
  <c r="W216" i="2" s="1"/>
  <c r="M391" i="2"/>
  <c r="W391" i="2" s="1"/>
  <c r="M383" i="2"/>
  <c r="W383" i="2" s="1"/>
  <c r="M375" i="2"/>
  <c r="W375" i="2" s="1"/>
  <c r="M367" i="2"/>
  <c r="W367" i="2" s="1"/>
  <c r="M359" i="2"/>
  <c r="W359" i="2" s="1"/>
  <c r="M351" i="2"/>
  <c r="W351" i="2" s="1"/>
  <c r="M343" i="2"/>
  <c r="W343" i="2" s="1"/>
  <c r="M335" i="2"/>
  <c r="W335" i="2" s="1"/>
  <c r="M327" i="2"/>
  <c r="W327" i="2" s="1"/>
  <c r="M319" i="2"/>
  <c r="W319" i="2" s="1"/>
  <c r="M311" i="2"/>
  <c r="W311" i="2" s="1"/>
  <c r="M303" i="2"/>
  <c r="W303" i="2" s="1"/>
  <c r="M295" i="2"/>
  <c r="W295" i="2" s="1"/>
  <c r="M287" i="2"/>
  <c r="W287" i="2" s="1"/>
  <c r="M279" i="2"/>
  <c r="W279" i="2" s="1"/>
  <c r="M271" i="2"/>
  <c r="W271" i="2" s="1"/>
  <c r="M263" i="2"/>
  <c r="W263" i="2" s="1"/>
  <c r="M255" i="2"/>
  <c r="W255" i="2" s="1"/>
  <c r="M247" i="2"/>
  <c r="W247" i="2" s="1"/>
  <c r="M231" i="2"/>
  <c r="W231" i="2" s="1"/>
  <c r="M223" i="2"/>
  <c r="W223" i="2" s="1"/>
  <c r="M215" i="2"/>
  <c r="W215" i="2" s="1"/>
  <c r="M205" i="2"/>
  <c r="W205" i="2" s="1"/>
  <c r="M197" i="2"/>
  <c r="W197" i="2" s="1"/>
  <c r="M189" i="2"/>
  <c r="W189" i="2" s="1"/>
  <c r="M181" i="2"/>
  <c r="W181" i="2" s="1"/>
  <c r="M173" i="2"/>
  <c r="W173" i="2" s="1"/>
  <c r="M165" i="2"/>
  <c r="W165" i="2" s="1"/>
  <c r="M157" i="2"/>
  <c r="W157" i="2" s="1"/>
  <c r="M149" i="2"/>
  <c r="W149" i="2" s="1"/>
  <c r="M141" i="2"/>
  <c r="W141" i="2" s="1"/>
  <c r="M133" i="2"/>
  <c r="W133" i="2" s="1"/>
  <c r="M125" i="2"/>
  <c r="W125" i="2" s="1"/>
  <c r="M117" i="2"/>
  <c r="W117" i="2" s="1"/>
  <c r="M109" i="2"/>
  <c r="W109" i="2" s="1"/>
  <c r="M101" i="2"/>
  <c r="W101" i="2" s="1"/>
  <c r="M93" i="2"/>
  <c r="W93" i="2" s="1"/>
  <c r="M85" i="2"/>
  <c r="W85" i="2" s="1"/>
  <c r="M77" i="2"/>
  <c r="W77" i="2" s="1"/>
  <c r="M69" i="2"/>
  <c r="W69" i="2" s="1"/>
  <c r="M61" i="2"/>
  <c r="W61" i="2" s="1"/>
  <c r="M53" i="2"/>
  <c r="W53" i="2" s="1"/>
  <c r="M45" i="2"/>
  <c r="W45" i="2" s="1"/>
  <c r="M37" i="2"/>
  <c r="W37" i="2" s="1"/>
  <c r="M29" i="2"/>
  <c r="W29" i="2" s="1"/>
  <c r="M21" i="2"/>
  <c r="W21" i="2" s="1"/>
  <c r="M13" i="2"/>
  <c r="W13" i="2" s="1"/>
  <c r="M840" i="2"/>
  <c r="W840" i="2" s="1"/>
  <c r="M832" i="2"/>
  <c r="W832" i="2" s="1"/>
  <c r="M808" i="2"/>
  <c r="W808" i="2" s="1"/>
  <c r="M776" i="2"/>
  <c r="W776" i="2" s="1"/>
  <c r="M768" i="2"/>
  <c r="W768" i="2" s="1"/>
  <c r="M744" i="2"/>
  <c r="W744" i="2" s="1"/>
  <c r="M712" i="2"/>
  <c r="W712" i="2" s="1"/>
  <c r="M704" i="2"/>
  <c r="W704" i="2" s="1"/>
  <c r="M680" i="2"/>
  <c r="W680" i="2" s="1"/>
  <c r="M648" i="2"/>
  <c r="W648" i="2" s="1"/>
  <c r="M640" i="2"/>
  <c r="W640" i="2" s="1"/>
  <c r="M608" i="2"/>
  <c r="W608" i="2" s="1"/>
  <c r="M576" i="2"/>
  <c r="W576" i="2" s="1"/>
  <c r="M568" i="2"/>
  <c r="W568" i="2" s="1"/>
  <c r="M544" i="2"/>
  <c r="W544" i="2" s="1"/>
  <c r="M504" i="2"/>
  <c r="W504" i="2" s="1"/>
  <c r="M496" i="2"/>
  <c r="W496" i="2" s="1"/>
  <c r="M472" i="2"/>
  <c r="W472" i="2" s="1"/>
  <c r="M432" i="2"/>
  <c r="W432" i="2" s="1"/>
  <c r="M416" i="2"/>
  <c r="W416" i="2" s="1"/>
  <c r="M344" i="2"/>
  <c r="W344" i="2" s="1"/>
  <c r="M849" i="2"/>
  <c r="W849" i="2" s="1"/>
  <c r="M833" i="2"/>
  <c r="W833" i="2" s="1"/>
  <c r="M817" i="2"/>
  <c r="W817" i="2" s="1"/>
  <c r="M801" i="2"/>
  <c r="W801" i="2" s="1"/>
  <c r="M785" i="2"/>
  <c r="W785" i="2" s="1"/>
  <c r="M769" i="2"/>
  <c r="W769" i="2" s="1"/>
  <c r="M753" i="2"/>
  <c r="W753" i="2" s="1"/>
  <c r="M729" i="2"/>
  <c r="W729" i="2" s="1"/>
  <c r="M713" i="2"/>
  <c r="W713" i="2" s="1"/>
  <c r="M697" i="2"/>
  <c r="W697" i="2" s="1"/>
  <c r="M681" i="2"/>
  <c r="W681" i="2" s="1"/>
  <c r="M665" i="2"/>
  <c r="W665" i="2" s="1"/>
  <c r="M649" i="2"/>
  <c r="W649" i="2" s="1"/>
  <c r="M633" i="2"/>
  <c r="W633" i="2" s="1"/>
  <c r="M617" i="2"/>
  <c r="W617" i="2" s="1"/>
  <c r="M601" i="2"/>
  <c r="W601" i="2" s="1"/>
  <c r="M585" i="2"/>
  <c r="W585" i="2" s="1"/>
  <c r="M569" i="2"/>
  <c r="W569" i="2" s="1"/>
  <c r="M553" i="2"/>
  <c r="W553" i="2" s="1"/>
  <c r="M537" i="2"/>
  <c r="W537" i="2" s="1"/>
  <c r="M521" i="2"/>
  <c r="W521" i="2" s="1"/>
  <c r="M505" i="2"/>
  <c r="W505" i="2" s="1"/>
  <c r="M489" i="2"/>
  <c r="W489" i="2" s="1"/>
  <c r="M473" i="2"/>
  <c r="W473" i="2" s="1"/>
  <c r="M457" i="2"/>
  <c r="W457" i="2" s="1"/>
  <c r="M441" i="2"/>
  <c r="W441" i="2" s="1"/>
  <c r="M425" i="2"/>
  <c r="W425" i="2" s="1"/>
  <c r="M409" i="2"/>
  <c r="W409" i="2" s="1"/>
  <c r="M393" i="2"/>
  <c r="W393" i="2" s="1"/>
  <c r="M377" i="2"/>
  <c r="W377" i="2" s="1"/>
  <c r="M361" i="2"/>
  <c r="W361" i="2" s="1"/>
  <c r="M345" i="2"/>
  <c r="W345" i="2" s="1"/>
  <c r="M329" i="2"/>
  <c r="W329" i="2" s="1"/>
  <c r="M313" i="2"/>
  <c r="W313" i="2" s="1"/>
  <c r="M297" i="2"/>
  <c r="W297" i="2" s="1"/>
  <c r="M281" i="2"/>
  <c r="W281" i="2" s="1"/>
  <c r="M265" i="2"/>
  <c r="W265" i="2" s="1"/>
  <c r="M249" i="2"/>
  <c r="W249" i="2" s="1"/>
  <c r="M233" i="2"/>
  <c r="W233" i="2" s="1"/>
  <c r="M217" i="2"/>
  <c r="W217" i="2" s="1"/>
  <c r="M199" i="2"/>
  <c r="W199" i="2" s="1"/>
  <c r="M167" i="2"/>
  <c r="W167" i="2" s="1"/>
  <c r="M159" i="2"/>
  <c r="W159" i="2" s="1"/>
  <c r="M151" i="2"/>
  <c r="W151" i="2" s="1"/>
  <c r="M135" i="2"/>
  <c r="W135" i="2" s="1"/>
  <c r="M127" i="2"/>
  <c r="W127" i="2" s="1"/>
  <c r="M119" i="2"/>
  <c r="W119" i="2" s="1"/>
  <c r="M103" i="2"/>
  <c r="W103" i="2" s="1"/>
  <c r="M95" i="2"/>
  <c r="W95" i="2" s="1"/>
  <c r="M87" i="2"/>
  <c r="W87" i="2" s="1"/>
  <c r="M71" i="2"/>
  <c r="W71" i="2" s="1"/>
  <c r="M63" i="2"/>
  <c r="W63" i="2" s="1"/>
  <c r="M55" i="2"/>
  <c r="W55" i="2" s="1"/>
  <c r="M39" i="2"/>
  <c r="W39" i="2" s="1"/>
  <c r="M31" i="2"/>
  <c r="W31" i="2" s="1"/>
  <c r="M23" i="2"/>
  <c r="W23" i="2" s="1"/>
  <c r="M857" i="2"/>
  <c r="W857" i="2" s="1"/>
  <c r="M841" i="2"/>
  <c r="W841" i="2" s="1"/>
  <c r="M825" i="2"/>
  <c r="W825" i="2" s="1"/>
  <c r="M809" i="2"/>
  <c r="W809" i="2" s="1"/>
  <c r="M793" i="2"/>
  <c r="W793" i="2" s="1"/>
  <c r="M777" i="2"/>
  <c r="W777" i="2" s="1"/>
  <c r="M761" i="2"/>
  <c r="W761" i="2" s="1"/>
  <c r="M745" i="2"/>
  <c r="W745" i="2" s="1"/>
  <c r="M721" i="2"/>
  <c r="W721" i="2" s="1"/>
  <c r="M705" i="2"/>
  <c r="W705" i="2" s="1"/>
  <c r="M689" i="2"/>
  <c r="W689" i="2" s="1"/>
  <c r="M673" i="2"/>
  <c r="W673" i="2" s="1"/>
  <c r="M657" i="2"/>
  <c r="W657" i="2" s="1"/>
  <c r="M641" i="2"/>
  <c r="W641" i="2" s="1"/>
  <c r="M625" i="2"/>
  <c r="W625" i="2" s="1"/>
  <c r="M609" i="2"/>
  <c r="W609" i="2" s="1"/>
  <c r="M593" i="2"/>
  <c r="W593" i="2" s="1"/>
  <c r="M577" i="2"/>
  <c r="W577" i="2" s="1"/>
  <c r="M561" i="2"/>
  <c r="W561" i="2" s="1"/>
  <c r="M545" i="2"/>
  <c r="W545" i="2" s="1"/>
  <c r="M529" i="2"/>
  <c r="W529" i="2" s="1"/>
  <c r="M513" i="2"/>
  <c r="W513" i="2" s="1"/>
  <c r="M497" i="2"/>
  <c r="W497" i="2" s="1"/>
  <c r="M481" i="2"/>
  <c r="W481" i="2" s="1"/>
  <c r="M465" i="2"/>
  <c r="W465" i="2" s="1"/>
  <c r="M449" i="2"/>
  <c r="W449" i="2" s="1"/>
  <c r="M433" i="2"/>
  <c r="W433" i="2" s="1"/>
  <c r="M417" i="2"/>
  <c r="W417" i="2" s="1"/>
  <c r="M401" i="2"/>
  <c r="W401" i="2" s="1"/>
  <c r="M385" i="2"/>
  <c r="W385" i="2" s="1"/>
  <c r="M369" i="2"/>
  <c r="W369" i="2" s="1"/>
  <c r="M353" i="2"/>
  <c r="W353" i="2" s="1"/>
  <c r="M337" i="2"/>
  <c r="W337" i="2" s="1"/>
  <c r="M321" i="2"/>
  <c r="W321" i="2" s="1"/>
  <c r="M305" i="2"/>
  <c r="W305" i="2" s="1"/>
  <c r="M289" i="2"/>
  <c r="W289" i="2" s="1"/>
  <c r="M273" i="2"/>
  <c r="W273" i="2" s="1"/>
  <c r="M257" i="2"/>
  <c r="W257" i="2" s="1"/>
  <c r="M241" i="2"/>
  <c r="W241" i="2" s="1"/>
  <c r="M225" i="2"/>
  <c r="W225" i="2" s="1"/>
  <c r="M207" i="2"/>
  <c r="W207" i="2" s="1"/>
  <c r="M191" i="2"/>
  <c r="W191" i="2" s="1"/>
  <c r="M183" i="2"/>
  <c r="W183" i="2" s="1"/>
  <c r="M175" i="2"/>
  <c r="W175" i="2" s="1"/>
  <c r="M143" i="2"/>
  <c r="W143" i="2" s="1"/>
  <c r="M111" i="2"/>
  <c r="W111" i="2" s="1"/>
  <c r="M79" i="2"/>
  <c r="W79" i="2" s="1"/>
  <c r="M47" i="2"/>
  <c r="W47" i="2" s="1"/>
  <c r="M15" i="2"/>
  <c r="W15" i="2" s="1"/>
  <c r="M392" i="2"/>
  <c r="W392" i="2" s="1"/>
  <c r="M384" i="2"/>
  <c r="W384" i="2" s="1"/>
  <c r="M376" i="2"/>
  <c r="W376" i="2" s="1"/>
  <c r="M368" i="2"/>
  <c r="W368" i="2" s="1"/>
  <c r="M360" i="2"/>
  <c r="W360" i="2" s="1"/>
  <c r="M352" i="2"/>
  <c r="W352" i="2" s="1"/>
  <c r="M328" i="2"/>
  <c r="W328" i="2" s="1"/>
  <c r="M320" i="2"/>
  <c r="W320" i="2" s="1"/>
  <c r="M312" i="2"/>
  <c r="W312" i="2" s="1"/>
  <c r="M304" i="2"/>
  <c r="W304" i="2" s="1"/>
  <c r="M296" i="2"/>
  <c r="W296" i="2" s="1"/>
  <c r="M288" i="2"/>
  <c r="W288" i="2" s="1"/>
  <c r="M264" i="2"/>
  <c r="W264" i="2" s="1"/>
  <c r="M256" i="2"/>
  <c r="W256" i="2" s="1"/>
  <c r="M248" i="2"/>
  <c r="W248" i="2" s="1"/>
  <c r="M240" i="2"/>
  <c r="W240" i="2" s="1"/>
  <c r="M232" i="2"/>
  <c r="W232" i="2" s="1"/>
  <c r="M224" i="2"/>
  <c r="W224" i="2" s="1"/>
  <c r="M206" i="2"/>
  <c r="W206" i="2" s="1"/>
  <c r="M198" i="2"/>
  <c r="W198" i="2" s="1"/>
  <c r="M190" i="2"/>
  <c r="W190" i="2" s="1"/>
  <c r="M182" i="2"/>
  <c r="W182" i="2" s="1"/>
  <c r="M174" i="2"/>
  <c r="W174" i="2" s="1"/>
  <c r="M166" i="2"/>
  <c r="W166" i="2" s="1"/>
  <c r="M158" i="2"/>
  <c r="W158" i="2" s="1"/>
  <c r="M150" i="2"/>
  <c r="W150" i="2" s="1"/>
  <c r="M142" i="2"/>
  <c r="W142" i="2" s="1"/>
  <c r="M134" i="2"/>
  <c r="W134" i="2" s="1"/>
  <c r="M126" i="2"/>
  <c r="W126" i="2" s="1"/>
  <c r="M118" i="2"/>
  <c r="W118" i="2" s="1"/>
  <c r="M110" i="2"/>
  <c r="W110" i="2" s="1"/>
  <c r="M102" i="2"/>
  <c r="W102" i="2" s="1"/>
  <c r="M94" i="2"/>
  <c r="W94" i="2" s="1"/>
  <c r="M86" i="2"/>
  <c r="W86" i="2" s="1"/>
  <c r="M78" i="2"/>
  <c r="W78" i="2" s="1"/>
  <c r="M70" i="2"/>
  <c r="W70" i="2" s="1"/>
  <c r="M62" i="2"/>
  <c r="W62" i="2" s="1"/>
  <c r="M54" i="2"/>
  <c r="W54" i="2" s="1"/>
  <c r="M46" i="2"/>
  <c r="W46" i="2" s="1"/>
  <c r="M38" i="2"/>
  <c r="W38" i="2" s="1"/>
  <c r="M30" i="2"/>
  <c r="W30" i="2" s="1"/>
  <c r="M22" i="2"/>
  <c r="W22" i="2" s="1"/>
  <c r="M14" i="2"/>
  <c r="W14" i="2" s="1"/>
  <c r="M737" i="2"/>
  <c r="W737" i="2" s="1"/>
  <c r="W10" i="2"/>
  <c r="Q10" i="2"/>
  <c r="S10" i="2"/>
  <c r="Q11" i="2"/>
  <c r="S11" i="2"/>
  <c r="W12" i="2"/>
  <c r="Q12" i="2"/>
  <c r="S12" i="2"/>
  <c r="Q13" i="2"/>
  <c r="S13" i="2"/>
  <c r="Q14" i="2"/>
  <c r="S14" i="2"/>
  <c r="Q15" i="2"/>
  <c r="S15" i="2"/>
  <c r="W16" i="2"/>
  <c r="Q16" i="2"/>
  <c r="S16" i="2"/>
  <c r="W17" i="2"/>
  <c r="Q17" i="2"/>
  <c r="S17" i="2"/>
  <c r="W18" i="2"/>
  <c r="Q18" i="2"/>
  <c r="S18" i="2"/>
  <c r="Q19" i="2"/>
  <c r="S19" i="2"/>
  <c r="W20" i="2"/>
  <c r="Q20" i="2"/>
  <c r="S20" i="2"/>
  <c r="Q21" i="2"/>
  <c r="S21" i="2"/>
  <c r="Q22" i="2"/>
  <c r="S22" i="2"/>
  <c r="Q23" i="2"/>
  <c r="S23" i="2"/>
  <c r="W24" i="2"/>
  <c r="P24" i="2"/>
  <c r="Q24" i="2"/>
  <c r="S24" i="2"/>
  <c r="W25" i="2"/>
  <c r="Q25" i="2"/>
  <c r="S25" i="2"/>
  <c r="W26" i="2"/>
  <c r="Q26" i="2"/>
  <c r="S26" i="2"/>
  <c r="Q27" i="2"/>
  <c r="S27" i="2"/>
  <c r="W28" i="2"/>
  <c r="Q28" i="2"/>
  <c r="S28" i="2"/>
  <c r="P29" i="2"/>
  <c r="Q29" i="2"/>
  <c r="S29" i="2"/>
  <c r="P30" i="2"/>
  <c r="Q30" i="2"/>
  <c r="S30" i="2"/>
  <c r="Q31" i="2"/>
  <c r="S31" i="2"/>
  <c r="W32" i="2"/>
  <c r="Q32" i="2"/>
  <c r="S32" i="2"/>
  <c r="W33" i="2"/>
  <c r="Q33" i="2"/>
  <c r="S33" i="2"/>
  <c r="W34" i="2"/>
  <c r="P34" i="2"/>
  <c r="Q34" i="2"/>
  <c r="S34" i="2"/>
  <c r="P35" i="2"/>
  <c r="Q35" i="2"/>
  <c r="S35" i="2"/>
  <c r="W36" i="2"/>
  <c r="P36" i="2"/>
  <c r="Q36" i="2"/>
  <c r="S36" i="2"/>
  <c r="Q37" i="2"/>
  <c r="S37" i="2"/>
  <c r="Q38" i="2"/>
  <c r="S38" i="2"/>
  <c r="P39" i="2"/>
  <c r="Q39" i="2"/>
  <c r="S39" i="2"/>
  <c r="W40" i="2"/>
  <c r="P40" i="2"/>
  <c r="Q40" i="2"/>
  <c r="S40" i="2"/>
  <c r="W41" i="2"/>
  <c r="P41" i="2"/>
  <c r="Q41" i="2"/>
  <c r="S41" i="2"/>
  <c r="W42" i="2"/>
  <c r="P42" i="2"/>
  <c r="Q42" i="2"/>
  <c r="S42" i="2"/>
  <c r="P43" i="2"/>
  <c r="Q43" i="2"/>
  <c r="S43" i="2"/>
  <c r="W44" i="2"/>
  <c r="P44" i="2"/>
  <c r="Q44" i="2"/>
  <c r="S44" i="2"/>
  <c r="Q45" i="2"/>
  <c r="S45" i="2"/>
  <c r="Q46" i="2"/>
  <c r="S46" i="2"/>
  <c r="Q47" i="2"/>
  <c r="S47" i="2"/>
  <c r="W48" i="2"/>
  <c r="Q48" i="2"/>
  <c r="S48" i="2"/>
  <c r="W49" i="2"/>
  <c r="Q49" i="2"/>
  <c r="S49" i="2"/>
  <c r="W50" i="2"/>
  <c r="Q50" i="2"/>
  <c r="S50" i="2"/>
  <c r="Q51" i="2"/>
  <c r="S51" i="2"/>
  <c r="W52" i="2"/>
  <c r="Q52" i="2"/>
  <c r="S52" i="2"/>
  <c r="Q53" i="2"/>
  <c r="S53" i="2"/>
  <c r="Q54" i="2"/>
  <c r="S54" i="2"/>
  <c r="Q55" i="2"/>
  <c r="S55" i="2"/>
  <c r="W56" i="2"/>
  <c r="Q56" i="2"/>
  <c r="S56" i="2"/>
  <c r="W57" i="2"/>
  <c r="Q57" i="2"/>
  <c r="S57" i="2"/>
  <c r="W58" i="2"/>
  <c r="Q58" i="2"/>
  <c r="S58" i="2"/>
  <c r="Q59" i="2"/>
  <c r="S59" i="2"/>
  <c r="W60" i="2"/>
  <c r="Q60" i="2"/>
  <c r="S60" i="2"/>
  <c r="Q61" i="2"/>
  <c r="S61" i="2"/>
  <c r="Q62" i="2"/>
  <c r="S62" i="2"/>
  <c r="Q63" i="2"/>
  <c r="S63" i="2"/>
  <c r="W64" i="2"/>
  <c r="Q64" i="2"/>
  <c r="S64" i="2"/>
  <c r="W65" i="2"/>
  <c r="Q65" i="2"/>
  <c r="S65" i="2"/>
  <c r="W66" i="2"/>
  <c r="Q66" i="2"/>
  <c r="S66" i="2"/>
  <c r="Q67" i="2"/>
  <c r="S67" i="2"/>
  <c r="W68" i="2"/>
  <c r="Q68" i="2"/>
  <c r="S68" i="2"/>
  <c r="Q69" i="2"/>
  <c r="S69" i="2"/>
  <c r="Q70" i="2"/>
  <c r="S70" i="2"/>
  <c r="Q71" i="2"/>
  <c r="S71" i="2"/>
  <c r="W72" i="2"/>
  <c r="Q72" i="2"/>
  <c r="S72" i="2"/>
  <c r="W73" i="2"/>
  <c r="Q73" i="2"/>
  <c r="S73" i="2"/>
  <c r="W74" i="2"/>
  <c r="Q74" i="2"/>
  <c r="S74" i="2"/>
  <c r="Q75" i="2"/>
  <c r="S75" i="2"/>
  <c r="W76" i="2"/>
  <c r="Q76" i="2"/>
  <c r="S76" i="2"/>
  <c r="Q77" i="2"/>
  <c r="S77" i="2"/>
  <c r="Q78" i="2"/>
  <c r="S78" i="2"/>
  <c r="Q79" i="2"/>
  <c r="S79" i="2"/>
  <c r="W80" i="2"/>
  <c r="Q80" i="2"/>
  <c r="S80" i="2"/>
  <c r="W81" i="2"/>
  <c r="Q81" i="2"/>
  <c r="S81" i="2"/>
  <c r="W82" i="2"/>
  <c r="Q82" i="2"/>
  <c r="S82" i="2"/>
  <c r="Q83" i="2"/>
  <c r="S83" i="2"/>
  <c r="W84" i="2"/>
  <c r="P84" i="2"/>
  <c r="Q84" i="2"/>
  <c r="S84" i="2"/>
  <c r="Q85" i="2"/>
  <c r="S85" i="2"/>
  <c r="Q86" i="2"/>
  <c r="S86" i="2"/>
  <c r="P87" i="2"/>
  <c r="Q87" i="2"/>
  <c r="S87" i="2"/>
  <c r="W88" i="2"/>
  <c r="Q88" i="2"/>
  <c r="S88" i="2"/>
  <c r="W89" i="2"/>
  <c r="Q89" i="2"/>
  <c r="S89" i="2"/>
  <c r="W90" i="2"/>
  <c r="Q90" i="2"/>
  <c r="S90" i="2"/>
  <c r="Q91" i="2"/>
  <c r="S91" i="2"/>
  <c r="W92" i="2"/>
  <c r="Q92" i="2"/>
  <c r="S92" i="2"/>
  <c r="Q93" i="2"/>
  <c r="S93" i="2"/>
  <c r="Q94" i="2"/>
  <c r="S94" i="2"/>
  <c r="P95" i="2"/>
  <c r="Q95" i="2"/>
  <c r="S95" i="2"/>
  <c r="W96" i="2"/>
  <c r="Q96" i="2"/>
  <c r="S96" i="2"/>
  <c r="W97" i="2"/>
  <c r="Q97" i="2"/>
  <c r="S97" i="2"/>
  <c r="W98" i="2"/>
  <c r="P98" i="2"/>
  <c r="Q98" i="2"/>
  <c r="S98" i="2"/>
  <c r="Q99" i="2"/>
  <c r="S99" i="2"/>
  <c r="W100" i="2"/>
  <c r="P100" i="2"/>
  <c r="Q100" i="2"/>
  <c r="S100" i="2"/>
  <c r="P101" i="2"/>
  <c r="Q101" i="2"/>
  <c r="S101" i="2"/>
  <c r="P102" i="2"/>
  <c r="Q102" i="2"/>
  <c r="S102" i="2"/>
  <c r="P103" i="2"/>
  <c r="Q103" i="2"/>
  <c r="S103" i="2"/>
  <c r="W104" i="2"/>
  <c r="P104" i="2"/>
  <c r="Q104" i="2"/>
  <c r="S104" i="2"/>
  <c r="W105" i="2"/>
  <c r="P105" i="2"/>
  <c r="Q105" i="2"/>
  <c r="S105" i="2"/>
  <c r="W106" i="2"/>
  <c r="P106" i="2"/>
  <c r="Q106" i="2"/>
  <c r="S106" i="2"/>
  <c r="P107" i="2"/>
  <c r="Q107" i="2"/>
  <c r="S107" i="2"/>
  <c r="W108" i="2"/>
  <c r="P108" i="2"/>
  <c r="Q108" i="2"/>
  <c r="S108" i="2"/>
  <c r="P109" i="2"/>
  <c r="Q109" i="2"/>
  <c r="S109" i="2"/>
  <c r="P110" i="2"/>
  <c r="Q110" i="2"/>
  <c r="S110" i="2"/>
  <c r="P111" i="2"/>
  <c r="Q111" i="2"/>
  <c r="S111" i="2"/>
  <c r="W112" i="2"/>
  <c r="P112" i="2"/>
  <c r="Q112" i="2"/>
  <c r="S112" i="2"/>
  <c r="W113" i="2"/>
  <c r="P113" i="2"/>
  <c r="Q113" i="2"/>
  <c r="S113" i="2"/>
  <c r="W114" i="2"/>
  <c r="Q114" i="2"/>
  <c r="S114" i="2"/>
  <c r="Q115" i="2"/>
  <c r="S115" i="2"/>
  <c r="W116" i="2"/>
  <c r="Q116" i="2"/>
  <c r="S116" i="2"/>
  <c r="Q117" i="2"/>
  <c r="S117" i="2"/>
  <c r="Q118" i="2"/>
  <c r="S118" i="2"/>
  <c r="Q119" i="2"/>
  <c r="S119" i="2"/>
  <c r="W120" i="2"/>
  <c r="Q120" i="2"/>
  <c r="S120" i="2"/>
  <c r="W121" i="2"/>
  <c r="Q121" i="2"/>
  <c r="S121" i="2"/>
  <c r="W122" i="2"/>
  <c r="Q122" i="2"/>
  <c r="S122" i="2"/>
  <c r="Q123" i="2"/>
  <c r="S123" i="2"/>
  <c r="W124" i="2"/>
  <c r="Q124" i="2"/>
  <c r="S124" i="2"/>
  <c r="Q125" i="2"/>
  <c r="S125" i="2"/>
  <c r="Q126" i="2"/>
  <c r="S126" i="2"/>
  <c r="Q127" i="2"/>
  <c r="S127" i="2"/>
  <c r="W128" i="2"/>
  <c r="Q128" i="2"/>
  <c r="S128" i="2"/>
  <c r="W129" i="2"/>
  <c r="Q129" i="2"/>
  <c r="S129" i="2"/>
  <c r="W130" i="2"/>
  <c r="Q130" i="2"/>
  <c r="S130" i="2"/>
  <c r="Q131" i="2"/>
  <c r="S131" i="2"/>
  <c r="W132" i="2"/>
  <c r="Q132" i="2"/>
  <c r="S132" i="2"/>
  <c r="Q133" i="2"/>
  <c r="S133" i="2"/>
  <c r="Q134" i="2"/>
  <c r="S134" i="2"/>
  <c r="Q135" i="2"/>
  <c r="S135" i="2"/>
  <c r="W136" i="2"/>
  <c r="Q136" i="2"/>
  <c r="S136" i="2"/>
  <c r="W137" i="2"/>
  <c r="Q137" i="2"/>
  <c r="S137" i="2"/>
  <c r="W138" i="2"/>
  <c r="Q138" i="2"/>
  <c r="S138" i="2"/>
  <c r="Q139" i="2"/>
  <c r="S139" i="2"/>
  <c r="W140" i="2"/>
  <c r="Q140" i="2"/>
  <c r="S140" i="2"/>
  <c r="Q141" i="2"/>
  <c r="S141" i="2"/>
  <c r="Q142" i="2"/>
  <c r="S142" i="2"/>
  <c r="Q143" i="2"/>
  <c r="S143" i="2"/>
  <c r="W144" i="2"/>
  <c r="Q144" i="2"/>
  <c r="S144" i="2"/>
  <c r="W145" i="2"/>
  <c r="Q145" i="2"/>
  <c r="S145" i="2"/>
  <c r="W146" i="2"/>
  <c r="Q146" i="2"/>
  <c r="S146" i="2"/>
  <c r="Q147" i="2"/>
  <c r="S147" i="2"/>
  <c r="W148" i="2"/>
  <c r="Q148" i="2"/>
  <c r="S148" i="2"/>
  <c r="Q149" i="2"/>
  <c r="S149" i="2"/>
  <c r="Q150" i="2"/>
  <c r="S150" i="2"/>
  <c r="Q151" i="2"/>
  <c r="S151" i="2"/>
  <c r="W152" i="2"/>
  <c r="Q152" i="2"/>
  <c r="S152" i="2"/>
  <c r="W153" i="2"/>
  <c r="Q153" i="2"/>
  <c r="S153" i="2"/>
  <c r="W154" i="2"/>
  <c r="Q154" i="2"/>
  <c r="S154" i="2"/>
  <c r="Q155" i="2"/>
  <c r="S155" i="2"/>
  <c r="W156" i="2"/>
  <c r="P156" i="2"/>
  <c r="Q156" i="2"/>
  <c r="S156" i="2"/>
  <c r="Q157" i="2"/>
  <c r="S157" i="2"/>
  <c r="Q158" i="2"/>
  <c r="S158" i="2"/>
  <c r="Q159" i="2"/>
  <c r="S159" i="2"/>
  <c r="W160" i="2"/>
  <c r="Q160" i="2"/>
  <c r="S160" i="2"/>
  <c r="W161" i="2"/>
  <c r="Q161" i="2"/>
  <c r="S161" i="2"/>
  <c r="W162" i="2"/>
  <c r="Q162" i="2"/>
  <c r="S162" i="2"/>
  <c r="Q163" i="2"/>
  <c r="S163" i="2"/>
  <c r="W164" i="2"/>
  <c r="Q164" i="2"/>
  <c r="S164" i="2"/>
  <c r="P165" i="2"/>
  <c r="Q165" i="2"/>
  <c r="S165" i="2"/>
  <c r="P166" i="2"/>
  <c r="Q166" i="2"/>
  <c r="S166" i="2"/>
  <c r="P167" i="2"/>
  <c r="Q167" i="2"/>
  <c r="S167" i="2"/>
  <c r="W168" i="2"/>
  <c r="P168" i="2"/>
  <c r="Q168" i="2"/>
  <c r="S168" i="2"/>
  <c r="W169" i="2"/>
  <c r="P169" i="2"/>
  <c r="Q169" i="2"/>
  <c r="S169" i="2"/>
  <c r="W170" i="2"/>
  <c r="P170" i="2"/>
  <c r="Q170" i="2"/>
  <c r="S170" i="2"/>
  <c r="P171" i="2"/>
  <c r="Q171" i="2"/>
  <c r="S171" i="2"/>
  <c r="W172" i="2"/>
  <c r="P172" i="2"/>
  <c r="Q172" i="2"/>
  <c r="S172" i="2"/>
  <c r="P173" i="2"/>
  <c r="Q173" i="2"/>
  <c r="S173" i="2"/>
  <c r="Q174" i="2"/>
  <c r="S174" i="2"/>
  <c r="Q175" i="2"/>
  <c r="S175" i="2"/>
  <c r="W176" i="2"/>
  <c r="Q176" i="2"/>
  <c r="S176" i="2"/>
  <c r="W177" i="2"/>
  <c r="Q177" i="2"/>
  <c r="S177" i="2"/>
  <c r="W178" i="2"/>
  <c r="Q178" i="2"/>
  <c r="S178" i="2"/>
  <c r="Q179" i="2"/>
  <c r="S179" i="2"/>
  <c r="W180" i="2"/>
  <c r="Q180" i="2"/>
  <c r="S180" i="2"/>
  <c r="Q181" i="2"/>
  <c r="S181" i="2"/>
  <c r="Q182" i="2"/>
  <c r="S182" i="2"/>
  <c r="Q183" i="2"/>
  <c r="S183" i="2"/>
  <c r="W184" i="2"/>
  <c r="Q184" i="2"/>
  <c r="S184" i="2"/>
  <c r="W185" i="2"/>
  <c r="Q185" i="2"/>
  <c r="S185" i="2"/>
  <c r="W186" i="2"/>
  <c r="Q186" i="2"/>
  <c r="S186" i="2"/>
  <c r="Q187" i="2"/>
  <c r="S187" i="2"/>
  <c r="W188" i="2"/>
  <c r="Q188" i="2"/>
  <c r="S188" i="2"/>
  <c r="Q189" i="2"/>
  <c r="S189" i="2"/>
  <c r="Q190" i="2"/>
  <c r="S190" i="2"/>
  <c r="Q191" i="2"/>
  <c r="S191" i="2"/>
  <c r="W192" i="2"/>
  <c r="Q192" i="2"/>
  <c r="S192" i="2"/>
  <c r="W193" i="2"/>
  <c r="Q193" i="2"/>
  <c r="S193" i="2"/>
  <c r="W194" i="2"/>
  <c r="Q194" i="2"/>
  <c r="S194" i="2"/>
  <c r="Q195" i="2"/>
  <c r="S195" i="2"/>
  <c r="W196" i="2"/>
  <c r="Q196" i="2"/>
  <c r="S196" i="2"/>
  <c r="Q197" i="2"/>
  <c r="S197" i="2"/>
  <c r="Q198" i="2"/>
  <c r="S198" i="2"/>
  <c r="Q199" i="2"/>
  <c r="S199" i="2"/>
  <c r="W200" i="2"/>
  <c r="Q200" i="2"/>
  <c r="S200" i="2"/>
  <c r="W201" i="2"/>
  <c r="Q201" i="2"/>
  <c r="S201" i="2"/>
  <c r="W202" i="2"/>
  <c r="Q202" i="2"/>
  <c r="S202" i="2"/>
  <c r="Q203" i="2"/>
  <c r="S203" i="2"/>
  <c r="W204" i="2"/>
  <c r="Q204" i="2"/>
  <c r="S204" i="2"/>
  <c r="Q205" i="2"/>
  <c r="S205" i="2"/>
  <c r="Q206" i="2"/>
  <c r="S206" i="2"/>
  <c r="Q207" i="2"/>
  <c r="S207" i="2"/>
  <c r="W208" i="2"/>
  <c r="Q208" i="2"/>
  <c r="S208" i="2"/>
  <c r="W209" i="2"/>
  <c r="Q209" i="2"/>
  <c r="S209" i="2"/>
  <c r="W210" i="2"/>
  <c r="Q210" i="2"/>
  <c r="S210" i="2"/>
  <c r="W211" i="2"/>
  <c r="Q211" i="2"/>
  <c r="S211" i="2"/>
  <c r="W212" i="2"/>
  <c r="Q212" i="2"/>
  <c r="S212" i="2"/>
  <c r="Q213" i="2"/>
  <c r="S213" i="2"/>
  <c r="W214" i="2"/>
  <c r="Q214" i="2"/>
  <c r="S214" i="2"/>
  <c r="Q215" i="2"/>
  <c r="S215" i="2"/>
  <c r="Q216" i="2"/>
  <c r="S216" i="2"/>
  <c r="Q217" i="2"/>
  <c r="S217" i="2"/>
  <c r="W218" i="2"/>
  <c r="Q218" i="2"/>
  <c r="S218" i="2"/>
  <c r="W219" i="2"/>
  <c r="Q219" i="2"/>
  <c r="S219" i="2"/>
  <c r="W220" i="2"/>
  <c r="Q220" i="2"/>
  <c r="S220" i="2"/>
  <c r="Q221" i="2"/>
  <c r="S221" i="2"/>
  <c r="W222" i="2"/>
  <c r="Q222" i="2"/>
  <c r="S222" i="2"/>
  <c r="Q223" i="2"/>
  <c r="S223" i="2"/>
  <c r="Q224" i="2"/>
  <c r="S224" i="2"/>
  <c r="Q225" i="2"/>
  <c r="S225" i="2"/>
  <c r="W226" i="2"/>
  <c r="Q226" i="2"/>
  <c r="S226" i="2"/>
  <c r="W227" i="2"/>
  <c r="Q227" i="2"/>
  <c r="S227" i="2"/>
  <c r="W228" i="2"/>
  <c r="Q228" i="2"/>
  <c r="S228" i="2"/>
  <c r="Q229" i="2"/>
  <c r="S229" i="2"/>
  <c r="W230" i="2"/>
  <c r="Q230" i="2"/>
  <c r="S230" i="2"/>
  <c r="Q231" i="2"/>
  <c r="S231" i="2"/>
  <c r="Q232" i="2"/>
  <c r="S232" i="2"/>
  <c r="Q233" i="2"/>
  <c r="S233" i="2"/>
  <c r="W234" i="2"/>
  <c r="Q234" i="2"/>
  <c r="S234" i="2"/>
  <c r="W235" i="2"/>
  <c r="Q235" i="2"/>
  <c r="S235" i="2"/>
  <c r="W236" i="2"/>
  <c r="Q236" i="2"/>
  <c r="S236" i="2"/>
  <c r="Q237" i="2"/>
  <c r="S237" i="2"/>
  <c r="W238" i="2"/>
  <c r="Q238" i="2"/>
  <c r="S238" i="2"/>
  <c r="W239" i="2"/>
  <c r="Q239" i="2"/>
  <c r="S239" i="2"/>
  <c r="Q240" i="2"/>
  <c r="S240" i="2"/>
  <c r="Q241" i="2"/>
  <c r="S241" i="2"/>
  <c r="W242" i="2"/>
  <c r="Q242" i="2"/>
  <c r="S242" i="2"/>
  <c r="W243" i="2"/>
  <c r="Q243" i="2"/>
  <c r="S243" i="2"/>
  <c r="W244" i="2"/>
  <c r="Q244" i="2"/>
  <c r="S244" i="2"/>
  <c r="Q245" i="2"/>
  <c r="S245" i="2"/>
  <c r="W246" i="2"/>
  <c r="Q246" i="2"/>
  <c r="S246" i="2"/>
  <c r="Q247" i="2"/>
  <c r="S247" i="2"/>
  <c r="Q248" i="2"/>
  <c r="S248" i="2"/>
  <c r="Q249" i="2"/>
  <c r="S249" i="2"/>
  <c r="W250" i="2"/>
  <c r="Q250" i="2"/>
  <c r="S250" i="2"/>
  <c r="W251" i="2"/>
  <c r="Q251" i="2"/>
  <c r="S251" i="2"/>
  <c r="W252" i="2"/>
  <c r="Q252" i="2"/>
  <c r="S252" i="2"/>
  <c r="Q253" i="2"/>
  <c r="S253" i="2"/>
  <c r="W254" i="2"/>
  <c r="Q254" i="2"/>
  <c r="S254" i="2"/>
  <c r="Q255" i="2"/>
  <c r="S255" i="2"/>
  <c r="Q256" i="2"/>
  <c r="S256" i="2"/>
  <c r="Q257" i="2"/>
  <c r="S257" i="2"/>
  <c r="W258" i="2"/>
  <c r="Q258" i="2"/>
  <c r="S258" i="2"/>
  <c r="W259" i="2"/>
  <c r="Q259" i="2"/>
  <c r="S259" i="2"/>
  <c r="W260" i="2"/>
  <c r="Q260" i="2"/>
  <c r="S260" i="2"/>
  <c r="Q261" i="2"/>
  <c r="S261" i="2"/>
  <c r="W262" i="2"/>
  <c r="Q262" i="2"/>
  <c r="S262" i="2"/>
  <c r="Q263" i="2"/>
  <c r="S263" i="2"/>
  <c r="Q264" i="2"/>
  <c r="S264" i="2"/>
  <c r="Q265" i="2"/>
  <c r="S265" i="2"/>
  <c r="W266" i="2"/>
  <c r="Q266" i="2"/>
  <c r="S266" i="2"/>
  <c r="W267" i="2"/>
  <c r="Q267" i="2"/>
  <c r="S267" i="2"/>
  <c r="W268" i="2"/>
  <c r="Q268" i="2"/>
  <c r="S268" i="2"/>
  <c r="Q269" i="2"/>
  <c r="S269" i="2"/>
  <c r="W270" i="2"/>
  <c r="Q270" i="2"/>
  <c r="S270" i="2"/>
  <c r="Q271" i="2"/>
  <c r="S271" i="2"/>
  <c r="Q272" i="2"/>
  <c r="S272" i="2"/>
  <c r="Q273" i="2"/>
  <c r="S273" i="2"/>
  <c r="W274" i="2"/>
  <c r="Q274" i="2"/>
  <c r="S274" i="2"/>
  <c r="W275" i="2"/>
  <c r="Q275" i="2"/>
  <c r="S275" i="2"/>
  <c r="W276" i="2"/>
  <c r="Q276" i="2"/>
  <c r="S276" i="2"/>
  <c r="Q277" i="2"/>
  <c r="S277" i="2"/>
  <c r="W278" i="2"/>
  <c r="Q278" i="2"/>
  <c r="S278" i="2"/>
  <c r="Q279" i="2"/>
  <c r="S279" i="2"/>
  <c r="Q280" i="2"/>
  <c r="S280" i="2"/>
  <c r="Q281" i="2"/>
  <c r="S281" i="2"/>
  <c r="W282" i="2"/>
  <c r="Q282" i="2"/>
  <c r="S282" i="2"/>
  <c r="W283" i="2"/>
  <c r="Q283" i="2"/>
  <c r="S283" i="2"/>
  <c r="W284" i="2"/>
  <c r="Q284" i="2"/>
  <c r="S284" i="2"/>
  <c r="Q285" i="2"/>
  <c r="S285" i="2"/>
  <c r="W286" i="2"/>
  <c r="Q286" i="2"/>
  <c r="S286" i="2"/>
  <c r="Q287" i="2"/>
  <c r="S287" i="2"/>
  <c r="Q288" i="2"/>
  <c r="S288" i="2"/>
  <c r="Q289" i="2"/>
  <c r="S289" i="2"/>
  <c r="W290" i="2"/>
  <c r="Q290" i="2"/>
  <c r="S290" i="2"/>
  <c r="W291" i="2"/>
  <c r="Q291" i="2"/>
  <c r="S291" i="2"/>
  <c r="W292" i="2"/>
  <c r="Q292" i="2"/>
  <c r="S292" i="2"/>
  <c r="Q293" i="2"/>
  <c r="S293" i="2"/>
  <c r="W294" i="2"/>
  <c r="Q294" i="2"/>
  <c r="S294" i="2"/>
  <c r="Q295" i="2"/>
  <c r="S295" i="2"/>
  <c r="Q296" i="2"/>
  <c r="S296" i="2"/>
  <c r="Q297" i="2"/>
  <c r="S297" i="2"/>
  <c r="W298" i="2"/>
  <c r="Q298" i="2"/>
  <c r="S298" i="2"/>
  <c r="W299" i="2"/>
  <c r="Q299" i="2"/>
  <c r="S299" i="2"/>
  <c r="W300" i="2"/>
  <c r="Q300" i="2"/>
  <c r="S300" i="2"/>
  <c r="Q301" i="2"/>
  <c r="S301" i="2"/>
  <c r="W302" i="2"/>
  <c r="Q302" i="2"/>
  <c r="S302" i="2"/>
  <c r="Q303" i="2"/>
  <c r="S303" i="2"/>
  <c r="Q304" i="2"/>
  <c r="S304" i="2"/>
  <c r="Q305" i="2"/>
  <c r="S305" i="2"/>
  <c r="W306" i="2"/>
  <c r="Q306" i="2"/>
  <c r="S306" i="2"/>
  <c r="W307" i="2"/>
  <c r="Q307" i="2"/>
  <c r="S307" i="2"/>
  <c r="W308" i="2"/>
  <c r="Q308" i="2"/>
  <c r="S308" i="2"/>
  <c r="Q309" i="2"/>
  <c r="S309" i="2"/>
  <c r="W310" i="2"/>
  <c r="Q310" i="2"/>
  <c r="S310" i="2"/>
  <c r="Q311" i="2"/>
  <c r="S311" i="2"/>
  <c r="Q312" i="2"/>
  <c r="S312" i="2"/>
  <c r="Q313" i="2"/>
  <c r="S313" i="2"/>
  <c r="W314" i="2"/>
  <c r="Q314" i="2"/>
  <c r="S314" i="2"/>
  <c r="W315" i="2"/>
  <c r="Q315" i="2"/>
  <c r="S315" i="2"/>
  <c r="W316" i="2"/>
  <c r="Q316" i="2"/>
  <c r="S316" i="2"/>
  <c r="Q317" i="2"/>
  <c r="S317" i="2"/>
  <c r="W318" i="2"/>
  <c r="Q318" i="2"/>
  <c r="S318" i="2"/>
  <c r="Q319" i="2"/>
  <c r="S319" i="2"/>
  <c r="Q320" i="2"/>
  <c r="S320" i="2"/>
  <c r="Q321" i="2"/>
  <c r="S321" i="2"/>
  <c r="W322" i="2"/>
  <c r="Q322" i="2"/>
  <c r="S322" i="2"/>
  <c r="W323" i="2"/>
  <c r="Q323" i="2"/>
  <c r="S323" i="2"/>
  <c r="W324" i="2"/>
  <c r="Q324" i="2"/>
  <c r="S324" i="2"/>
  <c r="Q325" i="2"/>
  <c r="S325" i="2"/>
  <c r="W326" i="2"/>
  <c r="Q326" i="2"/>
  <c r="S326" i="2"/>
  <c r="Q327" i="2"/>
  <c r="S327" i="2"/>
  <c r="Q328" i="2"/>
  <c r="S328" i="2"/>
  <c r="Q329" i="2"/>
  <c r="S329" i="2"/>
  <c r="W330" i="2"/>
  <c r="Q330" i="2"/>
  <c r="S330" i="2"/>
  <c r="W331" i="2"/>
  <c r="Q331" i="2"/>
  <c r="S331" i="2"/>
  <c r="W332" i="2"/>
  <c r="Q332" i="2"/>
  <c r="S332" i="2"/>
  <c r="Q333" i="2"/>
  <c r="S333" i="2"/>
  <c r="W334" i="2"/>
  <c r="P334" i="2"/>
  <c r="Q334" i="2"/>
  <c r="S334" i="2"/>
  <c r="P335" i="2"/>
  <c r="Q335" i="2"/>
  <c r="S335" i="2"/>
  <c r="Q336" i="2"/>
  <c r="S336" i="2"/>
  <c r="Q337" i="2"/>
  <c r="S337" i="2"/>
  <c r="W338" i="2"/>
  <c r="P338" i="2"/>
  <c r="Q338" i="2"/>
  <c r="S338" i="2"/>
  <c r="W339" i="2"/>
  <c r="P339" i="2"/>
  <c r="Q339" i="2"/>
  <c r="S339" i="2"/>
  <c r="W340" i="2"/>
  <c r="P340" i="2"/>
  <c r="Q340" i="2"/>
  <c r="S340" i="2"/>
  <c r="P341" i="2"/>
  <c r="Q341" i="2"/>
  <c r="S341" i="2"/>
  <c r="W342" i="2"/>
  <c r="P342" i="2"/>
  <c r="Q342" i="2"/>
  <c r="S342" i="2"/>
  <c r="P343" i="2"/>
  <c r="Q343" i="2"/>
  <c r="S343" i="2"/>
  <c r="P344" i="2"/>
  <c r="Q344" i="2"/>
  <c r="S344" i="2"/>
  <c r="P345" i="2"/>
  <c r="Q345" i="2"/>
  <c r="S345" i="2"/>
  <c r="W346" i="2"/>
  <c r="P346" i="2"/>
  <c r="Q346" i="2"/>
  <c r="S346" i="2"/>
  <c r="W347" i="2"/>
  <c r="P347" i="2"/>
  <c r="Q347" i="2"/>
  <c r="S347" i="2"/>
  <c r="W348" i="2"/>
  <c r="Q348" i="2"/>
  <c r="S348" i="2"/>
  <c r="Q349" i="2"/>
  <c r="S349" i="2"/>
  <c r="W350" i="2"/>
  <c r="Q350" i="2"/>
  <c r="S350" i="2"/>
  <c r="Q351" i="2"/>
  <c r="S351" i="2"/>
  <c r="Q352" i="2"/>
  <c r="S352" i="2"/>
  <c r="Q353" i="2"/>
  <c r="S353" i="2"/>
  <c r="W354" i="2"/>
  <c r="Q354" i="2"/>
  <c r="S354" i="2"/>
  <c r="W355" i="2"/>
  <c r="Q355" i="2"/>
  <c r="S355" i="2"/>
  <c r="W356" i="2"/>
  <c r="P356" i="2"/>
  <c r="Q356" i="2"/>
  <c r="S356" i="2"/>
  <c r="Q357" i="2"/>
  <c r="S357" i="2"/>
  <c r="W358" i="2"/>
  <c r="Q358" i="2"/>
  <c r="S358" i="2"/>
  <c r="Q359" i="2"/>
  <c r="S359" i="2"/>
  <c r="Q360" i="2"/>
  <c r="S360" i="2"/>
  <c r="Q361" i="2"/>
  <c r="S361" i="2"/>
  <c r="W362" i="2"/>
  <c r="Q362" i="2"/>
  <c r="S362" i="2"/>
  <c r="W363" i="2"/>
  <c r="Q363" i="2"/>
  <c r="S363" i="2"/>
  <c r="W364" i="2"/>
  <c r="Q364" i="2"/>
  <c r="S364" i="2"/>
  <c r="Q365" i="2"/>
  <c r="S365" i="2"/>
  <c r="W366" i="2"/>
  <c r="Q366" i="2"/>
  <c r="S366" i="2"/>
  <c r="Q367" i="2"/>
  <c r="S367" i="2"/>
  <c r="Q368" i="2"/>
  <c r="S368" i="2"/>
  <c r="Q369" i="2"/>
  <c r="S369" i="2"/>
  <c r="W370" i="2"/>
  <c r="Q370" i="2"/>
  <c r="S370" i="2"/>
  <c r="W371" i="2"/>
  <c r="Q371" i="2"/>
  <c r="S371" i="2"/>
  <c r="W372" i="2"/>
  <c r="Q372" i="2"/>
  <c r="S372" i="2"/>
  <c r="Q373" i="2"/>
  <c r="S373" i="2"/>
  <c r="W374" i="2"/>
  <c r="Q374" i="2"/>
  <c r="S374" i="2"/>
  <c r="Q375" i="2"/>
  <c r="S375" i="2"/>
  <c r="Q376" i="2"/>
  <c r="S376" i="2"/>
  <c r="Q377" i="2"/>
  <c r="S377" i="2"/>
  <c r="W378" i="2"/>
  <c r="P378" i="2"/>
  <c r="Q378" i="2"/>
  <c r="S378" i="2"/>
  <c r="W379" i="2"/>
  <c r="P379" i="2"/>
  <c r="Q379" i="2"/>
  <c r="S379" i="2"/>
  <c r="W380" i="2"/>
  <c r="P380" i="2"/>
  <c r="Q380" i="2"/>
  <c r="S380" i="2"/>
  <c r="P381" i="2"/>
  <c r="Q381" i="2"/>
  <c r="S381" i="2"/>
  <c r="W382" i="2"/>
  <c r="P382" i="2"/>
  <c r="Q382" i="2"/>
  <c r="S382" i="2"/>
  <c r="P383" i="2"/>
  <c r="Q383" i="2"/>
  <c r="S383" i="2"/>
  <c r="P384" i="2"/>
  <c r="Q384" i="2"/>
  <c r="S384" i="2"/>
  <c r="P385" i="2"/>
  <c r="Q385" i="2"/>
  <c r="S385" i="2"/>
  <c r="W386" i="2"/>
  <c r="Q386" i="2"/>
  <c r="S386" i="2"/>
  <c r="W387" i="2"/>
  <c r="Q387" i="2"/>
  <c r="S387" i="2"/>
  <c r="W388" i="2"/>
  <c r="Q388" i="2"/>
  <c r="S388" i="2"/>
  <c r="Q389" i="2"/>
  <c r="S389" i="2"/>
  <c r="W390" i="2"/>
  <c r="Q390" i="2"/>
  <c r="S390" i="2"/>
  <c r="Q391" i="2"/>
  <c r="S391" i="2"/>
  <c r="Q392" i="2"/>
  <c r="S392" i="2"/>
  <c r="Q393" i="2"/>
  <c r="S393" i="2"/>
  <c r="W394" i="2"/>
  <c r="Q394" i="2"/>
  <c r="S394" i="2"/>
  <c r="W395" i="2"/>
  <c r="Q395" i="2"/>
  <c r="S395" i="2"/>
  <c r="W396" i="2"/>
  <c r="Q396" i="2"/>
  <c r="S396" i="2"/>
  <c r="Q397" i="2"/>
  <c r="S397" i="2"/>
  <c r="W398" i="2"/>
  <c r="Q398" i="2"/>
  <c r="S398" i="2"/>
  <c r="Q399" i="2"/>
  <c r="S399" i="2"/>
  <c r="Q400" i="2"/>
  <c r="S400" i="2"/>
  <c r="Q401" i="2"/>
  <c r="S401" i="2"/>
  <c r="W402" i="2"/>
  <c r="Q402" i="2"/>
  <c r="S402" i="2"/>
  <c r="W403" i="2"/>
  <c r="Q403" i="2"/>
  <c r="S403" i="2"/>
  <c r="W404" i="2"/>
  <c r="Q404" i="2"/>
  <c r="S404" i="2"/>
  <c r="Q405" i="2"/>
  <c r="S405" i="2"/>
  <c r="W406" i="2"/>
  <c r="Q406" i="2"/>
  <c r="S406" i="2"/>
  <c r="Q407" i="2"/>
  <c r="S407" i="2"/>
  <c r="Q408" i="2"/>
  <c r="S408" i="2"/>
  <c r="Q409" i="2"/>
  <c r="S409" i="2"/>
  <c r="W410" i="2"/>
  <c r="Q410" i="2"/>
  <c r="S410" i="2"/>
  <c r="W411" i="2"/>
  <c r="Q411" i="2"/>
  <c r="S411" i="2"/>
  <c r="W412" i="2"/>
  <c r="Q412" i="2"/>
  <c r="S412" i="2"/>
  <c r="Q413" i="2"/>
  <c r="S413" i="2"/>
  <c r="W414" i="2"/>
  <c r="Q414" i="2"/>
  <c r="S414" i="2"/>
  <c r="Q415" i="2"/>
  <c r="S415" i="2"/>
  <c r="Q416" i="2"/>
  <c r="S416" i="2"/>
  <c r="Q417" i="2"/>
  <c r="S417" i="2"/>
  <c r="W418" i="2"/>
  <c r="Q418" i="2"/>
  <c r="S418" i="2"/>
  <c r="W419" i="2"/>
  <c r="Q419" i="2"/>
  <c r="S419" i="2"/>
  <c r="W420" i="2"/>
  <c r="Q420" i="2"/>
  <c r="S420" i="2"/>
  <c r="Q421" i="2"/>
  <c r="S421" i="2"/>
  <c r="W422" i="2"/>
  <c r="Q422" i="2"/>
  <c r="S422" i="2"/>
  <c r="Q423" i="2"/>
  <c r="S423" i="2"/>
  <c r="Q424" i="2"/>
  <c r="S424" i="2"/>
  <c r="P425" i="2"/>
  <c r="Q425" i="2"/>
  <c r="S425" i="2"/>
  <c r="W426" i="2"/>
  <c r="P426" i="2"/>
  <c r="Q426" i="2"/>
  <c r="S426" i="2"/>
  <c r="W427" i="2"/>
  <c r="P427" i="2"/>
  <c r="Q427" i="2"/>
  <c r="S427" i="2"/>
  <c r="W428" i="2"/>
  <c r="P428" i="2"/>
  <c r="Q428" i="2"/>
  <c r="S428" i="2"/>
  <c r="Q429" i="2"/>
  <c r="S429" i="2"/>
  <c r="W430" i="2"/>
  <c r="Q430" i="2"/>
  <c r="S430" i="2"/>
  <c r="Q431" i="2"/>
  <c r="S431" i="2"/>
  <c r="Q432" i="2"/>
  <c r="S432" i="2"/>
  <c r="Q433" i="2"/>
  <c r="S433" i="2"/>
  <c r="W434" i="2"/>
  <c r="Q434" i="2"/>
  <c r="S434" i="2"/>
  <c r="W435" i="2"/>
  <c r="Q435" i="2"/>
  <c r="S435" i="2"/>
  <c r="W436" i="2"/>
  <c r="Q436" i="2"/>
  <c r="S436" i="2"/>
  <c r="Q437" i="2"/>
  <c r="S437" i="2"/>
  <c r="W438" i="2"/>
  <c r="Q438" i="2"/>
  <c r="S438" i="2"/>
  <c r="Q439" i="2"/>
  <c r="S439" i="2"/>
  <c r="Q440" i="2"/>
  <c r="S440" i="2"/>
  <c r="Q441" i="2"/>
  <c r="S441" i="2"/>
  <c r="W442" i="2"/>
  <c r="Q442" i="2"/>
  <c r="S442" i="2"/>
  <c r="W443" i="2"/>
  <c r="Q443" i="2"/>
  <c r="S443" i="2"/>
  <c r="W444" i="2"/>
  <c r="Q444" i="2"/>
  <c r="S444" i="2"/>
  <c r="Q445" i="2"/>
  <c r="S445" i="2"/>
  <c r="W446" i="2"/>
  <c r="Q446" i="2"/>
  <c r="S446" i="2"/>
  <c r="Q447" i="2"/>
  <c r="S447" i="2"/>
  <c r="Q448" i="2"/>
  <c r="S448" i="2"/>
  <c r="Q449" i="2"/>
  <c r="S449" i="2"/>
  <c r="W450" i="2"/>
  <c r="Q450" i="2"/>
  <c r="S450" i="2"/>
  <c r="W451" i="2"/>
  <c r="Q451" i="2"/>
  <c r="S451" i="2"/>
  <c r="W452" i="2"/>
  <c r="Q452" i="2"/>
  <c r="S452" i="2"/>
  <c r="P453" i="2"/>
  <c r="Q453" i="2"/>
  <c r="S453" i="2"/>
  <c r="W454" i="2"/>
  <c r="P454" i="2"/>
  <c r="Q454" i="2"/>
  <c r="S454" i="2"/>
  <c r="Q455" i="2"/>
  <c r="S455" i="2"/>
  <c r="Q456" i="2"/>
  <c r="S456" i="2"/>
  <c r="Q457" i="2"/>
  <c r="S457" i="2"/>
  <c r="W458" i="2"/>
  <c r="Q458" i="2"/>
  <c r="S458" i="2"/>
  <c r="W459" i="2"/>
  <c r="Q459" i="2"/>
  <c r="S459" i="2"/>
  <c r="W460" i="2"/>
  <c r="Q460" i="2"/>
  <c r="S460" i="2"/>
  <c r="Q461" i="2"/>
  <c r="S461" i="2"/>
  <c r="W462" i="2"/>
  <c r="Q462" i="2"/>
  <c r="S462" i="2"/>
  <c r="Q463" i="2"/>
  <c r="S463" i="2"/>
  <c r="Q464" i="2"/>
  <c r="S464" i="2"/>
  <c r="Q465" i="2"/>
  <c r="S465" i="2"/>
  <c r="W466" i="2"/>
  <c r="Q466" i="2"/>
  <c r="S466" i="2"/>
  <c r="W467" i="2"/>
  <c r="Q467" i="2"/>
  <c r="S467" i="2"/>
  <c r="W468" i="2"/>
  <c r="Q468" i="2"/>
  <c r="S468" i="2"/>
  <c r="Q469" i="2"/>
  <c r="S469" i="2"/>
  <c r="W470" i="2"/>
  <c r="P470" i="2"/>
  <c r="Q470" i="2"/>
  <c r="S470" i="2"/>
  <c r="P471" i="2"/>
  <c r="Q471" i="2"/>
  <c r="S471" i="2"/>
  <c r="P472" i="2"/>
  <c r="Q472" i="2"/>
  <c r="S472" i="2"/>
  <c r="P473" i="2"/>
  <c r="Q473" i="2"/>
  <c r="S473" i="2"/>
  <c r="W474" i="2"/>
  <c r="P474" i="2"/>
  <c r="Q474" i="2"/>
  <c r="S474" i="2"/>
  <c r="W475" i="2"/>
  <c r="P475" i="2"/>
  <c r="Q475" i="2"/>
  <c r="S475" i="2"/>
  <c r="W476" i="2"/>
  <c r="Q476" i="2"/>
  <c r="S476" i="2"/>
  <c r="P477" i="2"/>
  <c r="Q477" i="2"/>
  <c r="S477" i="2"/>
  <c r="W478" i="2"/>
  <c r="P478" i="2"/>
  <c r="Q478" i="2"/>
  <c r="S478" i="2"/>
  <c r="Q479" i="2"/>
  <c r="S479" i="2"/>
  <c r="Q480" i="2"/>
  <c r="S480" i="2"/>
  <c r="Q481" i="2"/>
  <c r="S481" i="2"/>
  <c r="W482" i="2"/>
  <c r="Q482" i="2"/>
  <c r="S482" i="2"/>
  <c r="W483" i="2"/>
  <c r="Q483" i="2"/>
  <c r="S483" i="2"/>
  <c r="W484" i="2"/>
  <c r="Q484" i="2"/>
  <c r="S484" i="2"/>
  <c r="Q485" i="2"/>
  <c r="S485" i="2"/>
  <c r="W486" i="2"/>
  <c r="Q486" i="2"/>
  <c r="S486" i="2"/>
  <c r="Q487" i="2"/>
  <c r="S487" i="2"/>
  <c r="Q488" i="2"/>
  <c r="S488" i="2"/>
  <c r="Q489" i="2"/>
  <c r="S489" i="2"/>
  <c r="W490" i="2"/>
  <c r="Q490" i="2"/>
  <c r="S490" i="2"/>
  <c r="W491" i="2"/>
  <c r="Q491" i="2"/>
  <c r="S491" i="2"/>
  <c r="W492" i="2"/>
  <c r="Q492" i="2"/>
  <c r="S492" i="2"/>
  <c r="Q493" i="2"/>
  <c r="S493" i="2"/>
  <c r="W494" i="2"/>
  <c r="Q494" i="2"/>
  <c r="S494" i="2"/>
  <c r="Q495" i="2"/>
  <c r="S495" i="2"/>
  <c r="Q496" i="2"/>
  <c r="S496" i="2"/>
  <c r="Q497" i="2"/>
  <c r="S497" i="2"/>
  <c r="W498" i="2"/>
  <c r="Q498" i="2"/>
  <c r="S498" i="2"/>
  <c r="W499" i="2"/>
  <c r="Q499" i="2"/>
  <c r="S499" i="2"/>
  <c r="W500" i="2"/>
  <c r="Q500" i="2"/>
  <c r="S500" i="2"/>
  <c r="Q501" i="2"/>
  <c r="S501" i="2"/>
  <c r="W502" i="2"/>
  <c r="Q502" i="2"/>
  <c r="S502" i="2"/>
  <c r="Q503" i="2"/>
  <c r="S503" i="2"/>
  <c r="Q504" i="2"/>
  <c r="S504" i="2"/>
  <c r="Q505" i="2"/>
  <c r="S505" i="2"/>
  <c r="W506" i="2"/>
  <c r="Q506" i="2"/>
  <c r="S506" i="2"/>
  <c r="W507" i="2"/>
  <c r="Q507" i="2"/>
  <c r="S507" i="2"/>
  <c r="W508" i="2"/>
  <c r="Q508" i="2"/>
  <c r="S508" i="2"/>
  <c r="Q509" i="2"/>
  <c r="S509" i="2"/>
  <c r="W510" i="2"/>
  <c r="Q510" i="2"/>
  <c r="S510" i="2"/>
  <c r="Q511" i="2"/>
  <c r="S511" i="2"/>
  <c r="Q512" i="2"/>
  <c r="S512" i="2"/>
  <c r="Q513" i="2"/>
  <c r="S513" i="2"/>
  <c r="W514" i="2"/>
  <c r="Q514" i="2"/>
  <c r="S514" i="2"/>
  <c r="W515" i="2"/>
  <c r="Q515" i="2"/>
  <c r="S515" i="2"/>
  <c r="W516" i="2"/>
  <c r="Q516" i="2"/>
  <c r="S516" i="2"/>
  <c r="Q517" i="2"/>
  <c r="S517" i="2"/>
  <c r="W518" i="2"/>
  <c r="Q518" i="2"/>
  <c r="S518" i="2"/>
  <c r="Q519" i="2"/>
  <c r="S519" i="2"/>
  <c r="Q520" i="2"/>
  <c r="S520" i="2"/>
  <c r="Q521" i="2"/>
  <c r="S521" i="2"/>
  <c r="W522" i="2"/>
  <c r="Q522" i="2"/>
  <c r="S522" i="2"/>
  <c r="W523" i="2"/>
  <c r="Q523" i="2"/>
  <c r="S523" i="2"/>
  <c r="W524" i="2"/>
  <c r="Q524" i="2"/>
  <c r="S524" i="2"/>
  <c r="Q525" i="2"/>
  <c r="S525" i="2"/>
  <c r="W526" i="2"/>
  <c r="P526" i="2"/>
  <c r="Q526" i="2"/>
  <c r="S526" i="2"/>
  <c r="Q527" i="2"/>
  <c r="S527" i="2"/>
  <c r="Q528" i="2"/>
  <c r="S528" i="2"/>
  <c r="Q529" i="2"/>
  <c r="S529" i="2"/>
  <c r="W530" i="2"/>
  <c r="Q530" i="2"/>
  <c r="S530" i="2"/>
  <c r="W531" i="2"/>
  <c r="Q531" i="2"/>
  <c r="S531" i="2"/>
  <c r="W532" i="2"/>
  <c r="Q532" i="2"/>
  <c r="S532" i="2"/>
  <c r="Q533" i="2"/>
  <c r="S533" i="2"/>
  <c r="W534" i="2"/>
  <c r="Q534" i="2"/>
  <c r="S534" i="2"/>
  <c r="Q535" i="2"/>
  <c r="S535" i="2"/>
  <c r="P536" i="2"/>
  <c r="Q536" i="2"/>
  <c r="S536" i="2"/>
  <c r="P537" i="2"/>
  <c r="Q537" i="2"/>
  <c r="S537" i="2"/>
  <c r="W538" i="2"/>
  <c r="P538" i="2"/>
  <c r="Q538" i="2"/>
  <c r="S538" i="2"/>
  <c r="W539" i="2"/>
  <c r="P539" i="2"/>
  <c r="Q539" i="2"/>
  <c r="S539" i="2"/>
  <c r="W540" i="2"/>
  <c r="Q540" i="2"/>
  <c r="S540" i="2"/>
  <c r="Q541" i="2"/>
  <c r="S541" i="2"/>
  <c r="W542" i="2"/>
  <c r="Q542" i="2"/>
  <c r="S542" i="2"/>
  <c r="Q543" i="2"/>
  <c r="S543" i="2"/>
  <c r="Q544" i="2"/>
  <c r="S544" i="2"/>
  <c r="Q545" i="2"/>
  <c r="S545" i="2"/>
  <c r="W546" i="2"/>
  <c r="Q546" i="2"/>
  <c r="S546" i="2"/>
  <c r="W547" i="2"/>
  <c r="Q547" i="2"/>
  <c r="S547" i="2"/>
  <c r="W548" i="2"/>
  <c r="Q548" i="2"/>
  <c r="S548" i="2"/>
  <c r="Q549" i="2"/>
  <c r="S549" i="2"/>
  <c r="W550" i="2"/>
  <c r="Q550" i="2"/>
  <c r="S550" i="2"/>
  <c r="Q551" i="2"/>
  <c r="S551" i="2"/>
  <c r="Q552" i="2"/>
  <c r="S552" i="2"/>
  <c r="Q553" i="2"/>
  <c r="S553" i="2"/>
  <c r="W554" i="2"/>
  <c r="Q554" i="2"/>
  <c r="S554" i="2"/>
  <c r="W555" i="2"/>
  <c r="Q555" i="2"/>
  <c r="S555" i="2"/>
  <c r="W556" i="2"/>
  <c r="Q556" i="2"/>
  <c r="S556" i="2"/>
  <c r="Q557" i="2"/>
  <c r="S557" i="2"/>
  <c r="W558" i="2"/>
  <c r="Q558" i="2"/>
  <c r="S558" i="2"/>
  <c r="Q559" i="2"/>
  <c r="S559" i="2"/>
  <c r="Q560" i="2"/>
  <c r="S560" i="2"/>
  <c r="Q561" i="2"/>
  <c r="S561" i="2"/>
  <c r="W562" i="2"/>
  <c r="Q562" i="2"/>
  <c r="S562" i="2"/>
  <c r="W563" i="2"/>
  <c r="Q563" i="2"/>
  <c r="S563" i="2"/>
  <c r="W564" i="2"/>
  <c r="Q564" i="2"/>
  <c r="S564" i="2"/>
  <c r="Q565" i="2"/>
  <c r="S565" i="2"/>
  <c r="W566" i="2"/>
  <c r="Q566" i="2"/>
  <c r="S566" i="2"/>
  <c r="Q567" i="2"/>
  <c r="S567" i="2"/>
  <c r="Q568" i="2"/>
  <c r="S568" i="2"/>
  <c r="Q569" i="2"/>
  <c r="S569" i="2"/>
  <c r="W570" i="2"/>
  <c r="Q570" i="2"/>
  <c r="S570" i="2"/>
  <c r="W571" i="2"/>
  <c r="Q571" i="2"/>
  <c r="S571" i="2"/>
  <c r="W572" i="2"/>
  <c r="Q572" i="2"/>
  <c r="S572" i="2"/>
  <c r="Q573" i="2"/>
  <c r="S573" i="2"/>
  <c r="W574" i="2"/>
  <c r="Q574" i="2"/>
  <c r="S574" i="2"/>
  <c r="Q575" i="2"/>
  <c r="S575" i="2"/>
  <c r="Q576" i="2"/>
  <c r="S576" i="2"/>
  <c r="Q577" i="2"/>
  <c r="S577" i="2"/>
  <c r="W578" i="2"/>
  <c r="Q578" i="2"/>
  <c r="S578" i="2"/>
  <c r="W579" i="2"/>
  <c r="Q579" i="2"/>
  <c r="S579" i="2"/>
  <c r="W580" i="2"/>
  <c r="Q580" i="2"/>
  <c r="S580" i="2"/>
  <c r="Q581" i="2"/>
  <c r="S581" i="2"/>
  <c r="W582" i="2"/>
  <c r="Q582" i="2"/>
  <c r="S582" i="2"/>
  <c r="Q583" i="2"/>
  <c r="S583" i="2"/>
  <c r="P584" i="2"/>
  <c r="Q584" i="2"/>
  <c r="S584" i="2"/>
  <c r="Q585" i="2"/>
  <c r="S585" i="2"/>
  <c r="W586" i="2"/>
  <c r="Q586" i="2"/>
  <c r="S586" i="2"/>
  <c r="W587" i="2"/>
  <c r="Q587" i="2"/>
  <c r="S587" i="2"/>
  <c r="W588" i="2"/>
  <c r="Q588" i="2"/>
  <c r="S588" i="2"/>
  <c r="Q589" i="2"/>
  <c r="S589" i="2"/>
  <c r="W590" i="2"/>
  <c r="Q590" i="2"/>
  <c r="S590" i="2"/>
  <c r="Q591" i="2"/>
  <c r="S591" i="2"/>
  <c r="Q592" i="2"/>
  <c r="S592" i="2"/>
  <c r="Q593" i="2"/>
  <c r="S593" i="2"/>
  <c r="W594" i="2"/>
  <c r="Q594" i="2"/>
  <c r="S594" i="2"/>
  <c r="W595" i="2"/>
  <c r="Q595" i="2"/>
  <c r="S595" i="2"/>
  <c r="W596" i="2"/>
  <c r="Q596" i="2"/>
  <c r="S596" i="2"/>
  <c r="Q597" i="2"/>
  <c r="S597" i="2"/>
  <c r="W598" i="2"/>
  <c r="Q598" i="2"/>
  <c r="S598" i="2"/>
  <c r="Q599" i="2"/>
  <c r="S599" i="2"/>
  <c r="Q600" i="2"/>
  <c r="S600" i="2"/>
  <c r="Q601" i="2"/>
  <c r="S601" i="2"/>
  <c r="W602" i="2"/>
  <c r="Q602" i="2"/>
  <c r="S602" i="2"/>
  <c r="W603" i="2"/>
  <c r="Q603" i="2"/>
  <c r="S603" i="2"/>
  <c r="W604" i="2"/>
  <c r="Q604" i="2"/>
  <c r="S604" i="2"/>
  <c r="Q605" i="2"/>
  <c r="S605" i="2"/>
  <c r="W606" i="2"/>
  <c r="Q606" i="2"/>
  <c r="S606" i="2"/>
  <c r="Q607" i="2"/>
  <c r="S607" i="2"/>
  <c r="Q608" i="2"/>
  <c r="S608" i="2"/>
  <c r="Q609" i="2"/>
  <c r="S609" i="2"/>
  <c r="W610" i="2"/>
  <c r="Q610" i="2"/>
  <c r="S610" i="2"/>
  <c r="W611" i="2"/>
  <c r="Q611" i="2"/>
  <c r="S611" i="2"/>
  <c r="W612" i="2"/>
  <c r="Q612" i="2"/>
  <c r="S612" i="2"/>
  <c r="Q613" i="2"/>
  <c r="S613" i="2"/>
  <c r="W614" i="2"/>
  <c r="Q614" i="2"/>
  <c r="S614" i="2"/>
  <c r="Q615" i="2"/>
  <c r="S615" i="2"/>
  <c r="P616" i="2"/>
  <c r="Q616" i="2"/>
  <c r="S616" i="2"/>
  <c r="P617" i="2"/>
  <c r="Q617" i="2"/>
  <c r="S617" i="2"/>
  <c r="W618" i="2"/>
  <c r="P618" i="2"/>
  <c r="Q618" i="2"/>
  <c r="S618" i="2"/>
  <c r="W619" i="2"/>
  <c r="P619" i="2"/>
  <c r="Q619" i="2"/>
  <c r="S619" i="2"/>
  <c r="W620" i="2"/>
  <c r="Q620" i="2"/>
  <c r="S620" i="2"/>
  <c r="Q621" i="2"/>
  <c r="S621" i="2"/>
  <c r="W622" i="2"/>
  <c r="Q622" i="2"/>
  <c r="S622" i="2"/>
  <c r="Q623" i="2"/>
  <c r="S623" i="2"/>
  <c r="Q624" i="2"/>
  <c r="S624" i="2"/>
  <c r="Q625" i="2"/>
  <c r="S625" i="2"/>
  <c r="W626" i="2"/>
  <c r="Q626" i="2"/>
  <c r="S626" i="2"/>
  <c r="W627" i="2"/>
  <c r="Q627" i="2"/>
  <c r="S627" i="2"/>
  <c r="W628" i="2"/>
  <c r="Q628" i="2"/>
  <c r="S628" i="2"/>
  <c r="Q629" i="2"/>
  <c r="S629" i="2"/>
  <c r="W630" i="2"/>
  <c r="Q630" i="2"/>
  <c r="S630" i="2"/>
  <c r="Q631" i="2"/>
  <c r="S631" i="2"/>
  <c r="Q632" i="2"/>
  <c r="S632" i="2"/>
  <c r="Q633" i="2"/>
  <c r="S633" i="2"/>
  <c r="W634" i="2"/>
  <c r="Q634" i="2"/>
  <c r="S634" i="2"/>
  <c r="W635" i="2"/>
  <c r="Q635" i="2"/>
  <c r="S635" i="2"/>
  <c r="W636" i="2"/>
  <c r="Q636" i="2"/>
  <c r="S636" i="2"/>
  <c r="Q637" i="2"/>
  <c r="S637" i="2"/>
  <c r="W638" i="2"/>
  <c r="Q638" i="2"/>
  <c r="S638" i="2"/>
  <c r="Q639" i="2"/>
  <c r="S639" i="2"/>
  <c r="Q640" i="2"/>
  <c r="S640" i="2"/>
  <c r="Q641" i="2"/>
  <c r="S641" i="2"/>
  <c r="W642" i="2"/>
  <c r="Q642" i="2"/>
  <c r="S642" i="2"/>
  <c r="W643" i="2"/>
  <c r="P643" i="2"/>
  <c r="Q643" i="2"/>
  <c r="S643" i="2"/>
  <c r="W644" i="2"/>
  <c r="P644" i="2"/>
  <c r="Q644" i="2"/>
  <c r="S644" i="2"/>
  <c r="P645" i="2"/>
  <c r="Q645" i="2"/>
  <c r="S645" i="2"/>
  <c r="W646" i="2"/>
  <c r="P646" i="2"/>
  <c r="Q646" i="2"/>
  <c r="S646" i="2"/>
  <c r="P647" i="2"/>
  <c r="Q647" i="2"/>
  <c r="S647" i="2"/>
  <c r="P648" i="2"/>
  <c r="Q648" i="2"/>
  <c r="S648" i="2"/>
  <c r="P649" i="2"/>
  <c r="Q649" i="2"/>
  <c r="S649" i="2"/>
  <c r="W650" i="2"/>
  <c r="W651" i="2"/>
  <c r="W652" i="2"/>
  <c r="W654" i="2"/>
  <c r="W658" i="2"/>
  <c r="W659" i="2"/>
  <c r="W660" i="2"/>
  <c r="W662" i="2"/>
  <c r="W666" i="2"/>
  <c r="W667" i="2"/>
  <c r="W668" i="2"/>
  <c r="Q668" i="2"/>
  <c r="S668" i="2"/>
  <c r="W670" i="2"/>
  <c r="W674" i="2"/>
  <c r="W675" i="2"/>
  <c r="P675" i="2"/>
  <c r="Q675" i="2"/>
  <c r="S675" i="2"/>
  <c r="W676" i="2"/>
  <c r="P676" i="2"/>
  <c r="Q676" i="2"/>
  <c r="S676" i="2"/>
  <c r="Q677" i="2"/>
  <c r="S677" i="2"/>
  <c r="W678" i="2"/>
  <c r="Q678" i="2"/>
  <c r="S678" i="2"/>
  <c r="Q679" i="2"/>
  <c r="S679" i="2"/>
  <c r="Q680" i="2"/>
  <c r="S680" i="2"/>
  <c r="Q681" i="2"/>
  <c r="S681" i="2"/>
  <c r="W682" i="2"/>
  <c r="Q682" i="2"/>
  <c r="S682" i="2"/>
  <c r="W683" i="2"/>
  <c r="Q683" i="2"/>
  <c r="S683" i="2"/>
  <c r="W684" i="2"/>
  <c r="Q684" i="2"/>
  <c r="S684" i="2"/>
  <c r="Q685" i="2"/>
  <c r="S685" i="2"/>
  <c r="W686" i="2"/>
  <c r="Q686" i="2"/>
  <c r="S686" i="2"/>
  <c r="Q687" i="2"/>
  <c r="S687" i="2"/>
  <c r="Q688" i="2"/>
  <c r="S688" i="2"/>
  <c r="Q689" i="2"/>
  <c r="S689" i="2"/>
  <c r="W690" i="2"/>
  <c r="Q690" i="2"/>
  <c r="S690" i="2"/>
  <c r="W691" i="2"/>
  <c r="Q691" i="2"/>
  <c r="S691" i="2"/>
  <c r="W692" i="2"/>
  <c r="Q692" i="2"/>
  <c r="S692" i="2"/>
  <c r="Q693" i="2"/>
  <c r="S693" i="2"/>
  <c r="W694" i="2"/>
  <c r="Q694" i="2"/>
  <c r="S694" i="2"/>
  <c r="Q695" i="2"/>
  <c r="S695" i="2"/>
  <c r="Q696" i="2"/>
  <c r="S696" i="2"/>
  <c r="W698" i="2"/>
  <c r="Q698" i="2"/>
  <c r="S698" i="2"/>
  <c r="W699" i="2"/>
  <c r="Q699" i="2"/>
  <c r="S699" i="2"/>
  <c r="W700" i="2"/>
  <c r="Q700" i="2"/>
  <c r="S700" i="2"/>
  <c r="W702" i="2"/>
  <c r="Q702" i="2"/>
  <c r="S702" i="2"/>
  <c r="Q704" i="2"/>
  <c r="S704" i="2"/>
  <c r="Q705" i="2"/>
  <c r="S705" i="2"/>
  <c r="W706" i="2"/>
  <c r="Q706" i="2"/>
  <c r="S706" i="2"/>
  <c r="W707" i="2"/>
  <c r="W708" i="2"/>
  <c r="Q708" i="2"/>
  <c r="S708" i="2"/>
  <c r="W710" i="2"/>
  <c r="Q710" i="2"/>
  <c r="S710" i="2"/>
  <c r="Q711" i="2"/>
  <c r="S711" i="2"/>
  <c r="Q712" i="2"/>
  <c r="S712" i="2"/>
  <c r="Q713" i="2"/>
  <c r="S713" i="2"/>
  <c r="W714" i="2"/>
  <c r="Q714" i="2"/>
  <c r="S714" i="2"/>
  <c r="W715" i="2"/>
  <c r="Q715" i="2"/>
  <c r="S715" i="2"/>
  <c r="W716" i="2"/>
  <c r="Q716" i="2"/>
  <c r="S716" i="2"/>
  <c r="Q717" i="2"/>
  <c r="S717" i="2"/>
  <c r="W718" i="2"/>
  <c r="Q718" i="2"/>
  <c r="S718" i="2"/>
  <c r="Q719" i="2"/>
  <c r="S719" i="2"/>
  <c r="Q720" i="2"/>
  <c r="S720" i="2"/>
  <c r="Q721" i="2"/>
  <c r="S721" i="2"/>
  <c r="W722" i="2"/>
  <c r="Q722" i="2"/>
  <c r="S722" i="2"/>
  <c r="W723" i="2"/>
  <c r="Q723" i="2"/>
  <c r="S723" i="2"/>
  <c r="W724" i="2"/>
  <c r="Q724" i="2"/>
  <c r="S724" i="2"/>
  <c r="Q725" i="2"/>
  <c r="S725" i="2"/>
  <c r="W726" i="2"/>
  <c r="Q726" i="2"/>
  <c r="S726" i="2"/>
  <c r="Q727" i="2"/>
  <c r="S727" i="2"/>
  <c r="Q728" i="2"/>
  <c r="S728" i="2"/>
  <c r="Q729" i="2"/>
  <c r="S729" i="2"/>
  <c r="W730" i="2"/>
  <c r="P730" i="2"/>
  <c r="Q730" i="2"/>
  <c r="S730" i="2"/>
  <c r="W731" i="2"/>
  <c r="Q731" i="2"/>
  <c r="S731" i="2"/>
  <c r="W732" i="2"/>
  <c r="Q732" i="2"/>
  <c r="S732" i="2"/>
  <c r="Q733" i="2"/>
  <c r="S733" i="2"/>
  <c r="W734" i="2"/>
  <c r="Q734" i="2"/>
  <c r="S734" i="2"/>
  <c r="Q735" i="2"/>
  <c r="S735" i="2"/>
  <c r="Q736" i="2"/>
  <c r="S736" i="2"/>
  <c r="Q737" i="2"/>
  <c r="S737" i="2"/>
  <c r="W738" i="2"/>
  <c r="P738" i="2"/>
  <c r="Q738" i="2"/>
  <c r="S738" i="2"/>
  <c r="W739" i="2"/>
  <c r="P739" i="2"/>
  <c r="Q739" i="2"/>
  <c r="S739" i="2"/>
  <c r="W740" i="2"/>
  <c r="P740" i="2"/>
  <c r="Q740" i="2"/>
  <c r="S740" i="2"/>
  <c r="P741" i="2"/>
  <c r="Q741" i="2"/>
  <c r="S741" i="2"/>
  <c r="W742" i="2"/>
  <c r="P742" i="2"/>
  <c r="Q742" i="2"/>
  <c r="S742" i="2"/>
  <c r="P743" i="2"/>
  <c r="Q743" i="2"/>
  <c r="S743" i="2"/>
  <c r="W746" i="2"/>
  <c r="W747" i="2"/>
  <c r="W748" i="2"/>
  <c r="W750" i="2"/>
  <c r="W754" i="2"/>
  <c r="W755" i="2"/>
  <c r="W756" i="2"/>
  <c r="Q756" i="2"/>
  <c r="S756" i="2"/>
  <c r="Q757" i="2"/>
  <c r="S757" i="2"/>
  <c r="W758" i="2"/>
  <c r="Q758" i="2"/>
  <c r="S758" i="2"/>
  <c r="Q759" i="2"/>
  <c r="S759" i="2"/>
  <c r="Q760" i="2"/>
  <c r="S760" i="2"/>
  <c r="Q761" i="2"/>
  <c r="S761" i="2"/>
  <c r="W762" i="2"/>
  <c r="Q762" i="2"/>
  <c r="S762" i="2"/>
  <c r="W763" i="2"/>
  <c r="Q763" i="2"/>
  <c r="S763" i="2"/>
  <c r="W764" i="2"/>
  <c r="Q764" i="2"/>
  <c r="S764" i="2"/>
  <c r="Q765" i="2"/>
  <c r="S765" i="2"/>
  <c r="W766" i="2"/>
  <c r="Q766" i="2"/>
  <c r="S766" i="2"/>
  <c r="Q767" i="2"/>
  <c r="S767" i="2"/>
  <c r="Q768" i="2"/>
  <c r="S768" i="2"/>
  <c r="Q769" i="2"/>
  <c r="S769" i="2"/>
  <c r="W770" i="2"/>
  <c r="Q770" i="2"/>
  <c r="S770" i="2"/>
  <c r="W771" i="2"/>
  <c r="Q771" i="2"/>
  <c r="S771" i="2"/>
  <c r="W772" i="2"/>
  <c r="Q772" i="2"/>
  <c r="S772" i="2"/>
  <c r="Q773" i="2"/>
  <c r="S773" i="2"/>
  <c r="W774" i="2"/>
  <c r="Q774" i="2"/>
  <c r="S774" i="2"/>
  <c r="Q775" i="2"/>
  <c r="S775" i="2"/>
  <c r="Q776" i="2"/>
  <c r="S776" i="2"/>
  <c r="Q777" i="2"/>
  <c r="S777" i="2"/>
  <c r="W778" i="2"/>
  <c r="Q778" i="2"/>
  <c r="S778" i="2"/>
  <c r="W779" i="2"/>
  <c r="Q779" i="2"/>
  <c r="S779" i="2"/>
  <c r="W780" i="2"/>
  <c r="Q780" i="2"/>
  <c r="S780" i="2"/>
  <c r="Q781" i="2"/>
  <c r="S781" i="2"/>
  <c r="W782" i="2"/>
  <c r="Q782" i="2"/>
  <c r="S782" i="2"/>
  <c r="Q783" i="2"/>
  <c r="S783" i="2"/>
  <c r="Q784" i="2"/>
  <c r="S784" i="2"/>
  <c r="Q785" i="2"/>
  <c r="S785" i="2"/>
  <c r="W786" i="2"/>
  <c r="Q786" i="2"/>
  <c r="S786" i="2"/>
  <c r="W787" i="2"/>
  <c r="Q787" i="2"/>
  <c r="S787" i="2"/>
  <c r="W788" i="2"/>
  <c r="Q788" i="2"/>
  <c r="S788" i="2"/>
  <c r="Q789" i="2"/>
  <c r="S789" i="2"/>
  <c r="W790" i="2"/>
  <c r="Q790" i="2"/>
  <c r="S790" i="2"/>
  <c r="Q791" i="2"/>
  <c r="S791" i="2"/>
  <c r="Q792" i="2"/>
  <c r="S792" i="2"/>
  <c r="Q793" i="2"/>
  <c r="S793" i="2"/>
  <c r="W794" i="2"/>
  <c r="Q794" i="2"/>
  <c r="S794" i="2"/>
  <c r="W795" i="2"/>
  <c r="Q795" i="2"/>
  <c r="S795" i="2"/>
  <c r="W796" i="2"/>
  <c r="Q796" i="2"/>
  <c r="S796" i="2"/>
  <c r="Q797" i="2"/>
  <c r="S797" i="2"/>
  <c r="W798" i="2"/>
  <c r="Q798" i="2"/>
  <c r="S798" i="2"/>
  <c r="Q799" i="2"/>
  <c r="S799" i="2"/>
  <c r="Q800" i="2"/>
  <c r="S800" i="2"/>
  <c r="P801" i="2"/>
  <c r="Q801" i="2"/>
  <c r="S801" i="2"/>
  <c r="W802" i="2"/>
  <c r="Q802" i="2"/>
  <c r="S802" i="2"/>
  <c r="W803" i="2"/>
  <c r="Q803" i="2"/>
  <c r="S803" i="2"/>
  <c r="W804" i="2"/>
  <c r="Q804" i="2"/>
  <c r="S804" i="2"/>
  <c r="Q805" i="2"/>
  <c r="S805" i="2"/>
  <c r="W806" i="2"/>
  <c r="P806" i="2"/>
  <c r="Q806" i="2"/>
  <c r="S806" i="2"/>
  <c r="P807" i="2"/>
  <c r="Q807" i="2"/>
  <c r="S807" i="2"/>
  <c r="P808" i="2"/>
  <c r="Q808" i="2"/>
  <c r="S808" i="2"/>
  <c r="P809" i="2"/>
  <c r="Q809" i="2"/>
  <c r="S809" i="2"/>
  <c r="W810" i="2"/>
  <c r="P810" i="2"/>
  <c r="Q810" i="2"/>
  <c r="S810" i="2"/>
  <c r="W811" i="2"/>
  <c r="W812" i="2"/>
  <c r="W814" i="2"/>
  <c r="W818" i="2"/>
  <c r="W819" i="2"/>
  <c r="W820" i="2"/>
  <c r="W822" i="2"/>
  <c r="W826" i="2"/>
  <c r="Q826" i="2"/>
  <c r="S826" i="2"/>
  <c r="W827" i="2"/>
  <c r="Q827" i="2"/>
  <c r="S827" i="2"/>
  <c r="W828" i="2"/>
  <c r="Q828" i="2"/>
  <c r="S828" i="2"/>
  <c r="Q829" i="2"/>
  <c r="S829" i="2"/>
  <c r="W830" i="2"/>
  <c r="Q830" i="2"/>
  <c r="S830" i="2"/>
  <c r="Q831" i="2"/>
  <c r="S831" i="2"/>
  <c r="Q832" i="2"/>
  <c r="S832" i="2"/>
  <c r="Q833" i="2"/>
  <c r="S833" i="2"/>
  <c r="W834" i="2"/>
  <c r="Q834" i="2"/>
  <c r="S834" i="2"/>
  <c r="W835" i="2"/>
  <c r="Q835" i="2"/>
  <c r="S835" i="2"/>
  <c r="W836" i="2"/>
  <c r="Q836" i="2"/>
  <c r="S836" i="2"/>
  <c r="Q837" i="2"/>
  <c r="S837" i="2"/>
  <c r="W838" i="2"/>
  <c r="Q838" i="2"/>
  <c r="S838" i="2"/>
  <c r="Q839" i="2"/>
  <c r="S839" i="2"/>
  <c r="Q840" i="2"/>
  <c r="S840" i="2"/>
  <c r="Q841" i="2"/>
  <c r="S841" i="2"/>
  <c r="W842" i="2"/>
  <c r="Q842" i="2"/>
  <c r="S842" i="2"/>
  <c r="W843" i="2"/>
  <c r="Q843" i="2"/>
  <c r="S843" i="2"/>
  <c r="W844" i="2"/>
  <c r="Q844" i="2"/>
  <c r="S844" i="2"/>
  <c r="Q845" i="2"/>
  <c r="S845" i="2"/>
  <c r="W846" i="2"/>
  <c r="Q846" i="2"/>
  <c r="S846" i="2"/>
  <c r="Q847" i="2"/>
  <c r="S847" i="2"/>
  <c r="P848" i="2"/>
  <c r="Q848" i="2"/>
  <c r="S848" i="2"/>
  <c r="P849" i="2"/>
  <c r="Q849" i="2"/>
  <c r="S849" i="2"/>
  <c r="W850" i="2"/>
  <c r="P850" i="2"/>
  <c r="Q850" i="2"/>
  <c r="S850" i="2"/>
  <c r="W851" i="2"/>
  <c r="W852" i="2"/>
  <c r="W854" i="2"/>
  <c r="Q854" i="2"/>
  <c r="S854" i="2"/>
  <c r="Q855" i="2"/>
  <c r="S855" i="2"/>
  <c r="Q856" i="2"/>
  <c r="S856" i="2"/>
  <c r="Q857" i="2"/>
  <c r="S857" i="2"/>
  <c r="W858" i="2"/>
  <c r="Q858" i="2"/>
  <c r="S858" i="2"/>
  <c r="W859" i="2"/>
  <c r="Q859" i="2"/>
  <c r="S859" i="2"/>
  <c r="W860" i="2"/>
  <c r="Q860" i="2"/>
  <c r="S860" i="2"/>
  <c r="Q861" i="2"/>
  <c r="S861" i="2"/>
  <c r="W862" i="2"/>
  <c r="Q862" i="2"/>
  <c r="S862" i="2"/>
  <c r="Q863" i="2"/>
  <c r="S863" i="2"/>
  <c r="B3" i="41"/>
  <c r="B1" i="41" l="1"/>
  <c r="B2" i="41"/>
  <c r="K51" i="38" l="1"/>
  <c r="K59" i="38" l="1"/>
  <c r="K58" i="38"/>
  <c r="K57" i="38"/>
  <c r="K56" i="38"/>
  <c r="K55" i="38"/>
  <c r="K54" i="38"/>
  <c r="K53" i="38"/>
  <c r="K50" i="38"/>
  <c r="K49" i="38"/>
  <c r="B3" i="35" l="1"/>
  <c r="B5" i="35"/>
  <c r="B7" i="35"/>
  <c r="B8" i="35"/>
  <c r="A4" i="35"/>
  <c r="A5" i="35"/>
  <c r="A7" i="35"/>
  <c r="A8" i="35"/>
  <c r="A3" i="35"/>
  <c r="B5" i="5"/>
  <c r="B6" i="5"/>
  <c r="B7" i="5"/>
  <c r="B3" i="5"/>
  <c r="A4" i="5"/>
  <c r="A5" i="5"/>
  <c r="A6" i="5"/>
  <c r="A7" i="5"/>
  <c r="A3" i="5"/>
  <c r="B3" i="31"/>
  <c r="B5" i="31"/>
  <c r="B6" i="31"/>
  <c r="B7" i="31"/>
  <c r="A4" i="31"/>
  <c r="A5" i="31"/>
  <c r="A6" i="31"/>
  <c r="A7" i="31"/>
  <c r="A3" i="31"/>
  <c r="B3" i="38"/>
  <c r="B5" i="38"/>
  <c r="B6" i="38"/>
  <c r="B7" i="38"/>
  <c r="A4" i="38"/>
  <c r="A5" i="38"/>
  <c r="A6" i="38"/>
  <c r="A7" i="38"/>
  <c r="A3" i="38"/>
  <c r="B5" i="18"/>
  <c r="B6" i="18"/>
  <c r="B7" i="18"/>
  <c r="A4" i="18"/>
  <c r="A5" i="18"/>
  <c r="A6" i="18"/>
  <c r="A7" i="18"/>
  <c r="B3" i="18"/>
  <c r="A3" i="18"/>
  <c r="B7" i="17"/>
  <c r="B6" i="17"/>
  <c r="B5" i="17"/>
  <c r="B3" i="17"/>
  <c r="A4" i="17"/>
  <c r="A5" i="17"/>
  <c r="A6" i="17"/>
  <c r="A7" i="17"/>
  <c r="A3" i="17"/>
  <c r="B5" i="28"/>
  <c r="B3" i="28"/>
  <c r="A4" i="28"/>
  <c r="A5" i="28"/>
  <c r="A3" i="28"/>
  <c r="B7" i="2"/>
  <c r="B5" i="2"/>
  <c r="B4" i="2"/>
  <c r="B3" i="2"/>
  <c r="C7" i="2"/>
  <c r="C5" i="2"/>
  <c r="C3" i="2"/>
  <c r="K53" i="18"/>
  <c r="K54" i="18"/>
  <c r="K55" i="18"/>
  <c r="K56" i="18"/>
  <c r="K57" i="18"/>
  <c r="K58" i="18"/>
  <c r="K59" i="18"/>
  <c r="K52" i="18"/>
  <c r="K50" i="18"/>
  <c r="K49" i="18"/>
  <c r="T11" i="2" l="1"/>
  <c r="T12" i="2"/>
  <c r="T20" i="2"/>
  <c r="T28" i="2"/>
  <c r="T36" i="2"/>
  <c r="T44" i="2"/>
  <c r="T52" i="2"/>
  <c r="T60" i="2"/>
  <c r="T68" i="2"/>
  <c r="T76" i="2"/>
  <c r="T84" i="2"/>
  <c r="T92" i="2"/>
  <c r="T100" i="2"/>
  <c r="T108" i="2"/>
  <c r="T116" i="2"/>
  <c r="T124" i="2"/>
  <c r="T132" i="2"/>
  <c r="T140" i="2"/>
  <c r="T148" i="2"/>
  <c r="T156" i="2"/>
  <c r="T164" i="2"/>
  <c r="T172" i="2"/>
  <c r="T180" i="2"/>
  <c r="T188" i="2"/>
  <c r="T196" i="2"/>
  <c r="T204" i="2"/>
  <c r="T212" i="2"/>
  <c r="T220" i="2"/>
  <c r="T228" i="2"/>
  <c r="T236" i="2"/>
  <c r="T244" i="2"/>
  <c r="T252" i="2"/>
  <c r="T260" i="2"/>
  <c r="T268" i="2"/>
  <c r="T276" i="2"/>
  <c r="T284" i="2"/>
  <c r="T292" i="2"/>
  <c r="T300" i="2"/>
  <c r="T308" i="2"/>
  <c r="T316" i="2"/>
  <c r="T324" i="2"/>
  <c r="T332" i="2"/>
  <c r="T340" i="2"/>
  <c r="T348" i="2"/>
  <c r="T356" i="2"/>
  <c r="T364" i="2"/>
  <c r="T372" i="2"/>
  <c r="T380" i="2"/>
  <c r="T388" i="2"/>
  <c r="T396" i="2"/>
  <c r="T404" i="2"/>
  <c r="T412" i="2"/>
  <c r="T420" i="2"/>
  <c r="T428" i="2"/>
  <c r="T436" i="2"/>
  <c r="T444" i="2"/>
  <c r="T452" i="2"/>
  <c r="T460" i="2"/>
  <c r="T468" i="2"/>
  <c r="T476" i="2"/>
  <c r="T484" i="2"/>
  <c r="T492" i="2"/>
  <c r="T500" i="2"/>
  <c r="T508" i="2"/>
  <c r="T516" i="2"/>
  <c r="T524" i="2"/>
  <c r="T532" i="2"/>
  <c r="T540" i="2"/>
  <c r="T548" i="2"/>
  <c r="T556" i="2"/>
  <c r="T564" i="2"/>
  <c r="T572" i="2"/>
  <c r="T580" i="2"/>
  <c r="T588" i="2"/>
  <c r="T596" i="2"/>
  <c r="T604" i="2"/>
  <c r="T612" i="2"/>
  <c r="T620" i="2"/>
  <c r="T628" i="2"/>
  <c r="T636" i="2"/>
  <c r="T644" i="2"/>
  <c r="T652" i="2"/>
  <c r="T660" i="2"/>
  <c r="T668" i="2"/>
  <c r="T676" i="2"/>
  <c r="T684" i="2"/>
  <c r="T13" i="2"/>
  <c r="T21" i="2"/>
  <c r="T29" i="2"/>
  <c r="T37" i="2"/>
  <c r="T45" i="2"/>
  <c r="T53" i="2"/>
  <c r="T61" i="2"/>
  <c r="T69" i="2"/>
  <c r="T77" i="2"/>
  <c r="T85" i="2"/>
  <c r="T93" i="2"/>
  <c r="T101" i="2"/>
  <c r="T109" i="2"/>
  <c r="T117" i="2"/>
  <c r="T125" i="2"/>
  <c r="T133" i="2"/>
  <c r="T141" i="2"/>
  <c r="T149" i="2"/>
  <c r="T157" i="2"/>
  <c r="T165" i="2"/>
  <c r="T173" i="2"/>
  <c r="T181" i="2"/>
  <c r="T189" i="2"/>
  <c r="T197" i="2"/>
  <c r="T205" i="2"/>
  <c r="T213" i="2"/>
  <c r="T221" i="2"/>
  <c r="T229" i="2"/>
  <c r="T237" i="2"/>
  <c r="T245" i="2"/>
  <c r="T253" i="2"/>
  <c r="T261" i="2"/>
  <c r="T269" i="2"/>
  <c r="T277" i="2"/>
  <c r="T285" i="2"/>
  <c r="T293" i="2"/>
  <c r="T301" i="2"/>
  <c r="T309" i="2"/>
  <c r="T317" i="2"/>
  <c r="T325" i="2"/>
  <c r="T333" i="2"/>
  <c r="T341" i="2"/>
  <c r="T349" i="2"/>
  <c r="T357" i="2"/>
  <c r="T365" i="2"/>
  <c r="T373" i="2"/>
  <c r="T381" i="2"/>
  <c r="T389" i="2"/>
  <c r="T397" i="2"/>
  <c r="T405" i="2"/>
  <c r="T413" i="2"/>
  <c r="T421" i="2"/>
  <c r="T429" i="2"/>
  <c r="T437" i="2"/>
  <c r="T445" i="2"/>
  <c r="T453" i="2"/>
  <c r="T461" i="2"/>
  <c r="T469" i="2"/>
  <c r="T477" i="2"/>
  <c r="T485" i="2"/>
  <c r="T493" i="2"/>
  <c r="T501" i="2"/>
  <c r="T509" i="2"/>
  <c r="T517" i="2"/>
  <c r="T525" i="2"/>
  <c r="T533" i="2"/>
  <c r="T541" i="2"/>
  <c r="T549" i="2"/>
  <c r="T557" i="2"/>
  <c r="T565" i="2"/>
  <c r="T573" i="2"/>
  <c r="T581" i="2"/>
  <c r="T589" i="2"/>
  <c r="T597" i="2"/>
  <c r="T605" i="2"/>
  <c r="T613" i="2"/>
  <c r="T621" i="2"/>
  <c r="T629" i="2"/>
  <c r="T637" i="2"/>
  <c r="T645" i="2"/>
  <c r="T653" i="2"/>
  <c r="T661" i="2"/>
  <c r="T669" i="2"/>
  <c r="T677" i="2"/>
  <c r="T685" i="2"/>
  <c r="T14" i="2"/>
  <c r="T22" i="2"/>
  <c r="T30" i="2"/>
  <c r="T38" i="2"/>
  <c r="T46" i="2"/>
  <c r="T54" i="2"/>
  <c r="T62" i="2"/>
  <c r="T70" i="2"/>
  <c r="T78" i="2"/>
  <c r="T86" i="2"/>
  <c r="T94" i="2"/>
  <c r="T102" i="2"/>
  <c r="T110" i="2"/>
  <c r="T118" i="2"/>
  <c r="T126" i="2"/>
  <c r="T134" i="2"/>
  <c r="T142" i="2"/>
  <c r="T150" i="2"/>
  <c r="T158" i="2"/>
  <c r="T166" i="2"/>
  <c r="T174" i="2"/>
  <c r="T182" i="2"/>
  <c r="T190" i="2"/>
  <c r="T198" i="2"/>
  <c r="T206" i="2"/>
  <c r="T214" i="2"/>
  <c r="T222" i="2"/>
  <c r="T230" i="2"/>
  <c r="T238" i="2"/>
  <c r="T246" i="2"/>
  <c r="T254" i="2"/>
  <c r="T262" i="2"/>
  <c r="T270" i="2"/>
  <c r="T278" i="2"/>
  <c r="T286" i="2"/>
  <c r="T294" i="2"/>
  <c r="T302" i="2"/>
  <c r="T310" i="2"/>
  <c r="T318" i="2"/>
  <c r="T326" i="2"/>
  <c r="T334" i="2"/>
  <c r="T342" i="2"/>
  <c r="T350" i="2"/>
  <c r="T358" i="2"/>
  <c r="T366" i="2"/>
  <c r="T374" i="2"/>
  <c r="T382" i="2"/>
  <c r="T390" i="2"/>
  <c r="T398" i="2"/>
  <c r="T406" i="2"/>
  <c r="T414" i="2"/>
  <c r="T422" i="2"/>
  <c r="T430" i="2"/>
  <c r="T438" i="2"/>
  <c r="T446" i="2"/>
  <c r="T454" i="2"/>
  <c r="T462" i="2"/>
  <c r="T470" i="2"/>
  <c r="T478" i="2"/>
  <c r="T486" i="2"/>
  <c r="T494" i="2"/>
  <c r="T502" i="2"/>
  <c r="T510" i="2"/>
  <c r="T518" i="2"/>
  <c r="T526" i="2"/>
  <c r="T534" i="2"/>
  <c r="T542" i="2"/>
  <c r="T550" i="2"/>
  <c r="T558" i="2"/>
  <c r="T566" i="2"/>
  <c r="T574" i="2"/>
  <c r="T582" i="2"/>
  <c r="T590" i="2"/>
  <c r="T598" i="2"/>
  <c r="T606" i="2"/>
  <c r="T614" i="2"/>
  <c r="T622" i="2"/>
  <c r="T630" i="2"/>
  <c r="T638" i="2"/>
  <c r="T646" i="2"/>
  <c r="T654" i="2"/>
  <c r="T662" i="2"/>
  <c r="T670" i="2"/>
  <c r="T678" i="2"/>
  <c r="T686" i="2"/>
  <c r="T15" i="2"/>
  <c r="T23" i="2"/>
  <c r="T31" i="2"/>
  <c r="T39" i="2"/>
  <c r="T47" i="2"/>
  <c r="T55" i="2"/>
  <c r="T63" i="2"/>
  <c r="T71" i="2"/>
  <c r="T79" i="2"/>
  <c r="T87" i="2"/>
  <c r="T95" i="2"/>
  <c r="T103" i="2"/>
  <c r="T111" i="2"/>
  <c r="T119" i="2"/>
  <c r="T127" i="2"/>
  <c r="T135" i="2"/>
  <c r="T143" i="2"/>
  <c r="T151" i="2"/>
  <c r="T159" i="2"/>
  <c r="T167" i="2"/>
  <c r="T175" i="2"/>
  <c r="T183" i="2"/>
  <c r="T191" i="2"/>
  <c r="T199" i="2"/>
  <c r="T207" i="2"/>
  <c r="T215" i="2"/>
  <c r="T223" i="2"/>
  <c r="T231" i="2"/>
  <c r="T239" i="2"/>
  <c r="T247" i="2"/>
  <c r="T255" i="2"/>
  <c r="T263" i="2"/>
  <c r="T271" i="2"/>
  <c r="T279" i="2"/>
  <c r="T287" i="2"/>
  <c r="T295" i="2"/>
  <c r="T303" i="2"/>
  <c r="T311" i="2"/>
  <c r="T319" i="2"/>
  <c r="T327" i="2"/>
  <c r="T335" i="2"/>
  <c r="T343" i="2"/>
  <c r="T351" i="2"/>
  <c r="T359" i="2"/>
  <c r="T367" i="2"/>
  <c r="T375" i="2"/>
  <c r="T383" i="2"/>
  <c r="T391" i="2"/>
  <c r="T399" i="2"/>
  <c r="T407" i="2"/>
  <c r="T415" i="2"/>
  <c r="T423" i="2"/>
  <c r="T431" i="2"/>
  <c r="T439" i="2"/>
  <c r="T447" i="2"/>
  <c r="T455" i="2"/>
  <c r="T463" i="2"/>
  <c r="T471" i="2"/>
  <c r="T479" i="2"/>
  <c r="T487" i="2"/>
  <c r="T495" i="2"/>
  <c r="T503" i="2"/>
  <c r="T511" i="2"/>
  <c r="T519" i="2"/>
  <c r="T527" i="2"/>
  <c r="T535" i="2"/>
  <c r="T543" i="2"/>
  <c r="T551" i="2"/>
  <c r="T559" i="2"/>
  <c r="T567" i="2"/>
  <c r="T575" i="2"/>
  <c r="T583" i="2"/>
  <c r="T591" i="2"/>
  <c r="T599" i="2"/>
  <c r="T607" i="2"/>
  <c r="T615" i="2"/>
  <c r="T623" i="2"/>
  <c r="T631" i="2"/>
  <c r="T639" i="2"/>
  <c r="T647" i="2"/>
  <c r="T655" i="2"/>
  <c r="T663" i="2"/>
  <c r="T671" i="2"/>
  <c r="T679" i="2"/>
  <c r="T687" i="2"/>
  <c r="T16" i="2"/>
  <c r="T24" i="2"/>
  <c r="T32" i="2"/>
  <c r="T40" i="2"/>
  <c r="T48" i="2"/>
  <c r="T56" i="2"/>
  <c r="T64" i="2"/>
  <c r="T72" i="2"/>
  <c r="T80" i="2"/>
  <c r="T88" i="2"/>
  <c r="T96" i="2"/>
  <c r="T104" i="2"/>
  <c r="T112" i="2"/>
  <c r="T120" i="2"/>
  <c r="T128" i="2"/>
  <c r="T136" i="2"/>
  <c r="T144" i="2"/>
  <c r="T152" i="2"/>
  <c r="T160" i="2"/>
  <c r="T168" i="2"/>
  <c r="T176" i="2"/>
  <c r="T184" i="2"/>
  <c r="T192" i="2"/>
  <c r="T200" i="2"/>
  <c r="T208" i="2"/>
  <c r="T216" i="2"/>
  <c r="T224" i="2"/>
  <c r="T232" i="2"/>
  <c r="T240" i="2"/>
  <c r="T248" i="2"/>
  <c r="T256" i="2"/>
  <c r="T264" i="2"/>
  <c r="T272" i="2"/>
  <c r="T280" i="2"/>
  <c r="T288" i="2"/>
  <c r="T296" i="2"/>
  <c r="T304" i="2"/>
  <c r="T312" i="2"/>
  <c r="T320" i="2"/>
  <c r="T328" i="2"/>
  <c r="T336" i="2"/>
  <c r="T344" i="2"/>
  <c r="T352" i="2"/>
  <c r="T360" i="2"/>
  <c r="T368" i="2"/>
  <c r="T376" i="2"/>
  <c r="T384" i="2"/>
  <c r="T392" i="2"/>
  <c r="T400" i="2"/>
  <c r="T408" i="2"/>
  <c r="T416" i="2"/>
  <c r="T424" i="2"/>
  <c r="T432" i="2"/>
  <c r="T440" i="2"/>
  <c r="T448" i="2"/>
  <c r="T456" i="2"/>
  <c r="T464" i="2"/>
  <c r="T472" i="2"/>
  <c r="T480" i="2"/>
  <c r="T488" i="2"/>
  <c r="T496" i="2"/>
  <c r="T504" i="2"/>
  <c r="T512" i="2"/>
  <c r="T520" i="2"/>
  <c r="T528" i="2"/>
  <c r="T536" i="2"/>
  <c r="T544" i="2"/>
  <c r="T552" i="2"/>
  <c r="T560" i="2"/>
  <c r="T568" i="2"/>
  <c r="T576" i="2"/>
  <c r="T584" i="2"/>
  <c r="T592" i="2"/>
  <c r="T600" i="2"/>
  <c r="T608" i="2"/>
  <c r="T616" i="2"/>
  <c r="T624" i="2"/>
  <c r="T632" i="2"/>
  <c r="T640" i="2"/>
  <c r="T648" i="2"/>
  <c r="T656" i="2"/>
  <c r="T664" i="2"/>
  <c r="T672" i="2"/>
  <c r="T680" i="2"/>
  <c r="T688" i="2"/>
  <c r="T17" i="2"/>
  <c r="T25" i="2"/>
  <c r="T33" i="2"/>
  <c r="T41" i="2"/>
  <c r="T49" i="2"/>
  <c r="T57" i="2"/>
  <c r="T65" i="2"/>
  <c r="T73" i="2"/>
  <c r="T81" i="2"/>
  <c r="T89" i="2"/>
  <c r="T97" i="2"/>
  <c r="T105" i="2"/>
  <c r="T113" i="2"/>
  <c r="T121" i="2"/>
  <c r="T129" i="2"/>
  <c r="T137" i="2"/>
  <c r="T145" i="2"/>
  <c r="T153" i="2"/>
  <c r="T161" i="2"/>
  <c r="T169" i="2"/>
  <c r="T177" i="2"/>
  <c r="T185" i="2"/>
  <c r="T193" i="2"/>
  <c r="T201" i="2"/>
  <c r="T209" i="2"/>
  <c r="T217" i="2"/>
  <c r="T225" i="2"/>
  <c r="T233" i="2"/>
  <c r="T241" i="2"/>
  <c r="T249" i="2"/>
  <c r="T257" i="2"/>
  <c r="T265" i="2"/>
  <c r="T273" i="2"/>
  <c r="T281" i="2"/>
  <c r="T289" i="2"/>
  <c r="T297" i="2"/>
  <c r="T305" i="2"/>
  <c r="T313" i="2"/>
  <c r="T321" i="2"/>
  <c r="T329" i="2"/>
  <c r="T337" i="2"/>
  <c r="T345" i="2"/>
  <c r="T353" i="2"/>
  <c r="T361" i="2"/>
  <c r="T369" i="2"/>
  <c r="T377" i="2"/>
  <c r="T385" i="2"/>
  <c r="T393" i="2"/>
  <c r="T401" i="2"/>
  <c r="T409" i="2"/>
  <c r="T417" i="2"/>
  <c r="T425" i="2"/>
  <c r="T433" i="2"/>
  <c r="T441" i="2"/>
  <c r="T449" i="2"/>
  <c r="T457" i="2"/>
  <c r="T465" i="2"/>
  <c r="T473" i="2"/>
  <c r="T481" i="2"/>
  <c r="T489" i="2"/>
  <c r="T497" i="2"/>
  <c r="T505" i="2"/>
  <c r="T513" i="2"/>
  <c r="T521" i="2"/>
  <c r="T529" i="2"/>
  <c r="T537" i="2"/>
  <c r="T545" i="2"/>
  <c r="T553" i="2"/>
  <c r="T561" i="2"/>
  <c r="T569" i="2"/>
  <c r="T577" i="2"/>
  <c r="T585" i="2"/>
  <c r="T593" i="2"/>
  <c r="T601" i="2"/>
  <c r="T609" i="2"/>
  <c r="T617" i="2"/>
  <c r="T625" i="2"/>
  <c r="T633" i="2"/>
  <c r="T641" i="2"/>
  <c r="T649" i="2"/>
  <c r="T657" i="2"/>
  <c r="T665" i="2"/>
  <c r="T673" i="2"/>
  <c r="T681" i="2"/>
  <c r="T689" i="2"/>
  <c r="T18" i="2"/>
  <c r="T26" i="2"/>
  <c r="T34" i="2"/>
  <c r="T42" i="2"/>
  <c r="T50" i="2"/>
  <c r="T58" i="2"/>
  <c r="T66" i="2"/>
  <c r="T74" i="2"/>
  <c r="T82" i="2"/>
  <c r="T90" i="2"/>
  <c r="T98" i="2"/>
  <c r="T106" i="2"/>
  <c r="T114" i="2"/>
  <c r="T122" i="2"/>
  <c r="T130" i="2"/>
  <c r="T138" i="2"/>
  <c r="T146" i="2"/>
  <c r="T154" i="2"/>
  <c r="T162" i="2"/>
  <c r="T170" i="2"/>
  <c r="T178" i="2"/>
  <c r="T186" i="2"/>
  <c r="T194" i="2"/>
  <c r="T202" i="2"/>
  <c r="T210" i="2"/>
  <c r="T218" i="2"/>
  <c r="T226" i="2"/>
  <c r="T234" i="2"/>
  <c r="T242" i="2"/>
  <c r="T250" i="2"/>
  <c r="T258" i="2"/>
  <c r="T266" i="2"/>
  <c r="T274" i="2"/>
  <c r="T282" i="2"/>
  <c r="T290" i="2"/>
  <c r="T298" i="2"/>
  <c r="T306" i="2"/>
  <c r="T314" i="2"/>
  <c r="T322" i="2"/>
  <c r="T330" i="2"/>
  <c r="T338" i="2"/>
  <c r="T346" i="2"/>
  <c r="T354" i="2"/>
  <c r="T362" i="2"/>
  <c r="T370" i="2"/>
  <c r="T378" i="2"/>
  <c r="T386" i="2"/>
  <c r="T394" i="2"/>
  <c r="T402" i="2"/>
  <c r="T410" i="2"/>
  <c r="T418" i="2"/>
  <c r="T426" i="2"/>
  <c r="T434" i="2"/>
  <c r="T442" i="2"/>
  <c r="T450" i="2"/>
  <c r="T458" i="2"/>
  <c r="T466" i="2"/>
  <c r="T474" i="2"/>
  <c r="T482" i="2"/>
  <c r="T490" i="2"/>
  <c r="T498" i="2"/>
  <c r="T506" i="2"/>
  <c r="T514" i="2"/>
  <c r="T522" i="2"/>
  <c r="T530" i="2"/>
  <c r="T538" i="2"/>
  <c r="T546" i="2"/>
  <c r="T554" i="2"/>
  <c r="T562" i="2"/>
  <c r="T570" i="2"/>
  <c r="T578" i="2"/>
  <c r="T586" i="2"/>
  <c r="T594" i="2"/>
  <c r="T602" i="2"/>
  <c r="T610" i="2"/>
  <c r="T618" i="2"/>
  <c r="T626" i="2"/>
  <c r="T634" i="2"/>
  <c r="T642" i="2"/>
  <c r="T650" i="2"/>
  <c r="T658" i="2"/>
  <c r="T666" i="2"/>
  <c r="T674" i="2"/>
  <c r="T682" i="2"/>
  <c r="T690" i="2"/>
  <c r="T19" i="2"/>
  <c r="T83" i="2"/>
  <c r="T147" i="2"/>
  <c r="T211" i="2"/>
  <c r="T275" i="2"/>
  <c r="T339" i="2"/>
  <c r="T403" i="2"/>
  <c r="T467" i="2"/>
  <c r="T531" i="2"/>
  <c r="T595" i="2"/>
  <c r="T659" i="2"/>
  <c r="T695" i="2"/>
  <c r="T703" i="2"/>
  <c r="T711" i="2"/>
  <c r="T719" i="2"/>
  <c r="T727" i="2"/>
  <c r="T735" i="2"/>
  <c r="T743" i="2"/>
  <c r="T751" i="2"/>
  <c r="T759" i="2"/>
  <c r="T767" i="2"/>
  <c r="T775" i="2"/>
  <c r="T783" i="2"/>
  <c r="T791" i="2"/>
  <c r="T799" i="2"/>
  <c r="T807" i="2"/>
  <c r="T815" i="2"/>
  <c r="T823" i="2"/>
  <c r="T831" i="2"/>
  <c r="T839" i="2"/>
  <c r="T847" i="2"/>
  <c r="T855" i="2"/>
  <c r="T863" i="2"/>
  <c r="T871" i="2"/>
  <c r="T879" i="2"/>
  <c r="T887" i="2"/>
  <c r="T895" i="2"/>
  <c r="T903" i="2"/>
  <c r="T911" i="2"/>
  <c r="T919" i="2"/>
  <c r="T927" i="2"/>
  <c r="T935" i="2"/>
  <c r="T943" i="2"/>
  <c r="T951" i="2"/>
  <c r="T959" i="2"/>
  <c r="T967" i="2"/>
  <c r="T395" i="2"/>
  <c r="T523" i="2"/>
  <c r="T694" i="2"/>
  <c r="T734" i="2"/>
  <c r="T798" i="2"/>
  <c r="T862" i="2"/>
  <c r="T910" i="2"/>
  <c r="T27" i="2"/>
  <c r="T91" i="2"/>
  <c r="T155" i="2"/>
  <c r="T219" i="2"/>
  <c r="T283" i="2"/>
  <c r="T347" i="2"/>
  <c r="T411" i="2"/>
  <c r="T475" i="2"/>
  <c r="T539" i="2"/>
  <c r="T603" i="2"/>
  <c r="T667" i="2"/>
  <c r="T696" i="2"/>
  <c r="T704" i="2"/>
  <c r="T712" i="2"/>
  <c r="T720" i="2"/>
  <c r="T728" i="2"/>
  <c r="T736" i="2"/>
  <c r="T744" i="2"/>
  <c r="T752" i="2"/>
  <c r="T760" i="2"/>
  <c r="T768" i="2"/>
  <c r="T776" i="2"/>
  <c r="T784" i="2"/>
  <c r="T792" i="2"/>
  <c r="T800" i="2"/>
  <c r="T808" i="2"/>
  <c r="T816" i="2"/>
  <c r="T824" i="2"/>
  <c r="T832" i="2"/>
  <c r="T840" i="2"/>
  <c r="T848" i="2"/>
  <c r="T856" i="2"/>
  <c r="T864" i="2"/>
  <c r="T872" i="2"/>
  <c r="T880" i="2"/>
  <c r="T888" i="2"/>
  <c r="T896" i="2"/>
  <c r="T904" i="2"/>
  <c r="T912" i="2"/>
  <c r="T920" i="2"/>
  <c r="T928" i="2"/>
  <c r="T936" i="2"/>
  <c r="T944" i="2"/>
  <c r="T952" i="2"/>
  <c r="T960" i="2"/>
  <c r="T968" i="2"/>
  <c r="T331" i="2"/>
  <c r="T651" i="2"/>
  <c r="T742" i="2"/>
  <c r="T790" i="2"/>
  <c r="T846" i="2"/>
  <c r="T902" i="2"/>
  <c r="T958" i="2"/>
  <c r="T35" i="2"/>
  <c r="T99" i="2"/>
  <c r="T163" i="2"/>
  <c r="T227" i="2"/>
  <c r="T291" i="2"/>
  <c r="T355" i="2"/>
  <c r="T419" i="2"/>
  <c r="T483" i="2"/>
  <c r="T547" i="2"/>
  <c r="T611" i="2"/>
  <c r="T675" i="2"/>
  <c r="T697" i="2"/>
  <c r="T705" i="2"/>
  <c r="T713" i="2"/>
  <c r="T721" i="2"/>
  <c r="T729" i="2"/>
  <c r="T737" i="2"/>
  <c r="T745" i="2"/>
  <c r="T753" i="2"/>
  <c r="T761" i="2"/>
  <c r="T769" i="2"/>
  <c r="T777" i="2"/>
  <c r="T785" i="2"/>
  <c r="T793" i="2"/>
  <c r="T801" i="2"/>
  <c r="T809" i="2"/>
  <c r="T817" i="2"/>
  <c r="T825" i="2"/>
  <c r="T833" i="2"/>
  <c r="T841" i="2"/>
  <c r="T849" i="2"/>
  <c r="T857" i="2"/>
  <c r="T865" i="2"/>
  <c r="T873" i="2"/>
  <c r="T881" i="2"/>
  <c r="T889" i="2"/>
  <c r="T897" i="2"/>
  <c r="T905" i="2"/>
  <c r="T913" i="2"/>
  <c r="T921" i="2"/>
  <c r="T929" i="2"/>
  <c r="T937" i="2"/>
  <c r="T945" i="2"/>
  <c r="T953" i="2"/>
  <c r="T961" i="2"/>
  <c r="T10" i="2"/>
  <c r="T459" i="2"/>
  <c r="T758" i="2"/>
  <c r="T830" i="2"/>
  <c r="T894" i="2"/>
  <c r="T950" i="2"/>
  <c r="T43" i="2"/>
  <c r="T107" i="2"/>
  <c r="T171" i="2"/>
  <c r="T235" i="2"/>
  <c r="T299" i="2"/>
  <c r="T363" i="2"/>
  <c r="T427" i="2"/>
  <c r="T491" i="2"/>
  <c r="T555" i="2"/>
  <c r="T619" i="2"/>
  <c r="T683" i="2"/>
  <c r="T698" i="2"/>
  <c r="T706" i="2"/>
  <c r="T714" i="2"/>
  <c r="T722" i="2"/>
  <c r="T730" i="2"/>
  <c r="T738" i="2"/>
  <c r="T746" i="2"/>
  <c r="T754" i="2"/>
  <c r="T762" i="2"/>
  <c r="T770" i="2"/>
  <c r="T778" i="2"/>
  <c r="T786" i="2"/>
  <c r="T794" i="2"/>
  <c r="T802" i="2"/>
  <c r="T810" i="2"/>
  <c r="T818" i="2"/>
  <c r="T826" i="2"/>
  <c r="T834" i="2"/>
  <c r="T842" i="2"/>
  <c r="T850" i="2"/>
  <c r="T858" i="2"/>
  <c r="T866" i="2"/>
  <c r="T874" i="2"/>
  <c r="T882" i="2"/>
  <c r="T890" i="2"/>
  <c r="T898" i="2"/>
  <c r="T906" i="2"/>
  <c r="T914" i="2"/>
  <c r="T922" i="2"/>
  <c r="T930" i="2"/>
  <c r="T938" i="2"/>
  <c r="T946" i="2"/>
  <c r="T954" i="2"/>
  <c r="T962" i="2"/>
  <c r="T203" i="2"/>
  <c r="T710" i="2"/>
  <c r="T774" i="2"/>
  <c r="T822" i="2"/>
  <c r="T870" i="2"/>
  <c r="T926" i="2"/>
  <c r="T51" i="2"/>
  <c r="T115" i="2"/>
  <c r="T179" i="2"/>
  <c r="T243" i="2"/>
  <c r="T307" i="2"/>
  <c r="T371" i="2"/>
  <c r="T435" i="2"/>
  <c r="T499" i="2"/>
  <c r="T563" i="2"/>
  <c r="T627" i="2"/>
  <c r="T691" i="2"/>
  <c r="T699" i="2"/>
  <c r="T707" i="2"/>
  <c r="T715" i="2"/>
  <c r="T723" i="2"/>
  <c r="T731" i="2"/>
  <c r="T739" i="2"/>
  <c r="T747" i="2"/>
  <c r="T755" i="2"/>
  <c r="T763" i="2"/>
  <c r="T771" i="2"/>
  <c r="T779" i="2"/>
  <c r="T787" i="2"/>
  <c r="T795" i="2"/>
  <c r="T803" i="2"/>
  <c r="T811" i="2"/>
  <c r="T819" i="2"/>
  <c r="T827" i="2"/>
  <c r="T835" i="2"/>
  <c r="T843" i="2"/>
  <c r="T851" i="2"/>
  <c r="T859" i="2"/>
  <c r="T867" i="2"/>
  <c r="T875" i="2"/>
  <c r="T883" i="2"/>
  <c r="T891" i="2"/>
  <c r="T899" i="2"/>
  <c r="T907" i="2"/>
  <c r="T915" i="2"/>
  <c r="T923" i="2"/>
  <c r="T931" i="2"/>
  <c r="T939" i="2"/>
  <c r="T947" i="2"/>
  <c r="T955" i="2"/>
  <c r="T963" i="2"/>
  <c r="T267" i="2"/>
  <c r="T587" i="2"/>
  <c r="T702" i="2"/>
  <c r="T750" i="2"/>
  <c r="T806" i="2"/>
  <c r="T854" i="2"/>
  <c r="T918" i="2"/>
  <c r="T966" i="2"/>
  <c r="T59" i="2"/>
  <c r="T123" i="2"/>
  <c r="T187" i="2"/>
  <c r="T251" i="2"/>
  <c r="T315" i="2"/>
  <c r="T379" i="2"/>
  <c r="T443" i="2"/>
  <c r="T507" i="2"/>
  <c r="T571" i="2"/>
  <c r="T635" i="2"/>
  <c r="T692" i="2"/>
  <c r="T700" i="2"/>
  <c r="T708" i="2"/>
  <c r="T716" i="2"/>
  <c r="T724" i="2"/>
  <c r="T732" i="2"/>
  <c r="T740" i="2"/>
  <c r="T748" i="2"/>
  <c r="T756" i="2"/>
  <c r="T764" i="2"/>
  <c r="T772" i="2"/>
  <c r="T780" i="2"/>
  <c r="T788" i="2"/>
  <c r="T796" i="2"/>
  <c r="T804" i="2"/>
  <c r="T812" i="2"/>
  <c r="T820" i="2"/>
  <c r="T828" i="2"/>
  <c r="T836" i="2"/>
  <c r="T844" i="2"/>
  <c r="T852" i="2"/>
  <c r="T860" i="2"/>
  <c r="T868" i="2"/>
  <c r="T876" i="2"/>
  <c r="T884" i="2"/>
  <c r="T892" i="2"/>
  <c r="T900" i="2"/>
  <c r="T908" i="2"/>
  <c r="T916" i="2"/>
  <c r="T924" i="2"/>
  <c r="T932" i="2"/>
  <c r="T940" i="2"/>
  <c r="T948" i="2"/>
  <c r="T956" i="2"/>
  <c r="T964" i="2"/>
  <c r="T75" i="2"/>
  <c r="T726" i="2"/>
  <c r="T782" i="2"/>
  <c r="T838" i="2"/>
  <c r="T878" i="2"/>
  <c r="T942" i="2"/>
  <c r="T67" i="2"/>
  <c r="T131" i="2"/>
  <c r="T195" i="2"/>
  <c r="T259" i="2"/>
  <c r="T323" i="2"/>
  <c r="T387" i="2"/>
  <c r="T451" i="2"/>
  <c r="T515" i="2"/>
  <c r="T579" i="2"/>
  <c r="T643" i="2"/>
  <c r="T693" i="2"/>
  <c r="T701" i="2"/>
  <c r="T709" i="2"/>
  <c r="T717" i="2"/>
  <c r="T725" i="2"/>
  <c r="T733" i="2"/>
  <c r="T741" i="2"/>
  <c r="T749" i="2"/>
  <c r="T757" i="2"/>
  <c r="T765" i="2"/>
  <c r="T773" i="2"/>
  <c r="T781" i="2"/>
  <c r="T789" i="2"/>
  <c r="T797" i="2"/>
  <c r="T805" i="2"/>
  <c r="T813" i="2"/>
  <c r="T821" i="2"/>
  <c r="T829" i="2"/>
  <c r="T837" i="2"/>
  <c r="T845" i="2"/>
  <c r="T853" i="2"/>
  <c r="T861" i="2"/>
  <c r="T869" i="2"/>
  <c r="T877" i="2"/>
  <c r="T885" i="2"/>
  <c r="T893" i="2"/>
  <c r="T901" i="2"/>
  <c r="T909" i="2"/>
  <c r="T917" i="2"/>
  <c r="T925" i="2"/>
  <c r="T933" i="2"/>
  <c r="T941" i="2"/>
  <c r="T949" i="2"/>
  <c r="T957" i="2"/>
  <c r="T965" i="2"/>
  <c r="T139" i="2"/>
  <c r="T718" i="2"/>
  <c r="T766" i="2"/>
  <c r="T814" i="2"/>
  <c r="T886" i="2"/>
  <c r="T934" i="2"/>
  <c r="R880" i="2"/>
  <c r="P880" i="2" s="1"/>
  <c r="R866" i="2"/>
  <c r="P866" i="2" s="1"/>
  <c r="R890" i="2"/>
  <c r="P890" i="2" s="1"/>
  <c r="R898" i="2"/>
  <c r="P898" i="2" s="1"/>
  <c r="R906" i="2"/>
  <c r="P906" i="2" s="1"/>
  <c r="R914" i="2"/>
  <c r="P914" i="2" s="1"/>
  <c r="R922" i="2"/>
  <c r="P922" i="2" s="1"/>
  <c r="R938" i="2"/>
  <c r="P938" i="2" s="1"/>
  <c r="R946" i="2"/>
  <c r="P946" i="2" s="1"/>
  <c r="R954" i="2"/>
  <c r="P954" i="2" s="1"/>
  <c r="R962" i="2"/>
  <c r="P962" i="2" s="1"/>
  <c r="R887" i="2"/>
  <c r="P887" i="2" s="1"/>
  <c r="R927" i="2"/>
  <c r="P927" i="2" s="1"/>
  <c r="R959" i="2"/>
  <c r="P959" i="2" s="1"/>
  <c r="R873" i="2"/>
  <c r="P873" i="2" s="1"/>
  <c r="R921" i="2"/>
  <c r="P921" i="2" s="1"/>
  <c r="R867" i="2"/>
  <c r="P867" i="2" s="1"/>
  <c r="R875" i="2"/>
  <c r="P875" i="2" s="1"/>
  <c r="R891" i="2"/>
  <c r="P891" i="2" s="1"/>
  <c r="R899" i="2"/>
  <c r="P899" i="2" s="1"/>
  <c r="R907" i="2"/>
  <c r="P907" i="2" s="1"/>
  <c r="R915" i="2"/>
  <c r="P915" i="2" s="1"/>
  <c r="R923" i="2"/>
  <c r="P923" i="2" s="1"/>
  <c r="R931" i="2"/>
  <c r="P931" i="2" s="1"/>
  <c r="R939" i="2"/>
  <c r="P939" i="2" s="1"/>
  <c r="R947" i="2"/>
  <c r="P947" i="2" s="1"/>
  <c r="R955" i="2"/>
  <c r="P955" i="2" s="1"/>
  <c r="R963" i="2"/>
  <c r="P963" i="2" s="1"/>
  <c r="R871" i="2"/>
  <c r="P871" i="2" s="1"/>
  <c r="R895" i="2"/>
  <c r="P895" i="2" s="1"/>
  <c r="R919" i="2"/>
  <c r="P919" i="2" s="1"/>
  <c r="R951" i="2"/>
  <c r="P951" i="2" s="1"/>
  <c r="R889" i="2"/>
  <c r="P889" i="2" s="1"/>
  <c r="R868" i="2"/>
  <c r="P868" i="2" s="1"/>
  <c r="R876" i="2"/>
  <c r="P876" i="2" s="1"/>
  <c r="R892" i="2"/>
  <c r="P892" i="2" s="1"/>
  <c r="R900" i="2"/>
  <c r="P900" i="2" s="1"/>
  <c r="R908" i="2"/>
  <c r="P908" i="2" s="1"/>
  <c r="R916" i="2"/>
  <c r="P916" i="2" s="1"/>
  <c r="R924" i="2"/>
  <c r="P924" i="2" s="1"/>
  <c r="R932" i="2"/>
  <c r="P932" i="2" s="1"/>
  <c r="R940" i="2"/>
  <c r="P940" i="2" s="1"/>
  <c r="R948" i="2"/>
  <c r="P948" i="2" s="1"/>
  <c r="R956" i="2"/>
  <c r="P956" i="2" s="1"/>
  <c r="R964" i="2"/>
  <c r="P964" i="2" s="1"/>
  <c r="R943" i="2"/>
  <c r="P943" i="2" s="1"/>
  <c r="R897" i="2"/>
  <c r="P897" i="2" s="1"/>
  <c r="R953" i="2"/>
  <c r="P953" i="2" s="1"/>
  <c r="R869" i="2"/>
  <c r="P869" i="2" s="1"/>
  <c r="R885" i="2"/>
  <c r="P885" i="2" s="1"/>
  <c r="R893" i="2"/>
  <c r="P893" i="2" s="1"/>
  <c r="R901" i="2"/>
  <c r="P901" i="2" s="1"/>
  <c r="R909" i="2"/>
  <c r="P909" i="2" s="1"/>
  <c r="R917" i="2"/>
  <c r="P917" i="2" s="1"/>
  <c r="R925" i="2"/>
  <c r="P925" i="2" s="1"/>
  <c r="R933" i="2"/>
  <c r="P933" i="2" s="1"/>
  <c r="R941" i="2"/>
  <c r="P941" i="2" s="1"/>
  <c r="R957" i="2"/>
  <c r="P957" i="2" s="1"/>
  <c r="R965" i="2"/>
  <c r="P965" i="2" s="1"/>
  <c r="R903" i="2"/>
  <c r="P903" i="2" s="1"/>
  <c r="R935" i="2"/>
  <c r="P935" i="2" s="1"/>
  <c r="R967" i="2"/>
  <c r="P967" i="2" s="1"/>
  <c r="R905" i="2"/>
  <c r="P905" i="2" s="1"/>
  <c r="R945" i="2"/>
  <c r="P945" i="2" s="1"/>
  <c r="R870" i="2"/>
  <c r="P870" i="2" s="1"/>
  <c r="R886" i="2"/>
  <c r="P886" i="2" s="1"/>
  <c r="R894" i="2"/>
  <c r="P894" i="2" s="1"/>
  <c r="R902" i="2"/>
  <c r="P902" i="2" s="1"/>
  <c r="R910" i="2"/>
  <c r="P910" i="2" s="1"/>
  <c r="R926" i="2"/>
  <c r="P926" i="2" s="1"/>
  <c r="R934" i="2"/>
  <c r="P934" i="2" s="1"/>
  <c r="R958" i="2"/>
  <c r="P958" i="2" s="1"/>
  <c r="R966" i="2"/>
  <c r="P966" i="2" s="1"/>
  <c r="R929" i="2"/>
  <c r="P929" i="2" s="1"/>
  <c r="R864" i="2"/>
  <c r="P864" i="2" s="1"/>
  <c r="R872" i="2"/>
  <c r="P872" i="2" s="1"/>
  <c r="R888" i="2"/>
  <c r="P888" i="2" s="1"/>
  <c r="R896" i="2"/>
  <c r="P896" i="2" s="1"/>
  <c r="R904" i="2"/>
  <c r="P904" i="2" s="1"/>
  <c r="R912" i="2"/>
  <c r="P912" i="2" s="1"/>
  <c r="R920" i="2"/>
  <c r="P920" i="2" s="1"/>
  <c r="R928" i="2"/>
  <c r="P928" i="2" s="1"/>
  <c r="R936" i="2"/>
  <c r="P936" i="2" s="1"/>
  <c r="R944" i="2"/>
  <c r="P944" i="2" s="1"/>
  <c r="R952" i="2"/>
  <c r="P952" i="2" s="1"/>
  <c r="R960" i="2"/>
  <c r="P960" i="2" s="1"/>
  <c r="R968" i="2"/>
  <c r="P968" i="2" s="1"/>
  <c r="R865" i="2"/>
  <c r="P865" i="2" s="1"/>
  <c r="R913" i="2"/>
  <c r="P913" i="2" s="1"/>
  <c r="R961" i="2"/>
  <c r="P961" i="2" s="1"/>
  <c r="D16" i="45"/>
  <c r="D31" i="45" s="1"/>
  <c r="D13" i="45"/>
  <c r="D28" i="45" s="1"/>
  <c r="D14" i="45"/>
  <c r="D29" i="45" s="1"/>
  <c r="D11" i="45"/>
  <c r="D15" i="45"/>
  <c r="D30" i="45" s="1"/>
  <c r="P937" i="2"/>
  <c r="P911" i="2"/>
  <c r="P949" i="2"/>
  <c r="P874" i="2"/>
  <c r="P918" i="2"/>
  <c r="P950" i="2"/>
  <c r="I26" i="37"/>
  <c r="R17" i="2"/>
  <c r="P17" i="2" s="1"/>
  <c r="R25" i="2"/>
  <c r="P25" i="2" s="1"/>
  <c r="R33" i="2"/>
  <c r="P33" i="2" s="1"/>
  <c r="R49" i="2"/>
  <c r="P49" i="2" s="1"/>
  <c r="R57" i="2"/>
  <c r="P57" i="2" s="1"/>
  <c r="R65" i="2"/>
  <c r="P65" i="2" s="1"/>
  <c r="R73" i="2"/>
  <c r="P73" i="2" s="1"/>
  <c r="R81" i="2"/>
  <c r="P81" i="2" s="1"/>
  <c r="R89" i="2"/>
  <c r="P89" i="2" s="1"/>
  <c r="R97" i="2"/>
  <c r="P97" i="2" s="1"/>
  <c r="R121" i="2"/>
  <c r="P121" i="2" s="1"/>
  <c r="R129" i="2"/>
  <c r="P129" i="2" s="1"/>
  <c r="R137" i="2"/>
  <c r="P137" i="2" s="1"/>
  <c r="R145" i="2"/>
  <c r="P145" i="2" s="1"/>
  <c r="R153" i="2"/>
  <c r="P153" i="2" s="1"/>
  <c r="R161" i="2"/>
  <c r="P161" i="2" s="1"/>
  <c r="R177" i="2"/>
  <c r="P177" i="2" s="1"/>
  <c r="R185" i="2"/>
  <c r="P185" i="2" s="1"/>
  <c r="R193" i="2"/>
  <c r="P193" i="2" s="1"/>
  <c r="R201" i="2"/>
  <c r="P201" i="2" s="1"/>
  <c r="R209" i="2"/>
  <c r="P209" i="2" s="1"/>
  <c r="R11" i="2"/>
  <c r="P11" i="2" s="1"/>
  <c r="R19" i="2"/>
  <c r="P19" i="2" s="1"/>
  <c r="R27" i="2"/>
  <c r="P27" i="2" s="1"/>
  <c r="R51" i="2"/>
  <c r="P51" i="2" s="1"/>
  <c r="R59" i="2"/>
  <c r="P59" i="2" s="1"/>
  <c r="R67" i="2"/>
  <c r="P67" i="2" s="1"/>
  <c r="R75" i="2"/>
  <c r="P75" i="2" s="1"/>
  <c r="R83" i="2"/>
  <c r="P83" i="2" s="1"/>
  <c r="R91" i="2"/>
  <c r="P91" i="2" s="1"/>
  <c r="R99" i="2"/>
  <c r="P99" i="2" s="1"/>
  <c r="R115" i="2"/>
  <c r="P115" i="2" s="1"/>
  <c r="R123" i="2"/>
  <c r="P123" i="2" s="1"/>
  <c r="R131" i="2"/>
  <c r="P131" i="2" s="1"/>
  <c r="R139" i="2"/>
  <c r="P139" i="2" s="1"/>
  <c r="R147" i="2"/>
  <c r="P147" i="2" s="1"/>
  <c r="R155" i="2"/>
  <c r="P155" i="2" s="1"/>
  <c r="R163" i="2"/>
  <c r="P163" i="2" s="1"/>
  <c r="R14" i="2"/>
  <c r="P14" i="2" s="1"/>
  <c r="R22" i="2"/>
  <c r="P22" i="2" s="1"/>
  <c r="R38" i="2"/>
  <c r="P38" i="2" s="1"/>
  <c r="R46" i="2"/>
  <c r="P46" i="2" s="1"/>
  <c r="R54" i="2"/>
  <c r="P54" i="2" s="1"/>
  <c r="R62" i="2"/>
  <c r="P62" i="2" s="1"/>
  <c r="R70" i="2"/>
  <c r="P70" i="2" s="1"/>
  <c r="R78" i="2"/>
  <c r="P78" i="2" s="1"/>
  <c r="R86" i="2"/>
  <c r="P86" i="2" s="1"/>
  <c r="R94" i="2"/>
  <c r="P94" i="2" s="1"/>
  <c r="R118" i="2"/>
  <c r="P118" i="2" s="1"/>
  <c r="R126" i="2"/>
  <c r="P126" i="2" s="1"/>
  <c r="R134" i="2"/>
  <c r="P134" i="2" s="1"/>
  <c r="R142" i="2"/>
  <c r="P142" i="2" s="1"/>
  <c r="R150" i="2"/>
  <c r="P150" i="2" s="1"/>
  <c r="R158" i="2"/>
  <c r="P158" i="2" s="1"/>
  <c r="R174" i="2"/>
  <c r="P174" i="2" s="1"/>
  <c r="R182" i="2"/>
  <c r="P182" i="2" s="1"/>
  <c r="R190" i="2"/>
  <c r="P190" i="2" s="1"/>
  <c r="R198" i="2"/>
  <c r="P198" i="2" s="1"/>
  <c r="R206" i="2"/>
  <c r="P206" i="2" s="1"/>
  <c r="R216" i="2"/>
  <c r="P216" i="2" s="1"/>
  <c r="R224" i="2"/>
  <c r="P224" i="2" s="1"/>
  <c r="R232" i="2"/>
  <c r="P232" i="2" s="1"/>
  <c r="R240" i="2"/>
  <c r="P240" i="2" s="1"/>
  <c r="R248" i="2"/>
  <c r="P248" i="2" s="1"/>
  <c r="R256" i="2"/>
  <c r="P256" i="2" s="1"/>
  <c r="R264" i="2"/>
  <c r="P264" i="2" s="1"/>
  <c r="R272" i="2"/>
  <c r="P272" i="2" s="1"/>
  <c r="R280" i="2"/>
  <c r="P280" i="2" s="1"/>
  <c r="R288" i="2"/>
  <c r="P288" i="2" s="1"/>
  <c r="R296" i="2"/>
  <c r="P296" i="2" s="1"/>
  <c r="R15" i="2"/>
  <c r="P15" i="2" s="1"/>
  <c r="R23" i="2"/>
  <c r="P23" i="2" s="1"/>
  <c r="R31" i="2"/>
  <c r="P31" i="2" s="1"/>
  <c r="R47" i="2"/>
  <c r="P47" i="2" s="1"/>
  <c r="R55" i="2"/>
  <c r="P55" i="2" s="1"/>
  <c r="R63" i="2"/>
  <c r="P63" i="2" s="1"/>
  <c r="R71" i="2"/>
  <c r="P71" i="2" s="1"/>
  <c r="R79" i="2"/>
  <c r="P79" i="2" s="1"/>
  <c r="R119" i="2"/>
  <c r="P119" i="2" s="1"/>
  <c r="R127" i="2"/>
  <c r="P127" i="2" s="1"/>
  <c r="R135" i="2"/>
  <c r="P135" i="2" s="1"/>
  <c r="R143" i="2"/>
  <c r="P143" i="2" s="1"/>
  <c r="R151" i="2"/>
  <c r="P151" i="2" s="1"/>
  <c r="R159" i="2"/>
  <c r="P159" i="2" s="1"/>
  <c r="R175" i="2"/>
  <c r="P175" i="2" s="1"/>
  <c r="R183" i="2"/>
  <c r="P183" i="2" s="1"/>
  <c r="R191" i="2"/>
  <c r="P191" i="2" s="1"/>
  <c r="R199" i="2"/>
  <c r="P199" i="2" s="1"/>
  <c r="R207" i="2"/>
  <c r="P207" i="2" s="1"/>
  <c r="R217" i="2"/>
  <c r="P217" i="2" s="1"/>
  <c r="R225" i="2"/>
  <c r="P225" i="2" s="1"/>
  <c r="R233" i="2"/>
  <c r="P233" i="2" s="1"/>
  <c r="R241" i="2"/>
  <c r="P241" i="2" s="1"/>
  <c r="R249" i="2"/>
  <c r="P249" i="2" s="1"/>
  <c r="R257" i="2"/>
  <c r="P257" i="2" s="1"/>
  <c r="R265" i="2"/>
  <c r="P265" i="2" s="1"/>
  <c r="R273" i="2"/>
  <c r="P273" i="2" s="1"/>
  <c r="R281" i="2"/>
  <c r="P281" i="2" s="1"/>
  <c r="R289" i="2"/>
  <c r="P289" i="2" s="1"/>
  <c r="R297" i="2"/>
  <c r="P297" i="2" s="1"/>
  <c r="R10" i="2"/>
  <c r="P10" i="2" s="1"/>
  <c r="R26" i="2"/>
  <c r="P26" i="2" s="1"/>
  <c r="R37" i="2"/>
  <c r="P37" i="2" s="1"/>
  <c r="R48" i="2"/>
  <c r="P48" i="2" s="1"/>
  <c r="R64" i="2"/>
  <c r="P64" i="2" s="1"/>
  <c r="R80" i="2"/>
  <c r="P80" i="2" s="1"/>
  <c r="R93" i="2"/>
  <c r="P93" i="2" s="1"/>
  <c r="R125" i="2"/>
  <c r="P125" i="2" s="1"/>
  <c r="R141" i="2"/>
  <c r="P141" i="2" s="1"/>
  <c r="R157" i="2"/>
  <c r="P157" i="2" s="1"/>
  <c r="R180" i="2"/>
  <c r="P180" i="2" s="1"/>
  <c r="R194" i="2"/>
  <c r="P194" i="2" s="1"/>
  <c r="R205" i="2"/>
  <c r="P205" i="2" s="1"/>
  <c r="R218" i="2"/>
  <c r="P218" i="2" s="1"/>
  <c r="R228" i="2"/>
  <c r="P228" i="2" s="1"/>
  <c r="R238" i="2"/>
  <c r="P238" i="2" s="1"/>
  <c r="R250" i="2"/>
  <c r="P250" i="2" s="1"/>
  <c r="R260" i="2"/>
  <c r="P260" i="2" s="1"/>
  <c r="R270" i="2"/>
  <c r="P270" i="2" s="1"/>
  <c r="R282" i="2"/>
  <c r="P282" i="2" s="1"/>
  <c r="R292" i="2"/>
  <c r="P292" i="2" s="1"/>
  <c r="R302" i="2"/>
  <c r="P302" i="2" s="1"/>
  <c r="R310" i="2"/>
  <c r="P310" i="2" s="1"/>
  <c r="R318" i="2"/>
  <c r="P318" i="2" s="1"/>
  <c r="R326" i="2"/>
  <c r="P326" i="2" s="1"/>
  <c r="R350" i="2"/>
  <c r="P350" i="2" s="1"/>
  <c r="R358" i="2"/>
  <c r="P358" i="2" s="1"/>
  <c r="R366" i="2"/>
  <c r="P366" i="2" s="1"/>
  <c r="R374" i="2"/>
  <c r="P374" i="2" s="1"/>
  <c r="R390" i="2"/>
  <c r="P390" i="2" s="1"/>
  <c r="R398" i="2"/>
  <c r="P398" i="2" s="1"/>
  <c r="R406" i="2"/>
  <c r="P406" i="2" s="1"/>
  <c r="R414" i="2"/>
  <c r="P414" i="2" s="1"/>
  <c r="R422" i="2"/>
  <c r="P422" i="2" s="1"/>
  <c r="R430" i="2"/>
  <c r="P430" i="2" s="1"/>
  <c r="R438" i="2"/>
  <c r="P438" i="2" s="1"/>
  <c r="R446" i="2"/>
  <c r="P446" i="2" s="1"/>
  <c r="R462" i="2"/>
  <c r="P462" i="2" s="1"/>
  <c r="R486" i="2"/>
  <c r="P486" i="2" s="1"/>
  <c r="R494" i="2"/>
  <c r="P494" i="2" s="1"/>
  <c r="R502" i="2"/>
  <c r="P502" i="2" s="1"/>
  <c r="R510" i="2"/>
  <c r="P510" i="2" s="1"/>
  <c r="R518" i="2"/>
  <c r="P518" i="2" s="1"/>
  <c r="R534" i="2"/>
  <c r="P534" i="2" s="1"/>
  <c r="R542" i="2"/>
  <c r="P542" i="2" s="1"/>
  <c r="R550" i="2"/>
  <c r="P550" i="2" s="1"/>
  <c r="R558" i="2"/>
  <c r="P558" i="2" s="1"/>
  <c r="R566" i="2"/>
  <c r="P566" i="2" s="1"/>
  <c r="R574" i="2"/>
  <c r="P574" i="2" s="1"/>
  <c r="R582" i="2"/>
  <c r="P582" i="2" s="1"/>
  <c r="R590" i="2"/>
  <c r="P590" i="2" s="1"/>
  <c r="R598" i="2"/>
  <c r="P598" i="2" s="1"/>
  <c r="R606" i="2"/>
  <c r="P606" i="2" s="1"/>
  <c r="R614" i="2"/>
  <c r="P614" i="2" s="1"/>
  <c r="R622" i="2"/>
  <c r="P622" i="2" s="1"/>
  <c r="R630" i="2"/>
  <c r="P630" i="2" s="1"/>
  <c r="R638" i="2"/>
  <c r="P638" i="2" s="1"/>
  <c r="R12" i="2"/>
  <c r="P12" i="2" s="1"/>
  <c r="R28" i="2"/>
  <c r="P28" i="2" s="1"/>
  <c r="R50" i="2"/>
  <c r="P50" i="2" s="1"/>
  <c r="R66" i="2"/>
  <c r="P66" i="2" s="1"/>
  <c r="R82" i="2"/>
  <c r="P82" i="2" s="1"/>
  <c r="R128" i="2"/>
  <c r="P128" i="2" s="1"/>
  <c r="R144" i="2"/>
  <c r="P144" i="2" s="1"/>
  <c r="R160" i="2"/>
  <c r="P160" i="2" s="1"/>
  <c r="R181" i="2"/>
  <c r="P181" i="2" s="1"/>
  <c r="R195" i="2"/>
  <c r="P195" i="2" s="1"/>
  <c r="R208" i="2"/>
  <c r="P208" i="2" s="1"/>
  <c r="R219" i="2"/>
  <c r="P219" i="2" s="1"/>
  <c r="R229" i="2"/>
  <c r="P229" i="2" s="1"/>
  <c r="R239" i="2"/>
  <c r="P239" i="2" s="1"/>
  <c r="R251" i="2"/>
  <c r="P251" i="2" s="1"/>
  <c r="R261" i="2"/>
  <c r="P261" i="2" s="1"/>
  <c r="R271" i="2"/>
  <c r="P271" i="2" s="1"/>
  <c r="R283" i="2"/>
  <c r="P283" i="2" s="1"/>
  <c r="R293" i="2"/>
  <c r="P293" i="2" s="1"/>
  <c r="R303" i="2"/>
  <c r="P303" i="2" s="1"/>
  <c r="R311" i="2"/>
  <c r="P311" i="2" s="1"/>
  <c r="R319" i="2"/>
  <c r="P319" i="2" s="1"/>
  <c r="R327" i="2"/>
  <c r="P327" i="2" s="1"/>
  <c r="R351" i="2"/>
  <c r="P351" i="2" s="1"/>
  <c r="R359" i="2"/>
  <c r="P359" i="2" s="1"/>
  <c r="R367" i="2"/>
  <c r="P367" i="2" s="1"/>
  <c r="R375" i="2"/>
  <c r="P375" i="2" s="1"/>
  <c r="R391" i="2"/>
  <c r="P391" i="2" s="1"/>
  <c r="R399" i="2"/>
  <c r="P399" i="2" s="1"/>
  <c r="R407" i="2"/>
  <c r="P407" i="2" s="1"/>
  <c r="R415" i="2"/>
  <c r="P415" i="2" s="1"/>
  <c r="R423" i="2"/>
  <c r="P423" i="2" s="1"/>
  <c r="R431" i="2"/>
  <c r="P431" i="2" s="1"/>
  <c r="R439" i="2"/>
  <c r="P439" i="2" s="1"/>
  <c r="R447" i="2"/>
  <c r="P447" i="2" s="1"/>
  <c r="R455" i="2"/>
  <c r="P455" i="2" s="1"/>
  <c r="R463" i="2"/>
  <c r="P463" i="2" s="1"/>
  <c r="R479" i="2"/>
  <c r="P479" i="2" s="1"/>
  <c r="R487" i="2"/>
  <c r="P487" i="2" s="1"/>
  <c r="R495" i="2"/>
  <c r="P495" i="2" s="1"/>
  <c r="R503" i="2"/>
  <c r="P503" i="2" s="1"/>
  <c r="R511" i="2"/>
  <c r="P511" i="2" s="1"/>
  <c r="R519" i="2"/>
  <c r="P519" i="2" s="1"/>
  <c r="R527" i="2"/>
  <c r="P527" i="2" s="1"/>
  <c r="R535" i="2"/>
  <c r="P535" i="2" s="1"/>
  <c r="R543" i="2"/>
  <c r="P543" i="2" s="1"/>
  <c r="R551" i="2"/>
  <c r="P551" i="2" s="1"/>
  <c r="R559" i="2"/>
  <c r="P559" i="2" s="1"/>
  <c r="R567" i="2"/>
  <c r="P567" i="2" s="1"/>
  <c r="R575" i="2"/>
  <c r="P575" i="2" s="1"/>
  <c r="R583" i="2"/>
  <c r="P583" i="2" s="1"/>
  <c r="R591" i="2"/>
  <c r="P591" i="2" s="1"/>
  <c r="R599" i="2"/>
  <c r="P599" i="2" s="1"/>
  <c r="R607" i="2"/>
  <c r="P607" i="2" s="1"/>
  <c r="R615" i="2"/>
  <c r="P615" i="2" s="1"/>
  <c r="R623" i="2"/>
  <c r="P623" i="2" s="1"/>
  <c r="R631" i="2"/>
  <c r="P631" i="2" s="1"/>
  <c r="R639" i="2"/>
  <c r="P639" i="2" s="1"/>
  <c r="R655" i="2"/>
  <c r="P655" i="2" s="1"/>
  <c r="R663" i="2"/>
  <c r="P663" i="2" s="1"/>
  <c r="R671" i="2"/>
  <c r="P671" i="2" s="1"/>
  <c r="R679" i="2"/>
  <c r="P679" i="2" s="1"/>
  <c r="R687" i="2"/>
  <c r="P687" i="2" s="1"/>
  <c r="R695" i="2"/>
  <c r="P695" i="2" s="1"/>
  <c r="R703" i="2"/>
  <c r="P703" i="2" s="1"/>
  <c r="R711" i="2"/>
  <c r="P711" i="2" s="1"/>
  <c r="R719" i="2"/>
  <c r="P719" i="2" s="1"/>
  <c r="R727" i="2"/>
  <c r="P727" i="2" s="1"/>
  <c r="R735" i="2"/>
  <c r="P735" i="2" s="1"/>
  <c r="R751" i="2"/>
  <c r="P751" i="2" s="1"/>
  <c r="R759" i="2"/>
  <c r="P759" i="2" s="1"/>
  <c r="R767" i="2"/>
  <c r="P767" i="2" s="1"/>
  <c r="R775" i="2"/>
  <c r="P775" i="2" s="1"/>
  <c r="R783" i="2"/>
  <c r="P783" i="2" s="1"/>
  <c r="R791" i="2"/>
  <c r="P791" i="2" s="1"/>
  <c r="R799" i="2"/>
  <c r="P799" i="2" s="1"/>
  <c r="R815" i="2"/>
  <c r="P815" i="2" s="1"/>
  <c r="R13" i="2"/>
  <c r="P13" i="2" s="1"/>
  <c r="R52" i="2"/>
  <c r="P52" i="2" s="1"/>
  <c r="R68" i="2"/>
  <c r="P68" i="2" s="1"/>
  <c r="R96" i="2"/>
  <c r="P96" i="2" s="1"/>
  <c r="R114" i="2"/>
  <c r="P114" i="2" s="1"/>
  <c r="R130" i="2"/>
  <c r="P130" i="2" s="1"/>
  <c r="R146" i="2"/>
  <c r="P146" i="2" s="1"/>
  <c r="R162" i="2"/>
  <c r="P162" i="2" s="1"/>
  <c r="R184" i="2"/>
  <c r="P184" i="2" s="1"/>
  <c r="R196" i="2"/>
  <c r="P196" i="2" s="1"/>
  <c r="R210" i="2"/>
  <c r="P210" i="2" s="1"/>
  <c r="R220" i="2"/>
  <c r="P220" i="2" s="1"/>
  <c r="R230" i="2"/>
  <c r="P230" i="2" s="1"/>
  <c r="R242" i="2"/>
  <c r="P242" i="2" s="1"/>
  <c r="R252" i="2"/>
  <c r="P252" i="2" s="1"/>
  <c r="R262" i="2"/>
  <c r="P262" i="2" s="1"/>
  <c r="R274" i="2"/>
  <c r="P274" i="2" s="1"/>
  <c r="R284" i="2"/>
  <c r="P284" i="2" s="1"/>
  <c r="R294" i="2"/>
  <c r="P294" i="2" s="1"/>
  <c r="R304" i="2"/>
  <c r="P304" i="2" s="1"/>
  <c r="R312" i="2"/>
  <c r="P312" i="2" s="1"/>
  <c r="R320" i="2"/>
  <c r="P320" i="2" s="1"/>
  <c r="R328" i="2"/>
  <c r="P328" i="2" s="1"/>
  <c r="G15" i="37" s="1"/>
  <c r="R336" i="2"/>
  <c r="P336" i="2" s="1"/>
  <c r="R352" i="2"/>
  <c r="P352" i="2" s="1"/>
  <c r="R360" i="2"/>
  <c r="P360" i="2" s="1"/>
  <c r="R368" i="2"/>
  <c r="P368" i="2" s="1"/>
  <c r="R376" i="2"/>
  <c r="P376" i="2" s="1"/>
  <c r="R392" i="2"/>
  <c r="P392" i="2" s="1"/>
  <c r="R400" i="2"/>
  <c r="P400" i="2" s="1"/>
  <c r="R408" i="2"/>
  <c r="P408" i="2" s="1"/>
  <c r="R416" i="2"/>
  <c r="P416" i="2" s="1"/>
  <c r="R424" i="2"/>
  <c r="P424" i="2" s="1"/>
  <c r="R432" i="2"/>
  <c r="P432" i="2" s="1"/>
  <c r="R440" i="2"/>
  <c r="P440" i="2" s="1"/>
  <c r="R448" i="2"/>
  <c r="P448" i="2" s="1"/>
  <c r="R456" i="2"/>
  <c r="P456" i="2" s="1"/>
  <c r="R464" i="2"/>
  <c r="P464" i="2" s="1"/>
  <c r="R480" i="2"/>
  <c r="P480" i="2" s="1"/>
  <c r="R488" i="2"/>
  <c r="P488" i="2" s="1"/>
  <c r="R496" i="2"/>
  <c r="P496" i="2" s="1"/>
  <c r="R504" i="2"/>
  <c r="P504" i="2" s="1"/>
  <c r="R512" i="2"/>
  <c r="P512" i="2" s="1"/>
  <c r="R520" i="2"/>
  <c r="P520" i="2" s="1"/>
  <c r="R528" i="2"/>
  <c r="P528" i="2" s="1"/>
  <c r="R544" i="2"/>
  <c r="P544" i="2" s="1"/>
  <c r="R552" i="2"/>
  <c r="P552" i="2" s="1"/>
  <c r="R560" i="2"/>
  <c r="P560" i="2" s="1"/>
  <c r="R568" i="2"/>
  <c r="P568" i="2" s="1"/>
  <c r="R576" i="2"/>
  <c r="P576" i="2" s="1"/>
  <c r="R592" i="2"/>
  <c r="P592" i="2" s="1"/>
  <c r="R600" i="2"/>
  <c r="P600" i="2" s="1"/>
  <c r="R608" i="2"/>
  <c r="P608" i="2" s="1"/>
  <c r="R624" i="2"/>
  <c r="P624" i="2" s="1"/>
  <c r="R632" i="2"/>
  <c r="P632" i="2" s="1"/>
  <c r="R640" i="2"/>
  <c r="P640" i="2" s="1"/>
  <c r="R656" i="2"/>
  <c r="P656" i="2" s="1"/>
  <c r="R664" i="2"/>
  <c r="P664" i="2" s="1"/>
  <c r="R672" i="2"/>
  <c r="P672" i="2" s="1"/>
  <c r="R680" i="2"/>
  <c r="P680" i="2" s="1"/>
  <c r="R688" i="2"/>
  <c r="P688" i="2" s="1"/>
  <c r="R696" i="2"/>
  <c r="P696" i="2" s="1"/>
  <c r="R704" i="2"/>
  <c r="P704" i="2" s="1"/>
  <c r="R712" i="2"/>
  <c r="P712" i="2" s="1"/>
  <c r="R720" i="2"/>
  <c r="P720" i="2" s="1"/>
  <c r="R728" i="2"/>
  <c r="P728" i="2" s="1"/>
  <c r="R736" i="2"/>
  <c r="P736" i="2" s="1"/>
  <c r="R744" i="2"/>
  <c r="P744" i="2" s="1"/>
  <c r="R752" i="2"/>
  <c r="P752" i="2" s="1"/>
  <c r="R16" i="2"/>
  <c r="P16" i="2" s="1"/>
  <c r="R53" i="2"/>
  <c r="P53" i="2" s="1"/>
  <c r="R69" i="2"/>
  <c r="P69" i="2" s="1"/>
  <c r="R85" i="2"/>
  <c r="P85" i="2" s="1"/>
  <c r="R116" i="2"/>
  <c r="P116" i="2" s="1"/>
  <c r="R132" i="2"/>
  <c r="P132" i="2" s="1"/>
  <c r="R148" i="2"/>
  <c r="P148" i="2" s="1"/>
  <c r="R164" i="2"/>
  <c r="P164" i="2" s="1"/>
  <c r="R186" i="2"/>
  <c r="P186" i="2" s="1"/>
  <c r="R197" i="2"/>
  <c r="P197" i="2" s="1"/>
  <c r="R211" i="2"/>
  <c r="P211" i="2" s="1"/>
  <c r="G14" i="37" s="1"/>
  <c r="R221" i="2"/>
  <c r="P221" i="2" s="1"/>
  <c r="R231" i="2"/>
  <c r="P231" i="2" s="1"/>
  <c r="R243" i="2"/>
  <c r="P243" i="2" s="1"/>
  <c r="R253" i="2"/>
  <c r="P253" i="2" s="1"/>
  <c r="R263" i="2"/>
  <c r="P263" i="2" s="1"/>
  <c r="R275" i="2"/>
  <c r="P275" i="2" s="1"/>
  <c r="R285" i="2"/>
  <c r="P285" i="2" s="1"/>
  <c r="R295" i="2"/>
  <c r="P295" i="2" s="1"/>
  <c r="R305" i="2"/>
  <c r="P305" i="2" s="1"/>
  <c r="R313" i="2"/>
  <c r="P313" i="2" s="1"/>
  <c r="R321" i="2"/>
  <c r="P321" i="2" s="1"/>
  <c r="R329" i="2"/>
  <c r="P329" i="2" s="1"/>
  <c r="R337" i="2"/>
  <c r="P337" i="2" s="1"/>
  <c r="R353" i="2"/>
  <c r="P353" i="2" s="1"/>
  <c r="R361" i="2"/>
  <c r="P361" i="2" s="1"/>
  <c r="R369" i="2"/>
  <c r="P369" i="2" s="1"/>
  <c r="R377" i="2"/>
  <c r="P377" i="2" s="1"/>
  <c r="R393" i="2"/>
  <c r="P393" i="2" s="1"/>
  <c r="R401" i="2"/>
  <c r="P401" i="2" s="1"/>
  <c r="R409" i="2"/>
  <c r="P409" i="2" s="1"/>
  <c r="R417" i="2"/>
  <c r="P417" i="2" s="1"/>
  <c r="R433" i="2"/>
  <c r="P433" i="2" s="1"/>
  <c r="R441" i="2"/>
  <c r="P441" i="2" s="1"/>
  <c r="R449" i="2"/>
  <c r="P449" i="2" s="1"/>
  <c r="R457" i="2"/>
  <c r="P457" i="2" s="1"/>
  <c r="R465" i="2"/>
  <c r="P465" i="2" s="1"/>
  <c r="R481" i="2"/>
  <c r="P481" i="2" s="1"/>
  <c r="R489" i="2"/>
  <c r="P489" i="2" s="1"/>
  <c r="R497" i="2"/>
  <c r="P497" i="2" s="1"/>
  <c r="R505" i="2"/>
  <c r="P505" i="2" s="1"/>
  <c r="R513" i="2"/>
  <c r="P513" i="2" s="1"/>
  <c r="R521" i="2"/>
  <c r="P521" i="2" s="1"/>
  <c r="R529" i="2"/>
  <c r="P529" i="2" s="1"/>
  <c r="R545" i="2"/>
  <c r="P545" i="2" s="1"/>
  <c r="R553" i="2"/>
  <c r="P553" i="2" s="1"/>
  <c r="R561" i="2"/>
  <c r="P561" i="2" s="1"/>
  <c r="R569" i="2"/>
  <c r="P569" i="2" s="1"/>
  <c r="R577" i="2"/>
  <c r="P577" i="2" s="1"/>
  <c r="R585" i="2"/>
  <c r="P585" i="2" s="1"/>
  <c r="R593" i="2"/>
  <c r="P593" i="2" s="1"/>
  <c r="R601" i="2"/>
  <c r="P601" i="2" s="1"/>
  <c r="R609" i="2"/>
  <c r="P609" i="2" s="1"/>
  <c r="R625" i="2"/>
  <c r="P625" i="2" s="1"/>
  <c r="R20" i="2"/>
  <c r="P20" i="2" s="1"/>
  <c r="R58" i="2"/>
  <c r="P58" i="2" s="1"/>
  <c r="R74" i="2"/>
  <c r="P74" i="2" s="1"/>
  <c r="R88" i="2"/>
  <c r="P88" i="2" s="1"/>
  <c r="R120" i="2"/>
  <c r="P120" i="2" s="1"/>
  <c r="R136" i="2"/>
  <c r="P136" i="2" s="1"/>
  <c r="R152" i="2"/>
  <c r="P152" i="2" s="1"/>
  <c r="R176" i="2"/>
  <c r="P176" i="2" s="1"/>
  <c r="R188" i="2"/>
  <c r="P188" i="2" s="1"/>
  <c r="R202" i="2"/>
  <c r="P202" i="2" s="1"/>
  <c r="G13" i="37"/>
  <c r="R213" i="2"/>
  <c r="P213" i="2" s="1"/>
  <c r="R223" i="2"/>
  <c r="P223" i="2" s="1"/>
  <c r="R235" i="2"/>
  <c r="P235" i="2" s="1"/>
  <c r="R245" i="2"/>
  <c r="P245" i="2" s="1"/>
  <c r="R255" i="2"/>
  <c r="P255" i="2" s="1"/>
  <c r="R267" i="2"/>
  <c r="P267" i="2" s="1"/>
  <c r="R277" i="2"/>
  <c r="P277" i="2" s="1"/>
  <c r="R287" i="2"/>
  <c r="P287" i="2" s="1"/>
  <c r="R299" i="2"/>
  <c r="P299" i="2" s="1"/>
  <c r="R307" i="2"/>
  <c r="P307" i="2" s="1"/>
  <c r="R315" i="2"/>
  <c r="P315" i="2" s="1"/>
  <c r="R323" i="2"/>
  <c r="P323" i="2" s="1"/>
  <c r="R331" i="2"/>
  <c r="P331" i="2" s="1"/>
  <c r="R355" i="2"/>
  <c r="P355" i="2" s="1"/>
  <c r="R363" i="2"/>
  <c r="P363" i="2" s="1"/>
  <c r="R371" i="2"/>
  <c r="P371" i="2" s="1"/>
  <c r="R387" i="2"/>
  <c r="P387" i="2" s="1"/>
  <c r="R395" i="2"/>
  <c r="P395" i="2" s="1"/>
  <c r="R403" i="2"/>
  <c r="P403" i="2" s="1"/>
  <c r="R411" i="2"/>
  <c r="P411" i="2" s="1"/>
  <c r="R419" i="2"/>
  <c r="P419" i="2" s="1"/>
  <c r="R435" i="2"/>
  <c r="P435" i="2" s="1"/>
  <c r="R443" i="2"/>
  <c r="P443" i="2" s="1"/>
  <c r="R451" i="2"/>
  <c r="P451" i="2" s="1"/>
  <c r="R459" i="2"/>
  <c r="P459" i="2" s="1"/>
  <c r="R467" i="2"/>
  <c r="P467" i="2" s="1"/>
  <c r="R483" i="2"/>
  <c r="P483" i="2" s="1"/>
  <c r="R491" i="2"/>
  <c r="P491" i="2" s="1"/>
  <c r="R499" i="2"/>
  <c r="P499" i="2" s="1"/>
  <c r="R507" i="2"/>
  <c r="P507" i="2" s="1"/>
  <c r="R515" i="2"/>
  <c r="P515" i="2" s="1"/>
  <c r="R523" i="2"/>
  <c r="P523" i="2" s="1"/>
  <c r="R531" i="2"/>
  <c r="P531" i="2" s="1"/>
  <c r="R547" i="2"/>
  <c r="P547" i="2" s="1"/>
  <c r="R555" i="2"/>
  <c r="P555" i="2" s="1"/>
  <c r="R563" i="2"/>
  <c r="P563" i="2" s="1"/>
  <c r="R571" i="2"/>
  <c r="P571" i="2" s="1"/>
  <c r="R579" i="2"/>
  <c r="P579" i="2" s="1"/>
  <c r="R587" i="2"/>
  <c r="P587" i="2" s="1"/>
  <c r="R595" i="2"/>
  <c r="P595" i="2" s="1"/>
  <c r="R603" i="2"/>
  <c r="P603" i="2" s="1"/>
  <c r="R611" i="2"/>
  <c r="P611" i="2" s="1"/>
  <c r="R627" i="2"/>
  <c r="P627" i="2" s="1"/>
  <c r="R635" i="2"/>
  <c r="P635" i="2" s="1"/>
  <c r="R651" i="2"/>
  <c r="P651" i="2" s="1"/>
  <c r="R659" i="2"/>
  <c r="P659" i="2" s="1"/>
  <c r="R667" i="2"/>
  <c r="P667" i="2" s="1"/>
  <c r="R683" i="2"/>
  <c r="P683" i="2" s="1"/>
  <c r="R691" i="2"/>
  <c r="P691" i="2" s="1"/>
  <c r="R699" i="2"/>
  <c r="P699" i="2" s="1"/>
  <c r="R707" i="2"/>
  <c r="P707" i="2" s="1"/>
  <c r="R715" i="2"/>
  <c r="P715" i="2" s="1"/>
  <c r="R723" i="2"/>
  <c r="P723" i="2" s="1"/>
  <c r="R731" i="2"/>
  <c r="P731" i="2" s="1"/>
  <c r="R747" i="2"/>
  <c r="P747" i="2" s="1"/>
  <c r="R72" i="2"/>
  <c r="P72" i="2" s="1"/>
  <c r="R122" i="2"/>
  <c r="P122" i="2" s="1"/>
  <c r="R204" i="2"/>
  <c r="P204" i="2" s="1"/>
  <c r="R214" i="2"/>
  <c r="P214" i="2" s="1"/>
  <c r="R244" i="2"/>
  <c r="P244" i="2" s="1"/>
  <c r="R269" i="2"/>
  <c r="P269" i="2" s="1"/>
  <c r="R300" i="2"/>
  <c r="P300" i="2" s="1"/>
  <c r="R322" i="2"/>
  <c r="P322" i="2" s="1"/>
  <c r="R364" i="2"/>
  <c r="P364" i="2" s="1"/>
  <c r="R394" i="2"/>
  <c r="P394" i="2" s="1"/>
  <c r="R413" i="2"/>
  <c r="P413" i="2" s="1"/>
  <c r="R429" i="2"/>
  <c r="P429" i="2" s="1"/>
  <c r="R452" i="2"/>
  <c r="P452" i="2" s="1"/>
  <c r="R469" i="2"/>
  <c r="P469" i="2" s="1"/>
  <c r="R498" i="2"/>
  <c r="P498" i="2" s="1"/>
  <c r="R517" i="2"/>
  <c r="P517" i="2" s="1"/>
  <c r="R549" i="2"/>
  <c r="P549" i="2" s="1"/>
  <c r="R572" i="2"/>
  <c r="P572" i="2" s="1"/>
  <c r="R589" i="2"/>
  <c r="P589" i="2" s="1"/>
  <c r="R612" i="2"/>
  <c r="P612" i="2" s="1"/>
  <c r="R626" i="2"/>
  <c r="P626" i="2" s="1"/>
  <c r="R642" i="2"/>
  <c r="P642" i="2" s="1"/>
  <c r="R650" i="2"/>
  <c r="P650" i="2" s="1"/>
  <c r="R662" i="2"/>
  <c r="P662" i="2" s="1"/>
  <c r="R686" i="2"/>
  <c r="P686" i="2" s="1"/>
  <c r="R700" i="2"/>
  <c r="P700" i="2" s="1"/>
  <c r="R713" i="2"/>
  <c r="P713" i="2" s="1"/>
  <c r="R725" i="2"/>
  <c r="P725" i="2" s="1"/>
  <c r="R748" i="2"/>
  <c r="P748" i="2" s="1"/>
  <c r="R758" i="2"/>
  <c r="P758" i="2" s="1"/>
  <c r="R768" i="2"/>
  <c r="P768" i="2" s="1"/>
  <c r="R777" i="2"/>
  <c r="P777" i="2" s="1"/>
  <c r="R786" i="2"/>
  <c r="P786" i="2" s="1"/>
  <c r="R795" i="2"/>
  <c r="P795" i="2" s="1"/>
  <c r="R804" i="2"/>
  <c r="P804" i="2" s="1"/>
  <c r="R812" i="2"/>
  <c r="P812" i="2" s="1"/>
  <c r="R821" i="2"/>
  <c r="P821" i="2" s="1"/>
  <c r="R829" i="2"/>
  <c r="P829" i="2" s="1"/>
  <c r="R837" i="2"/>
  <c r="P837" i="2" s="1"/>
  <c r="R845" i="2"/>
  <c r="P845" i="2" s="1"/>
  <c r="R853" i="2"/>
  <c r="P853" i="2" s="1"/>
  <c r="R861" i="2"/>
  <c r="P861" i="2" s="1"/>
  <c r="R76" i="2"/>
  <c r="P76" i="2" s="1"/>
  <c r="R124" i="2"/>
  <c r="P124" i="2" s="1"/>
  <c r="R178" i="2"/>
  <c r="P178" i="2" s="1"/>
  <c r="R215" i="2"/>
  <c r="P215" i="2" s="1"/>
  <c r="R246" i="2"/>
  <c r="P246" i="2" s="1"/>
  <c r="R276" i="2"/>
  <c r="P276" i="2" s="1"/>
  <c r="R301" i="2"/>
  <c r="P301" i="2" s="1"/>
  <c r="R324" i="2"/>
  <c r="P324" i="2" s="1"/>
  <c r="R365" i="2"/>
  <c r="P365" i="2" s="1"/>
  <c r="R396" i="2"/>
  <c r="P396" i="2" s="1"/>
  <c r="R418" i="2"/>
  <c r="P418" i="2" s="1"/>
  <c r="R434" i="2"/>
  <c r="P434" i="2" s="1"/>
  <c r="R500" i="2"/>
  <c r="P500" i="2" s="1"/>
  <c r="R522" i="2"/>
  <c r="P522" i="2" s="1"/>
  <c r="R554" i="2"/>
  <c r="P554" i="2" s="1"/>
  <c r="R573" i="2"/>
  <c r="P573" i="2" s="1"/>
  <c r="R594" i="2"/>
  <c r="P594" i="2" s="1"/>
  <c r="R613" i="2"/>
  <c r="P613" i="2" s="1"/>
  <c r="R628" i="2"/>
  <c r="P628" i="2" s="1"/>
  <c r="R652" i="2"/>
  <c r="P652" i="2" s="1"/>
  <c r="R665" i="2"/>
  <c r="P665" i="2" s="1"/>
  <c r="R689" i="2"/>
  <c r="P689" i="2" s="1"/>
  <c r="R701" i="2"/>
  <c r="P701" i="2" s="1"/>
  <c r="R714" i="2"/>
  <c r="P714" i="2" s="1"/>
  <c r="R726" i="2"/>
  <c r="P726" i="2" s="1"/>
  <c r="R749" i="2"/>
  <c r="P749" i="2" s="1"/>
  <c r="R760" i="2"/>
  <c r="P760" i="2" s="1"/>
  <c r="R769" i="2"/>
  <c r="P769" i="2" s="1"/>
  <c r="R778" i="2"/>
  <c r="P778" i="2" s="1"/>
  <c r="R787" i="2"/>
  <c r="P787" i="2" s="1"/>
  <c r="R796" i="2"/>
  <c r="P796" i="2" s="1"/>
  <c r="R805" i="2"/>
  <c r="P805" i="2" s="1"/>
  <c r="R813" i="2"/>
  <c r="P813" i="2" s="1"/>
  <c r="R822" i="2"/>
  <c r="P822" i="2" s="1"/>
  <c r="R830" i="2"/>
  <c r="P830" i="2" s="1"/>
  <c r="R838" i="2"/>
  <c r="P838" i="2" s="1"/>
  <c r="R846" i="2"/>
  <c r="P846" i="2" s="1"/>
  <c r="R854" i="2"/>
  <c r="P854" i="2" s="1"/>
  <c r="R862" i="2"/>
  <c r="P862" i="2" s="1"/>
  <c r="R32" i="2"/>
  <c r="P32" i="2" s="1"/>
  <c r="R77" i="2"/>
  <c r="P77" i="2" s="1"/>
  <c r="R133" i="2"/>
  <c r="P133" i="2" s="1"/>
  <c r="R179" i="2"/>
  <c r="P179" i="2" s="1"/>
  <c r="R222" i="2"/>
  <c r="P222" i="2" s="1"/>
  <c r="R247" i="2"/>
  <c r="P247" i="2" s="1"/>
  <c r="R278" i="2"/>
  <c r="P278" i="2" s="1"/>
  <c r="R306" i="2"/>
  <c r="P306" i="2" s="1"/>
  <c r="R325" i="2"/>
  <c r="P325" i="2" s="1"/>
  <c r="R348" i="2"/>
  <c r="P348" i="2" s="1"/>
  <c r="R370" i="2"/>
  <c r="P370" i="2" s="1"/>
  <c r="R397" i="2"/>
  <c r="P397" i="2" s="1"/>
  <c r="R420" i="2"/>
  <c r="P420" i="2" s="1"/>
  <c r="R436" i="2"/>
  <c r="P436" i="2" s="1"/>
  <c r="R482" i="2"/>
  <c r="P482" i="2" s="1"/>
  <c r="R501" i="2"/>
  <c r="P501" i="2" s="1"/>
  <c r="G17" i="37" s="1"/>
  <c r="R524" i="2"/>
  <c r="P524" i="2" s="1"/>
  <c r="R556" i="2"/>
  <c r="P556" i="2" s="1"/>
  <c r="R578" i="2"/>
  <c r="P578" i="2" s="1"/>
  <c r="R596" i="2"/>
  <c r="P596" i="2" s="1"/>
  <c r="R629" i="2"/>
  <c r="P629" i="2" s="1"/>
  <c r="R653" i="2"/>
  <c r="P653" i="2" s="1"/>
  <c r="R666" i="2"/>
  <c r="P666" i="2" s="1"/>
  <c r="R677" i="2"/>
  <c r="P677" i="2" s="1"/>
  <c r="R690" i="2"/>
  <c r="P690" i="2" s="1"/>
  <c r="R702" i="2"/>
  <c r="P702" i="2" s="1"/>
  <c r="R716" i="2"/>
  <c r="P716" i="2" s="1"/>
  <c r="R729" i="2"/>
  <c r="P729" i="2" s="1"/>
  <c r="R750" i="2"/>
  <c r="P750" i="2" s="1"/>
  <c r="R761" i="2"/>
  <c r="P761" i="2" s="1"/>
  <c r="R770" i="2"/>
  <c r="P770" i="2" s="1"/>
  <c r="R779" i="2"/>
  <c r="P779" i="2" s="1"/>
  <c r="R788" i="2"/>
  <c r="P788" i="2" s="1"/>
  <c r="R797" i="2"/>
  <c r="P797" i="2" s="1"/>
  <c r="R814" i="2"/>
  <c r="P814" i="2" s="1"/>
  <c r="R823" i="2"/>
  <c r="P823" i="2" s="1"/>
  <c r="R831" i="2"/>
  <c r="P831" i="2" s="1"/>
  <c r="R839" i="2"/>
  <c r="P839" i="2" s="1"/>
  <c r="R847" i="2"/>
  <c r="P847" i="2" s="1"/>
  <c r="R855" i="2"/>
  <c r="P855" i="2" s="1"/>
  <c r="R18" i="2"/>
  <c r="P18" i="2" s="1"/>
  <c r="R56" i="2"/>
  <c r="P56" i="2" s="1"/>
  <c r="R90" i="2"/>
  <c r="P90" i="2" s="1"/>
  <c r="R149" i="2"/>
  <c r="P149" i="2" s="1"/>
  <c r="R192" i="2"/>
  <c r="P192" i="2" s="1"/>
  <c r="R234" i="2"/>
  <c r="P234" i="2" s="1"/>
  <c r="R259" i="2"/>
  <c r="P259" i="2" s="1"/>
  <c r="R290" i="2"/>
  <c r="P290" i="2" s="1"/>
  <c r="R314" i="2"/>
  <c r="P314" i="2" s="1"/>
  <c r="R333" i="2"/>
  <c r="P333" i="2" s="1"/>
  <c r="R386" i="2"/>
  <c r="P386" i="2" s="1"/>
  <c r="R405" i="2"/>
  <c r="P405" i="2" s="1"/>
  <c r="R444" i="2"/>
  <c r="P444" i="2" s="1"/>
  <c r="R461" i="2"/>
  <c r="P461" i="2" s="1"/>
  <c r="R490" i="2"/>
  <c r="P490" i="2" s="1"/>
  <c r="R509" i="2"/>
  <c r="P509" i="2" s="1"/>
  <c r="R530" i="2"/>
  <c r="P530" i="2" s="1"/>
  <c r="R541" i="2"/>
  <c r="P541" i="2" s="1"/>
  <c r="R564" i="2"/>
  <c r="P564" i="2" s="1"/>
  <c r="R604" i="2"/>
  <c r="P604" i="2" s="1"/>
  <c r="R636" i="2"/>
  <c r="P636" i="2" s="1"/>
  <c r="R658" i="2"/>
  <c r="P658" i="2" s="1"/>
  <c r="R670" i="2"/>
  <c r="P670" i="2" s="1"/>
  <c r="R682" i="2"/>
  <c r="P682" i="2" s="1"/>
  <c r="R694" i="2"/>
  <c r="P694" i="2" s="1"/>
  <c r="R708" i="2"/>
  <c r="P708" i="2" s="1"/>
  <c r="R721" i="2"/>
  <c r="P721" i="2" s="1"/>
  <c r="R733" i="2"/>
  <c r="P733" i="2" s="1"/>
  <c r="R755" i="2"/>
  <c r="P755" i="2" s="1"/>
  <c r="R764" i="2"/>
  <c r="P764" i="2" s="1"/>
  <c r="R773" i="2"/>
  <c r="P773" i="2" s="1"/>
  <c r="R782" i="2"/>
  <c r="P782" i="2" s="1"/>
  <c r="R792" i="2"/>
  <c r="P792" i="2" s="1"/>
  <c r="R818" i="2"/>
  <c r="P818" i="2" s="1"/>
  <c r="R826" i="2"/>
  <c r="P826" i="2" s="1"/>
  <c r="R834" i="2"/>
  <c r="P834" i="2" s="1"/>
  <c r="R842" i="2"/>
  <c r="P842" i="2" s="1"/>
  <c r="R858" i="2"/>
  <c r="P858" i="2" s="1"/>
  <c r="R21" i="2"/>
  <c r="P21" i="2" s="1"/>
  <c r="R60" i="2"/>
  <c r="P60" i="2" s="1"/>
  <c r="R92" i="2"/>
  <c r="P92" i="2" s="1"/>
  <c r="R154" i="2"/>
  <c r="P154" i="2" s="1"/>
  <c r="R200" i="2"/>
  <c r="P200" i="2" s="1"/>
  <c r="R236" i="2"/>
  <c r="P236" i="2" s="1"/>
  <c r="R266" i="2"/>
  <c r="P266" i="2" s="1"/>
  <c r="R291" i="2"/>
  <c r="P291" i="2" s="1"/>
  <c r="R316" i="2"/>
  <c r="P316" i="2" s="1"/>
  <c r="R357" i="2"/>
  <c r="P357" i="2" s="1"/>
  <c r="R388" i="2"/>
  <c r="P388" i="2" s="1"/>
  <c r="R410" i="2"/>
  <c r="P410" i="2" s="1"/>
  <c r="R445" i="2"/>
  <c r="P445" i="2" s="1"/>
  <c r="R466" i="2"/>
  <c r="P466" i="2" s="1"/>
  <c r="R492" i="2"/>
  <c r="P492" i="2" s="1"/>
  <c r="R514" i="2"/>
  <c r="P514" i="2" s="1"/>
  <c r="R532" i="2"/>
  <c r="P532" i="2" s="1"/>
  <c r="R546" i="2"/>
  <c r="P546" i="2" s="1"/>
  <c r="R565" i="2"/>
  <c r="P565" i="2" s="1"/>
  <c r="R586" i="2"/>
  <c r="P586" i="2" s="1"/>
  <c r="R605" i="2"/>
  <c r="P605" i="2" s="1"/>
  <c r="R620" i="2"/>
  <c r="P620" i="2" s="1"/>
  <c r="R637" i="2"/>
  <c r="P637" i="2" s="1"/>
  <c r="R660" i="2"/>
  <c r="P660" i="2" s="1"/>
  <c r="R673" i="2"/>
  <c r="P673" i="2" s="1"/>
  <c r="R684" i="2"/>
  <c r="P684" i="2" s="1"/>
  <c r="R697" i="2"/>
  <c r="P697" i="2" s="1"/>
  <c r="R709" i="2"/>
  <c r="P709" i="2" s="1"/>
  <c r="R722" i="2"/>
  <c r="P722" i="2" s="1"/>
  <c r="R734" i="2"/>
  <c r="P734" i="2" s="1"/>
  <c r="R745" i="2"/>
  <c r="P745" i="2" s="1"/>
  <c r="R756" i="2"/>
  <c r="P756" i="2" s="1"/>
  <c r="R765" i="2"/>
  <c r="P765" i="2" s="1"/>
  <c r="R774" i="2"/>
  <c r="P774" i="2" s="1"/>
  <c r="R784" i="2"/>
  <c r="P784" i="2" s="1"/>
  <c r="R793" i="2"/>
  <c r="P793" i="2" s="1"/>
  <c r="R802" i="2"/>
  <c r="P802" i="2" s="1"/>
  <c r="R819" i="2"/>
  <c r="P819" i="2" s="1"/>
  <c r="R827" i="2"/>
  <c r="P827" i="2" s="1"/>
  <c r="R835" i="2"/>
  <c r="P835" i="2" s="1"/>
  <c r="R843" i="2"/>
  <c r="P843" i="2" s="1"/>
  <c r="R851" i="2"/>
  <c r="P851" i="2" s="1"/>
  <c r="R859" i="2"/>
  <c r="P859" i="2" s="1"/>
  <c r="R45" i="2"/>
  <c r="P45" i="2" s="1"/>
  <c r="R254" i="2"/>
  <c r="P254" i="2" s="1"/>
  <c r="R317" i="2"/>
  <c r="P317" i="2" s="1"/>
  <c r="R354" i="2"/>
  <c r="P354" i="2" s="1"/>
  <c r="R412" i="2"/>
  <c r="P412" i="2" s="1"/>
  <c r="R450" i="2"/>
  <c r="P450" i="2" s="1"/>
  <c r="R485" i="2"/>
  <c r="P485" i="2" s="1"/>
  <c r="R570" i="2"/>
  <c r="P570" i="2" s="1"/>
  <c r="R657" i="2"/>
  <c r="P657" i="2" s="1"/>
  <c r="R681" i="2"/>
  <c r="P681" i="2" s="1"/>
  <c r="R717" i="2"/>
  <c r="P717" i="2" s="1"/>
  <c r="R762" i="2"/>
  <c r="P762" i="2" s="1"/>
  <c r="R785" i="2"/>
  <c r="P785" i="2" s="1"/>
  <c r="R820" i="2"/>
  <c r="P820" i="2" s="1"/>
  <c r="R841" i="2"/>
  <c r="P841" i="2" s="1"/>
  <c r="R860" i="2"/>
  <c r="P860" i="2" s="1"/>
  <c r="R61" i="2"/>
  <c r="P61" i="2" s="1"/>
  <c r="R187" i="2"/>
  <c r="P187" i="2" s="1"/>
  <c r="R258" i="2"/>
  <c r="P258" i="2" s="1"/>
  <c r="R330" i="2"/>
  <c r="P330" i="2" s="1"/>
  <c r="R421" i="2"/>
  <c r="P421" i="2" s="1"/>
  <c r="R493" i="2"/>
  <c r="P493" i="2" s="1"/>
  <c r="R580" i="2"/>
  <c r="P580" i="2" s="1"/>
  <c r="R661" i="2"/>
  <c r="P661" i="2" s="1"/>
  <c r="R685" i="2"/>
  <c r="P685" i="2" s="1"/>
  <c r="R718" i="2"/>
  <c r="P718" i="2" s="1"/>
  <c r="R763" i="2"/>
  <c r="P763" i="2" s="1"/>
  <c r="R789" i="2"/>
  <c r="P789" i="2" s="1"/>
  <c r="R824" i="2"/>
  <c r="P824" i="2" s="1"/>
  <c r="R844" i="2"/>
  <c r="P844" i="2" s="1"/>
  <c r="R863" i="2"/>
  <c r="P863" i="2" s="1"/>
  <c r="R189" i="2"/>
  <c r="P189" i="2" s="1"/>
  <c r="R268" i="2"/>
  <c r="P268" i="2" s="1"/>
  <c r="R332" i="2"/>
  <c r="P332" i="2" s="1"/>
  <c r="R362" i="2"/>
  <c r="P362" i="2" s="1"/>
  <c r="R506" i="2"/>
  <c r="P506" i="2" s="1"/>
  <c r="R581" i="2"/>
  <c r="P581" i="2" s="1"/>
  <c r="R668" i="2"/>
  <c r="P668" i="2" s="1"/>
  <c r="R692" i="2"/>
  <c r="P692" i="2" s="1"/>
  <c r="R724" i="2"/>
  <c r="P724" i="2" s="1"/>
  <c r="R766" i="2"/>
  <c r="P766" i="2" s="1"/>
  <c r="R790" i="2"/>
  <c r="P790" i="2" s="1"/>
  <c r="R825" i="2"/>
  <c r="P825" i="2" s="1"/>
  <c r="R203" i="2"/>
  <c r="P203" i="2" s="1"/>
  <c r="R279" i="2"/>
  <c r="P279" i="2" s="1"/>
  <c r="R372" i="2"/>
  <c r="P372" i="2" s="1"/>
  <c r="R458" i="2"/>
  <c r="P458" i="2" s="1"/>
  <c r="R508" i="2"/>
  <c r="P508" i="2" s="1"/>
  <c r="R669" i="2"/>
  <c r="P669" i="2" s="1"/>
  <c r="R693" i="2"/>
  <c r="P693" i="2" s="1"/>
  <c r="R771" i="2"/>
  <c r="P771" i="2" s="1"/>
  <c r="R794" i="2"/>
  <c r="P794" i="2" s="1"/>
  <c r="R828" i="2"/>
  <c r="P828" i="2" s="1"/>
  <c r="R138" i="2"/>
  <c r="P138" i="2" s="1"/>
  <c r="R226" i="2"/>
  <c r="P226" i="2" s="1"/>
  <c r="R298" i="2"/>
  <c r="P298" i="2" s="1"/>
  <c r="R389" i="2"/>
  <c r="P389" i="2" s="1"/>
  <c r="R468" i="2"/>
  <c r="P468" i="2" s="1"/>
  <c r="R525" i="2"/>
  <c r="P525" i="2" s="1"/>
  <c r="R548" i="2"/>
  <c r="P548" i="2" s="1"/>
  <c r="R597" i="2"/>
  <c r="P597" i="2" s="1"/>
  <c r="R633" i="2"/>
  <c r="P633" i="2" s="1"/>
  <c r="R705" i="2"/>
  <c r="P705" i="2" s="1"/>
  <c r="R737" i="2"/>
  <c r="P737" i="2" s="1"/>
  <c r="R753" i="2"/>
  <c r="P753" i="2" s="1"/>
  <c r="R776" i="2"/>
  <c r="P776" i="2" s="1"/>
  <c r="R800" i="2"/>
  <c r="P800" i="2" s="1"/>
  <c r="R811" i="2"/>
  <c r="P811" i="2" s="1"/>
  <c r="R833" i="2"/>
  <c r="P833" i="2" s="1"/>
  <c r="R852" i="2"/>
  <c r="P852" i="2" s="1"/>
  <c r="R286" i="2"/>
  <c r="P286" i="2" s="1"/>
  <c r="R437" i="2"/>
  <c r="P437" i="2" s="1"/>
  <c r="R562" i="2"/>
  <c r="P562" i="2" s="1"/>
  <c r="R698" i="2"/>
  <c r="P698" i="2" s="1"/>
  <c r="R781" i="2"/>
  <c r="P781" i="2" s="1"/>
  <c r="R308" i="2"/>
  <c r="P308" i="2" s="1"/>
  <c r="R373" i="2"/>
  <c r="P373" i="2" s="1"/>
  <c r="R442" i="2"/>
  <c r="P442" i="2" s="1"/>
  <c r="R533" i="2"/>
  <c r="P533" i="2" s="1"/>
  <c r="R621" i="2"/>
  <c r="P621" i="2" s="1"/>
  <c r="R706" i="2"/>
  <c r="P706" i="2" s="1"/>
  <c r="R798" i="2"/>
  <c r="P798" i="2" s="1"/>
  <c r="R816" i="2"/>
  <c r="P816" i="2" s="1"/>
  <c r="R856" i="2"/>
  <c r="P856" i="2" s="1"/>
  <c r="R309" i="2"/>
  <c r="P309" i="2" s="1"/>
  <c r="R402" i="2"/>
  <c r="P402" i="2" s="1"/>
  <c r="R588" i="2"/>
  <c r="P588" i="2" s="1"/>
  <c r="R634" i="2"/>
  <c r="P634" i="2" s="1"/>
  <c r="R710" i="2"/>
  <c r="P710" i="2" s="1"/>
  <c r="R817" i="2"/>
  <c r="P817" i="2" s="1"/>
  <c r="R857" i="2"/>
  <c r="P857" i="2" s="1"/>
  <c r="R117" i="2"/>
  <c r="P117" i="2" s="1"/>
  <c r="R212" i="2"/>
  <c r="P212" i="2" s="1"/>
  <c r="R757" i="2"/>
  <c r="P757" i="2" s="1"/>
  <c r="R840" i="2"/>
  <c r="P840" i="2" s="1"/>
  <c r="R140" i="2"/>
  <c r="P140" i="2" s="1"/>
  <c r="R227" i="2"/>
  <c r="P227" i="2" s="1"/>
  <c r="R484" i="2"/>
  <c r="P484" i="2" s="1"/>
  <c r="R540" i="2"/>
  <c r="P540" i="2" s="1"/>
  <c r="R772" i="2"/>
  <c r="P772" i="2" s="1"/>
  <c r="R610" i="2"/>
  <c r="P610" i="2" s="1"/>
  <c r="R678" i="2"/>
  <c r="P678" i="2" s="1"/>
  <c r="R746" i="2"/>
  <c r="P746" i="2" s="1"/>
  <c r="R460" i="2"/>
  <c r="P460" i="2" s="1"/>
  <c r="R557" i="2"/>
  <c r="P557" i="2" s="1"/>
  <c r="R641" i="2"/>
  <c r="P641" i="2" s="1"/>
  <c r="R654" i="2"/>
  <c r="P654" i="2" s="1"/>
  <c r="R836" i="2"/>
  <c r="P836" i="2" s="1"/>
  <c r="R404" i="2"/>
  <c r="P404" i="2" s="1"/>
  <c r="R674" i="2"/>
  <c r="P674" i="2" s="1"/>
  <c r="R803" i="2"/>
  <c r="P803" i="2" s="1"/>
  <c r="R516" i="2"/>
  <c r="P516" i="2" s="1"/>
  <c r="R237" i="2"/>
  <c r="P237" i="2" s="1"/>
  <c r="R476" i="2"/>
  <c r="P476" i="2" s="1"/>
  <c r="R754" i="2"/>
  <c r="P754" i="2" s="1"/>
  <c r="R832" i="2"/>
  <c r="P832" i="2" s="1"/>
  <c r="R349" i="2"/>
  <c r="P349" i="2" s="1"/>
  <c r="R732" i="2"/>
  <c r="P732" i="2" s="1"/>
  <c r="R780" i="2"/>
  <c r="P780" i="2" s="1"/>
  <c r="R602" i="2"/>
  <c r="P602" i="2" s="1"/>
  <c r="B16" i="37"/>
  <c r="D17" i="37"/>
  <c r="B15" i="37"/>
  <c r="D16" i="37"/>
  <c r="E17" i="37"/>
  <c r="B14" i="37"/>
  <c r="D15" i="37"/>
  <c r="E16" i="37"/>
  <c r="B13" i="37"/>
  <c r="D14" i="37"/>
  <c r="E15" i="37"/>
  <c r="E14" i="37"/>
  <c r="E13" i="37"/>
  <c r="B17" i="37"/>
  <c r="D13" i="37"/>
  <c r="G12" i="37"/>
  <c r="D12" i="37"/>
  <c r="E12" i="37"/>
  <c r="B12" i="37"/>
  <c r="J34" i="18"/>
  <c r="N33" i="18"/>
  <c r="N34" i="18"/>
  <c r="I34" i="18"/>
  <c r="N38" i="18"/>
  <c r="M38" i="18"/>
  <c r="L38" i="18"/>
  <c r="K38" i="18"/>
  <c r="J38" i="18"/>
  <c r="I38" i="18"/>
  <c r="N37" i="18"/>
  <c r="M37" i="18"/>
  <c r="L37" i="18"/>
  <c r="K37" i="18"/>
  <c r="J37" i="18"/>
  <c r="I37" i="18"/>
  <c r="N36" i="18"/>
  <c r="M36" i="18"/>
  <c r="L36" i="18"/>
  <c r="K36" i="18"/>
  <c r="J36" i="18"/>
  <c r="I36" i="18"/>
  <c r="N35" i="18"/>
  <c r="M35" i="18"/>
  <c r="L35" i="18"/>
  <c r="K35" i="18"/>
  <c r="J35" i="18"/>
  <c r="I35" i="18"/>
  <c r="M34" i="18"/>
  <c r="L34" i="18"/>
  <c r="K34" i="18"/>
  <c r="M33" i="18"/>
  <c r="L33" i="18"/>
  <c r="K33" i="18"/>
  <c r="J33" i="18"/>
  <c r="I33" i="18"/>
  <c r="D26" i="45" l="1"/>
  <c r="P26" i="45" s="1"/>
  <c r="G11" i="45"/>
  <c r="D18" i="45"/>
  <c r="I17" i="37"/>
  <c r="I14" i="37"/>
  <c r="I13" i="37"/>
  <c r="I15" i="37"/>
  <c r="I12" i="37"/>
  <c r="G13" i="45"/>
  <c r="P13" i="45"/>
  <c r="J13" i="45"/>
  <c r="M13" i="45"/>
  <c r="G14" i="45"/>
  <c r="P14" i="45"/>
  <c r="M14" i="45"/>
  <c r="J14" i="45"/>
  <c r="G15" i="45"/>
  <c r="J15" i="45"/>
  <c r="P15" i="45"/>
  <c r="M15" i="45"/>
  <c r="P11" i="45"/>
  <c r="J11" i="45"/>
  <c r="M11" i="45"/>
  <c r="G16" i="45"/>
  <c r="M16" i="45"/>
  <c r="P16" i="45"/>
  <c r="J16" i="45"/>
  <c r="G12" i="45"/>
  <c r="P12" i="45"/>
  <c r="M12" i="45"/>
  <c r="J12" i="45"/>
  <c r="P28" i="45"/>
  <c r="J28" i="45"/>
  <c r="P31" i="45"/>
  <c r="J31" i="45"/>
  <c r="P29" i="45"/>
  <c r="J29" i="45"/>
  <c r="P30" i="45"/>
  <c r="J30" i="45"/>
  <c r="P27" i="45"/>
  <c r="J27" i="45"/>
  <c r="G28" i="45"/>
  <c r="M28" i="45"/>
  <c r="G31" i="45"/>
  <c r="M31" i="45"/>
  <c r="G29" i="45"/>
  <c r="M29" i="45"/>
  <c r="G30" i="45"/>
  <c r="M30" i="45"/>
  <c r="G27" i="45"/>
  <c r="M27" i="45"/>
  <c r="F14" i="37"/>
  <c r="F12" i="37"/>
  <c r="F13" i="37"/>
  <c r="F16" i="37"/>
  <c r="F15" i="37"/>
  <c r="F17" i="37"/>
  <c r="K13" i="37"/>
  <c r="K17" i="37"/>
  <c r="K14" i="37"/>
  <c r="K15" i="37"/>
  <c r="K12" i="37"/>
  <c r="I29" i="38"/>
  <c r="J26" i="38"/>
  <c r="K26" i="38"/>
  <c r="L26" i="38"/>
  <c r="M26" i="38"/>
  <c r="N26" i="38"/>
  <c r="I27" i="38"/>
  <c r="J27" i="38"/>
  <c r="K27" i="38"/>
  <c r="L27" i="38"/>
  <c r="M27" i="38"/>
  <c r="N27" i="38"/>
  <c r="I28" i="38"/>
  <c r="J28" i="38"/>
  <c r="K28" i="38"/>
  <c r="L28" i="38"/>
  <c r="M28" i="38"/>
  <c r="N28" i="38"/>
  <c r="J26" i="45" l="1"/>
  <c r="M26" i="45"/>
  <c r="G26" i="45"/>
  <c r="Q11" i="45"/>
  <c r="R11" i="45" s="1"/>
  <c r="L21" i="37" s="1"/>
  <c r="Q31" i="45"/>
  <c r="R31" i="45" s="1"/>
  <c r="K26" i="37" s="1"/>
  <c r="Q28" i="45"/>
  <c r="R28" i="45" s="1"/>
  <c r="Q30" i="45"/>
  <c r="R30" i="45" s="1"/>
  <c r="K25" i="37" s="1"/>
  <c r="Q29" i="45"/>
  <c r="R29" i="45" s="1"/>
  <c r="K24" i="37" s="1"/>
  <c r="Q27" i="45"/>
  <c r="R27" i="45" s="1"/>
  <c r="K22" i="37" s="1"/>
  <c r="G18" i="45"/>
  <c r="J18" i="45"/>
  <c r="M18" i="45"/>
  <c r="D33" i="45"/>
  <c r="H15" i="37"/>
  <c r="H16" i="37"/>
  <c r="H13" i="37"/>
  <c r="H14" i="37"/>
  <c r="H12" i="37"/>
  <c r="H17" i="37"/>
  <c r="Q12" i="45"/>
  <c r="R12" i="45" s="1"/>
  <c r="Q16" i="45"/>
  <c r="R16" i="45" s="1"/>
  <c r="L26" i="37" s="1"/>
  <c r="Q15" i="45"/>
  <c r="R15" i="45" s="1"/>
  <c r="L25" i="37" s="1"/>
  <c r="P18" i="45"/>
  <c r="Q14" i="45"/>
  <c r="R14" i="45" s="1"/>
  <c r="L24" i="37" s="1"/>
  <c r="Q13" i="45"/>
  <c r="R13" i="45" s="1"/>
  <c r="L23" i="37" s="1"/>
  <c r="J13" i="37"/>
  <c r="J12" i="37"/>
  <c r="J17" i="37"/>
  <c r="J14" i="37"/>
  <c r="J16" i="37"/>
  <c r="J15" i="37"/>
  <c r="K23" i="37" l="1"/>
  <c r="L22" i="37"/>
  <c r="Q26" i="45"/>
  <c r="R26" i="45" s="1"/>
  <c r="K21" i="37" s="1"/>
  <c r="P33" i="45"/>
  <c r="M33" i="45"/>
  <c r="G33" i="45"/>
  <c r="J33" i="45"/>
  <c r="Q18" i="45"/>
  <c r="L28" i="37" l="1"/>
  <c r="R18" i="45"/>
  <c r="K28" i="37"/>
  <c r="R33" i="45"/>
  <c r="Q33" i="45"/>
  <c r="I23" i="37"/>
  <c r="I22" i="37"/>
  <c r="C15" i="17"/>
  <c r="J28" i="37" l="1"/>
  <c r="N32" i="18"/>
  <c r="M32" i="18"/>
  <c r="L32" i="18"/>
  <c r="K32" i="18"/>
  <c r="J32" i="18"/>
  <c r="I32" i="18"/>
  <c r="N29" i="38"/>
  <c r="L29" i="38"/>
  <c r="J29" i="38"/>
  <c r="J30" i="38" l="1"/>
  <c r="M30" i="38"/>
  <c r="L30" i="38"/>
  <c r="I39" i="18"/>
  <c r="N39" i="18"/>
  <c r="M39" i="18"/>
  <c r="Y10" i="28"/>
  <c r="N22" i="38"/>
  <c r="M22" i="38"/>
  <c r="L22" i="38"/>
  <c r="K22" i="38"/>
  <c r="J22" i="38"/>
  <c r="I22" i="38"/>
  <c r="B4" i="38"/>
  <c r="F14" i="35"/>
  <c r="G14" i="35" s="1"/>
  <c r="F15" i="35"/>
  <c r="G15" i="35" s="1"/>
  <c r="F13" i="35"/>
  <c r="G13" i="35" s="1"/>
  <c r="S8" i="2"/>
  <c r="B4" i="37"/>
  <c r="B4" i="31"/>
  <c r="N28" i="18"/>
  <c r="M28" i="18"/>
  <c r="L28" i="18"/>
  <c r="K28" i="18"/>
  <c r="J28" i="18"/>
  <c r="I28" i="18"/>
  <c r="B4" i="28"/>
  <c r="C4" i="2"/>
  <c r="B4" i="18"/>
  <c r="B4" i="17"/>
  <c r="B40" i="17"/>
  <c r="B46" i="17" s="1"/>
  <c r="B50" i="17" s="1"/>
  <c r="B51" i="17"/>
  <c r="Y30" i="28" l="1"/>
  <c r="S658" i="2"/>
  <c r="Q658" i="2" s="1"/>
  <c r="S703" i="2"/>
  <c r="Q703" i="2" s="1"/>
  <c r="S701" i="2"/>
  <c r="Q701" i="2" s="1"/>
  <c r="S652" i="2"/>
  <c r="Q652" i="2" s="1"/>
  <c r="S744" i="2"/>
  <c r="Q744" i="2" s="1"/>
  <c r="S818" i="2"/>
  <c r="Q818" i="2" s="1"/>
  <c r="S753" i="2"/>
  <c r="Q753" i="2" s="1"/>
  <c r="S651" i="2"/>
  <c r="Q651" i="2" s="1"/>
  <c r="S823" i="2"/>
  <c r="Q823" i="2" s="1"/>
  <c r="S673" i="2"/>
  <c r="Q673" i="2" s="1"/>
  <c r="S670" i="2"/>
  <c r="Q670" i="2" s="1"/>
  <c r="S654" i="2"/>
  <c r="Q654" i="2" s="1"/>
  <c r="S669" i="2"/>
  <c r="Q669" i="2" s="1"/>
  <c r="S816" i="2"/>
  <c r="Q816" i="2" s="1"/>
  <c r="S697" i="2"/>
  <c r="Q697" i="2" s="1"/>
  <c r="S817" i="2"/>
  <c r="Q817" i="2" s="1"/>
  <c r="S821" i="2"/>
  <c r="Q821" i="2" s="1"/>
  <c r="S812" i="2"/>
  <c r="Q812" i="2" s="1"/>
  <c r="S663" i="2"/>
  <c r="Q663" i="2" s="1"/>
  <c r="S824" i="2"/>
  <c r="Q824" i="2" s="1"/>
  <c r="S815" i="2"/>
  <c r="Q815" i="2" s="1"/>
  <c r="S674" i="2"/>
  <c r="Q674" i="2" s="1"/>
  <c r="S745" i="2"/>
  <c r="Q745" i="2" s="1"/>
  <c r="S749" i="2"/>
  <c r="Q749" i="2" s="1"/>
  <c r="S665" i="2"/>
  <c r="Q665" i="2" s="1"/>
  <c r="S662" i="2"/>
  <c r="Q662" i="2" s="1"/>
  <c r="S655" i="2"/>
  <c r="Q655" i="2" s="1"/>
  <c r="S672" i="2"/>
  <c r="Q672" i="2" s="1"/>
  <c r="S653" i="2"/>
  <c r="Q653" i="2" s="1"/>
  <c r="S814" i="2"/>
  <c r="Q814" i="2" s="1"/>
  <c r="S671" i="2"/>
  <c r="Q671" i="2" s="1"/>
  <c r="S851" i="2"/>
  <c r="Q851" i="2" s="1"/>
  <c r="S813" i="2"/>
  <c r="Q813" i="2" s="1"/>
  <c r="S825" i="2"/>
  <c r="Q825" i="2" s="1"/>
  <c r="S661" i="2"/>
  <c r="Q661" i="2" s="1"/>
  <c r="S664" i="2"/>
  <c r="Q664" i="2" s="1"/>
  <c r="S750" i="2"/>
  <c r="Q750" i="2" s="1"/>
  <c r="S659" i="2"/>
  <c r="Q659" i="2" s="1"/>
  <c r="S820" i="2"/>
  <c r="Q820" i="2" s="1"/>
  <c r="S709" i="2"/>
  <c r="Q709" i="2" s="1"/>
  <c r="S751" i="2"/>
  <c r="Q751" i="2" s="1"/>
  <c r="S667" i="2"/>
  <c r="Q667" i="2" s="1"/>
  <c r="S853" i="2"/>
  <c r="Q853" i="2" s="1"/>
  <c r="S747" i="2"/>
  <c r="Q747" i="2" s="1"/>
  <c r="S656" i="2"/>
  <c r="Q656" i="2" s="1"/>
  <c r="S819" i="2"/>
  <c r="Q819" i="2" s="1"/>
  <c r="S666" i="2"/>
  <c r="Q666" i="2" s="1"/>
  <c r="S707" i="2"/>
  <c r="Q707" i="2" s="1"/>
  <c r="S660" i="2"/>
  <c r="Q660" i="2" s="1"/>
  <c r="S852" i="2"/>
  <c r="Q852" i="2" s="1"/>
  <c r="S650" i="2"/>
  <c r="Q650" i="2" s="1"/>
  <c r="S822" i="2"/>
  <c r="Q822" i="2" s="1"/>
  <c r="S746" i="2"/>
  <c r="Q746" i="2" s="1"/>
  <c r="S657" i="2"/>
  <c r="Q657" i="2" s="1"/>
  <c r="S748" i="2"/>
  <c r="Q748" i="2" s="1"/>
  <c r="S752" i="2"/>
  <c r="Q752" i="2" s="1"/>
  <c r="S755" i="2"/>
  <c r="Q755" i="2" s="1"/>
  <c r="S811" i="2"/>
  <c r="Q811" i="2" s="1"/>
  <c r="S754" i="2"/>
  <c r="Q754" i="2" s="1"/>
  <c r="I21" i="37"/>
  <c r="I13" i="35"/>
  <c r="I15" i="35"/>
  <c r="I14" i="35"/>
  <c r="I24" i="37"/>
  <c r="O28" i="18"/>
  <c r="B48" i="17"/>
  <c r="B49" i="17"/>
  <c r="O22" i="38"/>
  <c r="K30" i="38"/>
  <c r="J39" i="18"/>
  <c r="E11" i="18" s="1"/>
  <c r="N30" i="38"/>
  <c r="L39" i="18"/>
  <c r="K39" i="18"/>
  <c r="E13" i="18" l="1"/>
  <c r="I48" i="35"/>
  <c r="I25" i="37"/>
  <c r="G16" i="37"/>
  <c r="B18" i="37"/>
  <c r="B52" i="17"/>
  <c r="I16" i="37" l="1"/>
  <c r="I28" i="37"/>
  <c r="K16" i="37"/>
  <c r="E16" i="18"/>
  <c r="K46" i="18" s="1"/>
  <c r="K44" i="18"/>
  <c r="F18" i="37"/>
  <c r="E15" i="18"/>
  <c r="J18" i="37" l="1"/>
  <c r="K51" i="18"/>
  <c r="E17" i="18"/>
  <c r="E19" i="18" s="1"/>
  <c r="C28" i="17" s="1"/>
  <c r="C30" i="17" s="1"/>
  <c r="C33" i="17" s="1"/>
  <c r="K45" i="18"/>
  <c r="C20" i="17" l="1"/>
  <c r="C23" i="17" s="1"/>
  <c r="E20" i="18" s="1"/>
  <c r="E21" i="18" l="1"/>
  <c r="E23" i="18" s="1"/>
  <c r="K47" i="18"/>
  <c r="E24" i="18" l="1"/>
  <c r="E30" i="18" s="1"/>
  <c r="K48" i="18"/>
  <c r="E41" i="18" l="1"/>
  <c r="E45" i="18" l="1"/>
  <c r="K60" i="18" l="1"/>
  <c r="K62" i="18" s="1"/>
  <c r="F28" i="18"/>
  <c r="F17" i="18" l="1"/>
  <c r="B23" i="37"/>
  <c r="F36" i="18"/>
  <c r="F35" i="18"/>
  <c r="B25" i="37"/>
  <c r="E49" i="18"/>
  <c r="K66" i="18" s="1"/>
  <c r="F34" i="18"/>
  <c r="B22" i="37"/>
  <c r="F41" i="18"/>
  <c r="F33" i="18"/>
  <c r="B21" i="37"/>
  <c r="F38" i="18"/>
  <c r="C26" i="37"/>
  <c r="F43" i="18"/>
  <c r="F40" i="18"/>
  <c r="B24" i="37"/>
  <c r="F30" i="18"/>
  <c r="F32" i="18"/>
  <c r="E47" i="18"/>
  <c r="K64" i="18" s="1"/>
  <c r="E51" i="18"/>
  <c r="K68" i="18" s="1"/>
  <c r="F39" i="18"/>
  <c r="B26" i="37"/>
  <c r="F24" i="18"/>
  <c r="F21" i="18"/>
  <c r="F37" i="18"/>
  <c r="C25" i="37"/>
  <c r="C22" i="37"/>
  <c r="C24" i="37"/>
  <c r="C23" i="37"/>
  <c r="C21" i="37"/>
  <c r="D26" i="37" l="1"/>
  <c r="D25" i="37"/>
  <c r="F45" i="18"/>
  <c r="D24" i="37"/>
  <c r="H28" i="37"/>
  <c r="D23" i="37"/>
  <c r="D21" i="37"/>
  <c r="D22" i="37"/>
  <c r="N6" i="28" l="1"/>
  <c r="G18" i="37" l="1"/>
  <c r="I18" i="37"/>
  <c r="B28" i="37"/>
  <c r="H18" i="37"/>
  <c r="K18" i="37"/>
  <c r="C28" i="37" l="1"/>
  <c r="D28" i="37" l="1"/>
  <c r="N27" i="37" l="1"/>
  <c r="I26" i="38" l="1"/>
  <c r="I30" i="38" s="1"/>
  <c r="E11" i="38" s="1"/>
  <c r="E13" i="38" s="1"/>
  <c r="E15" i="38" l="1"/>
  <c r="K45" i="38" s="1"/>
  <c r="K44" i="38"/>
  <c r="E16" i="38"/>
  <c r="K46" i="38" s="1"/>
  <c r="E17" i="38" l="1"/>
  <c r="E19" i="38" l="1"/>
  <c r="E20" i="38" s="1"/>
  <c r="K47" i="38" l="1"/>
  <c r="E21" i="38"/>
  <c r="E23" i="38" l="1"/>
  <c r="K48" i="38" s="1"/>
  <c r="E24" i="38" l="1"/>
  <c r="E30" i="38" l="1"/>
  <c r="E41" i="38" l="1"/>
  <c r="E43" i="38" l="1"/>
  <c r="K60" i="38" l="1"/>
  <c r="K62" i="38" s="1"/>
  <c r="E45" i="38"/>
  <c r="F26" i="37" l="1"/>
  <c r="F23" i="37"/>
  <c r="E23" i="37"/>
  <c r="E22" i="37"/>
  <c r="F35" i="38"/>
  <c r="F37" i="38"/>
  <c r="F32" i="38"/>
  <c r="F25" i="37"/>
  <c r="E25" i="37"/>
  <c r="E21" i="37"/>
  <c r="F33" i="38"/>
  <c r="F34" i="38"/>
  <c r="E24" i="37"/>
  <c r="F39" i="38"/>
  <c r="F36" i="38"/>
  <c r="F22" i="37"/>
  <c r="F21" i="37"/>
  <c r="F24" i="37"/>
  <c r="E26" i="37"/>
  <c r="F38" i="38"/>
  <c r="F17" i="38"/>
  <c r="F21" i="38"/>
  <c r="F24" i="38"/>
  <c r="E49" i="38"/>
  <c r="K66" i="38" s="1"/>
  <c r="E51" i="38"/>
  <c r="K68" i="38" s="1"/>
  <c r="E47" i="38"/>
  <c r="K64" i="38" s="1"/>
  <c r="F30" i="38"/>
  <c r="F41" i="38"/>
  <c r="F43" i="38"/>
  <c r="G24" i="37" l="1"/>
  <c r="M24" i="37" s="1"/>
  <c r="N24" i="37" s="1"/>
  <c r="G26" i="37"/>
  <c r="M26" i="37" s="1"/>
  <c r="N26" i="37" s="1"/>
  <c r="G22" i="37"/>
  <c r="M22" i="37" s="1"/>
  <c r="N22" i="37" s="1"/>
  <c r="F45" i="38"/>
  <c r="E28" i="37"/>
  <c r="G21" i="37"/>
  <c r="G23" i="37"/>
  <c r="M23" i="37" s="1"/>
  <c r="F28" i="37"/>
  <c r="G25" i="37"/>
  <c r="M25" i="37" s="1"/>
  <c r="N23" i="37" l="1"/>
  <c r="G28" i="37"/>
  <c r="M21" i="37"/>
  <c r="N25" i="37"/>
  <c r="N21" i="37" l="1"/>
  <c r="N28" i="37" s="1"/>
  <c r="M28" i="37"/>
  <c r="N1" i="37" l="1"/>
  <c r="N2" i="37" l="1"/>
  <c r="N3" i="37" s="1"/>
</calcChain>
</file>

<file path=xl/sharedStrings.xml><?xml version="1.0" encoding="utf-8"?>
<sst xmlns="http://schemas.openxmlformats.org/spreadsheetml/2006/main" count="9140" uniqueCount="1704">
  <si>
    <t>Naam opdrachtgever</t>
  </si>
  <si>
    <t>Calculatie onderdeel</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</si>
  <si>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</si>
  <si>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</si>
  <si>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</si>
  <si>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</si>
  <si>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</si>
  <si>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</si>
  <si>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</si>
  <si>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</si>
  <si>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</si>
  <si>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</si>
  <si>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</si>
  <si>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</si>
  <si>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</si>
  <si>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Locatie</t>
  </si>
  <si>
    <t>Totaal m2</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</si>
  <si>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</si>
  <si>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</si>
  <si>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</si>
  <si>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</si>
  <si>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</si>
  <si>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</si>
  <si>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</si>
  <si>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</si>
  <si>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</si>
  <si>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Totaal</t>
  </si>
  <si>
    <t>Totale kosten productie per jaar</t>
  </si>
  <si>
    <t xml:space="preserve">Kosten toezicht per jaar ma t/m vr </t>
  </si>
  <si>
    <t>Kosten toezicht per jaar ma t/m vr naloop</t>
  </si>
  <si>
    <t>Totale kosten toezicht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</si>
  <si>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</si>
  <si>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</si>
  <si>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</si>
  <si>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</si>
  <si>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</si>
  <si>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</si>
  <si>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</si>
  <si>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</si>
  <si>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</si>
  <si>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</si>
  <si>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</si>
  <si>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VSR Code</t>
  </si>
  <si>
    <t>B</t>
  </si>
  <si>
    <t>Sanitaire ruimten</t>
  </si>
  <si>
    <t>S</t>
  </si>
  <si>
    <t>V</t>
  </si>
  <si>
    <t>Pantry/keuken</t>
  </si>
  <si>
    <t>Restauratieve ruimten</t>
  </si>
  <si>
    <t>Kleedruimten</t>
  </si>
  <si>
    <t>Vergaderruimten</t>
  </si>
  <si>
    <t>Sportzaal</t>
  </si>
  <si>
    <t>Entree</t>
  </si>
  <si>
    <t>Trappenhuis</t>
  </si>
  <si>
    <t>Lift</t>
  </si>
  <si>
    <t>Kolom voor matrix</t>
  </si>
  <si>
    <t>Frequentie verklaring</t>
  </si>
  <si>
    <t>Freq</t>
  </si>
  <si>
    <t>Kolom</t>
  </si>
  <si>
    <t>1 x per maand</t>
  </si>
  <si>
    <t>5 x per week (52 weken)</t>
  </si>
  <si>
    <t>% van reguliere norm</t>
  </si>
  <si>
    <t>Gebouw</t>
  </si>
  <si>
    <t>Adres</t>
  </si>
  <si>
    <t>Verdieping</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</si>
  <si>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</si>
  <si>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</si>
  <si>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</si>
  <si>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</si>
  <si>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</si>
  <si>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</si>
  <si>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</si>
  <si>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</si>
  <si>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</si>
  <si>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</si>
  <si>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VSR code</t>
  </si>
  <si>
    <t>Bijzonderheden / opmerkingen</t>
  </si>
  <si>
    <t>M2 per jaar</t>
  </si>
  <si>
    <t>Linoleum</t>
  </si>
  <si>
    <t>Kleedruimte</t>
  </si>
  <si>
    <t>Beton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</si>
  <si>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</si>
  <si>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</si>
  <si>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</si>
  <si>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</si>
  <si>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</si>
  <si>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</si>
  <si>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</si>
  <si>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</si>
  <si>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</si>
  <si>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</si>
  <si>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</si>
  <si>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</si>
  <si>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</si>
  <si>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</si>
  <si>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</si>
  <si>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</si>
  <si>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</si>
  <si>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</si>
  <si>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</si>
  <si>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</si>
  <si>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</si>
  <si>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</si>
  <si>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</si>
  <si>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</si>
  <si>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</si>
  <si>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</si>
  <si>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</si>
  <si>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</si>
  <si>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</si>
  <si>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</si>
  <si>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</si>
  <si>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</si>
  <si>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</si>
  <si>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</si>
  <si>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</si>
  <si>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</si>
  <si>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</si>
  <si>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</si>
  <si>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</si>
  <si>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</si>
  <si>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</si>
  <si>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</si>
  <si>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</si>
  <si>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</si>
  <si>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</si>
  <si>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</si>
  <si>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</si>
  <si>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</si>
  <si>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</si>
  <si>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</si>
  <si>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</si>
  <si>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</si>
  <si>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</si>
  <si>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</si>
  <si>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</si>
  <si>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</si>
  <si>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</si>
  <si>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</si>
  <si>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</si>
  <si>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</si>
  <si>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</si>
  <si>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</si>
  <si>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</si>
  <si>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</si>
  <si>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</si>
  <si>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</si>
  <si>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</si>
  <si>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</si>
  <si>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</si>
  <si>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</si>
  <si>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</si>
  <si>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</si>
  <si>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</si>
  <si>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</si>
  <si>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</si>
  <si>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</si>
  <si>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</si>
  <si>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</si>
  <si>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</si>
  <si>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</si>
  <si>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</si>
  <si>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</si>
  <si>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</si>
  <si>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</si>
  <si>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</si>
  <si>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</si>
  <si>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frequentie per jaar</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</si>
  <si>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</si>
  <si>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</si>
  <si>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</si>
  <si>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</si>
  <si>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</si>
  <si>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</si>
  <si>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</si>
  <si>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</si>
  <si>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</si>
  <si>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</si>
  <si>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</si>
  <si>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</si>
  <si>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</si>
  <si>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</si>
  <si>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</si>
  <si>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</si>
  <si>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</si>
  <si>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</si>
  <si>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</si>
  <si>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</si>
  <si>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</si>
  <si>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</si>
  <si>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</si>
  <si>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</si>
  <si>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</si>
  <si>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</si>
  <si>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</si>
  <si>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</si>
  <si>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</si>
  <si>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</si>
  <si>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</si>
  <si>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</si>
  <si>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</si>
  <si>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</si>
  <si>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</si>
  <si>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</si>
  <si>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</si>
  <si>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</si>
  <si>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</si>
  <si>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</si>
  <si>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</si>
  <si>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</si>
  <si>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</si>
  <si>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</si>
  <si>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</si>
  <si>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</si>
  <si>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</si>
  <si>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</si>
  <si>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</si>
  <si>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</si>
  <si>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</si>
  <si>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</si>
  <si>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</si>
  <si>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t>Kosten per beurt</t>
  </si>
  <si>
    <t>Frequentie per jaar</t>
  </si>
  <si>
    <t>Totaalkosten per jaar</t>
  </si>
  <si>
    <t>1</t>
  </si>
  <si>
    <t>Artikel</t>
  </si>
  <si>
    <t>Merk en productlijn</t>
  </si>
  <si>
    <t>Technische ruimte nummer</t>
  </si>
  <si>
    <t>Feitelijke ruimte nummer</t>
  </si>
  <si>
    <t>Ruimtetype</t>
  </si>
  <si>
    <t>-1</t>
  </si>
  <si>
    <t>-</t>
  </si>
  <si>
    <t>Verkeersruimten verticaal</t>
  </si>
  <si>
    <t>Trappenhuizen</t>
  </si>
  <si>
    <t>beton</t>
  </si>
  <si>
    <t>Verkeersruimten horizontaal</t>
  </si>
  <si>
    <t>Gang</t>
  </si>
  <si>
    <t>Technische ruimten</t>
  </si>
  <si>
    <t>Technische ruimte algemeen</t>
  </si>
  <si>
    <t>niet in onderhoud</t>
  </si>
  <si>
    <t>Technische ruimte specifiek</t>
  </si>
  <si>
    <t>Ketelhuis</t>
  </si>
  <si>
    <t>Opslagruimten</t>
  </si>
  <si>
    <t>Facilitaire ruimten</t>
  </si>
  <si>
    <t>Leslokaal theorie</t>
  </si>
  <si>
    <t>Kantoorruimten</t>
  </si>
  <si>
    <t>bg</t>
  </si>
  <si>
    <t>Entree ruimten</t>
  </si>
  <si>
    <t>schoonloopmat</t>
  </si>
  <si>
    <t>Hal</t>
  </si>
  <si>
    <t>Portaal</t>
  </si>
  <si>
    <t>linoleum</t>
  </si>
  <si>
    <t>Koffiehoek/pantry</t>
  </si>
  <si>
    <t>restauratieve ruimten</t>
  </si>
  <si>
    <t>Keuken</t>
  </si>
  <si>
    <t>Werkkast</t>
  </si>
  <si>
    <t>gietvloer</t>
  </si>
  <si>
    <t>Leidingschacht</t>
  </si>
  <si>
    <t>Toilet voorruimte</t>
  </si>
  <si>
    <t>sanitaire ruimten</t>
  </si>
  <si>
    <t>Toilet</t>
  </si>
  <si>
    <t>Receptie</t>
  </si>
  <si>
    <t>Personeelskamer</t>
  </si>
  <si>
    <t>0.13</t>
  </si>
  <si>
    <t>Onderwijsruimten</t>
  </si>
  <si>
    <t>Theorielokalen</t>
  </si>
  <si>
    <t>Kantine/restaurant</t>
  </si>
  <si>
    <t>0.15</t>
  </si>
  <si>
    <t>1e</t>
  </si>
  <si>
    <t>Ser/Mer-ruimte</t>
  </si>
  <si>
    <t>vergaderruimten</t>
  </si>
  <si>
    <t>2e</t>
  </si>
  <si>
    <t>Leslokaal praktijk</t>
  </si>
  <si>
    <t>nio</t>
  </si>
  <si>
    <t>Bureaukamer</t>
  </si>
  <si>
    <t>Verkeersruimten Verticaal</t>
  </si>
  <si>
    <t>Verkeersruimten Horizontaal</t>
  </si>
  <si>
    <t>Meterruimte</t>
  </si>
  <si>
    <t>Trafo-ruimte</t>
  </si>
  <si>
    <t>Nevenruimten</t>
  </si>
  <si>
    <t>Vuilopslag/container</t>
  </si>
  <si>
    <t>Stallingsruimten inpandig</t>
  </si>
  <si>
    <t>Fietsenstalling</t>
  </si>
  <si>
    <t>Zelfstudieruimten</t>
  </si>
  <si>
    <t>leslokaal theorie</t>
  </si>
  <si>
    <t>leslokaal praktijk</t>
  </si>
  <si>
    <t>Kleedruimte practica</t>
  </si>
  <si>
    <t>Wachtruimte</t>
  </si>
  <si>
    <t>Ontspanningsruimte</t>
  </si>
  <si>
    <t>3e</t>
  </si>
  <si>
    <t>Computerlokalen</t>
  </si>
  <si>
    <t>4e</t>
  </si>
  <si>
    <t>sportvloer</t>
  </si>
  <si>
    <t>2</t>
  </si>
  <si>
    <t>Energiebedrijf</t>
  </si>
  <si>
    <t>rubberen tegels</t>
  </si>
  <si>
    <t>0.11</t>
  </si>
  <si>
    <t>Projectruimten</t>
  </si>
  <si>
    <t>1.01</t>
  </si>
  <si>
    <t>Luchtbehandeling</t>
  </si>
  <si>
    <t>vloerbedekking</t>
  </si>
  <si>
    <t>trappenhuis</t>
  </si>
  <si>
    <t>linoleum/schoonloopmat</t>
  </si>
  <si>
    <t>0.74</t>
  </si>
  <si>
    <t>gang</t>
  </si>
  <si>
    <t>tegels</t>
  </si>
  <si>
    <t>0.17</t>
  </si>
  <si>
    <t>0.19</t>
  </si>
  <si>
    <t>0.12</t>
  </si>
  <si>
    <t>0.14</t>
  </si>
  <si>
    <t>0.18</t>
  </si>
  <si>
    <t>1.16</t>
  </si>
  <si>
    <t>1.17</t>
  </si>
  <si>
    <t>1.18</t>
  </si>
  <si>
    <t>1.19</t>
  </si>
  <si>
    <t>1.20</t>
  </si>
  <si>
    <t>1.21</t>
  </si>
  <si>
    <t>2.84</t>
  </si>
  <si>
    <t>2.15</t>
  </si>
  <si>
    <t>2.16</t>
  </si>
  <si>
    <t>2.17</t>
  </si>
  <si>
    <t>2.18</t>
  </si>
  <si>
    <t>kolfruimte</t>
  </si>
  <si>
    <t>2.22</t>
  </si>
  <si>
    <t>lift</t>
  </si>
  <si>
    <t/>
  </si>
  <si>
    <t>0.10</t>
  </si>
  <si>
    <t>0.16</t>
  </si>
  <si>
    <t>1.70</t>
  </si>
  <si>
    <t>1.10</t>
  </si>
  <si>
    <t>1.11</t>
  </si>
  <si>
    <t>1.12</t>
  </si>
  <si>
    <t>1.13</t>
  </si>
  <si>
    <t>1.14</t>
  </si>
  <si>
    <t>spreekkamer</t>
  </si>
  <si>
    <t>1.15</t>
  </si>
  <si>
    <t>1.23</t>
  </si>
  <si>
    <t>1.24</t>
  </si>
  <si>
    <t>1.25</t>
  </si>
  <si>
    <t>1.26</t>
  </si>
  <si>
    <t>1.27</t>
  </si>
  <si>
    <t>1.28</t>
  </si>
  <si>
    <t>2.10</t>
  </si>
  <si>
    <t>2.11</t>
  </si>
  <si>
    <t>2.12</t>
  </si>
  <si>
    <t>2.13</t>
  </si>
  <si>
    <t>2.14</t>
  </si>
  <si>
    <t>laminaat</t>
  </si>
  <si>
    <t>vergaderruimte</t>
  </si>
  <si>
    <t>0.20</t>
  </si>
  <si>
    <t>TAPIJT</t>
  </si>
  <si>
    <t>Berging</t>
  </si>
  <si>
    <t>BETON</t>
  </si>
  <si>
    <t>00</t>
  </si>
  <si>
    <t>Garderobe</t>
  </si>
  <si>
    <t>Voorruimte toilet</t>
  </si>
  <si>
    <t>Leslokaal</t>
  </si>
  <si>
    <t>Technische ruimte</t>
  </si>
  <si>
    <t>Concierge</t>
  </si>
  <si>
    <t>Administratie</t>
  </si>
  <si>
    <t>Douche</t>
  </si>
  <si>
    <t>lokaal</t>
  </si>
  <si>
    <t>2.25</t>
  </si>
  <si>
    <t>Gymzaal</t>
  </si>
  <si>
    <t>liftvloer</t>
  </si>
  <si>
    <t>0.22</t>
  </si>
  <si>
    <t>0.32</t>
  </si>
  <si>
    <t>Repro</t>
  </si>
  <si>
    <t>1.30</t>
  </si>
  <si>
    <t>1.32</t>
  </si>
  <si>
    <t>1.34</t>
  </si>
  <si>
    <t>Secretariaat</t>
  </si>
  <si>
    <t>1.48</t>
  </si>
  <si>
    <t>02</t>
  </si>
  <si>
    <t>HOUT</t>
  </si>
  <si>
    <t>Gietvloer</t>
  </si>
  <si>
    <t>Betuwestraat 27-29, Amsterdam</t>
  </si>
  <si>
    <t>BS.0.01A</t>
  </si>
  <si>
    <t>BS.0.01B</t>
  </si>
  <si>
    <t>Cementdekvloer</t>
  </si>
  <si>
    <t>BS.0.01C</t>
  </si>
  <si>
    <t>BS.0.01D</t>
  </si>
  <si>
    <t>BS.0.01E</t>
  </si>
  <si>
    <t>BS.0.01F</t>
  </si>
  <si>
    <t>BS.0.02A</t>
  </si>
  <si>
    <t>Schoonloop</t>
  </si>
  <si>
    <t>BS.0.02B</t>
  </si>
  <si>
    <t>BS.0.02C</t>
  </si>
  <si>
    <t>BS.0.02D</t>
  </si>
  <si>
    <t>BS.0.02E</t>
  </si>
  <si>
    <t>BS.0.02F</t>
  </si>
  <si>
    <t>BS.0.02G</t>
  </si>
  <si>
    <t>Gietvloer/schoonloop</t>
  </si>
  <si>
    <t>BS.0.03A</t>
  </si>
  <si>
    <t>B.03</t>
  </si>
  <si>
    <t>Winkel</t>
  </si>
  <si>
    <t>BS.0.03B</t>
  </si>
  <si>
    <t>BS.0.03C</t>
  </si>
  <si>
    <t>BS.0.03D</t>
  </si>
  <si>
    <t>B.C6</t>
  </si>
  <si>
    <t>BS.0.03E</t>
  </si>
  <si>
    <t>B.M3</t>
  </si>
  <si>
    <t>BS.0.03F</t>
  </si>
  <si>
    <t>B.O6</t>
  </si>
  <si>
    <t>BS.0.03G</t>
  </si>
  <si>
    <t>BS.0.03H</t>
  </si>
  <si>
    <t>B.C7</t>
  </si>
  <si>
    <t xml:space="preserve"> 751 verkeersuimten vrt</t>
  </si>
  <si>
    <t>BS.0.03I</t>
  </si>
  <si>
    <t>B.C3</t>
  </si>
  <si>
    <t>BS.0.03J</t>
  </si>
  <si>
    <t>BS.0.03K</t>
  </si>
  <si>
    <t>BS.0.03L</t>
  </si>
  <si>
    <t>B.C4</t>
  </si>
  <si>
    <t>BS.0.03M</t>
  </si>
  <si>
    <t>BS.0.03N</t>
  </si>
  <si>
    <t>B.C5</t>
  </si>
  <si>
    <t>BS.0.03O</t>
  </si>
  <si>
    <t>B.M2</t>
  </si>
  <si>
    <t>BS.0.03P</t>
  </si>
  <si>
    <t>B.M1</t>
  </si>
  <si>
    <t>BS.0.04A</t>
  </si>
  <si>
    <t>BS.0.04B</t>
  </si>
  <si>
    <t>BS.0.04C</t>
  </si>
  <si>
    <t>BS.0.04D</t>
  </si>
  <si>
    <t>BS.0.04E</t>
  </si>
  <si>
    <t>BS.0.04F</t>
  </si>
  <si>
    <t>BS.0.050</t>
  </si>
  <si>
    <t>B.T4</t>
  </si>
  <si>
    <t>BS.0.050A</t>
  </si>
  <si>
    <t>BS.0.050B</t>
  </si>
  <si>
    <t>BS.0.051</t>
  </si>
  <si>
    <t>B.T3</t>
  </si>
  <si>
    <t>BS.0.051A</t>
  </si>
  <si>
    <t>BS.0.052</t>
  </si>
  <si>
    <t>B.T5</t>
  </si>
  <si>
    <t>BS.0.052A</t>
  </si>
  <si>
    <t>BS.0.052B</t>
  </si>
  <si>
    <t>BS.0.052C</t>
  </si>
  <si>
    <t>BS.0.053</t>
  </si>
  <si>
    <t>B.KR1</t>
  </si>
  <si>
    <t>BS.0.054</t>
  </si>
  <si>
    <t>B.KR2</t>
  </si>
  <si>
    <t>BS.0.055</t>
  </si>
  <si>
    <t>B.KR3</t>
  </si>
  <si>
    <t>BS.0.056</t>
  </si>
  <si>
    <t>B.K4</t>
  </si>
  <si>
    <t>BS.0.057</t>
  </si>
  <si>
    <t>B.T6</t>
  </si>
  <si>
    <t>BS.0.057A</t>
  </si>
  <si>
    <t>BS.0.057B</t>
  </si>
  <si>
    <t>BS.0.058</t>
  </si>
  <si>
    <t>B.K25</t>
  </si>
  <si>
    <t>BS.0.059</t>
  </si>
  <si>
    <t>B.T2</t>
  </si>
  <si>
    <t>BS.0.059A</t>
  </si>
  <si>
    <t>BS.0.059B</t>
  </si>
  <si>
    <t>BS.0.059C</t>
  </si>
  <si>
    <t>BS.0.059D</t>
  </si>
  <si>
    <t>BS.0.059E</t>
  </si>
  <si>
    <t>BS.0.060</t>
  </si>
  <si>
    <t>B.T1</t>
  </si>
  <si>
    <t>BS.0.06A</t>
  </si>
  <si>
    <t>B.C2</t>
  </si>
  <si>
    <t>BS.0.10</t>
  </si>
  <si>
    <t>BS.0.11</t>
  </si>
  <si>
    <t>B.04</t>
  </si>
  <si>
    <t>BS.0.12</t>
  </si>
  <si>
    <t>B.05</t>
  </si>
  <si>
    <t>BS.0.13</t>
  </si>
  <si>
    <t>B.K1</t>
  </si>
  <si>
    <t>BS.0.14</t>
  </si>
  <si>
    <t>B.K2</t>
  </si>
  <si>
    <t>BS.0.15</t>
  </si>
  <si>
    <t>B.K3</t>
  </si>
  <si>
    <t>BS.0.16</t>
  </si>
  <si>
    <t>B.07</t>
  </si>
  <si>
    <t>Sportvloer</t>
  </si>
  <si>
    <t>BS.0.16A</t>
  </si>
  <si>
    <t>BS.0.16B</t>
  </si>
  <si>
    <t>BS.0.17</t>
  </si>
  <si>
    <t>BS.0.18</t>
  </si>
  <si>
    <t>B.S1</t>
  </si>
  <si>
    <t>BS.0.19</t>
  </si>
  <si>
    <t>B.C1</t>
  </si>
  <si>
    <t>BS.0.20</t>
  </si>
  <si>
    <t>B.01</t>
  </si>
  <si>
    <t>BS.0.21</t>
  </si>
  <si>
    <t>B.02</t>
  </si>
  <si>
    <t>BS.0.22</t>
  </si>
  <si>
    <t>BS.1.01A</t>
  </si>
  <si>
    <t>BS.1.01B</t>
  </si>
  <si>
    <t>BS.1.01C</t>
  </si>
  <si>
    <t>BS.1.02A</t>
  </si>
  <si>
    <t>BS.1.02B</t>
  </si>
  <si>
    <t>BS.1.02C</t>
  </si>
  <si>
    <t>BS.1.02D</t>
  </si>
  <si>
    <t>BS.1.02E</t>
  </si>
  <si>
    <t>BS.1.02F</t>
  </si>
  <si>
    <t>BS.1.02G</t>
  </si>
  <si>
    <t>BS.1.03A</t>
  </si>
  <si>
    <t>1.S1</t>
  </si>
  <si>
    <t>BS.1.03B</t>
  </si>
  <si>
    <t>BS.1.03C</t>
  </si>
  <si>
    <t>BS.1.03D</t>
  </si>
  <si>
    <t>1.G1</t>
  </si>
  <si>
    <t>BS.1.03E</t>
  </si>
  <si>
    <t>1.02</t>
  </si>
  <si>
    <t>BS.1.04A</t>
  </si>
  <si>
    <t>BS.1.04B</t>
  </si>
  <si>
    <t>BS.1.04C</t>
  </si>
  <si>
    <t>BS.1.04D</t>
  </si>
  <si>
    <t>BS.1.04E</t>
  </si>
  <si>
    <t>BS.1.04F</t>
  </si>
  <si>
    <t>BS.1.04G</t>
  </si>
  <si>
    <t>BS.1.04H</t>
  </si>
  <si>
    <t>BS.1.04I</t>
  </si>
  <si>
    <t>BS.1.04J</t>
  </si>
  <si>
    <t>BS.1.04K</t>
  </si>
  <si>
    <t>BS.1.04L</t>
  </si>
  <si>
    <t>BS.1.04M</t>
  </si>
  <si>
    <t>BS.1.04N</t>
  </si>
  <si>
    <t>BS.1.050</t>
  </si>
  <si>
    <t>1.T2</t>
  </si>
  <si>
    <t>BS.1.050A</t>
  </si>
  <si>
    <t>BS.1.050B</t>
  </si>
  <si>
    <t>BS.1.051</t>
  </si>
  <si>
    <t>1.KR1</t>
  </si>
  <si>
    <t>BS.1.052</t>
  </si>
  <si>
    <t>1.T4</t>
  </si>
  <si>
    <t>BS.1.052A</t>
  </si>
  <si>
    <t>BS.1.052B</t>
  </si>
  <si>
    <t>BS.1.053</t>
  </si>
  <si>
    <t>1.KR2</t>
  </si>
  <si>
    <t>BS.1.054</t>
  </si>
  <si>
    <t>1.T3</t>
  </si>
  <si>
    <t>BS.1.054A</t>
  </si>
  <si>
    <t>BS.1.054B</t>
  </si>
  <si>
    <t>BS.1.054C</t>
  </si>
  <si>
    <t>BS.1.054D</t>
  </si>
  <si>
    <t>BS.1.055</t>
  </si>
  <si>
    <t>1.T1</t>
  </si>
  <si>
    <t>BS.1.10</t>
  </si>
  <si>
    <t>1.03</t>
  </si>
  <si>
    <t>BS.1.11</t>
  </si>
  <si>
    <t>1.04</t>
  </si>
  <si>
    <t>BS.1.12</t>
  </si>
  <si>
    <t>1.05</t>
  </si>
  <si>
    <t>BS.1.13</t>
  </si>
  <si>
    <t>1.06</t>
  </si>
  <si>
    <t>1.K1</t>
  </si>
  <si>
    <t>BS.1.14</t>
  </si>
  <si>
    <t>1.07</t>
  </si>
  <si>
    <t>BS.1.15</t>
  </si>
  <si>
    <t>1.08</t>
  </si>
  <si>
    <t>BS.1.16</t>
  </si>
  <si>
    <t>BS.1.17</t>
  </si>
  <si>
    <t>1.B1</t>
  </si>
  <si>
    <t>Vloerbedekking</t>
  </si>
  <si>
    <t>BS.1.18</t>
  </si>
  <si>
    <t>1.B2</t>
  </si>
  <si>
    <t>BS.1.19</t>
  </si>
  <si>
    <t>1.B3</t>
  </si>
  <si>
    <t>BS.1.20</t>
  </si>
  <si>
    <t>1.B4</t>
  </si>
  <si>
    <t>BS.1.21</t>
  </si>
  <si>
    <t>1.B5</t>
  </si>
  <si>
    <t>BS.1.22</t>
  </si>
  <si>
    <t>1.B6</t>
  </si>
  <si>
    <t>BS.1.23</t>
  </si>
  <si>
    <t>BS.1.24</t>
  </si>
  <si>
    <t>BS.1.25</t>
  </si>
  <si>
    <t>1.B7</t>
  </si>
  <si>
    <t>BS.1.26</t>
  </si>
  <si>
    <t>1.B8</t>
  </si>
  <si>
    <t>BS.1.27</t>
  </si>
  <si>
    <t>1.B9</t>
  </si>
  <si>
    <t>BS.1.28</t>
  </si>
  <si>
    <t>1.B10</t>
  </si>
  <si>
    <t>BS.1.29</t>
  </si>
  <si>
    <t>1.B12</t>
  </si>
  <si>
    <t>BS.1.30</t>
  </si>
  <si>
    <t>1.B11</t>
  </si>
  <si>
    <t>BS.1.32</t>
  </si>
  <si>
    <t>1.09</t>
  </si>
  <si>
    <t>BS.1.33</t>
  </si>
  <si>
    <t>BS.1.34</t>
  </si>
  <si>
    <t>BS.1.35</t>
  </si>
  <si>
    <t>1.K2</t>
  </si>
  <si>
    <t>BS.2.01A</t>
  </si>
  <si>
    <t>BS.2.01B</t>
  </si>
  <si>
    <t>BS.2.01C</t>
  </si>
  <si>
    <t>BS.2.02A</t>
  </si>
  <si>
    <t>BS.2.02B</t>
  </si>
  <si>
    <t>BS.2.02C</t>
  </si>
  <si>
    <t>BS.2.02D</t>
  </si>
  <si>
    <t>BS.2.02E</t>
  </si>
  <si>
    <t>BS.2.02F</t>
  </si>
  <si>
    <t>BS.2.03A</t>
  </si>
  <si>
    <t>BS.2.03B</t>
  </si>
  <si>
    <t>2.M2</t>
  </si>
  <si>
    <t>BS.2.04A</t>
  </si>
  <si>
    <t>BS.2.04B</t>
  </si>
  <si>
    <t>BS.2.04C</t>
  </si>
  <si>
    <t>BS.2.04D</t>
  </si>
  <si>
    <t>BS.2.04E</t>
  </si>
  <si>
    <t>BS.2.04F</t>
  </si>
  <si>
    <t>BS.2.04G</t>
  </si>
  <si>
    <t>BS.2.04H</t>
  </si>
  <si>
    <t>BS.2.050</t>
  </si>
  <si>
    <t>2.T2</t>
  </si>
  <si>
    <t>BS.2.050A</t>
  </si>
  <si>
    <t>BS.2.050B</t>
  </si>
  <si>
    <t>BS.2.050C</t>
  </si>
  <si>
    <t>BS.2.051</t>
  </si>
  <si>
    <t>2.KR3</t>
  </si>
  <si>
    <t>BS.2.052</t>
  </si>
  <si>
    <t>2.K3</t>
  </si>
  <si>
    <t>BS.2.053</t>
  </si>
  <si>
    <t>2.KR2</t>
  </si>
  <si>
    <t>BS.2.054</t>
  </si>
  <si>
    <t>2.KR4</t>
  </si>
  <si>
    <t>BS.2.055</t>
  </si>
  <si>
    <t>2.T3</t>
  </si>
  <si>
    <t>BS.2.055A</t>
  </si>
  <si>
    <t>BS.2.055B</t>
  </si>
  <si>
    <t>BS.2.055C</t>
  </si>
  <si>
    <t>BS.2.055D</t>
  </si>
  <si>
    <t>BS.2.055E</t>
  </si>
  <si>
    <t>BS.2.056</t>
  </si>
  <si>
    <t>2.T1</t>
  </si>
  <si>
    <t>BS.2.10</t>
  </si>
  <si>
    <t>2.03</t>
  </si>
  <si>
    <t>BS.2.11</t>
  </si>
  <si>
    <t>2.04</t>
  </si>
  <si>
    <t>BS.2.12</t>
  </si>
  <si>
    <t>2.05</t>
  </si>
  <si>
    <t>BS.2.13</t>
  </si>
  <si>
    <t>2.K4</t>
  </si>
  <si>
    <t>BS.2.14</t>
  </si>
  <si>
    <t>2.06</t>
  </si>
  <si>
    <t>BS.2.15</t>
  </si>
  <si>
    <t>2.07</t>
  </si>
  <si>
    <t>BS.2.16</t>
  </si>
  <si>
    <t>BS.2.17</t>
  </si>
  <si>
    <t>2.08</t>
  </si>
  <si>
    <t>BS.2.18</t>
  </si>
  <si>
    <t>2.09</t>
  </si>
  <si>
    <t>BS.2.19</t>
  </si>
  <si>
    <t>BS.2.20</t>
  </si>
  <si>
    <t>BS.2.20A</t>
  </si>
  <si>
    <t>BS.2.20B</t>
  </si>
  <si>
    <t>BS.2.21</t>
  </si>
  <si>
    <t>BS.2.22</t>
  </si>
  <si>
    <t>BS.2.23</t>
  </si>
  <si>
    <t>BS.2.24</t>
  </si>
  <si>
    <t>2.00</t>
  </si>
  <si>
    <t>BS.2.25</t>
  </si>
  <si>
    <t>2.K1</t>
  </si>
  <si>
    <t>BS.2.26</t>
  </si>
  <si>
    <t>2.01</t>
  </si>
  <si>
    <t>BS.2.27</t>
  </si>
  <si>
    <t>2.02</t>
  </si>
  <si>
    <t>BS.2.28</t>
  </si>
  <si>
    <t>2.K2</t>
  </si>
  <si>
    <t>Badhuiskade 361, Amsterdam</t>
  </si>
  <si>
    <t>Javaplantsoen 25, Amsterdam</t>
  </si>
  <si>
    <t>Rietwijkerstraat 55, Amsterdam</t>
  </si>
  <si>
    <t>Meeuwenlaan 132, Amterdam</t>
  </si>
  <si>
    <t>0.00</t>
  </si>
  <si>
    <t>0.01</t>
  </si>
  <si>
    <t>0.03</t>
  </si>
  <si>
    <t>0.04</t>
  </si>
  <si>
    <t>0.05</t>
  </si>
  <si>
    <t>0.06</t>
  </si>
  <si>
    <t>0.07</t>
  </si>
  <si>
    <t>0.08</t>
  </si>
  <si>
    <t>0.09</t>
  </si>
  <si>
    <t>0.09a</t>
  </si>
  <si>
    <t>b.0.02</t>
  </si>
  <si>
    <t>t.0.00</t>
  </si>
  <si>
    <t>t.0.01</t>
  </si>
  <si>
    <t>t.0.02</t>
  </si>
  <si>
    <t>v.0.00</t>
  </si>
  <si>
    <t>v.0.01</t>
  </si>
  <si>
    <t>v.0.02</t>
  </si>
  <si>
    <t>v.0.10</t>
  </si>
  <si>
    <t>v.0.11</t>
  </si>
  <si>
    <t>v.0.12</t>
  </si>
  <si>
    <t>1.00</t>
  </si>
  <si>
    <t>b.1.09</t>
  </si>
  <si>
    <t>leermiddelenberging</t>
  </si>
  <si>
    <t>b.1.17</t>
  </si>
  <si>
    <t>b.1.18</t>
  </si>
  <si>
    <t>b.1.20</t>
  </si>
  <si>
    <t>t.1.01</t>
  </si>
  <si>
    <t>t.1.02</t>
  </si>
  <si>
    <t>t.1.03</t>
  </si>
  <si>
    <t>t.1.04</t>
  </si>
  <si>
    <t>v.1.01</t>
  </si>
  <si>
    <t>v.1.01a</t>
  </si>
  <si>
    <t>v.1.11</t>
  </si>
  <si>
    <t>zorgcoordinator</t>
  </si>
  <si>
    <t>ICT</t>
  </si>
  <si>
    <t>b.2.02</t>
  </si>
  <si>
    <t>b.2.08</t>
  </si>
  <si>
    <t>b.2.19</t>
  </si>
  <si>
    <t>t.2.01</t>
  </si>
  <si>
    <t>t.2.02</t>
  </si>
  <si>
    <t>v.2.01</t>
  </si>
  <si>
    <t>v.2.01a</t>
  </si>
  <si>
    <t>v.2.02</t>
  </si>
  <si>
    <t>v.2.11</t>
  </si>
  <si>
    <t>v.2.12</t>
  </si>
  <si>
    <t>-1.02a</t>
  </si>
  <si>
    <t>ontmoetingsuimte / kantine</t>
  </si>
  <si>
    <t>-1.03</t>
  </si>
  <si>
    <t>muziek band oefenruimte groot</t>
  </si>
  <si>
    <t>00.01</t>
  </si>
  <si>
    <t>entree park</t>
  </si>
  <si>
    <t>00.02</t>
  </si>
  <si>
    <t>entree kade</t>
  </si>
  <si>
    <t>00.03</t>
  </si>
  <si>
    <t>ontmoetingsruimte / kantine</t>
  </si>
  <si>
    <t>00.04</t>
  </si>
  <si>
    <t>bibliotheek /studiecentrum</t>
  </si>
  <si>
    <t>00.05</t>
  </si>
  <si>
    <t>talenlab 1</t>
  </si>
  <si>
    <t>00.05a</t>
  </si>
  <si>
    <t>00.05b</t>
  </si>
  <si>
    <t>00.07a</t>
  </si>
  <si>
    <t>00.07b</t>
  </si>
  <si>
    <t>00.07c</t>
  </si>
  <si>
    <t>00.11</t>
  </si>
  <si>
    <t>00.12</t>
  </si>
  <si>
    <t>keukenuitgifte</t>
  </si>
  <si>
    <t>00.13</t>
  </si>
  <si>
    <t>berging uitgifte</t>
  </si>
  <si>
    <t>00.14</t>
  </si>
  <si>
    <t>receptie / congierge</t>
  </si>
  <si>
    <t>00.15</t>
  </si>
  <si>
    <t>werkplaats congierge</t>
  </si>
  <si>
    <t>00.17a</t>
  </si>
  <si>
    <t>toilet leerlingen</t>
  </si>
  <si>
    <t>COATING</t>
  </si>
  <si>
    <t>00.17b</t>
  </si>
  <si>
    <t>00.18</t>
  </si>
  <si>
    <t>miva toilet</t>
  </si>
  <si>
    <t>00.21</t>
  </si>
  <si>
    <t>groepsplek</t>
  </si>
  <si>
    <t>00.22</t>
  </si>
  <si>
    <t>00.24</t>
  </si>
  <si>
    <t>fietsenstalling</t>
  </si>
  <si>
    <t>00.28a</t>
  </si>
  <si>
    <t>00.28b</t>
  </si>
  <si>
    <t>00.34a</t>
  </si>
  <si>
    <t>01</t>
  </si>
  <si>
    <t>01.01a</t>
  </si>
  <si>
    <t>studio klein</t>
  </si>
  <si>
    <t>01.01b</t>
  </si>
  <si>
    <t>01.01c</t>
  </si>
  <si>
    <t>01.01d</t>
  </si>
  <si>
    <t>01.01e</t>
  </si>
  <si>
    <t>01.02</t>
  </si>
  <si>
    <t>concentratieplek</t>
  </si>
  <si>
    <t>01.03</t>
  </si>
  <si>
    <t>administratie / secretariaat /roosterkam</t>
  </si>
  <si>
    <t>01.04</t>
  </si>
  <si>
    <t>talenlab 2-1</t>
  </si>
  <si>
    <t>01.04a</t>
  </si>
  <si>
    <t>talenlab 2</t>
  </si>
  <si>
    <t>01.05b</t>
  </si>
  <si>
    <t>talenlab 3</t>
  </si>
  <si>
    <t>01.07</t>
  </si>
  <si>
    <t>01.10</t>
  </si>
  <si>
    <t>01.11</t>
  </si>
  <si>
    <t>radio / dj Booth</t>
  </si>
  <si>
    <t>01.12</t>
  </si>
  <si>
    <t>berging studio</t>
  </si>
  <si>
    <t>01.13</t>
  </si>
  <si>
    <t>extra groepsplek</t>
  </si>
  <si>
    <t>01.14</t>
  </si>
  <si>
    <t>extra berging</t>
  </si>
  <si>
    <t>01.15</t>
  </si>
  <si>
    <t>01.17</t>
  </si>
  <si>
    <t>auditorium / drama ruimte</t>
  </si>
  <si>
    <t>01.19b</t>
  </si>
  <si>
    <t>01.21</t>
  </si>
  <si>
    <t>01.22</t>
  </si>
  <si>
    <t>01.25</t>
  </si>
  <si>
    <t>01.26</t>
  </si>
  <si>
    <t>01.27</t>
  </si>
  <si>
    <t>01.28</t>
  </si>
  <si>
    <t>sanitiar</t>
  </si>
  <si>
    <t>01.29</t>
  </si>
  <si>
    <t>02.02</t>
  </si>
  <si>
    <t>gamma lab-2</t>
  </si>
  <si>
    <t>02.03</t>
  </si>
  <si>
    <t>groepsruimte</t>
  </si>
  <si>
    <t>02.04</t>
  </si>
  <si>
    <t>schooleiders</t>
  </si>
  <si>
    <t>02.06</t>
  </si>
  <si>
    <t>02.09</t>
  </si>
  <si>
    <t>medewerkersruimte</t>
  </si>
  <si>
    <t>02.17</t>
  </si>
  <si>
    <t>muziekruimte</t>
  </si>
  <si>
    <t>02.19</t>
  </si>
  <si>
    <t>02.20a</t>
  </si>
  <si>
    <t>02.20c</t>
  </si>
  <si>
    <t>02.21a</t>
  </si>
  <si>
    <t>02.21b</t>
  </si>
  <si>
    <t>02.21c</t>
  </si>
  <si>
    <t>02.22</t>
  </si>
  <si>
    <t>02.23</t>
  </si>
  <si>
    <t>02.24</t>
  </si>
  <si>
    <t>02.25</t>
  </si>
  <si>
    <t>sanitair</t>
  </si>
  <si>
    <t>02.26</t>
  </si>
  <si>
    <t>02.27</t>
  </si>
  <si>
    <t>trap/tribune</t>
  </si>
  <si>
    <t>02.28</t>
  </si>
  <si>
    <t>02.29</t>
  </si>
  <si>
    <t>03</t>
  </si>
  <si>
    <t>03.01c</t>
  </si>
  <si>
    <t>03.02</t>
  </si>
  <si>
    <t>berging ateliers</t>
  </si>
  <si>
    <t>03.02b</t>
  </si>
  <si>
    <t>03.03</t>
  </si>
  <si>
    <t>science lab</t>
  </si>
  <si>
    <t>03.03a</t>
  </si>
  <si>
    <t>science lab /instructieruimte</t>
  </si>
  <si>
    <t>03.03b</t>
  </si>
  <si>
    <t>science lab TOA ruimte</t>
  </si>
  <si>
    <t>03.03c</t>
  </si>
  <si>
    <t>science lab bergruimte</t>
  </si>
  <si>
    <t>03.04b</t>
  </si>
  <si>
    <t>markerspace IT-lab</t>
  </si>
  <si>
    <t>03.05</t>
  </si>
  <si>
    <t>berging IT-lab</t>
  </si>
  <si>
    <t>03.06</t>
  </si>
  <si>
    <t>03.07a</t>
  </si>
  <si>
    <t>03.07b</t>
  </si>
  <si>
    <t>03.08</t>
  </si>
  <si>
    <t>03.10</t>
  </si>
  <si>
    <t>03.11a</t>
  </si>
  <si>
    <t>flexibele werkplekken</t>
  </si>
  <si>
    <t>03.11b</t>
  </si>
  <si>
    <t>03.16</t>
  </si>
  <si>
    <t>03.17</t>
  </si>
  <si>
    <t>entree terras</t>
  </si>
  <si>
    <t>03.19a</t>
  </si>
  <si>
    <t>03.19b</t>
  </si>
  <si>
    <t>03.19c</t>
  </si>
  <si>
    <t>03.20a</t>
  </si>
  <si>
    <t>03.20c</t>
  </si>
  <si>
    <t>03.25c</t>
  </si>
  <si>
    <t>buittenruimte zuid</t>
  </si>
  <si>
    <t>03.26</t>
  </si>
  <si>
    <t>open ruimte</t>
  </si>
  <si>
    <t>03.27</t>
  </si>
  <si>
    <t>03.28</t>
  </si>
  <si>
    <t>03.29</t>
  </si>
  <si>
    <t>03.30</t>
  </si>
  <si>
    <t>03.31</t>
  </si>
  <si>
    <t>03.32</t>
  </si>
  <si>
    <t>04</t>
  </si>
  <si>
    <t>04.01</t>
  </si>
  <si>
    <t>gymzaal</t>
  </si>
  <si>
    <t>SPORTVLOER</t>
  </si>
  <si>
    <t>04.02</t>
  </si>
  <si>
    <t>berging gymzalen</t>
  </si>
  <si>
    <t>04.03a</t>
  </si>
  <si>
    <t>kleedkamer</t>
  </si>
  <si>
    <t>04.03b</t>
  </si>
  <si>
    <t>04.03c</t>
  </si>
  <si>
    <t>04.03d</t>
  </si>
  <si>
    <t>04.05</t>
  </si>
  <si>
    <t>04.07a</t>
  </si>
  <si>
    <t>wiskunde lab instructieruimte</t>
  </si>
  <si>
    <t>04.09</t>
  </si>
  <si>
    <t>04.14b</t>
  </si>
  <si>
    <t>04.15a</t>
  </si>
  <si>
    <t>04.15b</t>
  </si>
  <si>
    <t>05</t>
  </si>
  <si>
    <t>05.01</t>
  </si>
  <si>
    <t>docentenuimte</t>
  </si>
  <si>
    <t>05.01a</t>
  </si>
  <si>
    <t>toilet &amp; douche medewerkers</t>
  </si>
  <si>
    <t>JP.0.01A</t>
  </si>
  <si>
    <t>JP.0.01B</t>
  </si>
  <si>
    <t>JP.0.02A</t>
  </si>
  <si>
    <t>JP.0.02B</t>
  </si>
  <si>
    <t>JP.0.02C</t>
  </si>
  <si>
    <t>JP.0.02D</t>
  </si>
  <si>
    <t>JP.0.03A</t>
  </si>
  <si>
    <t>JP.0.03B</t>
  </si>
  <si>
    <t>vloertegels</t>
  </si>
  <si>
    <t>JP.0.03C</t>
  </si>
  <si>
    <t>JP.0.03D</t>
  </si>
  <si>
    <t>JP.0.03E</t>
  </si>
  <si>
    <t>Ser/Mer ruimte</t>
  </si>
  <si>
    <t>JP.0.03F</t>
  </si>
  <si>
    <t>JP.0.04A</t>
  </si>
  <si>
    <t>JP.0.04B</t>
  </si>
  <si>
    <t>JP.0.04C</t>
  </si>
  <si>
    <t>JP.0.04D</t>
  </si>
  <si>
    <t>JP.0.04E</t>
  </si>
  <si>
    <t>JP.0.04F</t>
  </si>
  <si>
    <t>JP.0.04G</t>
  </si>
  <si>
    <t>JP.0.04H</t>
  </si>
  <si>
    <t>JP.0.050</t>
  </si>
  <si>
    <t>JP.0.051</t>
  </si>
  <si>
    <t>JP.0.051A</t>
  </si>
  <si>
    <t>JP.0.051B</t>
  </si>
  <si>
    <t>JP.0.052</t>
  </si>
  <si>
    <t>JP.0.052A</t>
  </si>
  <si>
    <t>JP.0.052B</t>
  </si>
  <si>
    <t>JP.0.053</t>
  </si>
  <si>
    <t>0.23</t>
  </si>
  <si>
    <t>JP.0.07</t>
  </si>
  <si>
    <t>Buitenruimten</t>
  </si>
  <si>
    <t>Schoolplein</t>
  </si>
  <si>
    <t>trottoir tegels</t>
  </si>
  <si>
    <t>JP.0.10</t>
  </si>
  <si>
    <t>JP.0.11</t>
  </si>
  <si>
    <t>JP.0.12</t>
  </si>
  <si>
    <t>JP.0.13</t>
  </si>
  <si>
    <t>JP.0.14</t>
  </si>
  <si>
    <t>JP.0.15</t>
  </si>
  <si>
    <t>JP.0.16</t>
  </si>
  <si>
    <t>0.25</t>
  </si>
  <si>
    <t>JP.0.17</t>
  </si>
  <si>
    <t>JP.0.18</t>
  </si>
  <si>
    <t>0.4</t>
  </si>
  <si>
    <t>rubbervloer</t>
  </si>
  <si>
    <t>JP.0.19</t>
  </si>
  <si>
    <t>0.6</t>
  </si>
  <si>
    <t>JP.0.20</t>
  </si>
  <si>
    <t>0.5</t>
  </si>
  <si>
    <t>kunststofvloer</t>
  </si>
  <si>
    <t>JP.0.21</t>
  </si>
  <si>
    <t>JP.0.22</t>
  </si>
  <si>
    <t>JP.0.23</t>
  </si>
  <si>
    <t>JP.0.24</t>
  </si>
  <si>
    <t>JP.0.25</t>
  </si>
  <si>
    <t>JP.0.26</t>
  </si>
  <si>
    <t>JP.0.27</t>
  </si>
  <si>
    <t>0.21</t>
  </si>
  <si>
    <t>JP.1.01A</t>
  </si>
  <si>
    <t>JP.1.01B</t>
  </si>
  <si>
    <t>JP.1.02A</t>
  </si>
  <si>
    <t>JP.1.03A</t>
  </si>
  <si>
    <t>JP.1.04A</t>
  </si>
  <si>
    <t>Leidingenschacht</t>
  </si>
  <si>
    <t>JP.1.04B</t>
  </si>
  <si>
    <t>JP.1.04C</t>
  </si>
  <si>
    <t>JP.1.04D</t>
  </si>
  <si>
    <t>JP.1.04E</t>
  </si>
  <si>
    <t>JP.1.04F</t>
  </si>
  <si>
    <t>JP.1.04G</t>
  </si>
  <si>
    <t>JP.1.050</t>
  </si>
  <si>
    <t>JP.1.050A</t>
  </si>
  <si>
    <t>JP.1.051</t>
  </si>
  <si>
    <t>JP.1.051A</t>
  </si>
  <si>
    <t>JP.1.052</t>
  </si>
  <si>
    <t>JP.1.052A</t>
  </si>
  <si>
    <t>JP.1.052B</t>
  </si>
  <si>
    <t>JP.1.053</t>
  </si>
  <si>
    <t>JP.1.053A</t>
  </si>
  <si>
    <t>JP.1.053B</t>
  </si>
  <si>
    <t>1.7</t>
  </si>
  <si>
    <t>JP.1.10</t>
  </si>
  <si>
    <t>JP.1.10A</t>
  </si>
  <si>
    <t>1.9</t>
  </si>
  <si>
    <t>JP.1.11</t>
  </si>
  <si>
    <t>1.8</t>
  </si>
  <si>
    <t>JP.1.12</t>
  </si>
  <si>
    <t>1.1</t>
  </si>
  <si>
    <t>Kantoorruimte</t>
  </si>
  <si>
    <t>JP.1.13</t>
  </si>
  <si>
    <t>JP.1.14</t>
  </si>
  <si>
    <t>Koffiehoek/Pantry</t>
  </si>
  <si>
    <t>JP.1.15</t>
  </si>
  <si>
    <t>JP.1.16</t>
  </si>
  <si>
    <t>JP.1.17</t>
  </si>
  <si>
    <t>1.2</t>
  </si>
  <si>
    <t>JP.1.18</t>
  </si>
  <si>
    <t>JP.1.19</t>
  </si>
  <si>
    <t>JP.1.20</t>
  </si>
  <si>
    <t>JP.1.21</t>
  </si>
  <si>
    <t>JP.1.22</t>
  </si>
  <si>
    <t>JP.1.23</t>
  </si>
  <si>
    <t>1.3</t>
  </si>
  <si>
    <t>JP.1.24</t>
  </si>
  <si>
    <t>JP.1.25</t>
  </si>
  <si>
    <t>JP.1.26</t>
  </si>
  <si>
    <t>JP.1.27</t>
  </si>
  <si>
    <t>JP.1.28</t>
  </si>
  <si>
    <t>JP.1.29</t>
  </si>
  <si>
    <t>1.4</t>
  </si>
  <si>
    <t>JP.1.30</t>
  </si>
  <si>
    <t>JP.1.31</t>
  </si>
  <si>
    <t>1.5</t>
  </si>
  <si>
    <t>JP.1.32</t>
  </si>
  <si>
    <t>1.6</t>
  </si>
  <si>
    <t>JP.1.33</t>
  </si>
  <si>
    <t>JP.1.34</t>
  </si>
  <si>
    <t>JP.2.01A</t>
  </si>
  <si>
    <t>JP.2.01B</t>
  </si>
  <si>
    <t>JP.2.02A</t>
  </si>
  <si>
    <t>JP.2.03A</t>
  </si>
  <si>
    <t>1.78</t>
  </si>
  <si>
    <t>JP.2.04A</t>
  </si>
  <si>
    <t>JP.2.04B</t>
  </si>
  <si>
    <t>JP.2.04C</t>
  </si>
  <si>
    <t>JP.2.050</t>
  </si>
  <si>
    <t>JP.2.050A</t>
  </si>
  <si>
    <t>0.91</t>
  </si>
  <si>
    <t>JP.2.050B</t>
  </si>
  <si>
    <t>0.95</t>
  </si>
  <si>
    <t>JP.2.051</t>
  </si>
  <si>
    <t>2.87</t>
  </si>
  <si>
    <t>JP.2.051A</t>
  </si>
  <si>
    <t>0.89</t>
  </si>
  <si>
    <t>JP.2.051B</t>
  </si>
  <si>
    <t>JP.2.10</t>
  </si>
  <si>
    <t>45.62</t>
  </si>
  <si>
    <t>JP.2.11</t>
  </si>
  <si>
    <t>71.98</t>
  </si>
  <si>
    <t>JP.2.12</t>
  </si>
  <si>
    <t>1.65</t>
  </si>
  <si>
    <t>JP.2.13</t>
  </si>
  <si>
    <t>0.86</t>
  </si>
  <si>
    <t>JP.2.14</t>
  </si>
  <si>
    <t>JP.2.15</t>
  </si>
  <si>
    <t>JP.2.16</t>
  </si>
  <si>
    <t>72.71</t>
  </si>
  <si>
    <t>JP.2.17</t>
  </si>
  <si>
    <t>JP.2.18</t>
  </si>
  <si>
    <t>JP.2.19</t>
  </si>
  <si>
    <t>JP.2.20</t>
  </si>
  <si>
    <t>JP.2.21</t>
  </si>
  <si>
    <t>JP.2.22</t>
  </si>
  <si>
    <t>110.75</t>
  </si>
  <si>
    <t>JP.2.23</t>
  </si>
  <si>
    <t>JP.2.24</t>
  </si>
  <si>
    <t>JP.2.25</t>
  </si>
  <si>
    <t>7.46</t>
  </si>
  <si>
    <t>JP.2.26</t>
  </si>
  <si>
    <t>RWS.-1.02A</t>
  </si>
  <si>
    <t>RWS.-1.03A</t>
  </si>
  <si>
    <t>RWS.-1.03B</t>
  </si>
  <si>
    <t>RWS.-1.04A</t>
  </si>
  <si>
    <t>RWS.-1.04B</t>
  </si>
  <si>
    <t>RWS.0.01A</t>
  </si>
  <si>
    <t>marmoleum</t>
  </si>
  <si>
    <t>RWS.0.01B</t>
  </si>
  <si>
    <t>RWS.0.01C</t>
  </si>
  <si>
    <t>RWS.0.02A</t>
  </si>
  <si>
    <t>RWS.0.02B</t>
  </si>
  <si>
    <t>RWS.0.02C</t>
  </si>
  <si>
    <t>marmoleum/schoonloopmat</t>
  </si>
  <si>
    <t>RWS.0.02D</t>
  </si>
  <si>
    <t>RWS.0.02E</t>
  </si>
  <si>
    <t>RWS.0.02F</t>
  </si>
  <si>
    <t>RWS.0.02G</t>
  </si>
  <si>
    <t>RWS.0.02H</t>
  </si>
  <si>
    <t>RWS.0.02I</t>
  </si>
  <si>
    <t>RWS.0.02J</t>
  </si>
  <si>
    <t>RWS.0.02K</t>
  </si>
  <si>
    <t>RWS.0.03A</t>
  </si>
  <si>
    <t>RWS.0.03B</t>
  </si>
  <si>
    <t>RWS.0.03C</t>
  </si>
  <si>
    <t>RWS.0.03D</t>
  </si>
  <si>
    <t>RWS.0.03E</t>
  </si>
  <si>
    <t>RWS.0.03F</t>
  </si>
  <si>
    <t>RWS.0.03G</t>
  </si>
  <si>
    <t>RWS.0.03H</t>
  </si>
  <si>
    <t>houtenvloer</t>
  </si>
  <si>
    <t>RWS.0.04A</t>
  </si>
  <si>
    <t>RWS.0.050</t>
  </si>
  <si>
    <t>RWS.0.050A</t>
  </si>
  <si>
    <t>RWS.0.050B</t>
  </si>
  <si>
    <t>RWS.0.051</t>
  </si>
  <si>
    <t>RWS.0.051A</t>
  </si>
  <si>
    <t>RWS.0.051B</t>
  </si>
  <si>
    <t>RWS.0.052</t>
  </si>
  <si>
    <t>RWS.0.052A</t>
  </si>
  <si>
    <t>RWS.0.052B</t>
  </si>
  <si>
    <t>RWS.0.053</t>
  </si>
  <si>
    <t>RWS.0.053A</t>
  </si>
  <si>
    <t>RWS.0.053B</t>
  </si>
  <si>
    <t>RWS.0.054</t>
  </si>
  <si>
    <t>0.02H</t>
  </si>
  <si>
    <t>RWS.0.055</t>
  </si>
  <si>
    <t>RWS.0.055A</t>
  </si>
  <si>
    <t>RWS.0.055B</t>
  </si>
  <si>
    <t>RWS.0.056</t>
  </si>
  <si>
    <t>RWS.0.057</t>
  </si>
  <si>
    <t>RWS.0.058</t>
  </si>
  <si>
    <t>RWS.0.059</t>
  </si>
  <si>
    <t>RWS.0.059A</t>
  </si>
  <si>
    <t>RWS.0.060</t>
  </si>
  <si>
    <t>RWS.0.060A</t>
  </si>
  <si>
    <t>RWS.0.07A</t>
  </si>
  <si>
    <t>RWS.0.10</t>
  </si>
  <si>
    <t>RWS.0.12</t>
  </si>
  <si>
    <t>RWS.0.12A</t>
  </si>
  <si>
    <t>RWS.0.14</t>
  </si>
  <si>
    <t>RWS.0.15</t>
  </si>
  <si>
    <t>RWS.0.17</t>
  </si>
  <si>
    <t>RWS.0.18</t>
  </si>
  <si>
    <t>RWS.0.19</t>
  </si>
  <si>
    <t>RWS.0.20</t>
  </si>
  <si>
    <t>0.29</t>
  </si>
  <si>
    <t>RWS.0.21</t>
  </si>
  <si>
    <t>RWS.0.21A</t>
  </si>
  <si>
    <t>RWS.0.22</t>
  </si>
  <si>
    <t>0.35</t>
  </si>
  <si>
    <t>RWS.0.23</t>
  </si>
  <si>
    <t>0.36</t>
  </si>
  <si>
    <t>RWS.0.24</t>
  </si>
  <si>
    <t>0.02</t>
  </si>
  <si>
    <t>RWS.0.24A</t>
  </si>
  <si>
    <t>RWS.0.25</t>
  </si>
  <si>
    <t>RWS.0.25A</t>
  </si>
  <si>
    <t>RWS.0.26</t>
  </si>
  <si>
    <t>RWS.0.26A</t>
  </si>
  <si>
    <t>RWS.1.01A</t>
  </si>
  <si>
    <t>RWS.1.01B</t>
  </si>
  <si>
    <t>RWS.1.01C</t>
  </si>
  <si>
    <t>RWS.1.01D</t>
  </si>
  <si>
    <t>RWS.1.01E</t>
  </si>
  <si>
    <t>marmoleum/beton</t>
  </si>
  <si>
    <t>RWS.1.02A</t>
  </si>
  <si>
    <t>RWS.1.02B</t>
  </si>
  <si>
    <t>RWS.1.02C</t>
  </si>
  <si>
    <t>RWS.1.02D</t>
  </si>
  <si>
    <t>RWS.1.02E</t>
  </si>
  <si>
    <t>RWS.1.02F</t>
  </si>
  <si>
    <t>RWS.1.03A</t>
  </si>
  <si>
    <t>RWS.1.03B</t>
  </si>
  <si>
    <t>RWS.1.03C</t>
  </si>
  <si>
    <t>RWS.1.04A</t>
  </si>
  <si>
    <t>RWS.1.050</t>
  </si>
  <si>
    <t>RWS.1.050A</t>
  </si>
  <si>
    <t>RWS.1.050B</t>
  </si>
  <si>
    <t>RWS.1.050C</t>
  </si>
  <si>
    <t>RWS.1.051</t>
  </si>
  <si>
    <t>RWS.1.051A</t>
  </si>
  <si>
    <t>RWS.1.051B</t>
  </si>
  <si>
    <t>RWS.1.051C</t>
  </si>
  <si>
    <t>RWS.1.052</t>
  </si>
  <si>
    <t>RWS.1.052A</t>
  </si>
  <si>
    <t>RWS.1.053</t>
  </si>
  <si>
    <t>RWS.1.053A</t>
  </si>
  <si>
    <t>RWS.1.054</t>
  </si>
  <si>
    <t>RWS.1.055</t>
  </si>
  <si>
    <t>RWS.1.056</t>
  </si>
  <si>
    <t>RWS.1.10</t>
  </si>
  <si>
    <t>RWS.1.12</t>
  </si>
  <si>
    <t>RWS.1.13</t>
  </si>
  <si>
    <t>RWS.1.14</t>
  </si>
  <si>
    <t>RWS.1.14A</t>
  </si>
  <si>
    <t>RWS.1.15</t>
  </si>
  <si>
    <t>1.33</t>
  </si>
  <si>
    <t>RWS.1.16</t>
  </si>
  <si>
    <t>RWS.1.17</t>
  </si>
  <si>
    <t>RWS.1.18</t>
  </si>
  <si>
    <t>RWS.1.19</t>
  </si>
  <si>
    <t>RWS.1.19A</t>
  </si>
  <si>
    <t>RWS.1.21</t>
  </si>
  <si>
    <t>RWS.1.22</t>
  </si>
  <si>
    <t>RWS.1.23</t>
  </si>
  <si>
    <t>RWS.1.23A</t>
  </si>
  <si>
    <t>RWS.1.24</t>
  </si>
  <si>
    <t>RWS.1.24A</t>
  </si>
  <si>
    <t>RWS.1.25</t>
  </si>
  <si>
    <t>RWS.1.26</t>
  </si>
  <si>
    <t>RWS.1.27</t>
  </si>
  <si>
    <t>RWS.1.27A</t>
  </si>
  <si>
    <t>RWS.1.27B</t>
  </si>
  <si>
    <t>RWS.1.28</t>
  </si>
  <si>
    <t>RWS.1.29</t>
  </si>
  <si>
    <t>RWS.1.30</t>
  </si>
  <si>
    <t>1.29</t>
  </si>
  <si>
    <t>RWS.1.31</t>
  </si>
  <si>
    <t>RWS.1.31A</t>
  </si>
  <si>
    <t>RWS.1.32</t>
  </si>
  <si>
    <t>RWS.2.01A</t>
  </si>
  <si>
    <t>RWS.2.01B</t>
  </si>
  <si>
    <t>RWS.2.01C</t>
  </si>
  <si>
    <t>RWS.2.02A</t>
  </si>
  <si>
    <t>RWS.2.02B</t>
  </si>
  <si>
    <t>RWS.2.02C</t>
  </si>
  <si>
    <t>RWS.2.050</t>
  </si>
  <si>
    <t>RWS.2.050A</t>
  </si>
  <si>
    <t>RWS.2.051</t>
  </si>
  <si>
    <t>RWS.2.051A</t>
  </si>
  <si>
    <t>RWS.2.052</t>
  </si>
  <si>
    <t>RWS.2.052A</t>
  </si>
  <si>
    <t>RWS.2.053</t>
  </si>
  <si>
    <t>RWS.2.053A</t>
  </si>
  <si>
    <t>RWS.2.10</t>
  </si>
  <si>
    <t>RWS.2.10A</t>
  </si>
  <si>
    <t>RWS.2.11</t>
  </si>
  <si>
    <t>RWS.2.11A</t>
  </si>
  <si>
    <t>RWS.2.12</t>
  </si>
  <si>
    <t>RWS.2.12A</t>
  </si>
  <si>
    <t>RWS.2.13</t>
  </si>
  <si>
    <t>RWS.2.13A</t>
  </si>
  <si>
    <t>RWS.2.15</t>
  </si>
  <si>
    <t>RWS.2.15A</t>
  </si>
  <si>
    <t>RWS.2.16</t>
  </si>
  <si>
    <t>RWS.2.17</t>
  </si>
  <si>
    <t>RWS.2.18</t>
  </si>
  <si>
    <t>RWS.2.18A</t>
  </si>
  <si>
    <t>RWS.2.18B</t>
  </si>
  <si>
    <t>RWS.2.19</t>
  </si>
  <si>
    <t>MW2.-1.01A</t>
  </si>
  <si>
    <t>MW2.-1.01B</t>
  </si>
  <si>
    <t>MW2.-1.01C</t>
  </si>
  <si>
    <t>MW2.-1.03A</t>
  </si>
  <si>
    <t>MW2.-1.03B</t>
  </si>
  <si>
    <t>MW2.-1.04A</t>
  </si>
  <si>
    <t>MW2.-1.04B</t>
  </si>
  <si>
    <t>MW2.-1.10</t>
  </si>
  <si>
    <t>MW2.-1.11</t>
  </si>
  <si>
    <t>MW2.-1.12</t>
  </si>
  <si>
    <t>MW2.-1.12A</t>
  </si>
  <si>
    <t>MW2.-1.13</t>
  </si>
  <si>
    <t>MW2.-1.14</t>
  </si>
  <si>
    <t>MW2.-1.15</t>
  </si>
  <si>
    <t>MW2.-1.15A</t>
  </si>
  <si>
    <t>MW2.0.01A</t>
  </si>
  <si>
    <t>MW2.0.01B</t>
  </si>
  <si>
    <t>MW2.0.01C</t>
  </si>
  <si>
    <t>MW2.0.01D</t>
  </si>
  <si>
    <t>MW2.0.01E</t>
  </si>
  <si>
    <t>MW2.0.01F</t>
  </si>
  <si>
    <t>MW2.0.02A</t>
  </si>
  <si>
    <t>tegels/schoonloop</t>
  </si>
  <si>
    <t>MW2.0.02C</t>
  </si>
  <si>
    <t>MW2.0.02D</t>
  </si>
  <si>
    <t>MW2.0.02E</t>
  </si>
  <si>
    <t>MW2.0.02F</t>
  </si>
  <si>
    <t>MW2.0.02G</t>
  </si>
  <si>
    <t>MW2.0.02H</t>
  </si>
  <si>
    <t>MW2.0.02I</t>
  </si>
  <si>
    <t>MW2.0.02J</t>
  </si>
  <si>
    <t>MW2.0.03A</t>
  </si>
  <si>
    <t>MW2.0.03B</t>
  </si>
  <si>
    <t>MW2.0.03C</t>
  </si>
  <si>
    <t>MW2.0.04A</t>
  </si>
  <si>
    <t>MW2.0.04B</t>
  </si>
  <si>
    <t>MW2.0.04C</t>
  </si>
  <si>
    <t>MW2.0.04D</t>
  </si>
  <si>
    <t>MW2.0.050A</t>
  </si>
  <si>
    <t>MW2.0.051</t>
  </si>
  <si>
    <t>MW2.0.051A</t>
  </si>
  <si>
    <t>MW2.0.051B</t>
  </si>
  <si>
    <t>MW2.0.051C</t>
  </si>
  <si>
    <t>MW2.0.052</t>
  </si>
  <si>
    <t>MW2.0.052A</t>
  </si>
  <si>
    <t>MW2.0.052B</t>
  </si>
  <si>
    <t>MW2.0.053</t>
  </si>
  <si>
    <t>MW2.0.053A</t>
  </si>
  <si>
    <t>MW2.0.053B</t>
  </si>
  <si>
    <t>MW2.0.053C</t>
  </si>
  <si>
    <t>MW2.0.053D</t>
  </si>
  <si>
    <t>MW2.0.054</t>
  </si>
  <si>
    <t>MW2.0.054A</t>
  </si>
  <si>
    <t>MW2.0.054B</t>
  </si>
  <si>
    <t>MW2.0.055</t>
  </si>
  <si>
    <t>MW2.0.056</t>
  </si>
  <si>
    <t>MW2.0.057</t>
  </si>
  <si>
    <t>MW2.0.057A</t>
  </si>
  <si>
    <t>MW2.0.057B</t>
  </si>
  <si>
    <t>MW2.0.058</t>
  </si>
  <si>
    <t>MW2.0.058A</t>
  </si>
  <si>
    <t>MW2.0.059</t>
  </si>
  <si>
    <t>MW2.0.059A</t>
  </si>
  <si>
    <t>MW2.0.07A</t>
  </si>
  <si>
    <t>MW2.0.07B</t>
  </si>
  <si>
    <t>MW2.0.10</t>
  </si>
  <si>
    <t>MW2.0.11</t>
  </si>
  <si>
    <t>0.8</t>
  </si>
  <si>
    <t>Projectsruimten</t>
  </si>
  <si>
    <t>MW2.0.11C</t>
  </si>
  <si>
    <t>MW2.0.12</t>
  </si>
  <si>
    <t>MW2.0.13</t>
  </si>
  <si>
    <t>MW2.0.13A</t>
  </si>
  <si>
    <t>MW2.0.14</t>
  </si>
  <si>
    <t>MW2.0.15</t>
  </si>
  <si>
    <t>MW2.0.16</t>
  </si>
  <si>
    <t>MW2.0.16A</t>
  </si>
  <si>
    <t>MW2.0.17</t>
  </si>
  <si>
    <t>MW2.0.18</t>
  </si>
  <si>
    <t>MW2.0.21</t>
  </si>
  <si>
    <t>0.7</t>
  </si>
  <si>
    <t>MW2.0.21A</t>
  </si>
  <si>
    <t>MW2.0.21B</t>
  </si>
  <si>
    <t>MW2.0.22</t>
  </si>
  <si>
    <t>MW2.0.22A</t>
  </si>
  <si>
    <t>MW2.0.22B</t>
  </si>
  <si>
    <t>MW2.0.22C</t>
  </si>
  <si>
    <t>MW2.0.23</t>
  </si>
  <si>
    <t>MW2.0.23A</t>
  </si>
  <si>
    <t>Douche practica</t>
  </si>
  <si>
    <t>MW2.0.24</t>
  </si>
  <si>
    <t>MW2.0.24A</t>
  </si>
  <si>
    <t>MW2.0.25</t>
  </si>
  <si>
    <t>MW2.0.25A</t>
  </si>
  <si>
    <t>MW2.0.26</t>
  </si>
  <si>
    <t>MW2.0.26A</t>
  </si>
  <si>
    <t>MW2.0.27</t>
  </si>
  <si>
    <t>MW2.0.27A</t>
  </si>
  <si>
    <t>MW2.0.28</t>
  </si>
  <si>
    <t>MW2.0.28A</t>
  </si>
  <si>
    <t>MW2.0.29</t>
  </si>
  <si>
    <t>MW2.0.29A</t>
  </si>
  <si>
    <t>MW2.0.30</t>
  </si>
  <si>
    <t>MW2.0.31</t>
  </si>
  <si>
    <t>MW2.0.32</t>
  </si>
  <si>
    <t>MW2.0.32A</t>
  </si>
  <si>
    <t>MW2.0.32B</t>
  </si>
  <si>
    <t>MW2.0.32C</t>
  </si>
  <si>
    <t>MW2.0.33</t>
  </si>
  <si>
    <t>MW2.0.34</t>
  </si>
  <si>
    <t>MW2.0.35</t>
  </si>
  <si>
    <t>0.2</t>
  </si>
  <si>
    <t>MW2.0.36</t>
  </si>
  <si>
    <t>0.1</t>
  </si>
  <si>
    <t>MW2.0.36A</t>
  </si>
  <si>
    <t>MW2.0.37</t>
  </si>
  <si>
    <t>MW2.0.37B</t>
  </si>
  <si>
    <t>MW2.0.38</t>
  </si>
  <si>
    <t>MW2.0.38A</t>
  </si>
  <si>
    <t>MW2.0.39</t>
  </si>
  <si>
    <t>MW2.0.40</t>
  </si>
  <si>
    <t>MW2.1.01A</t>
  </si>
  <si>
    <t>MW2.1.01B</t>
  </si>
  <si>
    <t>MW2.1.01C</t>
  </si>
  <si>
    <t>staalrooster</t>
  </si>
  <si>
    <t>MW2.1.01D</t>
  </si>
  <si>
    <t>MW2.1.01E</t>
  </si>
  <si>
    <t>MW2.1.02A</t>
  </si>
  <si>
    <t>MW2.1.02B</t>
  </si>
  <si>
    <t>MW2.1.02C</t>
  </si>
  <si>
    <t>MW2.1.02D</t>
  </si>
  <si>
    <t>MW2.1.02E</t>
  </si>
  <si>
    <t>MW2.1.02F</t>
  </si>
  <si>
    <t>MW2.1.03A</t>
  </si>
  <si>
    <t>MW2.1.03B</t>
  </si>
  <si>
    <t>MW2.1.04A</t>
  </si>
  <si>
    <t>MW2.1.04B</t>
  </si>
  <si>
    <t>MW2.1.04C</t>
  </si>
  <si>
    <t>MW2.1.04D</t>
  </si>
  <si>
    <t>MW2.1.050</t>
  </si>
  <si>
    <t>MW2.1.050A</t>
  </si>
  <si>
    <t>MW2.1.050B</t>
  </si>
  <si>
    <t>MW2.1.050C</t>
  </si>
  <si>
    <t>MW2.1.051</t>
  </si>
  <si>
    <t>MW2.1.051A</t>
  </si>
  <si>
    <t>MW2.1.051B</t>
  </si>
  <si>
    <t>MW2.1.051C</t>
  </si>
  <si>
    <t>MW2.1.052</t>
  </si>
  <si>
    <t>MW2.1.052A</t>
  </si>
  <si>
    <t>MW2.1.052B</t>
  </si>
  <si>
    <t>MW2.1.052C</t>
  </si>
  <si>
    <t>MW2.1.10</t>
  </si>
  <si>
    <t>MW2.1.11</t>
  </si>
  <si>
    <t>MW2.1.11A</t>
  </si>
  <si>
    <t>MW2.1.11B</t>
  </si>
  <si>
    <t>MW2.1.11C</t>
  </si>
  <si>
    <t>MW2.1.11D</t>
  </si>
  <si>
    <t>MW2.1.12</t>
  </si>
  <si>
    <t>MW2.1.13</t>
  </si>
  <si>
    <t>MW2.1.14</t>
  </si>
  <si>
    <t>MW2.1.15</t>
  </si>
  <si>
    <t>MW2.1.15A</t>
  </si>
  <si>
    <t>MW2.1.15B</t>
  </si>
  <si>
    <t>MW2.1.16</t>
  </si>
  <si>
    <t>MW2.1.17</t>
  </si>
  <si>
    <t>MW2.1.17A</t>
  </si>
  <si>
    <t>MW2.1.18</t>
  </si>
  <si>
    <t>MW2.1.19</t>
  </si>
  <si>
    <t>MW2.1.19A</t>
  </si>
  <si>
    <t>MW2.1.20</t>
  </si>
  <si>
    <t>MW2.1.20A</t>
  </si>
  <si>
    <t>1.20A</t>
  </si>
  <si>
    <t>MW2.1.20B</t>
  </si>
  <si>
    <t>MW2.1.20C</t>
  </si>
  <si>
    <t>MW2.1.20D</t>
  </si>
  <si>
    <t>MW2.1.20E</t>
  </si>
  <si>
    <t>MW2.1.20F</t>
  </si>
  <si>
    <t>MW2.1.21A</t>
  </si>
  <si>
    <t>1.21A</t>
  </si>
  <si>
    <t>MW2.1.21B</t>
  </si>
  <si>
    <t>1.21B</t>
  </si>
  <si>
    <t>MW2.1.21C</t>
  </si>
  <si>
    <t>MW2.1.22</t>
  </si>
  <si>
    <t>MW2.1.23</t>
  </si>
  <si>
    <t>MW2.1.24</t>
  </si>
  <si>
    <t>MW2.1.25</t>
  </si>
  <si>
    <t>MW2.1.26</t>
  </si>
  <si>
    <t>MW2.1.27</t>
  </si>
  <si>
    <t>MW2.1.27A</t>
  </si>
  <si>
    <t>MW2.1.28</t>
  </si>
  <si>
    <t>MW2.1.29</t>
  </si>
  <si>
    <t>MW2.1.29A</t>
  </si>
  <si>
    <t>MW2.1.30</t>
  </si>
  <si>
    <t>MW2.1.30A</t>
  </si>
  <si>
    <t>MW2.1.31</t>
  </si>
  <si>
    <t>MW2.1.32</t>
  </si>
  <si>
    <t>MW2.1.32A</t>
  </si>
  <si>
    <t>MW2.2.01A</t>
  </si>
  <si>
    <t>MW2.2.01B</t>
  </si>
  <si>
    <t>MW2.2.01C</t>
  </si>
  <si>
    <t>MW2.2.02A</t>
  </si>
  <si>
    <t>MW2.2.02B</t>
  </si>
  <si>
    <t>MW2.2.02C</t>
  </si>
  <si>
    <t>MW2.2.02D</t>
  </si>
  <si>
    <t>MW2.2.03A</t>
  </si>
  <si>
    <t>MW2.2.04A</t>
  </si>
  <si>
    <t>MW2.2.04B</t>
  </si>
  <si>
    <t>MW2.2.04C</t>
  </si>
  <si>
    <t>MW2.2.04D</t>
  </si>
  <si>
    <t>MW2.2.050</t>
  </si>
  <si>
    <t>MW2.2.050A</t>
  </si>
  <si>
    <t>MW2.2.050B</t>
  </si>
  <si>
    <t>MW2.2.051</t>
  </si>
  <si>
    <t>MW2.2.051A</t>
  </si>
  <si>
    <t>MW2.2.051B</t>
  </si>
  <si>
    <t>MW2.2.052</t>
  </si>
  <si>
    <t>MW2.2.052A</t>
  </si>
  <si>
    <t>MW2.2.052B</t>
  </si>
  <si>
    <t>MW2.2.053</t>
  </si>
  <si>
    <t>MW2.2.053A</t>
  </si>
  <si>
    <t>MW2.2.053B</t>
  </si>
  <si>
    <t>MW2.2.054</t>
  </si>
  <si>
    <t>MW2.2.054A</t>
  </si>
  <si>
    <t>MW2.2.054B</t>
  </si>
  <si>
    <t>MW2.2.10</t>
  </si>
  <si>
    <t>MW2.2.10A</t>
  </si>
  <si>
    <t>MW2.2.10B</t>
  </si>
  <si>
    <t>MW2.2.11</t>
  </si>
  <si>
    <t>MW2.2.11A</t>
  </si>
  <si>
    <t>MW2.2.11B</t>
  </si>
  <si>
    <t>MW2.2.11C</t>
  </si>
  <si>
    <t>MW2.2.11D</t>
  </si>
  <si>
    <t>MW2.2.11E</t>
  </si>
  <si>
    <t>MW2.2.11F</t>
  </si>
  <si>
    <t>MW2.2.12</t>
  </si>
  <si>
    <t>MW2.2.13</t>
  </si>
  <si>
    <t>MW2.2.14</t>
  </si>
  <si>
    <t>MW2.2.15</t>
  </si>
  <si>
    <t>MW2.2.16</t>
  </si>
  <si>
    <t>MW2.2.17</t>
  </si>
  <si>
    <t>MW2.2.17A</t>
  </si>
  <si>
    <t>MW2.2.18</t>
  </si>
  <si>
    <t>MW2.2.19</t>
  </si>
  <si>
    <t>MW2.2.20</t>
  </si>
  <si>
    <t>MW2.2.20A</t>
  </si>
  <si>
    <t>MW2.3.01A</t>
  </si>
  <si>
    <t>MW2.3.01B</t>
  </si>
  <si>
    <t>Liftmachinekamer</t>
  </si>
  <si>
    <t>MW2.3.01C</t>
  </si>
  <si>
    <t>MW2.3.04A</t>
  </si>
  <si>
    <t>MW2.3.050</t>
  </si>
  <si>
    <t>MW2.3.050A</t>
  </si>
  <si>
    <t>MW2.3.050B</t>
  </si>
  <si>
    <t>MW2.3.10</t>
  </si>
  <si>
    <t>vloerbedekking/linoleum</t>
  </si>
  <si>
    <t>MW2.3.10A</t>
  </si>
  <si>
    <t>MW2.3.10B</t>
  </si>
  <si>
    <t>MW2.3.10C</t>
  </si>
  <si>
    <t>MW2.3.10D</t>
  </si>
  <si>
    <t>MW2.3.10E</t>
  </si>
  <si>
    <t>MW2.3.10F</t>
  </si>
  <si>
    <t>MW2.3.10G</t>
  </si>
  <si>
    <t>MW2.4.01A</t>
  </si>
  <si>
    <t>MW2.4.10</t>
  </si>
  <si>
    <t>Stallingsgarage/Parkeergarage</t>
  </si>
  <si>
    <t>Projectsuimten</t>
  </si>
  <si>
    <t>Kantine/Restaurant</t>
  </si>
  <si>
    <t>Verkeersruimten</t>
  </si>
  <si>
    <t>Garage</t>
  </si>
  <si>
    <t>Doucheruimten</t>
  </si>
  <si>
    <t>1x per jaar</t>
  </si>
  <si>
    <t>2x per jaar</t>
  </si>
  <si>
    <t>4x per jaar</t>
  </si>
  <si>
    <t>1 x per week (40 weken)</t>
  </si>
  <si>
    <t>2 x per week (40 weken)</t>
  </si>
  <si>
    <t>1 x per week (41 weken)</t>
  </si>
  <si>
    <t>2 x per week (41 weken)</t>
  </si>
  <si>
    <t>2 x per week (42 weken)</t>
  </si>
  <si>
    <t>3 x per week (41 weken)</t>
  </si>
  <si>
    <t>3 x per week (42 weken)</t>
  </si>
  <si>
    <t>5 x per week (41 weken)</t>
  </si>
  <si>
    <t>5 x per week (42 weken)</t>
  </si>
  <si>
    <t>5x per week (40 weken)</t>
  </si>
  <si>
    <t>5x per week (38 weken)</t>
  </si>
  <si>
    <t>3x per week (51 weken)</t>
  </si>
  <si>
    <t>opslagruimten</t>
  </si>
  <si>
    <t>Javaplantsoen 24, Amsterdam</t>
  </si>
  <si>
    <t>Houten vloeren schuren en in olie zetten</t>
  </si>
  <si>
    <t>Dansvloer Schrobben</t>
  </si>
  <si>
    <t xml:space="preserve">Houten trappen schuren en oliën </t>
  </si>
  <si>
    <t>Specialistisch</t>
  </si>
  <si>
    <t>Kauwgom verwijderen buitenzijde pand</t>
  </si>
  <si>
    <t>dakglas</t>
  </si>
  <si>
    <t>dakglas onderzijde</t>
  </si>
  <si>
    <t>Separatieglas enkelzijdig</t>
  </si>
  <si>
    <t>Doorvalbeveiliging afnemen</t>
  </si>
  <si>
    <t>Vloerafwerking</t>
  </si>
  <si>
    <t>Handeling</t>
  </si>
  <si>
    <t>Top-coaten / recoaten *</t>
  </si>
  <si>
    <t>Hekwerk</t>
  </si>
  <si>
    <t>tbv vloeronderhoud</t>
  </si>
  <si>
    <t>L</t>
  </si>
  <si>
    <t>Eenheid</t>
  </si>
  <si>
    <t>linoleum/marmoleum</t>
  </si>
  <si>
    <t>Ondergrond</t>
  </si>
  <si>
    <t>0,2-0,5 m2</t>
  </si>
  <si>
    <t>0,5-1 m2</t>
  </si>
  <si>
    <t>Beton &amp; steen glad</t>
  </si>
  <si>
    <t>Beton &amp; Steen ruw gecoat</t>
  </si>
  <si>
    <t>Beton &amp; Steen ruw ongecoat</t>
  </si>
  <si>
    <t>Kunststof oppervlakken</t>
  </si>
  <si>
    <t>Geschilderde oppervlakken</t>
  </si>
  <si>
    <t>Metalen oppervlakken</t>
  </si>
  <si>
    <t>Houten oppervlakken</t>
  </si>
  <si>
    <t>Tapijt sproeiextraheren (sproeiextractie)</t>
  </si>
  <si>
    <t>Locaties</t>
  </si>
  <si>
    <t>Kosten sprayen en opwrijven</t>
  </si>
  <si>
    <t>b.0.04a</t>
  </si>
  <si>
    <t>k.0.04</t>
  </si>
  <si>
    <t>b.0.03</t>
  </si>
  <si>
    <t>k.0.00</t>
  </si>
  <si>
    <t>b.0.05a</t>
  </si>
  <si>
    <t>b.0.01a</t>
  </si>
  <si>
    <t>k.0.18</t>
  </si>
  <si>
    <t>k.0.20</t>
  </si>
  <si>
    <t>k.0.19</t>
  </si>
  <si>
    <t>b.15</t>
  </si>
  <si>
    <t>k.0.17</t>
  </si>
  <si>
    <t>k.0.13</t>
  </si>
  <si>
    <t>k.0.16</t>
  </si>
  <si>
    <t>k.0.14</t>
  </si>
  <si>
    <t>b.0.12</t>
  </si>
  <si>
    <t>b.0.11</t>
  </si>
  <si>
    <t>f.0.00</t>
  </si>
  <si>
    <t>b.0.01b</t>
  </si>
  <si>
    <t>k. 1.21</t>
  </si>
  <si>
    <t>v.1.10</t>
  </si>
  <si>
    <t>k. 1.05</t>
  </si>
  <si>
    <t>b.1.10</t>
  </si>
  <si>
    <t>k.1.00</t>
  </si>
  <si>
    <t>k.1.19</t>
  </si>
  <si>
    <t>p 0.00</t>
  </si>
  <si>
    <t>Plein</t>
  </si>
  <si>
    <t>1.07a</t>
  </si>
  <si>
    <t>v.2.10</t>
  </si>
  <si>
    <t>k.2.20</t>
  </si>
  <si>
    <t>k.2.00</t>
  </si>
  <si>
    <t>b.2.18</t>
  </si>
  <si>
    <t>b.2.18a</t>
  </si>
  <si>
    <t>k.2.13</t>
  </si>
  <si>
    <t>b.2.13a</t>
  </si>
  <si>
    <t>Zorgcoordinator</t>
  </si>
  <si>
    <t>Opvanglokaal</t>
  </si>
  <si>
    <t>Kosten traditioneel vloeronderhoud over 10 jaar</t>
  </si>
  <si>
    <t>Frequentie top coaten</t>
  </si>
  <si>
    <t>Kosten top coaten</t>
  </si>
  <si>
    <t>Frequentie re-coaten</t>
  </si>
  <si>
    <t>Kosten coaten</t>
  </si>
  <si>
    <t>Frequentie in - en uitruimen</t>
  </si>
  <si>
    <t>Kosten in- en uitruimen</t>
  </si>
  <si>
    <t>Totaalkosten over 10 jaar</t>
  </si>
  <si>
    <t>Kosten gebruik PU coating vloeronderhoud over 10 jaar</t>
  </si>
  <si>
    <t>Kosten basis behandeling</t>
  </si>
  <si>
    <t xml:space="preserve">Kosten her-behandeling </t>
  </si>
  <si>
    <t>Kosten machinaal reinigen</t>
  </si>
  <si>
    <t>1 x per week (38 weken)</t>
  </si>
  <si>
    <t>Bekleding meubilair reinigen</t>
  </si>
  <si>
    <t>Tapijt kristallisatie</t>
  </si>
  <si>
    <t>Alternatief voor het traditionele vloeronderhoud. Uitgaande van PU coating.</t>
  </si>
  <si>
    <t>Projectruimten keuken</t>
  </si>
  <si>
    <t>leslokaal praktijk keuken/bakkerij</t>
  </si>
  <si>
    <t>Projectruimten horeca</t>
  </si>
  <si>
    <t>atelier machinale BVO handenarbeid</t>
  </si>
  <si>
    <t>Kosten vloeronderhoud per jaar PU coating 50%</t>
  </si>
  <si>
    <t>Kosten sanitaire verbruiks artikelen per jaar</t>
  </si>
  <si>
    <t>Hand zeep</t>
  </si>
  <si>
    <t>Verpakkings eenheid</t>
  </si>
  <si>
    <t>6x 1 liter</t>
  </si>
  <si>
    <t>Prijs per verpakkings eenheid</t>
  </si>
  <si>
    <t>Toiletpapier</t>
  </si>
  <si>
    <t>12 rolllen</t>
  </si>
  <si>
    <t>Prijs per jaar</t>
  </si>
  <si>
    <t>Poetspapier</t>
  </si>
  <si>
    <t>6 rollen</t>
  </si>
  <si>
    <t>15</t>
  </si>
  <si>
    <t>Aantal verpakkings eenheden</t>
  </si>
  <si>
    <t>Referentie m2</t>
  </si>
  <si>
    <t>Kosten per m2</t>
  </si>
  <si>
    <t>Kosten verbruiks artikelen</t>
  </si>
  <si>
    <t>Optioneel</t>
  </si>
  <si>
    <t>Vive Spray</t>
  </si>
  <si>
    <t>16x 0,5 liter</t>
  </si>
  <si>
    <t>Handdoekrollen</t>
  </si>
  <si>
    <t>6x 140 meter</t>
  </si>
  <si>
    <t>29</t>
  </si>
  <si>
    <t xml:space="preserve">5 x per week (40 weken ) + 3x per week (11 weken) </t>
  </si>
  <si>
    <t>Kosten vloeronderhoud per jaar
Traditioneel 50%</t>
  </si>
  <si>
    <t>reinigen gevelramen binnenzijde</t>
  </si>
  <si>
    <t xml:space="preserve">reinigen gevelramen buitenzijde </t>
  </si>
  <si>
    <t xml:space="preserve">Monumentaal: reinigen gevelramen buitenzij de </t>
  </si>
  <si>
    <t>Keuken, restaurant en aula: reinigen gevel ramen binnenzijde</t>
  </si>
  <si>
    <t>Keuken, restaurant en aula: reinigen gevel ramen buitenzijde</t>
  </si>
  <si>
    <t>Voorgevel: reinigen gevelramen binnenzijde</t>
  </si>
  <si>
    <t>Aanbouw: reinigen gevelramen binnenzijde</t>
  </si>
  <si>
    <t>Voorgevel: reinigen gevelramen buitenzijde</t>
  </si>
  <si>
    <t>reinigen dakglas bovenzijde</t>
  </si>
  <si>
    <t>Aanbouw: reinigen gevelramen buitenzijde</t>
  </si>
  <si>
    <t>reinigen dakglas buitenzijde</t>
  </si>
  <si>
    <t>reinigen gevelramen buitenzijde</t>
  </si>
  <si>
    <t>reinigen separatieglas dubbelzijdig</t>
  </si>
  <si>
    <t>Monumentaal: reinigen separatieglas dubbelzijdig</t>
  </si>
  <si>
    <t>Semi monumentaal: reinigen separatieglas dubbelzijdig</t>
  </si>
  <si>
    <t>Achtergevel lichtstraat: reinigen separatieglas dubbelzijdig</t>
  </si>
  <si>
    <t>reinigen balustradeglas dubbelzijdig</t>
  </si>
  <si>
    <t>Restaurant B/B: reinigen gevelramen buitenzijde</t>
  </si>
  <si>
    <t>Monumentaal: reinigen gevelramen binnenzijde</t>
  </si>
  <si>
    <t>Lichtstraat: reinigen gevelramen binnenzijde</t>
  </si>
  <si>
    <t xml:space="preserve">reinigen gevelglas buitenzijde  </t>
  </si>
  <si>
    <t xml:space="preserve">reinigen gevelglas binnenzijde </t>
  </si>
  <si>
    <t xml:space="preserve">reinigen separatieglas dubbelzijdig, </t>
  </si>
  <si>
    <t xml:space="preserve">reinigen separatieglas dubbelzijdig, exclusief hoog separatieglas </t>
  </si>
  <si>
    <t>Frequentie sprayen en opwrijven</t>
  </si>
  <si>
    <t>Frequentie basis behandeling</t>
  </si>
  <si>
    <t>Frequentie her- behandeling</t>
  </si>
  <si>
    <t>Frequentie machinaal reinigen</t>
  </si>
  <si>
    <t>Meeuwenlaan 132, Amsterdam</t>
  </si>
  <si>
    <t>Achtergevel lichtstraat vanaf dak: wassen gevelramen buitenzijde</t>
  </si>
  <si>
    <t>Entreehal: reinigen separatieglas beide zijden</t>
  </si>
  <si>
    <t xml:space="preserve">Graffiti </t>
  </si>
  <si>
    <t>Kosten productie per jaar ma t/m vr incl. minimale taakgrootte</t>
  </si>
  <si>
    <t>Kosten productie per jaar ma t/m vr naloop incl. minimale taakgrootte</t>
  </si>
  <si>
    <t>Maximale Suppletiekosten</t>
  </si>
  <si>
    <t>Voortgezet Onderwijs van Amsterdam</t>
  </si>
  <si>
    <t>Amsterdam</t>
  </si>
  <si>
    <t>1 x per week (42 weken)</t>
  </si>
  <si>
    <t>2 x per week (38 weken)</t>
  </si>
  <si>
    <t>3 x per week (40 weken)</t>
  </si>
  <si>
    <t>Foekje Dillemastraat 116, Amsterdam</t>
  </si>
  <si>
    <r>
      <t>Kosten per m</t>
    </r>
    <r>
      <rPr>
        <b/>
        <vertAlign val="superscript"/>
        <sz val="10"/>
        <rFont val="Arial"/>
        <family val="2"/>
      </rPr>
      <t>2</t>
    </r>
  </si>
  <si>
    <t>Aantal m2 sanitair</t>
  </si>
  <si>
    <t>Geurmatjes urinoirs</t>
  </si>
  <si>
    <r>
      <t>Kosten top-coaten per m</t>
    </r>
    <r>
      <rPr>
        <b/>
        <vertAlign val="superscript"/>
        <sz val="10"/>
        <rFont val="Arial"/>
        <family val="2"/>
      </rPr>
      <t>2</t>
    </r>
  </si>
  <si>
    <r>
      <t>Kosten re-coaten per m</t>
    </r>
    <r>
      <rPr>
        <b/>
        <vertAlign val="superscript"/>
        <sz val="10"/>
        <rFont val="Arial"/>
        <family val="2"/>
      </rPr>
      <t>2</t>
    </r>
  </si>
  <si>
    <r>
      <t>Sprayen en opwrijven per m</t>
    </r>
    <r>
      <rPr>
        <b/>
        <vertAlign val="superscript"/>
        <sz val="10"/>
        <rFont val="Arial"/>
        <family val="2"/>
      </rPr>
      <t>2</t>
    </r>
  </si>
  <si>
    <r>
      <t>Kosten in- en uitruimen per m</t>
    </r>
    <r>
      <rPr>
        <b/>
        <vertAlign val="superscript"/>
        <sz val="10"/>
        <rFont val="Arial"/>
        <family val="2"/>
      </rPr>
      <t>2</t>
    </r>
  </si>
  <si>
    <r>
      <t>Kosten PU basis behandeling per m</t>
    </r>
    <r>
      <rPr>
        <b/>
        <vertAlign val="superscript"/>
        <sz val="10"/>
        <rFont val="Arial"/>
        <family val="2"/>
      </rPr>
      <t>2</t>
    </r>
  </si>
  <si>
    <r>
      <t>Her-behandeling per m</t>
    </r>
    <r>
      <rPr>
        <b/>
        <vertAlign val="superscript"/>
        <sz val="10"/>
        <rFont val="Arial"/>
        <family val="2"/>
      </rPr>
      <t>2</t>
    </r>
  </si>
  <si>
    <r>
      <t>Kosten machinaal reinigen per m</t>
    </r>
    <r>
      <rPr>
        <b/>
        <vertAlign val="superscript"/>
        <sz val="10"/>
        <rFont val="Arial"/>
        <family val="2"/>
      </rPr>
      <t>2</t>
    </r>
  </si>
  <si>
    <t>Tot 10 meter  (voor binnen)</t>
  </si>
  <si>
    <t> €                     -  </t>
  </si>
  <si>
    <t>Tot 15 meter  (voor binnen)</t>
  </si>
  <si>
    <t>Tot 20 meter  (voor binnen)</t>
  </si>
  <si>
    <t>Tot 10 meter  (voor buiten)</t>
  </si>
  <si>
    <t>Tot 15 meter  (voor buiten)</t>
  </si>
  <si>
    <t>Tot 20 meter  (voor buiten)</t>
  </si>
  <si>
    <t> prijs per uur excl. btw </t>
  </si>
  <si>
    <t>Kosten hoogwerker tot werkhoogte </t>
  </si>
  <si>
    <t>Cburg College</t>
  </si>
  <si>
    <t>Hubertus &amp; Berkhoff</t>
  </si>
  <si>
    <t>Hyperion Lyceum</t>
  </si>
  <si>
    <t>LUCA Praktijkschool</t>
  </si>
  <si>
    <t>Metropolis Lyceum, Nieuwe Havo, Vox, BBC</t>
  </si>
  <si>
    <t>Tobiasschool</t>
  </si>
  <si>
    <t>Maximale bovengrens plafond bedrag per VOvA locatie</t>
  </si>
  <si>
    <t>Tork T9 smart</t>
  </si>
  <si>
    <t>Tork vloeibare zeep Premius</t>
  </si>
  <si>
    <t>Elive Autocut 2-laags 20,8 breed cellulose (+ batterijen)</t>
  </si>
  <si>
    <t>Tork Reflex Wiping Centerfeed Poetspapier 1-laags M4</t>
  </si>
  <si>
    <t xml:space="preserve">Luchtverfrisser vullingen + batterijen </t>
  </si>
  <si>
    <t>Damesverbandcontainers</t>
  </si>
  <si>
    <t>Kosten per week per stuk</t>
  </si>
  <si>
    <t>Omschrijving verbruiksartikelen</t>
  </si>
  <si>
    <t>Aantal damesverband-containers</t>
  </si>
  <si>
    <t>Dieptereiniging*</t>
  </si>
  <si>
    <t xml:space="preserve">*Werkzaamheden zijn vastgelegd in Bijlage C Werkzaamheden dieptereiniging keukens. </t>
  </si>
  <si>
    <t>Uurlonen 1 juli 2025</t>
  </si>
  <si>
    <t>Plaats</t>
  </si>
  <si>
    <t>Uur</t>
  </si>
  <si>
    <t>Uurtarief</t>
  </si>
  <si>
    <t>2.0 (n.a.v. NvI 2)</t>
  </si>
  <si>
    <t>Dieptereiniging Meeuwenlaan</t>
  </si>
  <si>
    <t>Dieptereiniging Betuwestraat 27-29</t>
  </si>
  <si>
    <t>Dieptereiniging Javaplantsoen 24</t>
  </si>
  <si>
    <t>Dieptereiniging Rietwijkerstraat 55</t>
  </si>
  <si>
    <t>Indicatie aantal uur per beurt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</si>
</sst>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_-;_-* #,##0\-;_-* &quot;-&quot;_-;_-@_-"/>
    <numFmt numFmtId="182" formatCode="_-[$€]\ * #,##0.00_-;_-[$€]\ * #,##0.00\-;_-[$€]\ * &quot;-&quot;??_-;_-@_-"/>
    <numFmt numFmtId="183" formatCode="_-&quot;€&quot;* #,##0.00_-;\-&quot;€&quot;* #,##0.00_-;_-&quot;€&quot;* &quot;-&quot;??_-;_-@_-"/>
    <numFmt numFmtId="184" formatCode="_-[$€-2]\ * #,##0.00_-;_-[$€-2]\ * #,##0.00\-;_-[$€-2]\ * &quot;-&quot;??_-;_-@_-"/>
    <numFmt numFmtId="185" formatCode="_-&quot;ƒ&quot;\ * #,##0.00_-;_-&quot;ƒ&quot;\ * #,##0.00\-;_-&quot;ƒ&quot;\ * &quot;-&quot;??_-;_-@_-"/>
    <numFmt numFmtId="186" formatCode="[$-413]d\ mmmm\ yyyy;@"/>
    <numFmt numFmtId="187" formatCode="&quot;Fl.&quot;#,##0.00;[Red]\-&quot;Fl.&quot;#,##0.00"/>
    <numFmt numFmtId="188" formatCode="&quot;Fl.&quot;#,##0_);[Red]\(&quot;Fl.&quot;#,##0\)"/>
    <numFmt numFmtId="189" formatCode="_-\F* #,##0.00_-;\-\F* #,##0.00_-;_-\F* &quot;-&quot;??_-;_-@_-"/>
    <numFmt numFmtId="190" formatCode="&quot;fl&quot;\ #,##0_-;[Red]&quot;fl&quot;\ #,##0\-"/>
    <numFmt numFmtId="191" formatCode="_-\€\ * #,##0.00"/>
    <numFmt numFmtId="192" formatCode="0\ &quot;m2&quot;"/>
    <numFmt numFmtId="193" formatCode="_-&quot;F&quot;\ * #,##0.00_-;_-&quot;F&quot;\ * #,##0.00\-;_-&quot;F&quot;\ * &quot;-&quot;??_-;_-@_-"/>
  </numFmts>
  <fonts count="11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8"/>
      <name val="MS Sans Serif"/>
    </font>
    <font>
      <sz val="11"/>
      <color rgb="FF000000"/>
      <name val="Calibri"/>
      <family val="2"/>
      <scheme val="minor"/>
    </font>
    <font>
      <b/>
      <sz val="12"/>
      <name val="Arial"/>
      <family val="2"/>
    </font>
    <font>
      <sz val="12"/>
      <name val="Arial"/>
      <family val="2"/>
    </font>
    <font>
      <b/>
      <sz val="10"/>
      <color rgb="FFFF0000"/>
      <name val="Arial"/>
      <family val="2"/>
    </font>
    <font>
      <b/>
      <sz val="10"/>
      <color theme="0"/>
      <name val="Arial"/>
      <family val="2"/>
    </font>
    <font>
      <sz val="10"/>
      <color rgb="FFFF0000"/>
      <name val="Arial"/>
      <family val="2"/>
    </font>
    <font>
      <b/>
      <sz val="10"/>
      <color theme="1"/>
      <name val="Arial"/>
      <family val="2"/>
    </font>
    <font>
      <sz val="12"/>
      <color rgb="FFFF0000"/>
      <name val="Arial"/>
      <family val="2"/>
    </font>
    <font>
      <sz val="10"/>
      <color indexed="10"/>
      <name val="Arial"/>
      <family val="2"/>
    </font>
    <font>
      <sz val="12"/>
      <color theme="1"/>
      <name val="Arial"/>
      <family val="2"/>
    </font>
    <font>
      <b/>
      <sz val="10"/>
      <color theme="1" tint="0.34998626667073579"/>
      <name val="Arial"/>
      <family val="2"/>
    </font>
    <font>
      <sz val="10"/>
      <color indexed="18"/>
      <name val="Arial"/>
      <family val="2"/>
    </font>
    <font>
      <sz val="10"/>
      <color indexed="8"/>
      <name val="Arial"/>
      <family val="2"/>
    </font>
    <font>
      <b/>
      <sz val="10"/>
      <color rgb="FF0AAAFF"/>
      <name val="Arial"/>
      <family val="2"/>
    </font>
    <font>
      <b/>
      <sz val="10"/>
      <color indexed="10"/>
      <name val="Arial"/>
      <family val="2"/>
    </font>
    <font>
      <b/>
      <sz val="10"/>
      <color rgb="FF00B0F0"/>
      <name val="Arial"/>
      <family val="2"/>
    </font>
    <font>
      <b/>
      <sz val="12"/>
      <color indexed="18"/>
      <name val="Arial"/>
      <family val="2"/>
    </font>
    <font>
      <sz val="10"/>
      <color rgb="FF000000"/>
      <name val="Arial"/>
      <family val="2"/>
    </font>
    <font>
      <b/>
      <sz val="10"/>
      <color indexed="20"/>
      <name val="Arial"/>
      <family val="2"/>
    </font>
    <font>
      <b/>
      <sz val="10"/>
      <color indexed="18"/>
      <name val="Arial"/>
      <family val="2"/>
    </font>
    <font>
      <b/>
      <sz val="10"/>
      <color indexed="8"/>
      <name val="Arial"/>
      <family val="2"/>
    </font>
    <font>
      <sz val="11"/>
      <name val="Arial"/>
      <family val="2"/>
    </font>
    <font>
      <b/>
      <sz val="14"/>
      <name val="Arial"/>
      <family val="2"/>
    </font>
    <font>
      <b/>
      <sz val="9"/>
      <color indexed="20"/>
      <name val="Arial"/>
      <family val="2"/>
    </font>
    <font>
      <b/>
      <sz val="9"/>
      <name val="Arial"/>
      <family val="2"/>
    </font>
    <font>
      <sz val="14"/>
      <name val="Arial"/>
      <family val="2"/>
    </font>
    <font>
      <b/>
      <sz val="9"/>
      <color indexed="18"/>
      <name val="Arial"/>
      <family val="2"/>
    </font>
    <font>
      <sz val="12"/>
      <color indexed="18"/>
      <name val="Arial"/>
      <family val="2"/>
    </font>
    <font>
      <b/>
      <sz val="8"/>
      <color indexed="18"/>
      <name val="Arial"/>
      <family val="2"/>
    </font>
    <font>
      <sz val="9"/>
      <color rgb="FFFF0000"/>
      <name val="Arial"/>
      <family val="2"/>
    </font>
    <font>
      <sz val="9"/>
      <color indexed="10"/>
      <name val="Arial"/>
      <family val="2"/>
    </font>
    <font>
      <sz val="9"/>
      <color indexed="8"/>
      <name val="Arial"/>
      <family val="2"/>
    </font>
    <font>
      <sz val="9"/>
      <name val="Arial"/>
      <family val="2"/>
    </font>
    <font>
      <sz val="9"/>
      <color indexed="23"/>
      <name val="Arial"/>
      <family val="2"/>
    </font>
    <font>
      <b/>
      <sz val="9"/>
      <color indexed="10"/>
      <name val="Arial"/>
      <family val="2"/>
    </font>
    <font>
      <i/>
      <sz val="10"/>
      <color indexed="10"/>
      <name val="Arial"/>
      <family val="2"/>
    </font>
    <font>
      <sz val="9"/>
      <color rgb="FF0AAAFF"/>
      <name val="Arial"/>
      <family val="2"/>
    </font>
    <font>
      <sz val="10"/>
      <color theme="0" tint="-0.499984740745262"/>
      <name val="Arial"/>
      <family val="2"/>
    </font>
    <font>
      <b/>
      <u/>
      <sz val="10"/>
      <name val="Arial"/>
      <family val="2"/>
    </font>
    <font>
      <u/>
      <sz val="9"/>
      <name val="Arial"/>
      <family val="2"/>
    </font>
    <font>
      <b/>
      <sz val="12"/>
      <color rgb="FFFF0000"/>
      <name val="Arial"/>
      <family val="2"/>
    </font>
    <font>
      <b/>
      <vertAlign val="superscript"/>
      <sz val="10"/>
      <name val="Arial"/>
      <family val="2"/>
    </font>
    <font>
      <b/>
      <sz val="16"/>
      <color rgb="FFFF0000"/>
      <name val="Arial"/>
      <family val="2"/>
    </font>
    <font>
      <i/>
      <sz val="10"/>
      <color theme="1"/>
      <name val="Arial"/>
      <family val="2"/>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E8E2D3"/>
        <bgColor indexed="64"/>
      </patternFill>
    </fill>
    <fill>
      <patternFill patternType="solid">
        <fgColor rgb="FFE8E2D3"/>
        <bgColor indexed="24"/>
      </patternFill>
    </fill>
    <fill>
      <patternFill patternType="solid">
        <fgColor theme="0"/>
        <bgColor rgb="FF000000"/>
      </patternFill>
    </fill>
    <fill>
      <patternFill patternType="solid">
        <fgColor theme="1"/>
        <bgColor indexed="64"/>
      </patternFill>
    </fill>
    <fill>
      <patternFill patternType="solid">
        <fgColor rgb="FFE4002B"/>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top style="thin">
        <color indexed="64"/>
      </top>
      <bottom/>
      <diagonal/>
    </border>
    <border>
      <left style="thin">
        <color auto="1"/>
      </left>
      <right/>
      <top/>
      <bottom/>
      <diagonal/>
    </border>
  </borders>
  <cellStyleXfs count="52896">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8" fontId="8" fillId="0" borderId="0" applyFont="0" applyFill="0" applyBorder="0" applyAlignment="0" applyProtection="0"/>
    <xf numFmtId="168" fontId="6"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10" applyNumberFormat="0" applyAlignment="0" applyProtection="0"/>
    <xf numFmtId="0" fontId="24" fillId="7" borderId="11" applyNumberFormat="0" applyAlignment="0" applyProtection="0"/>
    <xf numFmtId="0" fontId="25" fillId="7" borderId="10" applyNumberFormat="0" applyAlignment="0" applyProtection="0"/>
    <xf numFmtId="0" fontId="26" fillId="0" borderId="12" applyNumberFormat="0" applyFill="0" applyAlignment="0" applyProtection="0"/>
    <xf numFmtId="0" fontId="27" fillId="8" borderId="13"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5" applyNumberFormat="0" applyFill="0" applyAlignment="0" applyProtection="0"/>
    <xf numFmtId="0" fontId="31"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1" fillId="33" borderId="0" applyNumberFormat="0" applyBorder="0" applyAlignment="0" applyProtection="0"/>
    <xf numFmtId="0" fontId="4" fillId="0" borderId="0"/>
    <xf numFmtId="0" fontId="4" fillId="9" borderId="14" applyNumberFormat="0" applyFont="0" applyAlignment="0" applyProtection="0"/>
    <xf numFmtId="0" fontId="9" fillId="0" borderId="0"/>
    <xf numFmtId="0" fontId="32" fillId="0" borderId="0"/>
    <xf numFmtId="0" fontId="32"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1"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3" fontId="9" fillId="0" borderId="0" applyFont="0" applyFill="0" applyBorder="0" applyAlignment="0" applyProtection="0"/>
    <xf numFmtId="18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4" fillId="34" borderId="0"/>
    <xf numFmtId="184"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5" fillId="0" borderId="0"/>
    <xf numFmtId="0" fontId="9" fillId="0" borderId="0"/>
    <xf numFmtId="0" fontId="3" fillId="0" borderId="0"/>
    <xf numFmtId="0" fontId="5" fillId="0" borderId="0"/>
    <xf numFmtId="0" fontId="36" fillId="0" borderId="0"/>
    <xf numFmtId="0" fontId="36" fillId="0" borderId="0"/>
    <xf numFmtId="0" fontId="5" fillId="0" borderId="0"/>
    <xf numFmtId="0" fontId="5" fillId="0" borderId="0"/>
    <xf numFmtId="0" fontId="36" fillId="0" borderId="0"/>
    <xf numFmtId="0" fontId="36" fillId="0" borderId="0"/>
    <xf numFmtId="0" fontId="9" fillId="0" borderId="0"/>
    <xf numFmtId="0" fontId="5" fillId="0" borderId="0"/>
    <xf numFmtId="0" fontId="15" fillId="0" borderId="0"/>
    <xf numFmtId="0" fontId="7" fillId="0" borderId="0"/>
    <xf numFmtId="185"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9" fillId="39" borderId="0" applyNumberFormat="0" applyBorder="0" applyAlignment="0" applyProtection="0"/>
    <xf numFmtId="0" fontId="40" fillId="4" borderId="0" applyNumberFormat="0" applyBorder="0" applyAlignment="0" applyProtection="0"/>
    <xf numFmtId="0" fontId="41" fillId="54" borderId="17" applyNumberFormat="0" applyAlignment="0" applyProtection="0"/>
    <xf numFmtId="0" fontId="9" fillId="0" borderId="0"/>
    <xf numFmtId="0" fontId="42" fillId="55" borderId="17" applyNumberFormat="0" applyAlignment="0" applyProtection="0"/>
    <xf numFmtId="0" fontId="43" fillId="56" borderId="18" applyNumberFormat="0" applyAlignment="0" applyProtection="0"/>
    <xf numFmtId="0" fontId="43" fillId="56" borderId="18" applyNumberFormat="0" applyAlignment="0" applyProtection="0"/>
    <xf numFmtId="0" fontId="44" fillId="0" borderId="0" applyNumberFormat="0" applyFill="0" applyBorder="0" applyAlignment="0" applyProtection="0"/>
    <xf numFmtId="0" fontId="45" fillId="0" borderId="19" applyNumberFormat="0" applyFill="0" applyAlignment="0" applyProtection="0"/>
    <xf numFmtId="0" fontId="46" fillId="38"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7" fillId="0" borderId="20" applyNumberFormat="0" applyFill="0" applyAlignment="0" applyProtection="0"/>
    <xf numFmtId="0" fontId="48" fillId="0" borderId="21" applyNumberFormat="0" applyFill="0" applyAlignment="0" applyProtection="0"/>
    <xf numFmtId="0" fontId="49" fillId="0" borderId="22" applyNumberFormat="0" applyFill="0" applyAlignment="0" applyProtection="0"/>
    <xf numFmtId="0" fontId="49" fillId="0" borderId="0" applyNumberFormat="0" applyFill="0" applyBorder="0" applyAlignment="0" applyProtection="0"/>
    <xf numFmtId="0" fontId="50" fillId="57" borderId="17" applyNumberFormat="0" applyAlignment="0" applyProtection="0"/>
    <xf numFmtId="0" fontId="37" fillId="58" borderId="1"/>
    <xf numFmtId="0" fontId="51" fillId="0" borderId="23" applyNumberFormat="0" applyFill="0" applyAlignment="0" applyProtection="0"/>
    <xf numFmtId="0" fontId="52" fillId="0" borderId="24" applyNumberFormat="0" applyFill="0" applyAlignment="0" applyProtection="0"/>
    <xf numFmtId="0" fontId="53" fillId="0" borderId="25" applyNumberFormat="0" applyFill="0" applyAlignment="0" applyProtection="0"/>
    <xf numFmtId="0" fontId="53" fillId="0" borderId="0" applyNumberFormat="0" applyFill="0" applyBorder="0" applyAlignment="0" applyProtection="0"/>
    <xf numFmtId="167" fontId="54" fillId="0" borderId="0">
      <alignment horizontal="center" vertical="center" textRotation="90" wrapText="1"/>
    </xf>
    <xf numFmtId="0" fontId="55" fillId="58" borderId="26"/>
    <xf numFmtId="0" fontId="56" fillId="0" borderId="27" applyNumberFormat="0" applyFill="0" applyAlignment="0" applyProtection="0"/>
    <xf numFmtId="187" fontId="5" fillId="0" borderId="0"/>
    <xf numFmtId="0" fontId="57" fillId="57" borderId="0" applyNumberFormat="0" applyBorder="0" applyAlignment="0" applyProtection="0"/>
    <xf numFmtId="0" fontId="57" fillId="57" borderId="0" applyNumberFormat="0" applyBorder="0" applyAlignment="0" applyProtection="0"/>
    <xf numFmtId="0" fontId="35" fillId="0" borderId="0"/>
    <xf numFmtId="0" fontId="5" fillId="59" borderId="28" applyNumberFormat="0" applyFont="0" applyAlignment="0" applyProtection="0"/>
    <xf numFmtId="0" fontId="36" fillId="59" borderId="28" applyNumberFormat="0" applyFont="0" applyAlignment="0" applyProtection="0"/>
    <xf numFmtId="0" fontId="58" fillId="37" borderId="0" applyNumberFormat="0" applyBorder="0" applyAlignment="0" applyProtection="0"/>
    <xf numFmtId="0" fontId="59" fillId="55" borderId="29" applyNumberFormat="0" applyAlignment="0" applyProtection="0"/>
    <xf numFmtId="0" fontId="55" fillId="60" borderId="30" applyNumberFormat="0" applyFont="0" applyBorder="0">
      <alignment horizontal="center"/>
    </xf>
    <xf numFmtId="0" fontId="60" fillId="0" borderId="0" applyNumberFormat="0" applyFill="0" applyBorder="0" applyAlignment="0" applyProtection="0"/>
    <xf numFmtId="0" fontId="61" fillId="0" borderId="0" applyNumberFormat="0" applyFill="0" applyBorder="0" applyAlignment="0" applyProtection="0"/>
    <xf numFmtId="0" fontId="62" fillId="0" borderId="31" applyNumberFormat="0" applyFill="0" applyAlignment="0" applyProtection="0"/>
    <xf numFmtId="0" fontId="62" fillId="0" borderId="32" applyNumberFormat="0" applyFill="0" applyAlignment="0" applyProtection="0"/>
    <xf numFmtId="0" fontId="59" fillId="54" borderId="29" applyNumberFormat="0" applyAlignment="0" applyProtection="0"/>
    <xf numFmtId="188" fontId="5" fillId="0" borderId="0"/>
    <xf numFmtId="189" fontId="9" fillId="0" borderId="0" applyFont="0" applyFill="0" applyBorder="0" applyAlignment="0" applyProtection="0"/>
    <xf numFmtId="170" fontId="5" fillId="0" borderId="0"/>
    <xf numFmtId="0" fontId="4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90" fontId="7"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91" fontId="37" fillId="0" borderId="0"/>
    <xf numFmtId="191" fontId="37" fillId="0" borderId="0"/>
    <xf numFmtId="0" fontId="64"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5" fillId="58" borderId="26"/>
    <xf numFmtId="192" fontId="55" fillId="0" borderId="0"/>
    <xf numFmtId="9" fontId="36" fillId="0" borderId="0" applyFont="0" applyFill="0" applyBorder="0" applyAlignment="0" applyProtection="0"/>
    <xf numFmtId="0" fontId="3" fillId="0" borderId="0"/>
    <xf numFmtId="0" fontId="9" fillId="0" borderId="0"/>
    <xf numFmtId="0" fontId="5" fillId="0" borderId="0"/>
    <xf numFmtId="0" fontId="9" fillId="0" borderId="0"/>
    <xf numFmtId="0" fontId="65"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6" fillId="0" borderId="0" applyFont="0" applyFill="0" applyBorder="0" applyAlignment="0" applyProtection="0"/>
    <xf numFmtId="166" fontId="9" fillId="0" borderId="0" applyFont="0" applyFill="0" applyBorder="0" applyAlignment="0" applyProtection="0"/>
    <xf numFmtId="193" fontId="9" fillId="0" borderId="0" applyFont="0" applyFill="0" applyBorder="0" applyAlignment="0" applyProtection="0"/>
    <xf numFmtId="0" fontId="67"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566">
    <xf numFmtId="0" fontId="0" fillId="0" borderId="0" xfId="0"/>
    <xf numFmtId="0" fontId="35" fillId="0" borderId="38" xfId="0" applyFont="1" applyBorder="1"/>
    <xf numFmtId="0" fontId="35" fillId="0" borderId="38" xfId="0" applyFont="1" applyBorder="1" applyAlignment="1">
      <alignment horizontal="center"/>
    </xf>
    <xf numFmtId="0" fontId="35" fillId="2" borderId="38" xfId="0" applyFont="1" applyFill="1" applyBorder="1" applyAlignment="1">
      <alignment horizontal="center"/>
    </xf>
    <xf numFmtId="2" fontId="68" fillId="0" borderId="0" xfId="12" applyNumberFormat="1" applyFont="1"/>
    <xf numFmtId="2" fontId="69" fillId="2" borderId="0" xfId="12" applyNumberFormat="1" applyFont="1" applyFill="1"/>
    <xf numFmtId="0" fontId="9" fillId="0" borderId="0" xfId="0" applyFont="1"/>
    <xf numFmtId="0" fontId="70" fillId="0" borderId="0" xfId="0" applyFont="1"/>
    <xf numFmtId="0" fontId="55" fillId="0" borderId="0" xfId="0" applyFont="1"/>
    <xf numFmtId="0" fontId="35" fillId="0" borderId="38" xfId="0" applyFont="1" applyBorder="1" applyAlignment="1">
      <alignment vertical="top" wrapText="1"/>
    </xf>
    <xf numFmtId="4" fontId="9" fillId="2" borderId="38" xfId="8" applyNumberFormat="1" applyFont="1" applyFill="1" applyBorder="1" applyAlignment="1">
      <alignment horizontal="center"/>
    </xf>
    <xf numFmtId="0" fontId="55" fillId="0" borderId="38" xfId="89" applyFont="1" applyBorder="1"/>
    <xf numFmtId="4" fontId="55" fillId="2" borderId="38" xfId="8" applyNumberFormat="1" applyFont="1" applyFill="1" applyBorder="1" applyAlignment="1">
      <alignment horizontal="center"/>
    </xf>
    <xf numFmtId="0" fontId="72" fillId="0" borderId="0" xfId="0" applyFont="1"/>
    <xf numFmtId="2" fontId="55" fillId="66" borderId="38" xfId="89" applyNumberFormat="1" applyFont="1" applyFill="1" applyBorder="1" applyAlignment="1">
      <alignment vertical="top" wrapText="1"/>
    </xf>
    <xf numFmtId="167" fontId="55" fillId="66" borderId="38" xfId="8" applyFont="1" applyFill="1" applyBorder="1" applyAlignment="1">
      <alignment horizontal="center" vertical="top" wrapText="1"/>
    </xf>
    <xf numFmtId="0" fontId="9" fillId="0" borderId="0" xfId="89" applyFont="1"/>
    <xf numFmtId="167" fontId="9" fillId="0" borderId="0" xfId="8" applyFont="1"/>
    <xf numFmtId="173" fontId="55" fillId="0" borderId="0" xfId="8" applyNumberFormat="1" applyFont="1" applyAlignment="1">
      <alignment horizontal="center"/>
    </xf>
    <xf numFmtId="49" fontId="70" fillId="0" borderId="37" xfId="63" applyNumberFormat="1" applyFont="1" applyBorder="1" applyAlignment="1">
      <alignment vertical="top"/>
    </xf>
    <xf numFmtId="0" fontId="9" fillId="0" borderId="39" xfId="63" applyFont="1" applyBorder="1"/>
    <xf numFmtId="49" fontId="55" fillId="0" borderId="39" xfId="63" applyNumberFormat="1" applyFont="1" applyBorder="1"/>
    <xf numFmtId="166" fontId="70" fillId="2" borderId="36" xfId="18" applyFont="1" applyFill="1" applyBorder="1" applyAlignment="1"/>
    <xf numFmtId="167" fontId="9" fillId="62" borderId="38" xfId="8" applyFont="1" applyFill="1" applyBorder="1" applyAlignment="1">
      <alignment horizontal="left"/>
    </xf>
    <xf numFmtId="167" fontId="9" fillId="2" borderId="36" xfId="8" applyFont="1" applyFill="1" applyBorder="1"/>
    <xf numFmtId="49" fontId="72" fillId="0" borderId="0" xfId="63" applyNumberFormat="1" applyFont="1"/>
    <xf numFmtId="0" fontId="72" fillId="0" borderId="0" xfId="63" applyFont="1"/>
    <xf numFmtId="10" fontId="72" fillId="0" borderId="0" xfId="63" applyNumberFormat="1" applyFont="1" applyAlignment="1">
      <alignment horizontal="left"/>
    </xf>
    <xf numFmtId="177" fontId="72" fillId="0" borderId="2" xfId="6" applyNumberFormat="1" applyFont="1" applyFill="1" applyBorder="1" applyAlignment="1"/>
    <xf numFmtId="2" fontId="68" fillId="2" borderId="0" xfId="12" applyNumberFormat="1" applyFont="1" applyFill="1"/>
    <xf numFmtId="44" fontId="72" fillId="0" borderId="0" xfId="63" applyNumberFormat="1" applyFont="1"/>
    <xf numFmtId="2" fontId="69" fillId="0" borderId="0" xfId="12" applyNumberFormat="1" applyFont="1"/>
    <xf numFmtId="9" fontId="9" fillId="62" borderId="38" xfId="16" applyFont="1" applyFill="1" applyBorder="1" applyAlignment="1">
      <alignment horizontal="center"/>
    </xf>
    <xf numFmtId="167" fontId="9" fillId="0" borderId="36" xfId="8" applyFont="1" applyBorder="1"/>
    <xf numFmtId="186" fontId="74" fillId="0" borderId="0" xfId="63" applyNumberFormat="1" applyFont="1" applyAlignment="1">
      <alignment horizontal="left"/>
    </xf>
    <xf numFmtId="0" fontId="9" fillId="0" borderId="0" xfId="63" applyFont="1"/>
    <xf numFmtId="0" fontId="72" fillId="0" borderId="0" xfId="89" applyFont="1"/>
    <xf numFmtId="2" fontId="55" fillId="0" borderId="0" xfId="89" applyNumberFormat="1" applyFont="1"/>
    <xf numFmtId="3" fontId="9" fillId="2" borderId="38" xfId="8" applyNumberFormat="1" applyFont="1" applyFill="1" applyBorder="1" applyAlignment="1">
      <alignment horizontal="center"/>
    </xf>
    <xf numFmtId="2" fontId="9" fillId="62" borderId="38" xfId="8" applyNumberFormat="1" applyFont="1" applyFill="1" applyBorder="1" applyAlignment="1">
      <alignment horizontal="center"/>
    </xf>
    <xf numFmtId="1" fontId="55" fillId="2" borderId="38" xfId="8" applyNumberFormat="1" applyFont="1" applyFill="1" applyBorder="1" applyAlignment="1">
      <alignment horizontal="center"/>
    </xf>
    <xf numFmtId="3" fontId="55" fillId="2" borderId="38" xfId="8" applyNumberFormat="1" applyFont="1" applyFill="1" applyBorder="1" applyAlignment="1">
      <alignment horizontal="center"/>
    </xf>
    <xf numFmtId="173" fontId="55" fillId="2" borderId="38" xfId="8" applyNumberFormat="1" applyFont="1" applyFill="1" applyBorder="1"/>
    <xf numFmtId="167" fontId="55" fillId="2" borderId="38" xfId="8" applyFont="1" applyFill="1" applyBorder="1"/>
    <xf numFmtId="0" fontId="55" fillId="0" borderId="0" xfId="89" applyFont="1"/>
    <xf numFmtId="0" fontId="75" fillId="0" borderId="0" xfId="89" applyFont="1"/>
    <xf numFmtId="166" fontId="9" fillId="2" borderId="38" xfId="18" applyFont="1" applyFill="1" applyBorder="1" applyAlignment="1">
      <alignment horizontal="right"/>
    </xf>
    <xf numFmtId="166" fontId="9" fillId="2" borderId="38" xfId="18" applyFont="1" applyFill="1" applyBorder="1" applyAlignment="1">
      <alignment horizontal="center"/>
    </xf>
    <xf numFmtId="166" fontId="9" fillId="0" borderId="38" xfId="89" applyNumberFormat="1" applyFont="1" applyBorder="1"/>
    <xf numFmtId="2" fontId="9" fillId="0" borderId="38" xfId="0" applyNumberFormat="1" applyFont="1" applyBorder="1"/>
    <xf numFmtId="166" fontId="9" fillId="65" borderId="38" xfId="18" applyFont="1" applyFill="1" applyBorder="1" applyAlignment="1">
      <alignment horizontal="right"/>
    </xf>
    <xf numFmtId="166" fontId="9" fillId="65" borderId="38" xfId="18" applyFont="1" applyFill="1" applyBorder="1" applyAlignment="1">
      <alignment horizontal="center"/>
    </xf>
    <xf numFmtId="166" fontId="9" fillId="65" borderId="38" xfId="89" applyNumberFormat="1" applyFont="1" applyFill="1" applyBorder="1"/>
    <xf numFmtId="166" fontId="55" fillId="2" borderId="38" xfId="18" applyFont="1" applyFill="1" applyBorder="1"/>
    <xf numFmtId="166" fontId="55" fillId="0" borderId="38" xfId="18" applyFont="1" applyFill="1" applyBorder="1"/>
    <xf numFmtId="166" fontId="55" fillId="2" borderId="38" xfId="18" applyFont="1" applyFill="1" applyBorder="1" applyAlignment="1">
      <alignment horizontal="center"/>
    </xf>
    <xf numFmtId="166" fontId="55" fillId="0" borderId="38" xfId="18" applyFont="1" applyBorder="1"/>
    <xf numFmtId="173" fontId="55" fillId="66" borderId="37" xfId="8" applyNumberFormat="1" applyFont="1" applyFill="1" applyBorder="1" applyAlignment="1">
      <alignment horizontal="left"/>
    </xf>
    <xf numFmtId="167" fontId="55" fillId="66" borderId="36" xfId="8" applyFont="1" applyFill="1" applyBorder="1"/>
    <xf numFmtId="49" fontId="55" fillId="66" borderId="37" xfId="63" applyNumberFormat="1" applyFont="1" applyFill="1" applyBorder="1"/>
    <xf numFmtId="0" fontId="55" fillId="66" borderId="39" xfId="63" applyFont="1" applyFill="1" applyBorder="1"/>
    <xf numFmtId="44" fontId="55" fillId="66" borderId="36" xfId="63" applyNumberFormat="1" applyFont="1" applyFill="1" applyBorder="1"/>
    <xf numFmtId="173" fontId="55" fillId="66" borderId="38" xfId="8" applyNumberFormat="1" applyFont="1" applyFill="1" applyBorder="1" applyAlignment="1">
      <alignment vertical="top" wrapText="1"/>
    </xf>
    <xf numFmtId="173" fontId="55" fillId="66" borderId="38" xfId="8" applyNumberFormat="1" applyFont="1" applyFill="1" applyBorder="1" applyAlignment="1">
      <alignment horizontal="center" vertical="top" wrapText="1"/>
    </xf>
    <xf numFmtId="2" fontId="55" fillId="66" borderId="33" xfId="89" applyNumberFormat="1" applyFont="1" applyFill="1" applyBorder="1" applyAlignment="1">
      <alignment vertical="top" wrapText="1"/>
    </xf>
    <xf numFmtId="167" fontId="55" fillId="66" borderId="33" xfId="8" applyFont="1" applyFill="1" applyBorder="1" applyAlignment="1">
      <alignment horizontal="center" vertical="top" wrapText="1"/>
    </xf>
    <xf numFmtId="166" fontId="55" fillId="66" borderId="38" xfId="18" applyFont="1" applyFill="1" applyBorder="1" applyAlignment="1">
      <alignment horizontal="center"/>
    </xf>
    <xf numFmtId="0" fontId="9" fillId="0" borderId="0" xfId="0" applyFont="1" applyAlignment="1">
      <alignment horizontal="center" vertical="center"/>
    </xf>
    <xf numFmtId="2" fontId="76" fillId="0" borderId="0" xfId="12" applyNumberFormat="1" applyFont="1"/>
    <xf numFmtId="1" fontId="77" fillId="0" borderId="37" xfId="0" applyNumberFormat="1" applyFont="1" applyBorder="1" applyAlignment="1">
      <alignment horizontal="left" vertical="center"/>
    </xf>
    <xf numFmtId="1" fontId="77" fillId="0" borderId="39" xfId="0" applyNumberFormat="1" applyFont="1" applyBorder="1" applyAlignment="1">
      <alignment horizontal="left" vertical="center"/>
    </xf>
    <xf numFmtId="0" fontId="9" fillId="0" borderId="36" xfId="0" applyFont="1" applyBorder="1"/>
    <xf numFmtId="1" fontId="77" fillId="0" borderId="39" xfId="0" applyNumberFormat="1" applyFont="1" applyBorder="1" applyAlignment="1">
      <alignment horizontal="center" vertical="center" wrapText="1"/>
    </xf>
    <xf numFmtId="1" fontId="77" fillId="0" borderId="36" xfId="0" applyNumberFormat="1" applyFont="1" applyBorder="1" applyAlignment="1">
      <alignment horizontal="center" vertical="center" wrapText="1"/>
    </xf>
    <xf numFmtId="0" fontId="9" fillId="0" borderId="0" xfId="17" applyFont="1" applyAlignment="1">
      <alignment horizontal="center"/>
    </xf>
    <xf numFmtId="2" fontId="9" fillId="0" borderId="0" xfId="8" applyNumberFormat="1" applyFont="1" applyAlignment="1">
      <alignment horizontal="left"/>
    </xf>
    <xf numFmtId="172" fontId="9" fillId="0" borderId="0" xfId="17" applyNumberFormat="1" applyFont="1" applyAlignment="1">
      <alignment horizontal="center"/>
    </xf>
    <xf numFmtId="172" fontId="78" fillId="0" borderId="0" xfId="12" applyNumberFormat="1" applyFont="1"/>
    <xf numFmtId="3" fontId="78" fillId="0" borderId="0" xfId="12" applyNumberFormat="1" applyFont="1" applyAlignment="1">
      <alignment horizontal="right"/>
    </xf>
    <xf numFmtId="3" fontId="9" fillId="0" borderId="0" xfId="8" applyNumberFormat="1" applyFont="1" applyAlignment="1">
      <alignment horizontal="right"/>
    </xf>
    <xf numFmtId="0" fontId="9" fillId="0" borderId="0" xfId="17" applyFont="1"/>
    <xf numFmtId="167" fontId="9" fillId="0" borderId="0" xfId="8" applyFont="1" applyAlignment="1">
      <alignment horizontal="right"/>
    </xf>
    <xf numFmtId="0" fontId="9" fillId="0" borderId="0" xfId="17" applyFont="1" applyAlignment="1">
      <alignment horizontal="center" vertical="center"/>
    </xf>
    <xf numFmtId="9" fontId="73" fillId="62" borderId="38" xfId="61" applyNumberFormat="1" applyFont="1" applyFill="1" applyBorder="1" applyAlignment="1">
      <alignment horizontal="center" vertical="center"/>
    </xf>
    <xf numFmtId="0" fontId="79" fillId="0" borderId="0" xfId="17" applyFont="1"/>
    <xf numFmtId="1" fontId="55" fillId="0" borderId="38" xfId="0" applyNumberFormat="1" applyFont="1" applyBorder="1" applyAlignment="1">
      <alignment horizontal="center" vertical="center" wrapText="1"/>
    </xf>
    <xf numFmtId="0" fontId="9" fillId="2" borderId="38" xfId="0" applyFont="1" applyFill="1" applyBorder="1" applyAlignment="1">
      <alignment vertical="center"/>
    </xf>
    <xf numFmtId="173" fontId="55" fillId="62" borderId="38" xfId="8" applyNumberFormat="1" applyFont="1" applyFill="1" applyBorder="1" applyAlignment="1">
      <alignment horizontal="center"/>
    </xf>
    <xf numFmtId="173" fontId="9" fillId="0" borderId="38" xfId="8" applyNumberFormat="1" applyFont="1" applyFill="1" applyBorder="1" applyAlignment="1">
      <alignment horizontal="center" vertical="center"/>
    </xf>
    <xf numFmtId="173" fontId="9" fillId="0" borderId="0" xfId="0" applyNumberFormat="1" applyFont="1"/>
    <xf numFmtId="0" fontId="9" fillId="0" borderId="38" xfId="0" applyFont="1" applyBorder="1" applyAlignment="1">
      <alignment horizontal="center" vertical="center"/>
    </xf>
    <xf numFmtId="0" fontId="9" fillId="0" borderId="38" xfId="0" applyFont="1" applyBorder="1" applyAlignment="1">
      <alignment vertical="center"/>
    </xf>
    <xf numFmtId="0" fontId="9" fillId="0" borderId="38" xfId="0" applyFont="1" applyBorder="1"/>
    <xf numFmtId="0" fontId="9" fillId="2" borderId="16" xfId="0" applyFont="1" applyFill="1" applyBorder="1" applyAlignment="1">
      <alignment wrapText="1"/>
    </xf>
    <xf numFmtId="0" fontId="9" fillId="2" borderId="16" xfId="0" applyFont="1" applyFill="1" applyBorder="1" applyAlignment="1">
      <alignment vertical="center"/>
    </xf>
    <xf numFmtId="173" fontId="55" fillId="0" borderId="38" xfId="8" applyNumberFormat="1" applyFont="1" applyFill="1" applyBorder="1" applyAlignment="1">
      <alignment horizontal="center"/>
    </xf>
    <xf numFmtId="173" fontId="80" fillId="0" borderId="38" xfId="8" applyNumberFormat="1" applyFont="1" applyFill="1" applyBorder="1" applyAlignment="1">
      <alignment horizontal="center"/>
    </xf>
    <xf numFmtId="49" fontId="9" fillId="0" borderId="38" xfId="0" applyNumberFormat="1" applyFont="1" applyBorder="1" applyAlignment="1">
      <alignment horizontal="center"/>
    </xf>
    <xf numFmtId="49" fontId="80" fillId="0" borderId="38" xfId="17" applyNumberFormat="1" applyFont="1" applyBorder="1" applyAlignment="1">
      <alignment horizontal="center"/>
    </xf>
    <xf numFmtId="0" fontId="55" fillId="0" borderId="38" xfId="0" applyFont="1" applyBorder="1" applyAlignment="1">
      <alignment vertical="center"/>
    </xf>
    <xf numFmtId="0" fontId="55" fillId="0" borderId="38" xfId="0" applyFont="1" applyBorder="1"/>
    <xf numFmtId="0" fontId="80" fillId="0" borderId="38" xfId="17" applyFont="1" applyBorder="1" applyAlignment="1">
      <alignment horizontal="left"/>
    </xf>
    <xf numFmtId="0" fontId="55" fillId="0" borderId="0" xfId="17" applyFont="1"/>
    <xf numFmtId="173" fontId="55" fillId="0" borderId="38" xfId="8" applyNumberFormat="1" applyFont="1" applyFill="1" applyBorder="1" applyAlignment="1">
      <alignment horizontal="center" vertical="center"/>
    </xf>
    <xf numFmtId="0" fontId="55" fillId="0" borderId="38" xfId="0" applyFont="1" applyBorder="1" applyAlignment="1">
      <alignment horizontal="center" vertical="center"/>
    </xf>
    <xf numFmtId="1" fontId="55" fillId="0" borderId="38" xfId="61" applyNumberFormat="1" applyFont="1" applyBorder="1" applyAlignment="1">
      <alignment horizontal="center"/>
    </xf>
    <xf numFmtId="0" fontId="9" fillId="2" borderId="38" xfId="0" applyFont="1" applyFill="1" applyBorder="1"/>
    <xf numFmtId="2" fontId="55" fillId="66" borderId="38" xfId="0" applyNumberFormat="1" applyFont="1" applyFill="1" applyBorder="1" applyAlignment="1">
      <alignment horizontal="left" vertical="center" wrapText="1"/>
    </xf>
    <xf numFmtId="1" fontId="55" fillId="66" borderId="38" xfId="0" applyNumberFormat="1" applyFont="1" applyFill="1" applyBorder="1" applyAlignment="1">
      <alignment horizontal="center" vertical="center" wrapText="1"/>
    </xf>
    <xf numFmtId="0" fontId="55" fillId="66" borderId="38" xfId="0" applyFont="1" applyFill="1" applyBorder="1" applyAlignment="1">
      <alignment horizontal="left" vertical="center" wrapText="1"/>
    </xf>
    <xf numFmtId="2" fontId="55" fillId="66" borderId="38" xfId="0" applyNumberFormat="1" applyFont="1" applyFill="1" applyBorder="1" applyAlignment="1">
      <alignment horizontal="center" vertical="center" wrapText="1"/>
    </xf>
    <xf numFmtId="1" fontId="55" fillId="66" borderId="38" xfId="0" applyNumberFormat="1" applyFont="1" applyFill="1" applyBorder="1" applyAlignment="1">
      <alignment horizontal="left"/>
    </xf>
    <xf numFmtId="1" fontId="55" fillId="66" borderId="38" xfId="0" applyNumberFormat="1" applyFont="1" applyFill="1" applyBorder="1" applyAlignment="1">
      <alignment horizontal="center"/>
    </xf>
    <xf numFmtId="0" fontId="55" fillId="66" borderId="38" xfId="0" applyFont="1" applyFill="1" applyBorder="1" applyAlignment="1">
      <alignment wrapText="1"/>
    </xf>
    <xf numFmtId="0" fontId="55" fillId="66" borderId="38" xfId="0" applyFont="1" applyFill="1" applyBorder="1"/>
    <xf numFmtId="0" fontId="9" fillId="0" borderId="0" xfId="0" applyFont="1" applyAlignment="1">
      <alignment horizontal="center"/>
    </xf>
    <xf numFmtId="0" fontId="9" fillId="0" borderId="0" xfId="0" applyFont="1" applyAlignment="1">
      <alignment horizontal="left"/>
    </xf>
    <xf numFmtId="0" fontId="72" fillId="0" borderId="0" xfId="0" applyFont="1" applyAlignment="1">
      <alignment horizontal="center"/>
    </xf>
    <xf numFmtId="0" fontId="75" fillId="0" borderId="0" xfId="0" applyFont="1" applyAlignment="1">
      <alignment horizontal="center"/>
    </xf>
    <xf numFmtId="2" fontId="81" fillId="0" borderId="0" xfId="0" applyNumberFormat="1" applyFont="1"/>
    <xf numFmtId="2" fontId="55" fillId="0" borderId="0" xfId="0" applyNumberFormat="1" applyFont="1" applyAlignment="1">
      <alignment horizontal="center"/>
    </xf>
    <xf numFmtId="2" fontId="55" fillId="0" borderId="0" xfId="0" applyNumberFormat="1" applyFont="1" applyAlignment="1">
      <alignment horizontal="left"/>
    </xf>
    <xf numFmtId="2" fontId="55" fillId="0" borderId="0" xfId="0" applyNumberFormat="1" applyFont="1"/>
    <xf numFmtId="167" fontId="55" fillId="0" borderId="0" xfId="8" applyFont="1"/>
    <xf numFmtId="0" fontId="55" fillId="0" borderId="0" xfId="0" applyFont="1" applyAlignment="1">
      <alignment horizontal="center"/>
    </xf>
    <xf numFmtId="2" fontId="68" fillId="0" borderId="0" xfId="0" applyNumberFormat="1" applyFont="1" applyAlignment="1">
      <alignment horizontal="center"/>
    </xf>
    <xf numFmtId="167" fontId="82" fillId="0" borderId="0" xfId="8" applyFont="1"/>
    <xf numFmtId="2" fontId="83" fillId="0" borderId="0" xfId="12" applyNumberFormat="1" applyFont="1" applyAlignment="1">
      <alignment horizontal="center"/>
    </xf>
    <xf numFmtId="167" fontId="55" fillId="0" borderId="0" xfId="8" applyFont="1" applyAlignment="1">
      <alignment horizontal="center"/>
    </xf>
    <xf numFmtId="0" fontId="70" fillId="0" borderId="0" xfId="0" applyFont="1" applyAlignment="1">
      <alignment horizontal="center"/>
    </xf>
    <xf numFmtId="0" fontId="73" fillId="0" borderId="0" xfId="0" applyFont="1" applyAlignment="1">
      <alignment horizontal="center"/>
    </xf>
    <xf numFmtId="0" fontId="73" fillId="0" borderId="0" xfId="0" applyFont="1"/>
    <xf numFmtId="0" fontId="75" fillId="2" borderId="0" xfId="0" applyFont="1" applyFill="1" applyAlignment="1">
      <alignment horizontal="center"/>
    </xf>
    <xf numFmtId="0" fontId="9" fillId="0" borderId="16" xfId="0" applyFont="1" applyBorder="1" applyAlignment="1">
      <alignment horizontal="center" wrapText="1"/>
    </xf>
    <xf numFmtId="0" fontId="9" fillId="0" borderId="16" xfId="0" applyFont="1" applyBorder="1" applyAlignment="1">
      <alignment wrapText="1"/>
    </xf>
    <xf numFmtId="167" fontId="9" fillId="0" borderId="16" xfId="8" applyFont="1" applyBorder="1" applyAlignment="1">
      <alignment wrapText="1"/>
    </xf>
    <xf numFmtId="1" fontId="72" fillId="0" borderId="38" xfId="0" applyNumberFormat="1" applyFont="1" applyBorder="1" applyAlignment="1">
      <alignment horizontal="center"/>
    </xf>
    <xf numFmtId="43" fontId="75" fillId="0" borderId="38" xfId="8" applyNumberFormat="1" applyFont="1" applyFill="1" applyBorder="1" applyAlignment="1">
      <alignment horizontal="center"/>
    </xf>
    <xf numFmtId="1" fontId="75" fillId="0" borderId="38" xfId="8" applyNumberFormat="1" applyFont="1" applyFill="1" applyBorder="1" applyAlignment="1">
      <alignment horizontal="center"/>
    </xf>
    <xf numFmtId="2" fontId="75" fillId="2" borderId="38" xfId="8" applyNumberFormat="1" applyFont="1" applyFill="1" applyBorder="1" applyAlignment="1">
      <alignment horizontal="center"/>
    </xf>
    <xf numFmtId="2" fontId="75" fillId="0" borderId="38" xfId="8" applyNumberFormat="1" applyFont="1" applyFill="1" applyBorder="1" applyAlignment="1">
      <alignment horizontal="center"/>
    </xf>
    <xf numFmtId="173" fontId="75" fillId="0" borderId="38" xfId="8" applyNumberFormat="1" applyFont="1" applyFill="1" applyBorder="1" applyAlignment="1">
      <alignment horizontal="center"/>
    </xf>
    <xf numFmtId="0" fontId="9" fillId="0" borderId="16" xfId="0" applyFont="1" applyBorder="1" applyAlignment="1">
      <alignment horizontal="left" wrapText="1"/>
    </xf>
    <xf numFmtId="1" fontId="35" fillId="0" borderId="38" xfId="0" applyNumberFormat="1" applyFont="1" applyBorder="1" applyAlignment="1">
      <alignment horizontal="center"/>
    </xf>
    <xf numFmtId="167" fontId="9" fillId="0" borderId="16" xfId="8" applyFont="1" applyFill="1" applyBorder="1" applyAlignment="1">
      <alignment wrapText="1"/>
    </xf>
    <xf numFmtId="0" fontId="84" fillId="0" borderId="38" xfId="0" applyFont="1" applyBorder="1" applyAlignment="1">
      <alignment horizontal="left"/>
    </xf>
    <xf numFmtId="0" fontId="84" fillId="0" borderId="38" xfId="0" applyFont="1" applyBorder="1" applyAlignment="1">
      <alignment horizontal="center"/>
    </xf>
    <xf numFmtId="0" fontId="84" fillId="2" borderId="38" xfId="0" applyFont="1" applyFill="1" applyBorder="1" applyAlignment="1">
      <alignment horizontal="left"/>
    </xf>
    <xf numFmtId="0" fontId="84" fillId="64" borderId="38" xfId="0" applyFont="1" applyFill="1" applyBorder="1" applyAlignment="1">
      <alignment horizontal="left"/>
    </xf>
    <xf numFmtId="0" fontId="84" fillId="0" borderId="37" xfId="0" applyFont="1" applyBorder="1" applyAlignment="1">
      <alignment horizontal="left"/>
    </xf>
    <xf numFmtId="0" fontId="84" fillId="0" borderId="1" xfId="0" applyFont="1" applyBorder="1" applyAlignment="1">
      <alignment horizontal="left"/>
    </xf>
    <xf numFmtId="167" fontId="9" fillId="0" borderId="41" xfId="8" applyFont="1" applyBorder="1" applyAlignment="1">
      <alignment wrapText="1"/>
    </xf>
    <xf numFmtId="0" fontId="35" fillId="0" borderId="1" xfId="0" applyFont="1" applyBorder="1"/>
    <xf numFmtId="167" fontId="9" fillId="0" borderId="41" xfId="8" applyFont="1" applyFill="1" applyBorder="1" applyAlignment="1">
      <alignment wrapText="1"/>
    </xf>
    <xf numFmtId="49" fontId="35" fillId="0" borderId="38" xfId="52894" applyNumberFormat="1" applyFont="1" applyBorder="1" applyAlignment="1">
      <alignment horizontal="left"/>
    </xf>
    <xf numFmtId="0" fontId="35" fillId="0" borderId="38" xfId="52894" applyFont="1" applyBorder="1" applyAlignment="1">
      <alignment horizontal="center"/>
    </xf>
    <xf numFmtId="49" fontId="35" fillId="0" borderId="38" xfId="52894" applyNumberFormat="1" applyFont="1" applyBorder="1" applyAlignment="1" applyProtection="1">
      <alignment horizontal="center"/>
      <protection locked="0"/>
    </xf>
    <xf numFmtId="49" fontId="35" fillId="0" borderId="38" xfId="52894" applyNumberFormat="1" applyFont="1" applyBorder="1" applyAlignment="1" applyProtection="1">
      <alignment horizontal="left"/>
      <protection locked="0"/>
    </xf>
    <xf numFmtId="49" fontId="35" fillId="0" borderId="38" xfId="52887" applyNumberFormat="1" applyFont="1" applyBorder="1" applyAlignment="1" applyProtection="1">
      <alignment horizontal="left" vertical="center"/>
      <protection locked="0"/>
    </xf>
    <xf numFmtId="49" fontId="35" fillId="0" borderId="37" xfId="52894" applyNumberFormat="1" applyFont="1" applyBorder="1" applyAlignment="1" applyProtection="1">
      <alignment horizontal="left"/>
      <protection locked="0"/>
    </xf>
    <xf numFmtId="167" fontId="35" fillId="0" borderId="36" xfId="8" applyFont="1" applyBorder="1" applyAlignment="1">
      <alignment horizontal="left"/>
    </xf>
    <xf numFmtId="1" fontId="72" fillId="2" borderId="38" xfId="0" applyNumberFormat="1" applyFont="1" applyFill="1" applyBorder="1" applyAlignment="1">
      <alignment horizontal="center"/>
    </xf>
    <xf numFmtId="49" fontId="35" fillId="2" borderId="38" xfId="52894" applyNumberFormat="1" applyFont="1" applyFill="1" applyBorder="1" applyAlignment="1" applyProtection="1">
      <alignment horizontal="left"/>
      <protection locked="0"/>
    </xf>
    <xf numFmtId="49" fontId="35" fillId="0" borderId="1" xfId="52894" applyNumberFormat="1" applyFont="1" applyBorder="1" applyAlignment="1" applyProtection="1">
      <alignment horizontal="left"/>
      <protection locked="0"/>
    </xf>
    <xf numFmtId="167" fontId="9" fillId="0" borderId="0" xfId="8" applyFont="1" applyFill="1"/>
    <xf numFmtId="0" fontId="35" fillId="0" borderId="0" xfId="0" applyFont="1" applyAlignment="1">
      <alignment horizontal="center"/>
    </xf>
    <xf numFmtId="0" fontId="35" fillId="0" borderId="0" xfId="0" applyFont="1"/>
    <xf numFmtId="2" fontId="55" fillId="66" borderId="33" xfId="0" applyNumberFormat="1" applyFont="1" applyFill="1" applyBorder="1" applyAlignment="1">
      <alignment horizontal="left" vertical="top" wrapText="1"/>
    </xf>
    <xf numFmtId="2" fontId="55" fillId="66" borderId="33" xfId="0" applyNumberFormat="1" applyFont="1" applyFill="1" applyBorder="1" applyAlignment="1">
      <alignment horizontal="center" vertical="top" wrapText="1"/>
    </xf>
    <xf numFmtId="0" fontId="55" fillId="66" borderId="33" xfId="0" applyFont="1" applyFill="1" applyBorder="1" applyAlignment="1">
      <alignment horizontal="left" vertical="top" wrapText="1"/>
    </xf>
    <xf numFmtId="167" fontId="55" fillId="66" borderId="33" xfId="8" applyFont="1" applyFill="1" applyBorder="1" applyAlignment="1">
      <alignment horizontal="left" vertical="top" wrapText="1"/>
    </xf>
    <xf numFmtId="9" fontId="55" fillId="66" borderId="33" xfId="16" applyFont="1" applyFill="1" applyBorder="1" applyAlignment="1">
      <alignment horizontal="center" vertical="top" wrapText="1"/>
    </xf>
    <xf numFmtId="0" fontId="9" fillId="62" borderId="38" xfId="13" applyFont="1" applyFill="1" applyBorder="1" applyProtection="1">
      <protection hidden="1"/>
    </xf>
    <xf numFmtId="0" fontId="75" fillId="0" borderId="0" xfId="13" applyFont="1" applyProtection="1">
      <protection hidden="1"/>
    </xf>
    <xf numFmtId="0" fontId="9" fillId="0" borderId="0" xfId="13" applyFont="1" applyProtection="1">
      <protection hidden="1"/>
    </xf>
    <xf numFmtId="0" fontId="70" fillId="0" borderId="0" xfId="13" applyFont="1" applyProtection="1">
      <protection hidden="1"/>
    </xf>
    <xf numFmtId="0" fontId="9" fillId="0" borderId="0" xfId="0" applyFont="1" applyAlignment="1">
      <alignment vertical="center"/>
    </xf>
    <xf numFmtId="0" fontId="9" fillId="0" borderId="0" xfId="13" applyFont="1" applyAlignment="1" applyProtection="1">
      <alignment vertical="center"/>
      <protection hidden="1"/>
    </xf>
    <xf numFmtId="2" fontId="9" fillId="0" borderId="0" xfId="0" applyNumberFormat="1" applyFont="1" applyAlignment="1">
      <alignment vertical="center"/>
    </xf>
    <xf numFmtId="2" fontId="9" fillId="0" borderId="0" xfId="13" applyNumberFormat="1" applyFont="1" applyAlignment="1" applyProtection="1">
      <alignment vertical="center"/>
      <protection hidden="1"/>
    </xf>
    <xf numFmtId="0" fontId="85" fillId="0" borderId="0" xfId="13" applyFont="1" applyAlignment="1" applyProtection="1">
      <alignment horizontal="right" vertical="center"/>
      <protection hidden="1"/>
    </xf>
    <xf numFmtId="14" fontId="69" fillId="0" borderId="0" xfId="12" applyNumberFormat="1" applyFont="1" applyAlignment="1">
      <alignment horizontal="left"/>
    </xf>
    <xf numFmtId="2" fontId="83" fillId="0" borderId="0" xfId="13" applyNumberFormat="1" applyFont="1" applyAlignment="1" applyProtection="1">
      <alignment vertical="center"/>
      <protection locked="0"/>
    </xf>
    <xf numFmtId="2" fontId="9" fillId="0" borderId="3" xfId="11" applyNumberFormat="1" applyFont="1" applyBorder="1" applyProtection="1">
      <protection hidden="1"/>
    </xf>
    <xf numFmtId="2" fontId="9" fillId="0" borderId="0" xfId="11" applyNumberFormat="1" applyFont="1" applyProtection="1">
      <protection hidden="1"/>
    </xf>
    <xf numFmtId="2" fontId="9" fillId="0" borderId="37" xfId="11" applyNumberFormat="1" applyFont="1" applyBorder="1" applyProtection="1">
      <protection hidden="1"/>
    </xf>
    <xf numFmtId="2" fontId="9" fillId="0" borderId="36" xfId="11" applyNumberFormat="1" applyFont="1" applyBorder="1" applyProtection="1">
      <protection hidden="1"/>
    </xf>
    <xf numFmtId="0" fontId="9" fillId="0" borderId="37" xfId="0" applyFont="1" applyBorder="1"/>
    <xf numFmtId="176" fontId="9" fillId="62" borderId="38" xfId="11" applyNumberFormat="1" applyFont="1" applyFill="1" applyBorder="1" applyAlignment="1" applyProtection="1">
      <alignment vertical="center"/>
      <protection hidden="1"/>
    </xf>
    <xf numFmtId="176" fontId="9" fillId="2" borderId="0" xfId="11" applyNumberFormat="1" applyFont="1" applyFill="1" applyAlignment="1" applyProtection="1">
      <alignment vertical="center"/>
      <protection hidden="1"/>
    </xf>
    <xf numFmtId="0" fontId="55" fillId="0" borderId="37" xfId="0" applyFont="1" applyBorder="1"/>
    <xf numFmtId="0" fontId="55" fillId="0" borderId="36" xfId="0" applyFont="1" applyBorder="1"/>
    <xf numFmtId="176" fontId="55" fillId="0" borderId="38" xfId="11" applyNumberFormat="1" applyFont="1" applyBorder="1" applyAlignment="1" applyProtection="1">
      <alignment vertical="center"/>
      <protection hidden="1"/>
    </xf>
    <xf numFmtId="0" fontId="9" fillId="0" borderId="36" xfId="0" applyFont="1" applyBorder="1" applyAlignment="1">
      <alignment horizontal="left"/>
    </xf>
    <xf numFmtId="176" fontId="9" fillId="0" borderId="38" xfId="11" applyNumberFormat="1" applyFont="1" applyBorder="1" applyAlignment="1" applyProtection="1">
      <alignment vertical="center"/>
      <protection hidden="1"/>
    </xf>
    <xf numFmtId="10" fontId="55" fillId="0" borderId="36" xfId="0" applyNumberFormat="1" applyFont="1" applyBorder="1"/>
    <xf numFmtId="0" fontId="86" fillId="0" borderId="3" xfId="13" applyFont="1" applyBorder="1" applyAlignment="1" applyProtection="1">
      <alignment horizontal="left" vertical="center"/>
      <protection hidden="1"/>
    </xf>
    <xf numFmtId="0" fontId="86" fillId="0" borderId="0" xfId="13" applyFont="1" applyAlignment="1" applyProtection="1">
      <alignment horizontal="left" vertical="center"/>
      <protection hidden="1"/>
    </xf>
    <xf numFmtId="0" fontId="79" fillId="0" borderId="0" xfId="13" applyFont="1" applyAlignment="1" applyProtection="1">
      <alignment vertical="center"/>
      <protection hidden="1"/>
    </xf>
    <xf numFmtId="2" fontId="55" fillId="0" borderId="38" xfId="11" applyNumberFormat="1" applyFont="1" applyBorder="1" applyAlignment="1" applyProtection="1">
      <alignment horizontal="center"/>
      <protection hidden="1"/>
    </xf>
    <xf numFmtId="178" fontId="79" fillId="0" borderId="38" xfId="13" applyNumberFormat="1" applyFont="1" applyBorder="1" applyAlignment="1" applyProtection="1">
      <alignment horizontal="left" vertical="center"/>
      <protection hidden="1"/>
    </xf>
    <xf numFmtId="0" fontId="72" fillId="0" borderId="36" xfId="0" applyFont="1" applyBorder="1"/>
    <xf numFmtId="166" fontId="79" fillId="62" borderId="38" xfId="18" applyFont="1" applyFill="1" applyBorder="1" applyAlignment="1" applyProtection="1">
      <alignment horizontal="right" vertical="center"/>
      <protection hidden="1"/>
    </xf>
    <xf numFmtId="178" fontId="79" fillId="0" borderId="6" xfId="13" applyNumberFormat="1" applyFont="1" applyBorder="1" applyAlignment="1" applyProtection="1">
      <alignment horizontal="left" vertical="center"/>
      <protection hidden="1"/>
    </xf>
    <xf numFmtId="0" fontId="9" fillId="0" borderId="37" xfId="11" applyFont="1" applyBorder="1" applyAlignment="1" applyProtection="1">
      <alignment vertical="center"/>
      <protection hidden="1"/>
    </xf>
    <xf numFmtId="0" fontId="9" fillId="0" borderId="2" xfId="0" applyFont="1" applyBorder="1"/>
    <xf numFmtId="10" fontId="9" fillId="62" borderId="38" xfId="11" applyNumberFormat="1" applyFont="1" applyFill="1" applyBorder="1" applyAlignment="1" applyProtection="1">
      <alignment vertical="center"/>
      <protection hidden="1"/>
    </xf>
    <xf numFmtId="10" fontId="79" fillId="0" borderId="0" xfId="16" applyNumberFormat="1" applyFont="1" applyFill="1" applyBorder="1" applyAlignment="1" applyProtection="1">
      <alignment horizontal="right" vertical="center"/>
      <protection hidden="1"/>
    </xf>
    <xf numFmtId="0" fontId="9" fillId="0" borderId="39" xfId="0" applyFont="1" applyBorder="1"/>
    <xf numFmtId="180" fontId="9" fillId="0" borderId="0" xfId="11" applyNumberFormat="1" applyFont="1" applyProtection="1">
      <protection hidden="1"/>
    </xf>
    <xf numFmtId="0" fontId="55" fillId="0" borderId="37" xfId="13" applyFont="1" applyBorder="1" applyAlignment="1" applyProtection="1">
      <alignment vertical="center"/>
      <protection hidden="1"/>
    </xf>
    <xf numFmtId="0" fontId="55" fillId="0" borderId="39" xfId="0" applyFont="1" applyBorder="1"/>
    <xf numFmtId="10" fontId="55" fillId="0" borderId="38" xfId="16" applyNumberFormat="1" applyFont="1" applyFill="1" applyBorder="1" applyAlignment="1"/>
    <xf numFmtId="10" fontId="86" fillId="0" borderId="0" xfId="16" applyNumberFormat="1" applyFont="1" applyFill="1" applyBorder="1" applyAlignment="1"/>
    <xf numFmtId="178" fontId="9" fillId="0" borderId="0" xfId="13" applyNumberFormat="1" applyFont="1" applyAlignment="1" applyProtection="1">
      <alignment vertical="center"/>
      <protection hidden="1"/>
    </xf>
    <xf numFmtId="0" fontId="79" fillId="0" borderId="38" xfId="13" applyFont="1" applyBorder="1" applyAlignment="1" applyProtection="1">
      <alignment horizontal="left" vertical="center"/>
      <protection hidden="1"/>
    </xf>
    <xf numFmtId="2" fontId="79" fillId="2" borderId="38" xfId="13" applyNumberFormat="1" applyFont="1" applyFill="1" applyBorder="1" applyAlignment="1" applyProtection="1">
      <alignment horizontal="right" vertical="center"/>
      <protection hidden="1"/>
    </xf>
    <xf numFmtId="175" fontId="78" fillId="0" borderId="0" xfId="13" applyNumberFormat="1" applyFont="1" applyAlignment="1" applyProtection="1">
      <alignment vertical="center"/>
      <protection hidden="1"/>
    </xf>
    <xf numFmtId="0" fontId="55" fillId="0" borderId="38" xfId="13" applyFont="1" applyBorder="1" applyAlignment="1" applyProtection="1">
      <alignment vertical="center"/>
      <protection hidden="1"/>
    </xf>
    <xf numFmtId="2" fontId="55" fillId="0" borderId="38" xfId="13" applyNumberFormat="1" applyFont="1" applyBorder="1" applyAlignment="1" applyProtection="1">
      <alignment vertical="center"/>
      <protection hidden="1"/>
    </xf>
    <xf numFmtId="175" fontId="9" fillId="0" borderId="0" xfId="13" applyNumberFormat="1" applyFont="1" applyAlignment="1" applyProtection="1">
      <alignment vertical="center"/>
      <protection hidden="1"/>
    </xf>
    <xf numFmtId="0" fontId="86" fillId="0" borderId="38" xfId="13" applyFont="1" applyBorder="1" applyAlignment="1" applyProtection="1">
      <alignment vertical="center"/>
      <protection hidden="1"/>
    </xf>
    <xf numFmtId="2" fontId="79" fillId="62" borderId="38" xfId="13" applyNumberFormat="1" applyFont="1" applyFill="1" applyBorder="1" applyAlignment="1" applyProtection="1">
      <alignment horizontal="right" vertical="center"/>
      <protection hidden="1"/>
    </xf>
    <xf numFmtId="0" fontId="87" fillId="0" borderId="38" xfId="13" applyFont="1" applyBorder="1" applyAlignment="1" applyProtection="1">
      <alignment vertical="center"/>
      <protection hidden="1"/>
    </xf>
    <xf numFmtId="0" fontId="9" fillId="0" borderId="38" xfId="13" applyFont="1" applyBorder="1" applyAlignment="1" applyProtection="1">
      <alignment vertical="center"/>
      <protection hidden="1"/>
    </xf>
    <xf numFmtId="10" fontId="79" fillId="0" borderId="38" xfId="16" applyNumberFormat="1" applyFont="1" applyFill="1" applyBorder="1" applyAlignment="1" applyProtection="1">
      <alignment vertical="center"/>
      <protection hidden="1"/>
    </xf>
    <xf numFmtId="176" fontId="9" fillId="0" borderId="0" xfId="13" applyNumberFormat="1" applyFont="1" applyAlignment="1" applyProtection="1">
      <alignment horizontal="right" vertical="center"/>
      <protection hidden="1"/>
    </xf>
    <xf numFmtId="10" fontId="55" fillId="0" borderId="38" xfId="16" applyNumberFormat="1" applyFont="1" applyFill="1" applyBorder="1" applyAlignment="1" applyProtection="1">
      <alignment vertical="center"/>
      <protection hidden="1"/>
    </xf>
    <xf numFmtId="0" fontId="9" fillId="0" borderId="0" xfId="13" applyFont="1" applyAlignment="1" applyProtection="1">
      <alignment horizontal="right" vertical="center"/>
      <protection hidden="1"/>
    </xf>
    <xf numFmtId="0" fontId="81" fillId="0" borderId="0" xfId="13" applyFont="1" applyProtection="1">
      <protection hidden="1"/>
    </xf>
    <xf numFmtId="0" fontId="88" fillId="0" borderId="0" xfId="0" applyFont="1" applyAlignment="1">
      <alignment horizontal="left" indent="3"/>
    </xf>
    <xf numFmtId="0" fontId="88" fillId="0" borderId="0" xfId="0" applyFont="1"/>
    <xf numFmtId="0" fontId="88" fillId="0" borderId="0" xfId="0" applyFont="1" applyAlignment="1">
      <alignment horizontal="left" indent="1"/>
    </xf>
    <xf numFmtId="179" fontId="88" fillId="0" borderId="0" xfId="0" applyNumberFormat="1" applyFont="1"/>
    <xf numFmtId="178" fontId="88" fillId="0" borderId="0" xfId="0" applyNumberFormat="1" applyFont="1"/>
    <xf numFmtId="2" fontId="89" fillId="66" borderId="37" xfId="13" applyNumberFormat="1" applyFont="1" applyFill="1" applyBorder="1" applyAlignment="1" applyProtection="1">
      <alignment horizontal="left" vertical="center"/>
      <protection hidden="1"/>
    </xf>
    <xf numFmtId="2" fontId="9" fillId="66" borderId="39" xfId="11" applyNumberFormat="1" applyFont="1" applyFill="1" applyBorder="1" applyProtection="1">
      <protection hidden="1"/>
    </xf>
    <xf numFmtId="2" fontId="9" fillId="66" borderId="36" xfId="11" applyNumberFormat="1" applyFont="1" applyFill="1" applyBorder="1" applyProtection="1">
      <protection hidden="1"/>
    </xf>
    <xf numFmtId="0" fontId="89" fillId="66" borderId="37" xfId="13" applyFont="1" applyFill="1" applyBorder="1" applyAlignment="1" applyProtection="1">
      <alignment horizontal="left" vertical="center"/>
      <protection hidden="1"/>
    </xf>
    <xf numFmtId="0" fontId="68" fillId="66" borderId="39" xfId="13" applyFont="1" applyFill="1" applyBorder="1" applyAlignment="1" applyProtection="1">
      <alignment horizontal="left" vertical="center"/>
      <protection hidden="1"/>
    </xf>
    <xf numFmtId="9" fontId="9" fillId="66" borderId="36" xfId="13" applyNumberFormat="1" applyFont="1" applyFill="1" applyBorder="1" applyAlignment="1" applyProtection="1">
      <alignment vertical="center"/>
      <protection hidden="1"/>
    </xf>
    <xf numFmtId="0" fontId="55" fillId="66" borderId="38" xfId="13" applyFont="1" applyFill="1" applyBorder="1" applyAlignment="1" applyProtection="1">
      <alignment horizontal="left" vertical="center"/>
      <protection hidden="1"/>
    </xf>
    <xf numFmtId="0" fontId="90" fillId="0" borderId="0" xfId="13" applyFont="1" applyProtection="1">
      <protection hidden="1"/>
    </xf>
    <xf numFmtId="0" fontId="90" fillId="0" borderId="0" xfId="13" applyFont="1" applyAlignment="1" applyProtection="1">
      <alignment horizontal="center"/>
      <protection hidden="1"/>
    </xf>
    <xf numFmtId="0" fontId="90" fillId="0" borderId="0" xfId="13" applyFont="1" applyAlignment="1" applyProtection="1">
      <alignment horizontal="right"/>
      <protection hidden="1"/>
    </xf>
    <xf numFmtId="169" fontId="90" fillId="0" borderId="0" xfId="3" applyFont="1" applyFill="1" applyBorder="1" applyAlignment="1" applyProtection="1">
      <alignment horizontal="center"/>
      <protection hidden="1"/>
    </xf>
    <xf numFmtId="174" fontId="90" fillId="0" borderId="0" xfId="3" applyNumberFormat="1" applyFont="1" applyFill="1" applyBorder="1" applyAlignment="1" applyProtection="1">
      <alignment horizontal="center"/>
      <protection hidden="1"/>
    </xf>
    <xf numFmtId="2" fontId="68" fillId="0" borderId="0" xfId="0" applyNumberFormat="1" applyFont="1"/>
    <xf numFmtId="2" fontId="69" fillId="0" borderId="0" xfId="0" applyNumberFormat="1" applyFont="1"/>
    <xf numFmtId="0" fontId="91" fillId="0" borderId="0" xfId="13" applyFont="1" applyAlignment="1" applyProtection="1">
      <alignment horizontal="right"/>
      <protection hidden="1"/>
    </xf>
    <xf numFmtId="0" fontId="92" fillId="0" borderId="0" xfId="0" applyFont="1" applyAlignment="1">
      <alignment horizontal="center" vertical="center"/>
    </xf>
    <xf numFmtId="174" fontId="92" fillId="0" borderId="0" xfId="0" applyNumberFormat="1" applyFont="1" applyAlignment="1">
      <alignment horizontal="center" vertical="center"/>
    </xf>
    <xf numFmtId="1" fontId="69" fillId="0" borderId="0" xfId="0" applyNumberFormat="1" applyFont="1" applyAlignment="1">
      <alignment horizontal="left"/>
    </xf>
    <xf numFmtId="2" fontId="91" fillId="0" borderId="0" xfId="13" applyNumberFormat="1" applyFont="1" applyAlignment="1" applyProtection="1">
      <alignment horizontal="right"/>
      <protection hidden="1"/>
    </xf>
    <xf numFmtId="2" fontId="93" fillId="0" borderId="0" xfId="13" applyNumberFormat="1" applyFont="1" applyAlignment="1" applyProtection="1">
      <alignment horizontal="center"/>
      <protection hidden="1"/>
    </xf>
    <xf numFmtId="0" fontId="9" fillId="2" borderId="0" xfId="0" applyFont="1" applyFill="1"/>
    <xf numFmtId="0" fontId="72" fillId="2" borderId="0" xfId="0" applyFont="1" applyFill="1"/>
    <xf numFmtId="0" fontId="9" fillId="0" borderId="0" xfId="0" applyFont="1" applyAlignment="1">
      <alignment vertical="top" wrapText="1"/>
    </xf>
    <xf numFmtId="43" fontId="9" fillId="0" borderId="0" xfId="0" applyNumberFormat="1" applyFont="1"/>
    <xf numFmtId="14" fontId="69" fillId="0" borderId="0" xfId="0" applyNumberFormat="1" applyFont="1" applyAlignment="1">
      <alignment horizontal="left"/>
    </xf>
    <xf numFmtId="0" fontId="9" fillId="0" borderId="0" xfId="0" applyFont="1" applyAlignment="1">
      <alignment horizontal="center" wrapText="1"/>
    </xf>
    <xf numFmtId="2" fontId="83" fillId="0" borderId="0" xfId="0" applyNumberFormat="1" applyFont="1"/>
    <xf numFmtId="1" fontId="94" fillId="0" borderId="0" xfId="0" applyNumberFormat="1" applyFont="1" applyAlignment="1">
      <alignment horizontal="left"/>
    </xf>
    <xf numFmtId="2" fontId="93" fillId="0" borderId="0" xfId="13" applyNumberFormat="1" applyFont="1" applyAlignment="1" applyProtection="1">
      <alignment horizontal="right"/>
      <protection hidden="1"/>
    </xf>
    <xf numFmtId="2" fontId="78" fillId="0" borderId="0" xfId="0" applyNumberFormat="1" applyFont="1" applyAlignment="1">
      <alignment horizontal="center" vertical="center"/>
    </xf>
    <xf numFmtId="174" fontId="78" fillId="0" borderId="0" xfId="0" applyNumberFormat="1" applyFont="1" applyAlignment="1">
      <alignment horizontal="center" vertical="center"/>
    </xf>
    <xf numFmtId="2" fontId="93" fillId="0" borderId="0" xfId="13" applyNumberFormat="1" applyFont="1" applyAlignment="1" applyProtection="1">
      <alignment horizontal="center" wrapText="1"/>
      <protection hidden="1"/>
    </xf>
    <xf numFmtId="2" fontId="9" fillId="0" borderId="37" xfId="13" applyNumberFormat="1" applyFont="1" applyBorder="1" applyProtection="1">
      <protection hidden="1"/>
    </xf>
    <xf numFmtId="2" fontId="95" fillId="0" borderId="39" xfId="3" applyNumberFormat="1" applyFont="1" applyFill="1" applyBorder="1" applyAlignment="1" applyProtection="1">
      <alignment horizontal="center" vertical="center"/>
      <protection hidden="1"/>
    </xf>
    <xf numFmtId="2" fontId="95" fillId="0" borderId="36" xfId="3" applyNumberFormat="1" applyFont="1" applyFill="1" applyBorder="1" applyAlignment="1" applyProtection="1">
      <alignment horizontal="right" vertical="center"/>
      <protection hidden="1"/>
    </xf>
    <xf numFmtId="2" fontId="79" fillId="0" borderId="38" xfId="3" applyNumberFormat="1" applyFont="1" applyFill="1" applyBorder="1" applyAlignment="1" applyProtection="1">
      <protection hidden="1"/>
    </xf>
    <xf numFmtId="174" fontId="78" fillId="0" borderId="40" xfId="0" applyNumberFormat="1" applyFont="1" applyBorder="1" applyAlignment="1">
      <alignment horizontal="center" vertical="center"/>
    </xf>
    <xf numFmtId="1" fontId="55" fillId="0" borderId="38" xfId="13" applyNumberFormat="1" applyFont="1" applyBorder="1" applyAlignment="1" applyProtection="1">
      <alignment horizontal="center"/>
      <protection hidden="1"/>
    </xf>
    <xf numFmtId="2" fontId="96" fillId="0" borderId="39" xfId="3" applyNumberFormat="1" applyFont="1" applyFill="1" applyBorder="1" applyAlignment="1" applyProtection="1">
      <alignment horizontal="left" vertical="center"/>
      <protection hidden="1"/>
    </xf>
    <xf numFmtId="2" fontId="90" fillId="0" borderId="36" xfId="3" applyNumberFormat="1" applyFont="1" applyFill="1" applyBorder="1" applyAlignment="1" applyProtection="1">
      <alignment horizontal="right" vertical="center"/>
      <protection hidden="1"/>
    </xf>
    <xf numFmtId="166" fontId="79" fillId="35" borderId="38" xfId="18" applyFont="1" applyFill="1" applyBorder="1" applyAlignment="1" applyProtection="1">
      <protection locked="0"/>
    </xf>
    <xf numFmtId="174" fontId="78" fillId="0" borderId="5" xfId="0" applyNumberFormat="1" applyFont="1" applyBorder="1" applyAlignment="1">
      <alignment horizontal="center" vertical="center"/>
    </xf>
    <xf numFmtId="166" fontId="9" fillId="62" borderId="38" xfId="18" applyFont="1" applyFill="1" applyBorder="1"/>
    <xf numFmtId="10" fontId="97" fillId="0" borderId="36" xfId="16" applyNumberFormat="1" applyFont="1" applyFill="1" applyBorder="1" applyAlignment="1" applyProtection="1">
      <alignment horizontal="right"/>
      <protection hidden="1"/>
    </xf>
    <xf numFmtId="166" fontId="79" fillId="63" borderId="38" xfId="18" applyFont="1" applyFill="1" applyBorder="1" applyAlignment="1" applyProtection="1">
      <protection locked="0"/>
    </xf>
    <xf numFmtId="0" fontId="55" fillId="0" borderId="37" xfId="13" applyFont="1" applyBorder="1" applyProtection="1">
      <protection hidden="1"/>
    </xf>
    <xf numFmtId="0" fontId="99" fillId="0" borderId="39" xfId="13" applyFont="1" applyBorder="1" applyProtection="1">
      <protection hidden="1"/>
    </xf>
    <xf numFmtId="0" fontId="99" fillId="0" borderId="36" xfId="13" applyFont="1" applyBorder="1" applyAlignment="1" applyProtection="1">
      <alignment horizontal="right"/>
      <protection hidden="1"/>
    </xf>
    <xf numFmtId="2" fontId="91" fillId="0" borderId="0" xfId="13" applyNumberFormat="1" applyFont="1" applyAlignment="1" applyProtection="1">
      <alignment horizontal="center"/>
      <protection hidden="1"/>
    </xf>
    <xf numFmtId="178" fontId="55" fillId="0" borderId="38" xfId="3" applyNumberFormat="1" applyFont="1" applyFill="1" applyBorder="1" applyAlignment="1" applyProtection="1">
      <protection hidden="1"/>
    </xf>
    <xf numFmtId="0" fontId="9" fillId="0" borderId="37" xfId="13" applyFont="1" applyBorder="1" applyProtection="1">
      <protection hidden="1"/>
    </xf>
    <xf numFmtId="0" fontId="97" fillId="0" borderId="39" xfId="13" applyFont="1" applyBorder="1" applyAlignment="1" applyProtection="1">
      <alignment horizontal="right"/>
      <protection hidden="1"/>
    </xf>
    <xf numFmtId="0" fontId="97" fillId="0" borderId="36" xfId="13" applyFont="1" applyBorder="1" applyAlignment="1" applyProtection="1">
      <alignment horizontal="right"/>
      <protection hidden="1"/>
    </xf>
    <xf numFmtId="169" fontId="79" fillId="0" borderId="38" xfId="3" applyFont="1" applyFill="1" applyBorder="1" applyAlignment="1" applyProtection="1">
      <protection hidden="1"/>
    </xf>
    <xf numFmtId="0" fontId="79" fillId="0" borderId="37" xfId="13" applyFont="1" applyBorder="1" applyProtection="1">
      <protection hidden="1"/>
    </xf>
    <xf numFmtId="10" fontId="98" fillId="62" borderId="38" xfId="16" applyNumberFormat="1" applyFont="1" applyFill="1" applyBorder="1" applyAlignment="1" applyProtection="1">
      <alignment horizontal="right"/>
      <protection hidden="1"/>
    </xf>
    <xf numFmtId="166" fontId="79" fillId="0" borderId="38" xfId="18" applyFont="1" applyFill="1" applyBorder="1" applyAlignment="1" applyProtection="1">
      <protection locked="0"/>
    </xf>
    <xf numFmtId="169" fontId="79" fillId="0" borderId="38" xfId="3" applyFont="1" applyFill="1" applyBorder="1" applyAlignment="1" applyProtection="1">
      <protection locked="0"/>
    </xf>
    <xf numFmtId="0" fontId="98" fillId="0" borderId="39" xfId="13" applyFont="1" applyBorder="1" applyAlignment="1" applyProtection="1">
      <alignment horizontal="center"/>
      <protection hidden="1"/>
    </xf>
    <xf numFmtId="0" fontId="98" fillId="0" borderId="36" xfId="13" applyFont="1" applyBorder="1" applyAlignment="1" applyProtection="1">
      <alignment horizontal="right"/>
      <protection hidden="1"/>
    </xf>
    <xf numFmtId="174" fontId="100" fillId="0" borderId="38" xfId="16" applyNumberFormat="1" applyFont="1" applyFill="1" applyBorder="1" applyAlignment="1" applyProtection="1">
      <alignment horizontal="center"/>
      <protection hidden="1"/>
    </xf>
    <xf numFmtId="0" fontId="75" fillId="0" borderId="37" xfId="13" applyFont="1" applyBorder="1" applyProtection="1">
      <protection hidden="1"/>
    </xf>
    <xf numFmtId="10" fontId="97" fillId="0" borderId="39" xfId="13" applyNumberFormat="1" applyFont="1" applyBorder="1" applyAlignment="1" applyProtection="1">
      <alignment horizontal="right"/>
      <protection hidden="1"/>
    </xf>
    <xf numFmtId="2" fontId="101" fillId="0" borderId="0" xfId="13" applyNumberFormat="1" applyFont="1" applyAlignment="1" applyProtection="1">
      <alignment horizontal="center"/>
      <protection hidden="1"/>
    </xf>
    <xf numFmtId="166" fontId="102" fillId="2" borderId="38" xfId="18" applyFont="1" applyFill="1" applyBorder="1" applyAlignment="1" applyProtection="1">
      <alignment horizontal="right"/>
      <protection locked="0"/>
    </xf>
    <xf numFmtId="174" fontId="75" fillId="0" borderId="5" xfId="0" applyNumberFormat="1" applyFont="1" applyBorder="1" applyAlignment="1">
      <alignment horizontal="center" vertical="center"/>
    </xf>
    <xf numFmtId="0" fontId="75" fillId="0" borderId="0" xfId="0" applyFont="1"/>
    <xf numFmtId="174" fontId="98" fillId="0" borderId="36" xfId="16" applyNumberFormat="1" applyFont="1" applyFill="1" applyBorder="1" applyAlignment="1" applyProtection="1">
      <alignment horizontal="right"/>
      <protection hidden="1"/>
    </xf>
    <xf numFmtId="9" fontId="79" fillId="62" borderId="38" xfId="16" applyFont="1" applyFill="1" applyBorder="1" applyAlignment="1" applyProtection="1">
      <alignment horizontal="center"/>
      <protection hidden="1"/>
    </xf>
    <xf numFmtId="0" fontId="103" fillId="0" borderId="39" xfId="13" applyFont="1" applyBorder="1" applyAlignment="1" applyProtection="1">
      <alignment horizontal="center"/>
      <protection hidden="1"/>
    </xf>
    <xf numFmtId="169" fontId="98" fillId="0" borderId="39" xfId="13" applyNumberFormat="1" applyFont="1" applyBorder="1" applyAlignment="1" applyProtection="1">
      <alignment horizontal="center"/>
      <protection hidden="1"/>
    </xf>
    <xf numFmtId="165" fontId="98" fillId="0" borderId="39" xfId="13" applyNumberFormat="1" applyFont="1" applyBorder="1" applyAlignment="1" applyProtection="1">
      <alignment horizontal="center"/>
      <protection hidden="1"/>
    </xf>
    <xf numFmtId="9" fontId="55" fillId="0" borderId="38" xfId="0" applyNumberFormat="1" applyFont="1" applyBorder="1" applyAlignment="1">
      <alignment horizontal="center"/>
    </xf>
    <xf numFmtId="9" fontId="55" fillId="61" borderId="38" xfId="65" applyFont="1" applyFill="1" applyBorder="1" applyAlignment="1">
      <alignment horizontal="center"/>
    </xf>
    <xf numFmtId="174" fontId="104" fillId="0" borderId="5" xfId="0" applyNumberFormat="1" applyFont="1" applyBorder="1" applyAlignment="1">
      <alignment horizontal="center" vertical="center"/>
    </xf>
    <xf numFmtId="0" fontId="9" fillId="62" borderId="37" xfId="13" applyFont="1" applyFill="1" applyBorder="1" applyProtection="1">
      <protection hidden="1"/>
    </xf>
    <xf numFmtId="0" fontId="98" fillId="62" borderId="39" xfId="13" applyFont="1" applyFill="1" applyBorder="1" applyAlignment="1" applyProtection="1">
      <alignment horizontal="center"/>
      <protection hidden="1"/>
    </xf>
    <xf numFmtId="0" fontId="98" fillId="62" borderId="36" xfId="13" applyFont="1" applyFill="1" applyBorder="1" applyAlignment="1" applyProtection="1">
      <alignment horizontal="right"/>
      <protection hidden="1"/>
    </xf>
    <xf numFmtId="166" fontId="9" fillId="0" borderId="37" xfId="18" applyFont="1" applyFill="1" applyBorder="1" applyAlignment="1" applyProtection="1">
      <protection hidden="1"/>
    </xf>
    <xf numFmtId="166" fontId="9" fillId="0" borderId="38" xfId="18" applyFont="1" applyFill="1" applyBorder="1" applyAlignment="1" applyProtection="1">
      <protection hidden="1"/>
    </xf>
    <xf numFmtId="167" fontId="98" fillId="0" borderId="36" xfId="8" applyFont="1" applyFill="1" applyBorder="1" applyAlignment="1" applyProtection="1">
      <alignment horizontal="right"/>
      <protection hidden="1"/>
    </xf>
    <xf numFmtId="10" fontId="98" fillId="0" borderId="36" xfId="16" applyNumberFormat="1" applyFont="1" applyFill="1" applyBorder="1" applyAlignment="1" applyProtection="1">
      <alignment horizontal="right"/>
      <protection hidden="1"/>
    </xf>
    <xf numFmtId="10" fontId="98" fillId="62" borderId="36" xfId="16" applyNumberFormat="1" applyFont="1" applyFill="1" applyBorder="1" applyAlignment="1" applyProtection="1">
      <alignment horizontal="right"/>
      <protection hidden="1"/>
    </xf>
    <xf numFmtId="174" fontId="9" fillId="0" borderId="5" xfId="0" applyNumberFormat="1" applyFont="1" applyBorder="1"/>
    <xf numFmtId="0" fontId="105" fillId="0" borderId="37" xfId="13" applyFont="1" applyBorder="1" applyProtection="1">
      <protection hidden="1"/>
    </xf>
    <xf numFmtId="0" fontId="106" fillId="0" borderId="39" xfId="13" applyFont="1" applyBorder="1" applyProtection="1">
      <protection hidden="1"/>
    </xf>
    <xf numFmtId="0" fontId="106" fillId="0" borderId="36" xfId="13" applyFont="1" applyBorder="1" applyAlignment="1" applyProtection="1">
      <alignment horizontal="right"/>
      <protection hidden="1"/>
    </xf>
    <xf numFmtId="0" fontId="98" fillId="0" borderId="39" xfId="13" applyFont="1" applyBorder="1" applyProtection="1">
      <protection hidden="1"/>
    </xf>
    <xf numFmtId="0" fontId="79" fillId="0" borderId="35" xfId="13" applyFont="1" applyBorder="1" applyProtection="1">
      <protection hidden="1"/>
    </xf>
    <xf numFmtId="10" fontId="97" fillId="0" borderId="2" xfId="13" applyNumberFormat="1" applyFont="1" applyBorder="1" applyAlignment="1" applyProtection="1">
      <alignment horizontal="right"/>
      <protection hidden="1"/>
    </xf>
    <xf numFmtId="174" fontId="98" fillId="0" borderId="6" xfId="16" applyNumberFormat="1" applyFont="1" applyFill="1" applyBorder="1" applyAlignment="1" applyProtection="1">
      <alignment horizontal="right"/>
      <protection hidden="1"/>
    </xf>
    <xf numFmtId="169" fontId="99" fillId="0" borderId="39" xfId="13" applyNumberFormat="1" applyFont="1" applyBorder="1" applyProtection="1">
      <protection hidden="1"/>
    </xf>
    <xf numFmtId="169" fontId="98" fillId="0" borderId="36" xfId="13" applyNumberFormat="1" applyFont="1" applyBorder="1" applyAlignment="1" applyProtection="1">
      <alignment horizontal="right"/>
      <protection hidden="1"/>
    </xf>
    <xf numFmtId="178" fontId="55" fillId="0" borderId="4" xfId="5" applyNumberFormat="1" applyFont="1" applyFill="1" applyBorder="1" applyAlignment="1" applyProtection="1">
      <protection hidden="1"/>
    </xf>
    <xf numFmtId="174" fontId="9" fillId="0" borderId="6" xfId="0" applyNumberFormat="1" applyFont="1" applyBorder="1" applyAlignment="1">
      <alignment horizontal="center" vertical="center"/>
    </xf>
    <xf numFmtId="0" fontId="99" fillId="0" borderId="0" xfId="0" applyFont="1"/>
    <xf numFmtId="0" fontId="99" fillId="0" borderId="40" xfId="0" applyFont="1" applyBorder="1" applyAlignment="1">
      <alignment horizontal="right"/>
    </xf>
    <xf numFmtId="174" fontId="9" fillId="0" borderId="0" xfId="0" applyNumberFormat="1" applyFont="1"/>
    <xf numFmtId="0" fontId="81" fillId="0" borderId="37" xfId="13" applyFont="1" applyBorder="1" applyProtection="1">
      <protection hidden="1"/>
    </xf>
    <xf numFmtId="169" fontId="97" fillId="0" borderId="39" xfId="13" applyNumberFormat="1" applyFont="1" applyBorder="1" applyProtection="1">
      <protection hidden="1"/>
    </xf>
    <xf numFmtId="169" fontId="97" fillId="0" borderId="36" xfId="13" applyNumberFormat="1" applyFont="1" applyBorder="1" applyAlignment="1" applyProtection="1">
      <alignment horizontal="right"/>
      <protection hidden="1"/>
    </xf>
    <xf numFmtId="178" fontId="81" fillId="0" borderId="38" xfId="5" applyNumberFormat="1" applyFont="1" applyFill="1" applyBorder="1" applyAlignment="1" applyProtection="1">
      <protection hidden="1"/>
    </xf>
    <xf numFmtId="178" fontId="75" fillId="0" borderId="0" xfId="0" applyNumberFormat="1" applyFont="1"/>
    <xf numFmtId="0" fontId="97" fillId="0" borderId="0" xfId="0" applyFont="1"/>
    <xf numFmtId="0" fontId="97" fillId="0" borderId="5" xfId="0" applyFont="1" applyBorder="1" applyAlignment="1">
      <alignment horizontal="right"/>
    </xf>
    <xf numFmtId="0" fontId="97" fillId="0" borderId="0" xfId="0" applyFont="1" applyAlignment="1">
      <alignment horizontal="right"/>
    </xf>
    <xf numFmtId="174" fontId="75" fillId="0" borderId="0" xfId="0" applyNumberFormat="1" applyFont="1"/>
    <xf numFmtId="0" fontId="75" fillId="0" borderId="0" xfId="0" applyFont="1" applyAlignment="1">
      <alignment horizontal="right"/>
    </xf>
    <xf numFmtId="49" fontId="35" fillId="63" borderId="38" xfId="9" applyNumberFormat="1" applyFont="1" applyFill="1" applyBorder="1" applyAlignment="1" applyProtection="1">
      <alignment horizontal="left" vertical="top"/>
      <protection hidden="1"/>
    </xf>
    <xf numFmtId="49" fontId="35" fillId="63" borderId="38" xfId="62" applyNumberFormat="1" applyFont="1" applyFill="1" applyBorder="1" applyAlignment="1" applyProtection="1">
      <alignment horizontal="left" vertical="top"/>
      <protection hidden="1"/>
    </xf>
    <xf numFmtId="2" fontId="91" fillId="66" borderId="37" xfId="13" applyNumberFormat="1" applyFont="1" applyFill="1" applyBorder="1" applyAlignment="1" applyProtection="1">
      <alignment horizontal="left" vertical="center" wrapText="1"/>
      <protection hidden="1"/>
    </xf>
    <xf numFmtId="2" fontId="91" fillId="66" borderId="39" xfId="13" applyNumberFormat="1" applyFont="1" applyFill="1" applyBorder="1" applyAlignment="1" applyProtection="1">
      <alignment horizontal="center" wrapText="1"/>
      <protection hidden="1"/>
    </xf>
    <xf numFmtId="2" fontId="91" fillId="66" borderId="36" xfId="13" applyNumberFormat="1" applyFont="1" applyFill="1" applyBorder="1" applyAlignment="1" applyProtection="1">
      <alignment horizontal="right" wrapText="1"/>
      <protection hidden="1"/>
    </xf>
    <xf numFmtId="2" fontId="91" fillId="66" borderId="38" xfId="3" applyNumberFormat="1" applyFont="1" applyFill="1" applyBorder="1" applyAlignment="1" applyProtection="1">
      <alignment vertical="center" wrapText="1"/>
      <protection hidden="1"/>
    </xf>
    <xf numFmtId="0" fontId="75" fillId="62" borderId="38" xfId="13" applyFont="1" applyFill="1" applyBorder="1" applyProtection="1">
      <protection hidden="1"/>
    </xf>
    <xf numFmtId="166" fontId="79" fillId="62" borderId="38" xfId="18" applyFont="1" applyFill="1" applyBorder="1" applyAlignment="1" applyProtection="1">
      <alignment horizontal="center"/>
      <protection hidden="1"/>
    </xf>
    <xf numFmtId="166" fontId="55" fillId="0" borderId="38" xfId="18" applyFont="1" applyBorder="1" applyAlignment="1">
      <alignment horizontal="center"/>
    </xf>
    <xf numFmtId="2" fontId="68" fillId="66" borderId="37" xfId="13" applyNumberFormat="1" applyFont="1" applyFill="1" applyBorder="1" applyAlignment="1" applyProtection="1">
      <alignment horizontal="left" vertical="center" wrapText="1"/>
      <protection hidden="1"/>
    </xf>
    <xf numFmtId="0" fontId="9" fillId="62" borderId="38" xfId="10" applyFont="1" applyFill="1" applyBorder="1"/>
    <xf numFmtId="2" fontId="69" fillId="0" borderId="0" xfId="63" applyNumberFormat="1" applyFont="1"/>
    <xf numFmtId="2" fontId="68" fillId="0" borderId="0" xfId="63" applyNumberFormat="1" applyFont="1"/>
    <xf numFmtId="44" fontId="9" fillId="0" borderId="0" xfId="0" applyNumberFormat="1" applyFont="1"/>
    <xf numFmtId="0" fontId="72" fillId="0" borderId="0" xfId="0" applyFont="1" applyAlignment="1">
      <alignment wrapText="1"/>
    </xf>
    <xf numFmtId="14" fontId="69" fillId="0" borderId="0" xfId="63" applyNumberFormat="1" applyFont="1" applyAlignment="1">
      <alignment horizontal="left"/>
    </xf>
    <xf numFmtId="2" fontId="9" fillId="0" borderId="38" xfId="0" applyNumberFormat="1" applyFont="1" applyBorder="1" applyAlignment="1">
      <alignment vertical="center"/>
    </xf>
    <xf numFmtId="166" fontId="9" fillId="0" borderId="38" xfId="18" applyFont="1" applyBorder="1" applyAlignment="1">
      <alignment vertical="center"/>
    </xf>
    <xf numFmtId="0" fontId="35" fillId="0" borderId="2" xfId="0" applyFont="1" applyBorder="1" applyAlignment="1">
      <alignment horizontal="left" vertical="top" wrapText="1"/>
    </xf>
    <xf numFmtId="2" fontId="9" fillId="0" borderId="2" xfId="0" applyNumberFormat="1" applyFont="1" applyBorder="1"/>
    <xf numFmtId="0" fontId="9" fillId="0" borderId="2" xfId="0" applyFont="1" applyBorder="1" applyAlignment="1">
      <alignment vertical="center" wrapText="1"/>
    </xf>
    <xf numFmtId="0" fontId="9" fillId="0" borderId="2" xfId="0" applyFont="1" applyBorder="1" applyAlignment="1">
      <alignment wrapText="1"/>
    </xf>
    <xf numFmtId="167" fontId="9" fillId="0" borderId="2" xfId="8" applyFont="1" applyBorder="1"/>
    <xf numFmtId="0" fontId="35" fillId="0" borderId="38" xfId="0" applyFont="1" applyBorder="1" applyAlignment="1">
      <alignment vertical="center" wrapText="1"/>
    </xf>
    <xf numFmtId="0" fontId="9" fillId="0" borderId="38" xfId="0" applyFont="1" applyBorder="1" applyAlignment="1">
      <alignment horizontal="center" vertical="center" wrapText="1"/>
    </xf>
    <xf numFmtId="0" fontId="9" fillId="0" borderId="0" xfId="0" applyFont="1" applyAlignment="1">
      <alignment vertical="center" wrapText="1"/>
    </xf>
    <xf numFmtId="0" fontId="55" fillId="66" borderId="38" xfId="59" applyFont="1" applyFill="1" applyBorder="1" applyAlignment="1">
      <alignment horizontal="left" vertical="top" wrapText="1"/>
    </xf>
    <xf numFmtId="0" fontId="99" fillId="0" borderId="0" xfId="10" applyFont="1"/>
    <xf numFmtId="178" fontId="99" fillId="0" borderId="0" xfId="10" applyNumberFormat="1" applyFont="1"/>
    <xf numFmtId="2" fontId="99" fillId="0" borderId="0" xfId="10" applyNumberFormat="1" applyFont="1"/>
    <xf numFmtId="2" fontId="83" fillId="0" borderId="0" xfId="10" applyNumberFormat="1" applyFont="1" applyAlignment="1">
      <alignment vertical="center"/>
    </xf>
    <xf numFmtId="2" fontId="83" fillId="0" borderId="0" xfId="10" applyNumberFormat="1" applyFont="1" applyAlignment="1">
      <alignment horizontal="right" vertical="center"/>
    </xf>
    <xf numFmtId="2" fontId="107" fillId="0" borderId="0" xfId="10" applyNumberFormat="1" applyFont="1" applyAlignment="1">
      <alignment vertical="center"/>
    </xf>
    <xf numFmtId="2" fontId="83" fillId="0" borderId="0" xfId="12" applyNumberFormat="1" applyFont="1"/>
    <xf numFmtId="2" fontId="94" fillId="0" borderId="0" xfId="10" applyNumberFormat="1" applyFont="1" applyAlignment="1">
      <alignment vertical="center"/>
    </xf>
    <xf numFmtId="0" fontId="78" fillId="0" borderId="0" xfId="14" applyFont="1"/>
    <xf numFmtId="2" fontId="78" fillId="0" borderId="0" xfId="14" applyNumberFormat="1" applyFont="1"/>
    <xf numFmtId="0" fontId="9" fillId="0" borderId="37" xfId="9" applyFont="1" applyBorder="1" applyAlignment="1" applyProtection="1">
      <alignment horizontal="left"/>
      <protection hidden="1"/>
    </xf>
    <xf numFmtId="0" fontId="9" fillId="0" borderId="36" xfId="9" applyFont="1" applyBorder="1" applyAlignment="1" applyProtection="1">
      <alignment horizontal="left"/>
      <protection hidden="1"/>
    </xf>
    <xf numFmtId="0" fontId="9" fillId="0" borderId="38" xfId="9" applyFont="1" applyBorder="1" applyAlignment="1" applyProtection="1">
      <alignment horizontal="left"/>
      <protection hidden="1"/>
    </xf>
    <xf numFmtId="0" fontId="9" fillId="0" borderId="38" xfId="9" applyFont="1" applyBorder="1" applyAlignment="1" applyProtection="1">
      <alignment horizontal="center"/>
      <protection hidden="1"/>
    </xf>
    <xf numFmtId="0" fontId="9" fillId="0" borderId="38" xfId="0" applyFont="1" applyBorder="1" applyAlignment="1">
      <alignment horizontal="center"/>
    </xf>
    <xf numFmtId="0" fontId="9" fillId="0" borderId="38" xfId="10" applyFont="1" applyBorder="1"/>
    <xf numFmtId="0" fontId="9" fillId="62" borderId="38" xfId="10" applyFont="1" applyFill="1" applyBorder="1" applyAlignment="1">
      <alignment wrapText="1"/>
    </xf>
    <xf numFmtId="166" fontId="9" fillId="62" borderId="38" xfId="18" applyFont="1" applyFill="1" applyBorder="1" applyAlignment="1">
      <alignment wrapText="1"/>
    </xf>
    <xf numFmtId="0" fontId="71" fillId="2" borderId="35" xfId="9" applyFont="1" applyFill="1" applyBorder="1" applyAlignment="1" applyProtection="1">
      <alignment horizontal="center"/>
      <protection hidden="1"/>
    </xf>
    <xf numFmtId="0" fontId="71" fillId="2" borderId="0" xfId="9" applyFont="1" applyFill="1" applyAlignment="1" applyProtection="1">
      <alignment horizontal="center"/>
      <protection hidden="1"/>
    </xf>
    <xf numFmtId="9" fontId="35" fillId="0" borderId="38" xfId="83" applyFont="1" applyFill="1" applyBorder="1" applyAlignment="1" applyProtection="1">
      <alignment horizontal="center"/>
      <protection hidden="1"/>
    </xf>
    <xf numFmtId="0" fontId="9" fillId="0" borderId="37" xfId="10" applyFont="1" applyBorder="1"/>
    <xf numFmtId="0" fontId="79" fillId="0" borderId="37" xfId="9" applyFont="1" applyBorder="1" applyAlignment="1" applyProtection="1">
      <alignment horizontal="left"/>
      <protection hidden="1"/>
    </xf>
    <xf numFmtId="0" fontId="9" fillId="0" borderId="38" xfId="9" applyFont="1" applyBorder="1" applyAlignment="1" applyProtection="1">
      <alignment horizontal="left" wrapText="1"/>
      <protection hidden="1"/>
    </xf>
    <xf numFmtId="0" fontId="55" fillId="0" borderId="0" xfId="9" applyFont="1" applyAlignment="1" applyProtection="1">
      <alignment horizontal="left" vertical="center"/>
      <protection hidden="1"/>
    </xf>
    <xf numFmtId="0" fontId="9" fillId="0" borderId="0" xfId="10" applyFont="1"/>
    <xf numFmtId="0" fontId="9" fillId="0" borderId="37" xfId="9" applyFont="1" applyBorder="1" applyAlignment="1" applyProtection="1">
      <alignment horizontal="left" vertical="top"/>
      <protection hidden="1"/>
    </xf>
    <xf numFmtId="0" fontId="9" fillId="0" borderId="39" xfId="9" applyFont="1" applyBorder="1" applyAlignment="1" applyProtection="1">
      <alignment horizontal="left" vertical="top"/>
      <protection hidden="1"/>
    </xf>
    <xf numFmtId="0" fontId="9" fillId="0" borderId="36" xfId="9" applyFont="1" applyBorder="1" applyAlignment="1" applyProtection="1">
      <alignment horizontal="center" vertical="top"/>
      <protection hidden="1"/>
    </xf>
    <xf numFmtId="0" fontId="9" fillId="62" borderId="2" xfId="10" applyFont="1" applyFill="1" applyBorder="1"/>
    <xf numFmtId="0" fontId="9" fillId="62" borderId="39" xfId="10" applyFont="1" applyFill="1" applyBorder="1"/>
    <xf numFmtId="0" fontId="9" fillId="62" borderId="37" xfId="10" applyFont="1" applyFill="1" applyBorder="1"/>
    <xf numFmtId="0" fontId="9" fillId="0" borderId="0" xfId="9" applyFont="1" applyAlignment="1" applyProtection="1">
      <alignment horizontal="center"/>
      <protection hidden="1"/>
    </xf>
    <xf numFmtId="0" fontId="9" fillId="0" borderId="0" xfId="9" applyFont="1" applyAlignment="1" applyProtection="1">
      <alignment horizontal="left"/>
      <protection hidden="1"/>
    </xf>
    <xf numFmtId="0" fontId="9" fillId="0" borderId="39" xfId="10" applyFont="1" applyBorder="1"/>
    <xf numFmtId="0" fontId="9" fillId="0" borderId="38" xfId="9" applyFont="1" applyBorder="1" applyAlignment="1" applyProtection="1">
      <alignment horizontal="left" vertical="center"/>
      <protection hidden="1"/>
    </xf>
    <xf numFmtId="0" fontId="9" fillId="0" borderId="37" xfId="9" applyFont="1" applyBorder="1" applyAlignment="1" applyProtection="1">
      <alignment horizontal="left" vertical="center"/>
      <protection hidden="1"/>
    </xf>
    <xf numFmtId="0" fontId="9" fillId="0" borderId="36" xfId="9" applyFont="1" applyBorder="1" applyAlignment="1" applyProtection="1">
      <alignment horizontal="left" wrapText="1"/>
      <protection hidden="1"/>
    </xf>
    <xf numFmtId="0" fontId="9" fillId="0" borderId="38" xfId="9" applyFont="1" applyBorder="1" applyAlignment="1" applyProtection="1">
      <alignment horizontal="right"/>
      <protection hidden="1"/>
    </xf>
    <xf numFmtId="0" fontId="9" fillId="0" borderId="2" xfId="10" applyFont="1" applyBorder="1"/>
    <xf numFmtId="0" fontId="9" fillId="0" borderId="38" xfId="9" applyFont="1" applyBorder="1" applyAlignment="1" applyProtection="1">
      <alignment horizontal="center" wrapText="1"/>
      <protection hidden="1"/>
    </xf>
    <xf numFmtId="0" fontId="107" fillId="0" borderId="0" xfId="9" applyFont="1" applyAlignment="1" applyProtection="1">
      <alignment horizontal="left" vertical="center"/>
      <protection hidden="1"/>
    </xf>
    <xf numFmtId="0" fontId="9" fillId="0" borderId="0" xfId="0" applyFont="1" applyAlignment="1">
      <alignment horizontal="left" vertical="center" indent="6"/>
    </xf>
    <xf numFmtId="0" fontId="68" fillId="66" borderId="37" xfId="9" applyFont="1" applyFill="1" applyBorder="1" applyAlignment="1" applyProtection="1">
      <alignment horizontal="left" vertical="center"/>
      <protection hidden="1"/>
    </xf>
    <xf numFmtId="0" fontId="9" fillId="66" borderId="39" xfId="10" applyFont="1" applyFill="1" applyBorder="1"/>
    <xf numFmtId="0" fontId="99" fillId="66" borderId="39" xfId="10" applyFont="1" applyFill="1" applyBorder="1"/>
    <xf numFmtId="0" fontId="99" fillId="66" borderId="36" xfId="10" applyFont="1" applyFill="1" applyBorder="1"/>
    <xf numFmtId="0" fontId="9" fillId="66" borderId="36" xfId="10" applyFont="1" applyFill="1" applyBorder="1"/>
    <xf numFmtId="0" fontId="68" fillId="66" borderId="37" xfId="9" applyFont="1" applyFill="1" applyBorder="1" applyAlignment="1" applyProtection="1">
      <alignment vertical="center"/>
      <protection hidden="1"/>
    </xf>
    <xf numFmtId="0" fontId="55" fillId="66" borderId="33" xfId="9" applyFont="1" applyFill="1" applyBorder="1" applyAlignment="1" applyProtection="1">
      <alignment horizontal="center"/>
      <protection hidden="1"/>
    </xf>
    <xf numFmtId="0" fontId="55" fillId="66" borderId="33" xfId="0" applyFont="1" applyFill="1" applyBorder="1" applyAlignment="1">
      <alignment horizontal="center"/>
    </xf>
    <xf numFmtId="0" fontId="68" fillId="66" borderId="39" xfId="10" applyFont="1" applyFill="1" applyBorder="1"/>
    <xf numFmtId="0" fontId="75" fillId="0" borderId="0" xfId="13" applyFont="1" applyAlignment="1" applyProtection="1">
      <alignment horizontal="center"/>
      <protection hidden="1"/>
    </xf>
    <xf numFmtId="173" fontId="9" fillId="0" borderId="0" xfId="8" applyNumberFormat="1" applyFont="1" applyFill="1" applyAlignment="1" applyProtection="1">
      <protection hidden="1"/>
    </xf>
    <xf numFmtId="0" fontId="9" fillId="0" borderId="0" xfId="84" applyFont="1"/>
    <xf numFmtId="0" fontId="85" fillId="0" borderId="0" xfId="13" applyFont="1" applyProtection="1">
      <protection hidden="1"/>
    </xf>
    <xf numFmtId="0" fontId="9" fillId="0" borderId="38" xfId="103" applyBorder="1" applyAlignment="1">
      <alignment vertical="top" wrapText="1"/>
    </xf>
    <xf numFmtId="44" fontId="9" fillId="63" borderId="38" xfId="66" applyFont="1" applyFill="1" applyBorder="1" applyAlignment="1" applyProtection="1">
      <protection locked="0"/>
    </xf>
    <xf numFmtId="0" fontId="9" fillId="0" borderId="38" xfId="103" applyBorder="1" applyAlignment="1">
      <alignment vertical="top"/>
    </xf>
    <xf numFmtId="169" fontId="85" fillId="0" borderId="0" xfId="3" applyFont="1" applyFill="1" applyBorder="1" applyAlignment="1" applyProtection="1">
      <alignment horizontal="center"/>
      <protection hidden="1"/>
    </xf>
    <xf numFmtId="174" fontId="85" fillId="0" borderId="0" xfId="3" applyNumberFormat="1" applyFont="1" applyFill="1" applyBorder="1" applyAlignment="1" applyProtection="1">
      <alignment horizontal="center"/>
      <protection hidden="1"/>
    </xf>
    <xf numFmtId="0" fontId="85" fillId="0" borderId="0" xfId="13" applyFont="1" applyAlignment="1" applyProtection="1">
      <alignment horizontal="center"/>
      <protection hidden="1"/>
    </xf>
    <xf numFmtId="0" fontId="9" fillId="0" borderId="0" xfId="84" applyFont="1" applyAlignment="1">
      <alignment horizontal="center" vertical="center"/>
    </xf>
    <xf numFmtId="174" fontId="9" fillId="0" borderId="0" xfId="84" applyNumberFormat="1" applyFont="1" applyAlignment="1">
      <alignment horizontal="center" vertical="center"/>
    </xf>
    <xf numFmtId="2" fontId="83" fillId="0" borderId="0" xfId="84" applyNumberFormat="1" applyFont="1"/>
    <xf numFmtId="173" fontId="85" fillId="0" borderId="0" xfId="8" applyNumberFormat="1" applyFont="1" applyFill="1" applyBorder="1" applyAlignment="1" applyProtection="1">
      <alignment horizontal="center"/>
      <protection hidden="1"/>
    </xf>
    <xf numFmtId="0" fontId="55" fillId="0" borderId="0" xfId="103" applyFont="1"/>
    <xf numFmtId="0" fontId="35" fillId="0" borderId="33" xfId="59" applyFont="1" applyBorder="1" applyAlignment="1">
      <alignment vertical="center" wrapText="1"/>
    </xf>
    <xf numFmtId="0" fontId="9" fillId="0" borderId="38" xfId="103" applyBorder="1" applyAlignment="1">
      <alignment vertical="center" wrapText="1"/>
    </xf>
    <xf numFmtId="3" fontId="9" fillId="0" borderId="38" xfId="8" applyNumberFormat="1" applyFont="1" applyFill="1" applyBorder="1" applyAlignment="1">
      <alignment horizontal="center" vertical="center" wrapText="1"/>
    </xf>
    <xf numFmtId="166" fontId="9" fillId="0" borderId="38" xfId="18" applyFont="1" applyBorder="1" applyAlignment="1">
      <alignment horizontal="center" vertical="center" wrapText="1"/>
    </xf>
    <xf numFmtId="44" fontId="9" fillId="0" borderId="38" xfId="66" applyFont="1" applyBorder="1" applyAlignment="1">
      <alignment vertical="center" wrapText="1"/>
    </xf>
    <xf numFmtId="49" fontId="9" fillId="0" borderId="38" xfId="103" applyNumberFormat="1" applyBorder="1" applyAlignment="1">
      <alignment horizontal="center" vertical="center" wrapText="1"/>
    </xf>
    <xf numFmtId="0" fontId="9" fillId="0" borderId="0" xfId="103" applyAlignment="1">
      <alignment vertical="center"/>
    </xf>
    <xf numFmtId="0" fontId="9" fillId="0" borderId="38" xfId="103" applyBorder="1" applyAlignment="1">
      <alignment vertical="center"/>
    </xf>
    <xf numFmtId="0" fontId="9" fillId="0" borderId="38" xfId="103" applyBorder="1" applyAlignment="1">
      <alignment horizontal="center" vertical="center" wrapText="1"/>
    </xf>
    <xf numFmtId="0" fontId="9" fillId="0" borderId="0" xfId="103"/>
    <xf numFmtId="2" fontId="55" fillId="2" borderId="37" xfId="84" applyNumberFormat="1" applyFont="1" applyFill="1" applyBorder="1" applyAlignment="1">
      <alignment vertical="top" wrapText="1"/>
    </xf>
    <xf numFmtId="2" fontId="55" fillId="2" borderId="39" xfId="84" applyNumberFormat="1" applyFont="1" applyFill="1" applyBorder="1" applyAlignment="1">
      <alignment vertical="top" wrapText="1"/>
    </xf>
    <xf numFmtId="2" fontId="55" fillId="2" borderId="36" xfId="84" applyNumberFormat="1" applyFont="1" applyFill="1" applyBorder="1" applyAlignment="1">
      <alignment vertical="top" wrapText="1"/>
    </xf>
    <xf numFmtId="3" fontId="55" fillId="2" borderId="39" xfId="8" applyNumberFormat="1" applyFont="1" applyFill="1" applyBorder="1" applyAlignment="1">
      <alignment horizontal="center" vertical="top" wrapText="1"/>
    </xf>
    <xf numFmtId="179" fontId="55" fillId="2" borderId="37" xfId="84" applyNumberFormat="1" applyFont="1" applyFill="1" applyBorder="1" applyAlignment="1">
      <alignment vertical="top" wrapText="1"/>
    </xf>
    <xf numFmtId="179" fontId="55" fillId="2" borderId="36" xfId="84" applyNumberFormat="1" applyFont="1" applyFill="1" applyBorder="1" applyAlignment="1">
      <alignment vertical="top" wrapText="1"/>
    </xf>
    <xf numFmtId="0" fontId="9" fillId="0" borderId="0" xfId="103" applyAlignment="1">
      <alignment horizontal="center"/>
    </xf>
    <xf numFmtId="167" fontId="9" fillId="0" borderId="0" xfId="105" applyFont="1"/>
    <xf numFmtId="173" fontId="9" fillId="0" borderId="0" xfId="8" applyNumberFormat="1" applyFont="1"/>
    <xf numFmtId="2" fontId="55" fillId="66" borderId="33" xfId="84" applyNumberFormat="1" applyFont="1" applyFill="1" applyBorder="1" applyAlignment="1">
      <alignment horizontal="left" vertical="top" wrapText="1"/>
    </xf>
    <xf numFmtId="2" fontId="55" fillId="66" borderId="33" xfId="84" applyNumberFormat="1" applyFont="1" applyFill="1" applyBorder="1" applyAlignment="1">
      <alignment vertical="top" wrapText="1"/>
    </xf>
    <xf numFmtId="173" fontId="55" fillId="66" borderId="33" xfId="8" applyNumberFormat="1" applyFont="1" applyFill="1" applyBorder="1" applyAlignment="1">
      <alignment vertical="top" wrapText="1"/>
    </xf>
    <xf numFmtId="0" fontId="75" fillId="2" borderId="0" xfId="13" applyFont="1" applyFill="1" applyProtection="1">
      <protection hidden="1"/>
    </xf>
    <xf numFmtId="1" fontId="9" fillId="2" borderId="38" xfId="18" applyNumberFormat="1" applyFont="1" applyFill="1" applyBorder="1" applyAlignment="1">
      <alignment horizontal="center" vertical="center"/>
    </xf>
    <xf numFmtId="166" fontId="9" fillId="2" borderId="38" xfId="18" applyFont="1" applyFill="1" applyBorder="1" applyAlignment="1">
      <alignment horizontal="center" vertical="center"/>
    </xf>
    <xf numFmtId="0" fontId="9" fillId="0" borderId="38" xfId="89" applyFont="1" applyBorder="1" applyAlignment="1">
      <alignment horizontal="left" vertical="center"/>
    </xf>
    <xf numFmtId="4" fontId="79" fillId="2" borderId="37" xfId="62" applyNumberFormat="1" applyFont="1" applyFill="1" applyBorder="1" applyAlignment="1" applyProtection="1">
      <alignment vertical="center"/>
      <protection hidden="1"/>
    </xf>
    <xf numFmtId="166" fontId="9" fillId="2" borderId="38" xfId="18" applyFont="1" applyFill="1" applyBorder="1" applyAlignment="1">
      <alignment horizontal="left" vertical="center"/>
    </xf>
    <xf numFmtId="166" fontId="9" fillId="62" borderId="38" xfId="18" applyFont="1" applyFill="1" applyBorder="1" applyAlignment="1">
      <alignment horizontal="left" vertical="center"/>
    </xf>
    <xf numFmtId="49" fontId="79" fillId="2" borderId="38" xfId="62" applyNumberFormat="1" applyFont="1" applyFill="1" applyBorder="1" applyAlignment="1" applyProtection="1">
      <alignment horizontal="center" vertical="center"/>
      <protection hidden="1"/>
    </xf>
    <xf numFmtId="166" fontId="79" fillId="2" borderId="38" xfId="18" applyFont="1" applyFill="1" applyBorder="1" applyAlignment="1" applyProtection="1">
      <alignment vertical="center"/>
      <protection hidden="1"/>
    </xf>
    <xf numFmtId="2" fontId="9" fillId="0" borderId="38" xfId="63" applyNumberFormat="1" applyFont="1" applyBorder="1" applyAlignment="1">
      <alignment horizontal="left" vertical="center"/>
    </xf>
    <xf numFmtId="0" fontId="55" fillId="0" borderId="38" xfId="84" applyFont="1" applyBorder="1"/>
    <xf numFmtId="166" fontId="55" fillId="0" borderId="38" xfId="84" applyNumberFormat="1" applyFont="1" applyBorder="1"/>
    <xf numFmtId="0" fontId="9" fillId="0" borderId="38" xfId="84" applyFont="1" applyBorder="1"/>
    <xf numFmtId="44" fontId="9" fillId="0" borderId="38" xfId="84" applyNumberFormat="1" applyFont="1" applyBorder="1"/>
    <xf numFmtId="178" fontId="55" fillId="66" borderId="38" xfId="89" applyNumberFormat="1" applyFont="1" applyFill="1" applyBorder="1" applyAlignment="1" applyProtection="1">
      <alignment vertical="center" wrapText="1"/>
      <protection hidden="1"/>
    </xf>
    <xf numFmtId="0" fontId="55" fillId="66" borderId="37" xfId="89" applyFont="1" applyFill="1" applyBorder="1" applyAlignment="1" applyProtection="1">
      <alignment vertical="center" wrapText="1"/>
      <protection hidden="1"/>
    </xf>
    <xf numFmtId="178" fontId="55" fillId="66" borderId="38" xfId="89" applyNumberFormat="1" applyFont="1" applyFill="1" applyBorder="1" applyAlignment="1" applyProtection="1">
      <alignment horizontal="center" vertical="center" wrapText="1"/>
      <protection hidden="1"/>
    </xf>
    <xf numFmtId="178" fontId="55" fillId="66" borderId="39" xfId="89" applyNumberFormat="1" applyFont="1" applyFill="1" applyBorder="1" applyAlignment="1" applyProtection="1">
      <alignment horizontal="center" vertical="center" wrapText="1"/>
      <protection hidden="1"/>
    </xf>
    <xf numFmtId="0" fontId="55" fillId="66" borderId="39" xfId="89" applyFont="1" applyFill="1" applyBorder="1" applyAlignment="1" applyProtection="1">
      <alignment horizontal="center" vertical="center" wrapText="1"/>
      <protection hidden="1"/>
    </xf>
    <xf numFmtId="0" fontId="55" fillId="66" borderId="38" xfId="89" applyFont="1" applyFill="1" applyBorder="1" applyAlignment="1" applyProtection="1">
      <alignment vertical="center" wrapText="1"/>
      <protection hidden="1"/>
    </xf>
    <xf numFmtId="0" fontId="9" fillId="0" borderId="38" xfId="103" applyBorder="1"/>
    <xf numFmtId="0" fontId="9" fillId="62" borderId="38" xfId="103" applyFill="1" applyBorder="1"/>
    <xf numFmtId="14" fontId="69" fillId="0" borderId="0" xfId="63" applyNumberFormat="1" applyFont="1"/>
    <xf numFmtId="179" fontId="9" fillId="0" borderId="0" xfId="84" applyNumberFormat="1" applyFont="1"/>
    <xf numFmtId="0" fontId="70" fillId="0" borderId="0" xfId="84" applyFont="1"/>
    <xf numFmtId="166" fontId="70" fillId="0" borderId="0" xfId="18" applyFont="1"/>
    <xf numFmtId="0" fontId="72" fillId="0" borderId="0" xfId="84" applyFont="1"/>
    <xf numFmtId="0" fontId="9" fillId="0" borderId="1" xfId="103" applyBorder="1" applyAlignment="1">
      <alignment vertical="top" wrapText="1"/>
    </xf>
    <xf numFmtId="3" fontId="9" fillId="0" borderId="1" xfId="8" applyNumberFormat="1" applyFont="1" applyFill="1" applyBorder="1" applyAlignment="1">
      <alignment horizontal="center" vertical="top" wrapText="1"/>
    </xf>
    <xf numFmtId="44" fontId="9" fillId="63" borderId="1" xfId="66" applyFont="1" applyFill="1" applyBorder="1" applyAlignment="1" applyProtection="1">
      <protection locked="0"/>
    </xf>
    <xf numFmtId="0" fontId="9" fillId="0" borderId="38" xfId="103" applyBorder="1" applyAlignment="1">
      <alignment horizontal="center" vertical="top" wrapText="1"/>
    </xf>
    <xf numFmtId="44" fontId="9" fillId="0" borderId="1" xfId="66" applyFont="1" applyBorder="1" applyAlignment="1">
      <alignment vertical="top" wrapText="1"/>
    </xf>
    <xf numFmtId="44" fontId="9" fillId="35" borderId="38" xfId="66" applyFont="1" applyFill="1" applyBorder="1" applyAlignment="1" applyProtection="1">
      <protection locked="0"/>
    </xf>
    <xf numFmtId="44" fontId="9" fillId="0" borderId="38" xfId="103" applyNumberFormat="1" applyBorder="1" applyAlignment="1">
      <alignment horizontal="center" vertical="top" wrapText="1"/>
    </xf>
    <xf numFmtId="44" fontId="55" fillId="2" borderId="39" xfId="8" applyNumberFormat="1" applyFont="1" applyFill="1" applyBorder="1" applyAlignment="1">
      <alignment horizontal="center" vertical="top" wrapText="1"/>
    </xf>
    <xf numFmtId="44" fontId="55" fillId="2" borderId="36" xfId="8" applyNumberFormat="1" applyFont="1" applyFill="1" applyBorder="1" applyAlignment="1">
      <alignment horizontal="center" vertical="top" wrapText="1"/>
    </xf>
    <xf numFmtId="44" fontId="9" fillId="0" borderId="0" xfId="103" applyNumberFormat="1"/>
    <xf numFmtId="2" fontId="55" fillId="2" borderId="0" xfId="84" applyNumberFormat="1" applyFont="1" applyFill="1" applyAlignment="1">
      <alignment vertical="top" wrapText="1"/>
    </xf>
    <xf numFmtId="0" fontId="109" fillId="0" borderId="0" xfId="103" applyFont="1" applyAlignment="1">
      <alignment horizontal="left"/>
    </xf>
    <xf numFmtId="0" fontId="9" fillId="0" borderId="0" xfId="103" applyAlignment="1">
      <alignment horizontal="left"/>
    </xf>
    <xf numFmtId="167" fontId="9" fillId="0" borderId="0" xfId="105" applyFont="1" applyAlignment="1">
      <alignment horizontal="left"/>
    </xf>
    <xf numFmtId="173" fontId="9" fillId="0" borderId="0" xfId="8" applyNumberFormat="1" applyFont="1" applyAlignment="1">
      <alignment horizontal="left"/>
    </xf>
    <xf numFmtId="49" fontId="9" fillId="0" borderId="1" xfId="103" applyNumberFormat="1" applyBorder="1" applyAlignment="1">
      <alignment horizontal="center" vertical="top" wrapText="1"/>
    </xf>
    <xf numFmtId="0" fontId="9" fillId="0" borderId="1" xfId="103" applyBorder="1" applyAlignment="1">
      <alignment horizontal="center" vertical="top" wrapText="1"/>
    </xf>
    <xf numFmtId="44" fontId="55" fillId="2" borderId="38" xfId="8" applyNumberFormat="1" applyFont="1" applyFill="1" applyBorder="1" applyAlignment="1">
      <alignment horizontal="center" vertical="top" wrapText="1"/>
    </xf>
    <xf numFmtId="179" fontId="55" fillId="2" borderId="38" xfId="84" applyNumberFormat="1" applyFont="1" applyFill="1" applyBorder="1" applyAlignment="1">
      <alignment vertical="top" wrapText="1"/>
    </xf>
    <xf numFmtId="179" fontId="9" fillId="0" borderId="0" xfId="103" applyNumberFormat="1"/>
    <xf numFmtId="179" fontId="9" fillId="0" borderId="0" xfId="103" applyNumberFormat="1" applyAlignment="1">
      <alignment horizontal="center"/>
    </xf>
    <xf numFmtId="0" fontId="9" fillId="62" borderId="1" xfId="13" applyFont="1" applyFill="1" applyBorder="1" applyProtection="1">
      <protection hidden="1"/>
    </xf>
    <xf numFmtId="0" fontId="55" fillId="66" borderId="37" xfId="84" applyFont="1" applyFill="1" applyBorder="1" applyAlignment="1">
      <alignment vertical="center"/>
    </xf>
    <xf numFmtId="0" fontId="55" fillId="66" borderId="39" xfId="84" applyFont="1" applyFill="1" applyBorder="1" applyAlignment="1">
      <alignment vertical="center"/>
    </xf>
    <xf numFmtId="0" fontId="55" fillId="66" borderId="36" xfId="84" applyFont="1" applyFill="1" applyBorder="1" applyAlignment="1">
      <alignment vertical="center"/>
    </xf>
    <xf numFmtId="0" fontId="55" fillId="66" borderId="35" xfId="84" applyFont="1" applyFill="1" applyBorder="1" applyAlignment="1">
      <alignment vertical="center"/>
    </xf>
    <xf numFmtId="0" fontId="55" fillId="66" borderId="2" xfId="84" applyFont="1" applyFill="1" applyBorder="1" applyAlignment="1">
      <alignment vertical="center"/>
    </xf>
    <xf numFmtId="0" fontId="84" fillId="62" borderId="38" xfId="0" applyFont="1" applyFill="1" applyBorder="1" applyAlignment="1">
      <alignment vertical="center"/>
    </xf>
    <xf numFmtId="0" fontId="55" fillId="66" borderId="38" xfId="0" applyFont="1" applyFill="1" applyBorder="1" applyAlignment="1">
      <alignment vertical="top" wrapText="1"/>
    </xf>
    <xf numFmtId="178" fontId="55" fillId="66" borderId="4" xfId="89" applyNumberFormat="1" applyFont="1" applyFill="1" applyBorder="1" applyAlignment="1" applyProtection="1">
      <alignment vertical="center" wrapText="1"/>
      <protection hidden="1"/>
    </xf>
    <xf numFmtId="178" fontId="55" fillId="66" borderId="4" xfId="89" applyNumberFormat="1" applyFont="1" applyFill="1" applyBorder="1" applyAlignment="1" applyProtection="1">
      <alignment horizontal="center" vertical="center" wrapText="1"/>
      <protection hidden="1"/>
    </xf>
    <xf numFmtId="44" fontId="9" fillId="0" borderId="38" xfId="103" applyNumberFormat="1" applyBorder="1"/>
    <xf numFmtId="0" fontId="9" fillId="0" borderId="0" xfId="103" applyAlignment="1">
      <alignment vertical="top"/>
    </xf>
    <xf numFmtId="0" fontId="9" fillId="0" borderId="38" xfId="103" applyBorder="1" applyAlignment="1">
      <alignment horizontal="center" vertical="center"/>
    </xf>
    <xf numFmtId="0" fontId="110" fillId="0" borderId="0" xfId="0" applyFont="1"/>
    <xf numFmtId="0" fontId="9" fillId="0" borderId="42" xfId="0" applyFont="1" applyBorder="1" applyAlignment="1">
      <alignment vertical="center" wrapText="1"/>
    </xf>
    <xf numFmtId="0" fontId="9" fillId="0" borderId="42" xfId="0" applyFont="1" applyBorder="1"/>
    <xf numFmtId="10" fontId="9" fillId="0" borderId="0" xfId="16" applyNumberFormat="1" applyFont="1"/>
    <xf numFmtId="173" fontId="55" fillId="2" borderId="38" xfId="8" applyNumberFormat="1" applyFont="1" applyFill="1" applyBorder="1" applyAlignment="1">
      <alignment horizontal="center"/>
    </xf>
    <xf numFmtId="166" fontId="9" fillId="62" borderId="38" xfId="18" applyFont="1" applyFill="1" applyBorder="1" applyAlignment="1">
      <alignment horizontal="center"/>
    </xf>
    <xf numFmtId="49" fontId="35" fillId="63" borderId="0" xfId="62" applyNumberFormat="1" applyFont="1" applyFill="1" applyAlignment="1" applyProtection="1">
      <alignment horizontal="left" vertical="top"/>
      <protection hidden="1"/>
    </xf>
    <xf numFmtId="186" fontId="69" fillId="0" borderId="0" xfId="63" applyNumberFormat="1" applyFont="1" applyAlignment="1">
      <alignment horizontal="left"/>
    </xf>
    <xf numFmtId="4" fontId="79" fillId="67" borderId="37" xfId="62" applyNumberFormat="1" applyFont="1" applyFill="1" applyBorder="1" applyAlignment="1" applyProtection="1">
      <alignment vertical="center"/>
      <protection hidden="1"/>
    </xf>
    <xf numFmtId="166" fontId="9" fillId="67" borderId="38" xfId="18" applyFont="1" applyFill="1" applyBorder="1" applyAlignment="1">
      <alignment horizontal="left" vertical="center"/>
    </xf>
    <xf numFmtId="0" fontId="89" fillId="66" borderId="38" xfId="0" applyFont="1" applyFill="1" applyBorder="1" applyAlignment="1"/>
    <xf numFmtId="0" fontId="55" fillId="66" borderId="37" xfId="59" applyFont="1" applyFill="1" applyBorder="1" applyAlignment="1">
      <alignment vertical="top" wrapText="1"/>
    </xf>
    <xf numFmtId="0" fontId="9" fillId="0" borderId="37" xfId="0" applyFont="1" applyBorder="1" applyAlignment="1">
      <alignment vertical="center" wrapText="1"/>
    </xf>
    <xf numFmtId="2" fontId="55" fillId="66" borderId="37" xfId="0" applyNumberFormat="1" applyFont="1" applyFill="1" applyBorder="1" applyAlignment="1">
      <alignment horizontal="center" vertical="center" wrapText="1"/>
    </xf>
    <xf numFmtId="2" fontId="55" fillId="66" borderId="39" xfId="0" applyNumberFormat="1" applyFont="1" applyFill="1" applyBorder="1" applyAlignment="1">
      <alignment horizontal="center" vertical="center" wrapText="1"/>
    </xf>
    <xf numFmtId="2" fontId="55" fillId="66" borderId="36" xfId="0" applyNumberFormat="1" applyFont="1" applyFill="1" applyBorder="1" applyAlignment="1">
      <alignment horizontal="center" vertical="center" wrapText="1"/>
    </xf>
    <xf numFmtId="167" fontId="55" fillId="66" borderId="34" xfId="8" applyFont="1" applyFill="1" applyBorder="1" applyAlignment="1">
      <alignment horizontal="center" vertical="top" wrapText="1"/>
    </xf>
    <xf numFmtId="167" fontId="55" fillId="66" borderId="35" xfId="8" applyFont="1" applyFill="1" applyBorder="1" applyAlignment="1">
      <alignment horizontal="center" vertical="top" wrapText="1"/>
    </xf>
    <xf numFmtId="49" fontId="55" fillId="66" borderId="37" xfId="63" applyNumberFormat="1" applyFont="1" applyFill="1" applyBorder="1" applyAlignment="1">
      <alignment horizontal="left" vertical="top" wrapText="1"/>
    </xf>
    <xf numFmtId="49" fontId="55" fillId="66" borderId="39" xfId="63" applyNumberFormat="1" applyFont="1" applyFill="1" applyBorder="1" applyAlignment="1">
      <alignment horizontal="left" vertical="top" wrapText="1"/>
    </xf>
    <xf numFmtId="49" fontId="55" fillId="66" borderId="36" xfId="63" applyNumberFormat="1" applyFont="1" applyFill="1" applyBorder="1" applyAlignment="1">
      <alignment horizontal="left" vertical="top" wrapText="1"/>
    </xf>
    <xf numFmtId="0" fontId="9" fillId="0" borderId="37" xfId="0" applyFont="1" applyBorder="1" applyAlignment="1">
      <alignment horizontal="left"/>
    </xf>
    <xf numFmtId="0" fontId="9" fillId="0" borderId="36" xfId="0" applyFont="1" applyBorder="1" applyAlignment="1">
      <alignment horizontal="left"/>
    </xf>
    <xf numFmtId="0" fontId="55" fillId="0" borderId="37" xfId="13" applyFont="1" applyBorder="1" applyAlignment="1" applyProtection="1">
      <alignment horizontal="left" vertical="center"/>
      <protection hidden="1"/>
    </xf>
    <xf numFmtId="0" fontId="55" fillId="0" borderId="36" xfId="13" applyFont="1" applyBorder="1" applyAlignment="1" applyProtection="1">
      <alignment horizontal="left" vertical="center"/>
      <protection hidden="1"/>
    </xf>
    <xf numFmtId="2" fontId="91" fillId="66" borderId="38" xfId="13" applyNumberFormat="1" applyFont="1" applyFill="1" applyBorder="1" applyAlignment="1" applyProtection="1">
      <alignment horizontal="center" vertical="center" wrapText="1"/>
      <protection hidden="1"/>
    </xf>
    <xf numFmtId="2" fontId="91" fillId="66" borderId="37" xfId="3" applyNumberFormat="1" applyFont="1" applyFill="1" applyBorder="1" applyAlignment="1" applyProtection="1">
      <alignment horizontal="center" vertical="center" wrapText="1"/>
      <protection hidden="1"/>
    </xf>
    <xf numFmtId="0" fontId="55" fillId="66" borderId="36" xfId="0" applyFont="1" applyFill="1" applyBorder="1" applyAlignment="1">
      <alignment horizontal="center" vertical="center" wrapText="1"/>
    </xf>
    <xf numFmtId="0" fontId="9" fillId="0" borderId="0" xfId="0" applyFont="1" applyAlignment="1">
      <alignment horizontal="left" vertical="top" wrapText="1"/>
    </xf>
    <xf numFmtId="2" fontId="91" fillId="66" borderId="37" xfId="13" applyNumberFormat="1" applyFont="1" applyFill="1" applyBorder="1" applyAlignment="1" applyProtection="1">
      <alignment horizontal="center" vertical="center" wrapText="1"/>
      <protection hidden="1"/>
    </xf>
    <xf numFmtId="2" fontId="91" fillId="66" borderId="39" xfId="13" applyNumberFormat="1" applyFont="1" applyFill="1" applyBorder="1" applyAlignment="1" applyProtection="1">
      <alignment horizontal="center" vertical="center" wrapText="1"/>
      <protection hidden="1"/>
    </xf>
    <xf numFmtId="2" fontId="91" fillId="66" borderId="36" xfId="13" applyNumberFormat="1" applyFont="1" applyFill="1" applyBorder="1" applyAlignment="1" applyProtection="1">
      <alignment horizontal="center" vertical="center" wrapText="1"/>
      <protection hidden="1"/>
    </xf>
    <xf numFmtId="0" fontId="9" fillId="0" borderId="37" xfId="9" applyFont="1" applyBorder="1" applyAlignment="1" applyProtection="1">
      <alignment horizontal="center"/>
      <protection hidden="1"/>
    </xf>
    <xf numFmtId="0" fontId="9" fillId="0" borderId="39" xfId="9" applyFont="1" applyBorder="1" applyAlignment="1" applyProtection="1">
      <alignment horizontal="center"/>
      <protection hidden="1"/>
    </xf>
    <xf numFmtId="0" fontId="9" fillId="0" borderId="36" xfId="9" applyFont="1" applyBorder="1" applyAlignment="1" applyProtection="1">
      <alignment horizontal="center"/>
      <protection hidden="1"/>
    </xf>
    <xf numFmtId="0" fontId="84" fillId="0" borderId="37" xfId="0" applyFont="1" applyBorder="1" applyAlignment="1">
      <alignment horizontal="left" vertical="top" wrapText="1"/>
    </xf>
    <xf numFmtId="0" fontId="84" fillId="0" borderId="36" xfId="0" applyFont="1" applyBorder="1" applyAlignment="1">
      <alignment horizontal="left" vertical="top" wrapText="1"/>
    </xf>
    <xf numFmtId="0" fontId="55" fillId="66" borderId="37" xfId="0" applyFont="1" applyFill="1" applyBorder="1" applyAlignment="1">
      <alignment horizontal="left" vertical="top" wrapText="1"/>
    </xf>
    <xf numFmtId="0" fontId="55" fillId="66" borderId="36" xfId="0" applyFont="1" applyFill="1" applyBorder="1" applyAlignment="1">
      <alignment horizontal="left" vertical="top" wrapText="1"/>
    </xf>
    <xf numFmtId="0" fontId="55" fillId="66" borderId="38" xfId="89" applyFont="1" applyFill="1" applyBorder="1" applyAlignment="1" applyProtection="1">
      <alignment horizontal="left" vertical="center" wrapText="1"/>
      <protection hidden="1"/>
    </xf>
    <xf numFmtId="0" fontId="9" fillId="62" borderId="38" xfId="103" applyFill="1" applyBorder="1" applyAlignment="1">
      <alignment horizontal="center"/>
    </xf>
    <xf numFmtId="0" fontId="89" fillId="66" borderId="35" xfId="103" applyFont="1" applyFill="1" applyBorder="1" applyAlignment="1">
      <alignment horizontal="center"/>
    </xf>
    <xf numFmtId="0" fontId="89" fillId="66" borderId="2" xfId="103" applyFont="1" applyFill="1" applyBorder="1" applyAlignment="1">
      <alignment horizontal="center"/>
    </xf>
    <xf numFmtId="166" fontId="79" fillId="63" borderId="38" xfId="18" applyFont="1" applyFill="1" applyBorder="1" applyAlignment="1" applyProtection="1">
      <alignment vertical="center"/>
      <protection locked="0"/>
    </xf>
    <xf numFmtId="166" fontId="9" fillId="0" borderId="0" xfId="18" applyFont="1" applyBorder="1" applyAlignment="1">
      <alignment vertical="center"/>
    </xf>
    <xf numFmtId="166" fontId="9" fillId="0" borderId="43" xfId="18" applyFont="1" applyBorder="1" applyAlignment="1">
      <alignment vertical="center"/>
    </xf>
  </cellXfs>
  <cellStyles count="5289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 2" xfId="52889" xr:uid="{8DE0278D-7C3A-4A75-8019-901D5B72E934}"/>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10" xfId="52892" xr:uid="{CB6FB0D2-AFE1-42A0-8FB1-08E18ABC60D3}"/>
    <cellStyle name="Komma 11" xfId="52893" xr:uid="{E4327EF7-FBBD-4A1A-9E6F-FFE83EE23593}"/>
    <cellStyle name="Komma 12" xfId="52895" xr:uid="{A8888F3D-9F10-4282-889D-A871E78FB046}"/>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mma 7" xfId="52888" xr:uid="{2E46DDC6-9150-4944-AB41-BF895D286AC4}"/>
    <cellStyle name="Komma 8" xfId="52890" xr:uid="{F03A69C8-66CF-4DAB-B1E0-227EB0E73711}"/>
    <cellStyle name="Komma 9" xfId="52891" xr:uid="{3CFFEDE8-F730-4756-845A-00AD72AC151D}"/>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xfId="52886" xr:uid="{A3D6A8D1-63B7-46EF-A146-423335C36797}"/>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15" xfId="52887" xr:uid="{53D62D40-8FD2-4D07-B5A2-6ECFDCD0061B}"/>
    <cellStyle name="Standaard 16" xfId="52894" xr:uid="{9FFF69DC-5494-4F7D-A72A-BB2E8ADF9A55}"/>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E4002B"/>
      <color rgb="FF0A4983"/>
      <color rgb="FF324091"/>
      <color rgb="FF9FD2DF"/>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38</xdr:row>
      <xdr:rowOff>154781</xdr:rowOff>
    </xdr:to>
    <xdr:sp macro="" textlink="">
      <xdr:nvSpPr>
        <xdr:cNvPr id="2" name="Tekstvak 2">
          <a:extLst>
            <a:ext uri="{FF2B5EF4-FFF2-40B4-BE49-F238E27FC236}">
              <a16:creationId xmlns:a16="http://schemas.microsoft.com/office/drawing/2014/main" id="{C7D6EBC4-151B-4F97-BAC9-683FC3F6FDC1}"/>
            </a:ext>
          </a:extLst>
        </xdr:cNvPr>
        <xdr:cNvSpPr txBox="1"/>
      </xdr:nvSpPr>
      <xdr:spPr>
        <a:xfrm>
          <a:off x="1905" y="1004887"/>
          <a:ext cx="11083290" cy="56268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Arial" panose="020B0604020202020204" pitchFamily="34" charset="0"/>
              <a:ea typeface="+mn-ea"/>
              <a:cs typeface="Arial" panose="020B0604020202020204" pitchFamily="34" charset="0"/>
            </a:rPr>
            <a:t>Algemeen</a:t>
          </a:r>
          <a:endParaRPr lang="nl-NL" sz="1000" b="1">
            <a:solidFill>
              <a:schemeClr val="dk1"/>
            </a:solidFill>
            <a:effectLst/>
            <a:latin typeface="Arial" panose="020B0604020202020204" pitchFamily="34" charset="0"/>
            <a:ea typeface="+mn-ea"/>
            <a:cs typeface="Arial" panose="020B0604020202020204" pitchFamily="34" charset="0"/>
          </a:endParaRPr>
        </a:p>
        <a:p>
          <a:pPr marL="0" lvl="0" indent="0"/>
          <a:r>
            <a:rPr lang="nl-NL" sz="1000" b="0">
              <a:solidFill>
                <a:schemeClr val="dk1"/>
              </a:solidFill>
              <a:effectLst/>
              <a:latin typeface="Arial" panose="020B0604020202020204" pitchFamily="34" charset="0"/>
              <a:ea typeface="+mn-ea"/>
              <a:cs typeface="Arial" panose="020B0604020202020204" pitchFamily="34" charset="0"/>
            </a:rPr>
            <a:t>De inschrijver draagt er zorg voor dat de totstandkoming van het inschrijvingsbedrag overeenkomt met de onderliggende tabbladen. Indien dit niet het geval is wordt de inschrijving ongeldig verklaard.</a:t>
          </a:r>
        </a:p>
        <a:p>
          <a:pPr lvl="0"/>
          <a:endParaRPr lang="nl-NL" sz="1000" b="0">
            <a:solidFill>
              <a:schemeClr val="dk1"/>
            </a:solidFill>
            <a:effectLst/>
            <a:latin typeface="Arial" panose="020B0604020202020204" pitchFamily="34" charset="0"/>
            <a:ea typeface="+mn-ea"/>
            <a:cs typeface="Arial" panose="020B0604020202020204" pitchFamily="34" charset="0"/>
          </a:endParaRPr>
        </a:p>
        <a:p>
          <a:pPr lvl="0"/>
          <a:r>
            <a:rPr lang="nl-NL" sz="1000" b="0">
              <a:solidFill>
                <a:schemeClr val="dk1"/>
              </a:solidFill>
              <a:effectLst/>
              <a:latin typeface="Arial" panose="020B0604020202020204" pitchFamily="34" charset="0"/>
              <a:ea typeface="+mn-ea"/>
              <a:cs typeface="Arial" panose="020B0604020202020204" pitchFamily="34" charset="0"/>
            </a:rPr>
            <a:t>Het door de inschrijver ingediende inschrijfbedrag is de maximale vergoeding voor het gevraagde in de aanbestedingsdocumenten.</a:t>
          </a:r>
        </a:p>
        <a:p>
          <a:pPr lvl="0"/>
          <a:endParaRPr lang="nl-NL" sz="1000" b="1">
            <a:solidFill>
              <a:schemeClr val="dk1"/>
            </a:solidFill>
            <a:effectLst/>
            <a:latin typeface="Arial" panose="020B0604020202020204" pitchFamily="34" charset="0"/>
            <a:ea typeface="+mn-ea"/>
            <a:cs typeface="Arial" panose="020B0604020202020204" pitchFamily="34" charset="0"/>
          </a:endParaRPr>
        </a:p>
        <a:p>
          <a:pPr lvl="0"/>
          <a:r>
            <a:rPr lang="nl-NL" sz="1200" b="1" u="none">
              <a:solidFill>
                <a:sysClr val="windowText" lastClr="000000"/>
              </a:solidFill>
              <a:effectLst/>
              <a:latin typeface="Arial" panose="020B0604020202020204" pitchFamily="34" charset="0"/>
              <a:ea typeface="+mn-ea"/>
              <a:cs typeface="Arial" panose="020B0604020202020204" pitchFamily="34" charset="0"/>
            </a:rPr>
            <a:t>Toelichting</a:t>
          </a:r>
          <a:r>
            <a:rPr lang="nl-NL" sz="1200" b="1" u="none" baseline="0">
              <a:solidFill>
                <a:sysClr val="windowText" lastClr="000000"/>
              </a:solidFill>
              <a:effectLst/>
              <a:latin typeface="Arial" panose="020B0604020202020204" pitchFamily="34" charset="0"/>
              <a:ea typeface="+mn-ea"/>
              <a:cs typeface="Arial" panose="020B0604020202020204" pitchFamily="34" charset="0"/>
            </a:rPr>
            <a:t> maximale bovensgrens plafond inschrijvingsbedrag en maximum ondergrens inschrijvingsbedrag</a:t>
          </a:r>
        </a:p>
        <a:p>
          <a:pPr lvl="0"/>
          <a:r>
            <a:rPr lang="nl-NL" sz="1000" b="0" u="none" baseline="0">
              <a:solidFill>
                <a:sysClr val="windowText" lastClr="000000"/>
              </a:solidFill>
              <a:effectLst/>
              <a:latin typeface="Arial" panose="020B0604020202020204" pitchFamily="34" charset="0"/>
              <a:ea typeface="+mn-ea"/>
              <a:cs typeface="Arial" panose="020B0604020202020204" pitchFamily="34" charset="0"/>
            </a:rPr>
            <a:t>Inschrijvingen boven het maximum en beneden het minimum inschrijvingsbedrag worden terzijde gelegd. </a:t>
          </a:r>
          <a:endParaRPr lang="nl-NL" sz="1000" b="1" u="none" baseline="0">
            <a:solidFill>
              <a:sysClr val="windowText" lastClr="000000"/>
            </a:solidFill>
            <a:effectLst/>
            <a:latin typeface="Arial" panose="020B0604020202020204" pitchFamily="34" charset="0"/>
            <a:ea typeface="+mn-ea"/>
            <a:cs typeface="Arial" panose="020B0604020202020204" pitchFamily="34" charset="0"/>
          </a:endParaRPr>
        </a:p>
        <a:p>
          <a:pPr lvl="0"/>
          <a:endParaRPr lang="nl-NL" sz="1000" b="0" u="sng" baseline="0">
            <a:solidFill>
              <a:srgbClr val="FF0000"/>
            </a:solidFill>
            <a:effectLst/>
            <a:latin typeface="Arial" panose="020B0604020202020204" pitchFamily="34" charset="0"/>
            <a:ea typeface="+mn-ea"/>
            <a:cs typeface="Arial" panose="020B0604020202020204" pitchFamily="34" charset="0"/>
          </a:endParaRPr>
        </a:p>
        <a:p>
          <a:pPr lvl="0"/>
          <a:r>
            <a:rPr lang="nl-NL" sz="1200" b="1" u="none" baseline="0">
              <a:solidFill>
                <a:sysClr val="windowText" lastClr="000000"/>
              </a:solidFill>
              <a:effectLst/>
              <a:latin typeface="Arial" panose="020B0604020202020204" pitchFamily="34" charset="0"/>
              <a:ea typeface="+mn-ea"/>
              <a:cs typeface="Arial" panose="020B0604020202020204" pitchFamily="34" charset="0"/>
            </a:rPr>
            <a:t>Toelichting maximale bovengrens budget per VOvA locatie</a:t>
          </a:r>
          <a:endParaRPr lang="nl-NL" sz="1200" b="1" u="none">
            <a:solidFill>
              <a:sysClr val="windowText" lastClr="000000"/>
            </a:solidFill>
            <a:effectLst/>
            <a:latin typeface="Arial" panose="020B0604020202020204" pitchFamily="34" charset="0"/>
            <a:ea typeface="+mn-ea"/>
            <a:cs typeface="Arial" panose="020B0604020202020204" pitchFamily="34" charset="0"/>
          </a:endParaRPr>
        </a:p>
        <a:p>
          <a:pPr lvl="0"/>
          <a:r>
            <a:rPr lang="nl-NL" sz="1000" b="0">
              <a:solidFill>
                <a:schemeClr val="dk1"/>
              </a:solidFill>
              <a:effectLst/>
              <a:latin typeface="Arial" panose="020B0604020202020204" pitchFamily="34" charset="0"/>
              <a:ea typeface="+mn-ea"/>
              <a:cs typeface="Arial" panose="020B0604020202020204" pitchFamily="34" charset="0"/>
            </a:rPr>
            <a:t>Per VOvA locatie is een maximale bovengrens plafondbedrag vastgesteld. </a:t>
          </a:r>
          <a:r>
            <a:rPr lang="nl-NL" sz="1000" b="0">
              <a:solidFill>
                <a:sysClr val="windowText" lastClr="000000"/>
              </a:solidFill>
              <a:effectLst/>
              <a:latin typeface="Arial" panose="020B0604020202020204" pitchFamily="34" charset="0"/>
              <a:ea typeface="+mn-ea"/>
              <a:cs typeface="Arial" panose="020B0604020202020204" pitchFamily="34" charset="0"/>
            </a:rPr>
            <a:t>De optelsom van de maximale bovengrenzen voor de VOvA locaties ligt hoger dan de maximale bovengrens plafondbedrag van het inschrijvingsbedrag.</a:t>
          </a:r>
        </a:p>
        <a:p>
          <a:pPr lvl="0"/>
          <a:r>
            <a:rPr lang="nl-NL" sz="1000" b="0">
              <a:solidFill>
                <a:schemeClr val="dk1"/>
              </a:solidFill>
              <a:effectLst/>
              <a:latin typeface="Arial" panose="020B0604020202020204" pitchFamily="34" charset="0"/>
              <a:ea typeface="+mn-ea"/>
              <a:cs typeface="Arial" panose="020B0604020202020204" pitchFamily="34" charset="0"/>
            </a:rPr>
            <a:t>Deze maximale bovengrens plafondbedrag van het inschrijvingsbedrag mag niet overschreden worden. De inschrijver is zelf verantwoordelijk om zowel de maximale bovengrens plafondbedrag per VOvA locatie én de maximale bovengrens plafondbedrag inschrijvingsbedrag niet te overschrijden én de maximale ondergrens inschrijvingsbedrag te onderschrijden.</a:t>
          </a:r>
        </a:p>
        <a:p>
          <a:pPr lvl="0"/>
          <a:endParaRPr lang="nl-NL" sz="1000" b="0">
            <a:solidFill>
              <a:schemeClr val="dk1"/>
            </a:solidFill>
            <a:effectLst/>
            <a:latin typeface="Arial" panose="020B0604020202020204" pitchFamily="34" charset="0"/>
            <a:ea typeface="+mn-ea"/>
            <a:cs typeface="Arial" panose="020B0604020202020204" pitchFamily="34" charset="0"/>
          </a:endParaRPr>
        </a:p>
        <a:p>
          <a:pPr lvl="0"/>
          <a:r>
            <a:rPr lang="nl-NL" sz="1200" b="1">
              <a:solidFill>
                <a:schemeClr val="dk1"/>
              </a:solidFill>
              <a:effectLst/>
              <a:latin typeface="Arial" panose="020B0604020202020204" pitchFamily="34" charset="0"/>
              <a:ea typeface="+mn-ea"/>
              <a:cs typeface="Arial" panose="020B0604020202020204" pitchFamily="34" charset="0"/>
            </a:rPr>
            <a:t>Prijsniveau</a:t>
          </a:r>
          <a:endParaRPr lang="nl-NL" sz="1000" b="1">
            <a:solidFill>
              <a:schemeClr val="dk1"/>
            </a:solidFill>
            <a:effectLst/>
            <a:latin typeface="Arial" panose="020B0604020202020204" pitchFamily="34" charset="0"/>
            <a:ea typeface="+mn-ea"/>
            <a:cs typeface="Arial" panose="020B0604020202020204" pitchFamily="34" charset="0"/>
          </a:endParaRPr>
        </a:p>
        <a:p>
          <a:r>
            <a:rPr lang="nl-NL" sz="1000" b="0">
              <a:solidFill>
                <a:schemeClr val="dk1"/>
              </a:solidFill>
              <a:effectLst/>
              <a:latin typeface="Arial" panose="020B0604020202020204" pitchFamily="34" charset="0"/>
              <a:ea typeface="+mn-ea"/>
              <a:cs typeface="Arial" panose="020B0604020202020204" pitchFamily="34" charset="0"/>
            </a:rPr>
            <a:t>Het loon- en </a:t>
          </a:r>
          <a:r>
            <a:rPr lang="nl-NL" sz="1000" b="0">
              <a:solidFill>
                <a:schemeClr val="tx1"/>
              </a:solidFill>
              <a:effectLst/>
              <a:latin typeface="Arial" panose="020B0604020202020204" pitchFamily="34" charset="0"/>
              <a:ea typeface="+mn-ea"/>
              <a:cs typeface="Arial" panose="020B0604020202020204" pitchFamily="34" charset="0"/>
            </a:rPr>
            <a:t>prijspeil van 1 juli 2025 is </a:t>
          </a:r>
          <a:r>
            <a:rPr lang="nl-NL" sz="1000" b="0">
              <a:solidFill>
                <a:schemeClr val="dk1"/>
              </a:solidFill>
              <a:effectLst/>
              <a:latin typeface="Arial" panose="020B0604020202020204" pitchFamily="34" charset="0"/>
              <a:ea typeface="+mn-ea"/>
              <a:cs typeface="Arial" panose="020B0604020202020204" pitchFamily="34" charset="0"/>
            </a:rPr>
            <a:t>het uitgangspunt voor alle aan te bieden tarieven en prijzen. De prijzen worden weergegeven exclusief de verschuldigde B.T.W. </a:t>
          </a:r>
          <a:endParaRPr lang="nl-NL" sz="1000" b="1">
            <a:solidFill>
              <a:schemeClr val="dk1"/>
            </a:solidFill>
            <a:effectLst/>
            <a:latin typeface="Arial" panose="020B0604020202020204" pitchFamily="34" charset="0"/>
            <a:ea typeface="+mn-ea"/>
            <a:cs typeface="Arial" panose="020B0604020202020204" pitchFamily="34" charset="0"/>
          </a:endParaRPr>
        </a:p>
        <a:p>
          <a:endParaRPr lang="nl-NL" sz="1000" b="1">
            <a:solidFill>
              <a:schemeClr val="dk1"/>
            </a:solidFill>
            <a:effectLst/>
            <a:latin typeface="Arial" panose="020B0604020202020204" pitchFamily="34" charset="0"/>
            <a:ea typeface="+mn-ea"/>
            <a:cs typeface="Arial" panose="020B0604020202020204" pitchFamily="34" charset="0"/>
          </a:endParaRPr>
        </a:p>
        <a:p>
          <a:pPr lvl="0"/>
          <a:r>
            <a:rPr lang="nl-NL" sz="1200" b="1">
              <a:solidFill>
                <a:schemeClr val="dk1"/>
              </a:solidFill>
              <a:effectLst/>
              <a:latin typeface="Arial" panose="020B0604020202020204" pitchFamily="34" charset="0"/>
              <a:ea typeface="+mn-ea"/>
              <a:cs typeface="Arial" panose="020B0604020202020204" pitchFamily="34" charset="0"/>
            </a:rPr>
            <a:t>Contractjaarprijs</a:t>
          </a:r>
          <a:endParaRPr lang="nl-NL" sz="1000" b="1">
            <a:solidFill>
              <a:schemeClr val="dk1"/>
            </a:solidFill>
            <a:effectLst/>
            <a:latin typeface="Arial" panose="020B0604020202020204" pitchFamily="34" charset="0"/>
            <a:ea typeface="+mn-ea"/>
            <a:cs typeface="Arial" panose="020B0604020202020204" pitchFamily="34" charset="0"/>
          </a:endParaRPr>
        </a:p>
        <a:p>
          <a:r>
            <a:rPr lang="nl-NL" sz="1000" b="0">
              <a:solidFill>
                <a:schemeClr val="dk1"/>
              </a:solidFill>
              <a:effectLst/>
              <a:latin typeface="Arial" panose="020B0604020202020204" pitchFamily="34" charset="0"/>
              <a:ea typeface="+mn-ea"/>
              <a:cs typeface="Arial" panose="020B0604020202020204" pitchFamily="34" charset="0"/>
            </a:rPr>
            <a:t>De contractjaarprijs is opgebouwd uit alle componenten die zijn opgenomen in het calculatiemodel met </a:t>
          </a:r>
          <a:r>
            <a:rPr lang="nl-NL" sz="1000" b="0">
              <a:solidFill>
                <a:sysClr val="windowText" lastClr="000000"/>
              </a:solidFill>
              <a:effectLst/>
              <a:latin typeface="Arial" panose="020B0604020202020204" pitchFamily="34" charset="0"/>
              <a:ea typeface="+mn-ea"/>
              <a:cs typeface="Arial" panose="020B0604020202020204" pitchFamily="34" charset="0"/>
            </a:rPr>
            <a:t>uitzondering van de afroepprijzen.</a:t>
          </a:r>
          <a:endParaRPr lang="nl-NL" sz="1000" b="1">
            <a:solidFill>
              <a:sysClr val="windowText" lastClr="000000"/>
            </a:solidFill>
            <a:effectLst/>
            <a:latin typeface="Arial" panose="020B0604020202020204" pitchFamily="34" charset="0"/>
            <a:ea typeface="+mn-ea"/>
            <a:cs typeface="Arial" panose="020B0604020202020204" pitchFamily="34" charset="0"/>
          </a:endParaRPr>
        </a:p>
        <a:p>
          <a:r>
            <a:rPr lang="nl-NL" sz="1000" b="0">
              <a:solidFill>
                <a:schemeClr val="dk1"/>
              </a:solidFill>
              <a:effectLst/>
              <a:latin typeface="Arial" panose="020B0604020202020204" pitchFamily="34" charset="0"/>
              <a:ea typeface="+mn-ea"/>
              <a:cs typeface="Arial" panose="020B0604020202020204" pitchFamily="34" charset="0"/>
            </a:rPr>
            <a:t> </a:t>
          </a:r>
          <a:endParaRPr lang="nl-NL" sz="1000" b="1">
            <a:solidFill>
              <a:schemeClr val="dk1"/>
            </a:solidFill>
            <a:effectLst/>
            <a:latin typeface="Arial" panose="020B0604020202020204" pitchFamily="34" charset="0"/>
            <a:ea typeface="+mn-ea"/>
            <a:cs typeface="Arial" panose="020B0604020202020204" pitchFamily="34" charset="0"/>
          </a:endParaRPr>
        </a:p>
        <a:p>
          <a:r>
            <a:rPr lang="nl-NL" sz="1000" b="0">
              <a:solidFill>
                <a:schemeClr val="dk1"/>
              </a:solidFill>
              <a:effectLst/>
              <a:latin typeface="Arial" panose="020B0604020202020204" pitchFamily="34" charset="0"/>
              <a:ea typeface="+mn-ea"/>
              <a:cs typeface="Arial" panose="020B0604020202020204" pitchFamily="34" charset="0"/>
            </a:rPr>
            <a:t>Bij vaststelling van de contractjaarprijs wordt rekening gehouden met de overname uren en kosten zoals gesteld in bijlage I Overname personeel. Na gunning van de opdracht wordt op basis van de daadwerkelijke overnamekosten de definitieve contractjaarprijs vastgesteld.</a:t>
          </a:r>
          <a:endParaRPr lang="nl-NL" sz="1000">
            <a:effectLst/>
            <a:latin typeface="Arial" panose="020B0604020202020204" pitchFamily="34" charset="0"/>
            <a:cs typeface="Arial" panose="020B0604020202020204" pitchFamily="34" charset="0"/>
          </a:endParaRPr>
        </a:p>
        <a:p>
          <a:endParaRPr lang="nl-NL" sz="1000" b="1">
            <a:solidFill>
              <a:schemeClr val="dk1"/>
            </a:solidFill>
            <a:effectLst/>
            <a:latin typeface="Arial" panose="020B0604020202020204" pitchFamily="34" charset="0"/>
            <a:ea typeface="+mn-ea"/>
            <a:cs typeface="Arial" panose="020B0604020202020204" pitchFamily="34" charset="0"/>
          </a:endParaRPr>
        </a:p>
        <a:p>
          <a:pPr lvl="0"/>
          <a:r>
            <a:rPr lang="nl-NL" sz="1200" b="1">
              <a:solidFill>
                <a:schemeClr val="dk1"/>
              </a:solidFill>
              <a:effectLst/>
              <a:latin typeface="Arial" panose="020B0604020202020204" pitchFamily="34" charset="0"/>
              <a:ea typeface="+mn-ea"/>
              <a:cs typeface="Arial" panose="020B0604020202020204" pitchFamily="34" charset="0"/>
            </a:rPr>
            <a:t>Uurtarieven</a:t>
          </a:r>
          <a:endParaRPr lang="nl-NL" sz="1000" b="1">
            <a:solidFill>
              <a:schemeClr val="dk1"/>
            </a:solidFill>
            <a:effectLst/>
            <a:latin typeface="Arial" panose="020B0604020202020204" pitchFamily="34" charset="0"/>
            <a:ea typeface="+mn-ea"/>
            <a:cs typeface="Arial" panose="020B0604020202020204" pitchFamily="34" charset="0"/>
          </a:endParaRPr>
        </a:p>
        <a:p>
          <a:pPr marL="0" indent="0"/>
          <a:r>
            <a:rPr lang="nl-NL" sz="1000" b="0">
              <a:solidFill>
                <a:schemeClr val="dk1"/>
              </a:solidFill>
              <a:effectLst/>
              <a:latin typeface="Arial" panose="020B0604020202020204" pitchFamily="34" charset="0"/>
              <a:ea typeface="+mn-ea"/>
              <a:cs typeface="Arial" panose="020B0604020202020204" pitchFamily="34" charset="0"/>
            </a:rPr>
            <a:t>De dienstverlener geeft op basis van het calculatiemodel een uurtariefopbouw op van de in te zetten categorieën medewerkers. De kosten voor werkkleding en uitrusting, materialen, middelen(inclusief de levering van afvalzakken) en machines, parkeerkosten en aanvraag VOG alsmede de overige indirecte kosten maken onderdeel uit van de uurtarieven.</a:t>
          </a:r>
        </a:p>
        <a:p>
          <a:pPr marL="0" indent="0"/>
          <a:r>
            <a:rPr lang="nl-NL" sz="1000" b="0">
              <a:solidFill>
                <a:schemeClr val="dk1"/>
              </a:solidFill>
              <a:effectLst/>
              <a:latin typeface="Arial" panose="020B0604020202020204" pitchFamily="34" charset="0"/>
              <a:ea typeface="+mn-ea"/>
              <a:cs typeface="Arial" panose="020B0604020202020204" pitchFamily="34" charset="0"/>
            </a:rPr>
            <a:t> </a:t>
          </a:r>
        </a:p>
        <a:p>
          <a:pPr marL="0" indent="0"/>
          <a:r>
            <a:rPr lang="nl-NL" sz="1000" b="0">
              <a:solidFill>
                <a:schemeClr val="dk1"/>
              </a:solidFill>
              <a:effectLst/>
              <a:latin typeface="Arial" panose="020B0604020202020204" pitchFamily="34" charset="0"/>
              <a:ea typeface="+mn-ea"/>
              <a:cs typeface="Arial" panose="020B0604020202020204" pitchFamily="34" charset="0"/>
            </a:rPr>
            <a:t>De opgegeven uurtarieven zijn, ten aanzien van de verdeling in loongroepen, gebaseerd op de gemiddelde eigenbedrijfssituatie.  </a:t>
          </a:r>
        </a:p>
        <a:p>
          <a:pPr marL="0" indent="0"/>
          <a:endParaRPr lang="nl-NL" sz="1000" b="0">
            <a:solidFill>
              <a:schemeClr val="dk1"/>
            </a:solidFill>
            <a:effectLst/>
            <a:latin typeface="Arial" panose="020B0604020202020204" pitchFamily="34" charset="0"/>
            <a:ea typeface="+mn-ea"/>
            <a:cs typeface="Arial" panose="020B0604020202020204" pitchFamily="34" charset="0"/>
          </a:endParaRPr>
        </a:p>
        <a:p>
          <a:pPr marL="0" indent="0"/>
          <a:r>
            <a:rPr lang="nl-NL" sz="1200" b="1">
              <a:solidFill>
                <a:schemeClr val="dk1"/>
              </a:solidFill>
              <a:effectLst/>
              <a:latin typeface="Arial" panose="020B0604020202020204" pitchFamily="34" charset="0"/>
              <a:ea typeface="+mn-ea"/>
              <a:cs typeface="Arial" panose="020B0604020202020204" pitchFamily="34" charset="0"/>
            </a:rPr>
            <a:t>Suppletiekosten</a:t>
          </a:r>
          <a:r>
            <a:rPr lang="nl-NL" sz="1000" b="1">
              <a:solidFill>
                <a:schemeClr val="dk1"/>
              </a:solidFill>
              <a:effectLst/>
              <a:latin typeface="Arial" panose="020B0604020202020204" pitchFamily="34" charset="0"/>
              <a:ea typeface="+mn-ea"/>
              <a:cs typeface="Arial" panose="020B0604020202020204" pitchFamily="34" charset="0"/>
            </a:rPr>
            <a:t> </a:t>
          </a:r>
        </a:p>
        <a:p>
          <a:pPr marL="0" indent="0"/>
          <a:r>
            <a:rPr lang="nl-NL" sz="1000" b="0">
              <a:solidFill>
                <a:sysClr val="windowText" lastClr="000000"/>
              </a:solidFill>
              <a:effectLst/>
              <a:latin typeface="Arial" panose="020B0604020202020204" pitchFamily="34" charset="0"/>
              <a:ea typeface="+mn-ea"/>
              <a:cs typeface="Arial" panose="020B0604020202020204" pitchFamily="34" charset="0"/>
            </a:rPr>
            <a:t>Suppletiekosten worden niet opgenomen in het uurtarief, maar worden begroot op basis van de maximale overnamekosten. De dienstverlener houdt rekening met eventuele vermindering van uren en de kosten die hieruit voortvloeien als onderdeel van de maximale overnamekosten. De maximale suppletiekosten maken deel uit van de maximale bovengrens plafond inschrijvingsbedrag en maximum ondergrens inschrijvingsbedrag, maar zijn geen component in het plafondbedrag per VOvA locatie.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4</xdr:row>
      <xdr:rowOff>110067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88156" y="59691"/>
          <a:ext cx="6643159" cy="778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ysClr val="windowText" lastClr="000000"/>
              </a:solidFill>
              <a:effectLst/>
              <a:latin typeface="Arial" panose="020B0604020202020204" pitchFamily="34" charset="0"/>
              <a:ea typeface="+mn-ea"/>
              <a:cs typeface="Arial" panose="020B060402020202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a:solidFill>
                <a:sysClr val="windowText" lastClr="000000"/>
              </a:solidFill>
              <a:effectLst/>
              <a:latin typeface="Arial" panose="020B0604020202020204" pitchFamily="34" charset="0"/>
              <a:ea typeface="+mn-ea"/>
              <a:cs typeface="Arial" panose="020B060402020202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9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zoomScale="80" zoomScaleNormal="80" workbookViewId="0">
      <pane ySplit="4" topLeftCell="A5" activePane="bottomLeft" state="frozen"/>
      <selection activeCell="A2" sqref="A2"/>
      <selection pane="bottomLeft" activeCell="A5" sqref="A5"/>
    </sheetView>
  </sheetViews>
  <sheetFormatPr defaultColWidth="9.28515625" defaultRowHeight="12.75"/>
  <cols>
    <col min="1" max="1" width="27.7109375" style="6" customWidth="1"/>
    <col min="2" max="16384" width="9.28515625" style="6"/>
  </cols>
  <sheetData>
    <row r="1" spans="1:13" ht="15.75">
      <c r="A1" s="4" t="s">
        <v>0</v>
      </c>
      <c r="B1" s="5" t="str">
        <f>'2-Kosten per locatie'!B3</f>
        <v>Voortgezet Onderwijs van Amsterdam</v>
      </c>
    </row>
    <row r="2" spans="1:13" ht="15.75">
      <c r="A2" s="4" t="s">
        <v>1</v>
      </c>
      <c r="B2" s="5" t="str">
        <f ca="1">MID(CELL("bestandsnaam",$B$11),SEARCH("]",CELL("bestandsnaam",$B$11),1)+1,256)</f>
        <v>1-Uitgangspunten</v>
      </c>
    </row>
    <row r="3" spans="1:13" ht="15.75">
      <c r="A3" s="4" t="s">
        <v>1695</v>
      </c>
      <c r="B3" s="5" t="str">
        <f>'2-Kosten per locatie'!B5</f>
        <v>Amsterdam</v>
      </c>
    </row>
    <row r="4" spans="1:13" ht="15.75">
      <c r="A4" s="4"/>
      <c r="B4" s="5"/>
      <c r="G4" s="7"/>
      <c r="H4" s="7"/>
      <c r="I4" s="7"/>
      <c r="J4" s="7"/>
      <c r="K4" s="7"/>
      <c r="L4" s="7"/>
      <c r="M4" s="7"/>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A48"/>
  <sheetViews>
    <sheetView showGridLines="0" zoomScale="80" zoomScaleNormal="80" zoomScaleSheetLayoutView="50" zoomScalePageLayoutView="50" workbookViewId="0">
      <pane ySplit="12" topLeftCell="A13" activePane="bottomLeft" state="frozen"/>
      <selection activeCell="A5" sqref="A5"/>
      <selection pane="bottomLeft" activeCell="A13" sqref="A13"/>
    </sheetView>
  </sheetViews>
  <sheetFormatPr defaultColWidth="13.7109375" defaultRowHeight="12.75"/>
  <cols>
    <col min="1" max="2" width="46.28515625" style="446" customWidth="1"/>
    <col min="3" max="3" width="55.28515625" style="453" customWidth="1"/>
    <col min="4" max="4" width="60.28515625" style="453" bestFit="1" customWidth="1"/>
    <col min="5" max="5" width="12.28515625" style="446" customWidth="1"/>
    <col min="6" max="6" width="17.28515625" style="454" bestFit="1" customWidth="1"/>
    <col min="7" max="7" width="16.28515625" style="455" customWidth="1"/>
    <col min="8" max="8" width="13.7109375" style="454" customWidth="1"/>
    <col min="9" max="9" width="15.7109375" style="454" customWidth="1"/>
    <col min="10" max="248" width="13.7109375" style="446"/>
    <col min="249" max="249" width="22.28515625" style="446" customWidth="1"/>
    <col min="250" max="256" width="13.7109375" style="446" customWidth="1"/>
    <col min="257" max="257" width="15.7109375" style="446" customWidth="1"/>
    <col min="258" max="258" width="16.5703125" style="446" bestFit="1" customWidth="1"/>
    <col min="259" max="259" width="13.7109375" style="446" customWidth="1"/>
    <col min="260" max="260" width="17.28515625" style="446" bestFit="1" customWidth="1"/>
    <col min="261" max="261" width="4" style="446" customWidth="1"/>
    <col min="262" max="262" width="13.7109375" style="446" customWidth="1"/>
    <col min="263" max="504" width="13.7109375" style="446"/>
    <col min="505" max="505" width="22.28515625" style="446" customWidth="1"/>
    <col min="506" max="512" width="13.7109375" style="446" customWidth="1"/>
    <col min="513" max="513" width="15.7109375" style="446" customWidth="1"/>
    <col min="514" max="514" width="16.5703125" style="446" bestFit="1" customWidth="1"/>
    <col min="515" max="515" width="13.7109375" style="446" customWidth="1"/>
    <col min="516" max="516" width="17.28515625" style="446" bestFit="1" customWidth="1"/>
    <col min="517" max="517" width="4" style="446" customWidth="1"/>
    <col min="518" max="518" width="13.7109375" style="446" customWidth="1"/>
    <col min="519" max="760" width="13.7109375" style="446"/>
    <col min="761" max="761" width="22.28515625" style="446" customWidth="1"/>
    <col min="762" max="768" width="13.7109375" style="446" customWidth="1"/>
    <col min="769" max="769" width="15.7109375" style="446" customWidth="1"/>
    <col min="770" max="770" width="16.5703125" style="446" bestFit="1" customWidth="1"/>
    <col min="771" max="771" width="13.7109375" style="446" customWidth="1"/>
    <col min="772" max="772" width="17.28515625" style="446" bestFit="1" customWidth="1"/>
    <col min="773" max="773" width="4" style="446" customWidth="1"/>
    <col min="774" max="774" width="13.7109375" style="446" customWidth="1"/>
    <col min="775" max="1016" width="13.7109375" style="446"/>
    <col min="1017" max="1017" width="22.28515625" style="446" customWidth="1"/>
    <col min="1018" max="1024" width="13.7109375" style="446" customWidth="1"/>
    <col min="1025" max="1025" width="15.7109375" style="446" customWidth="1"/>
    <col min="1026" max="1026" width="16.5703125" style="446" bestFit="1" customWidth="1"/>
    <col min="1027" max="1027" width="13.7109375" style="446" customWidth="1"/>
    <col min="1028" max="1028" width="17.28515625" style="446" bestFit="1" customWidth="1"/>
    <col min="1029" max="1029" width="4" style="446" customWidth="1"/>
    <col min="1030" max="1030" width="13.7109375" style="446" customWidth="1"/>
    <col min="1031" max="1272" width="13.7109375" style="446"/>
    <col min="1273" max="1273" width="22.28515625" style="446" customWidth="1"/>
    <col min="1274" max="1280" width="13.7109375" style="446" customWidth="1"/>
    <col min="1281" max="1281" width="15.7109375" style="446" customWidth="1"/>
    <col min="1282" max="1282" width="16.5703125" style="446" bestFit="1" customWidth="1"/>
    <col min="1283" max="1283" width="13.7109375" style="446" customWidth="1"/>
    <col min="1284" max="1284" width="17.28515625" style="446" bestFit="1" customWidth="1"/>
    <col min="1285" max="1285" width="4" style="446" customWidth="1"/>
    <col min="1286" max="1286" width="13.7109375" style="446" customWidth="1"/>
    <col min="1287" max="1528" width="13.7109375" style="446"/>
    <col min="1529" max="1529" width="22.28515625" style="446" customWidth="1"/>
    <col min="1530" max="1536" width="13.7109375" style="446" customWidth="1"/>
    <col min="1537" max="1537" width="15.7109375" style="446" customWidth="1"/>
    <col min="1538" max="1538" width="16.5703125" style="446" bestFit="1" customWidth="1"/>
    <col min="1539" max="1539" width="13.7109375" style="446" customWidth="1"/>
    <col min="1540" max="1540" width="17.28515625" style="446" bestFit="1" customWidth="1"/>
    <col min="1541" max="1541" width="4" style="446" customWidth="1"/>
    <col min="1542" max="1542" width="13.7109375" style="446" customWidth="1"/>
    <col min="1543" max="1784" width="13.7109375" style="446"/>
    <col min="1785" max="1785" width="22.28515625" style="446" customWidth="1"/>
    <col min="1786" max="1792" width="13.7109375" style="446" customWidth="1"/>
    <col min="1793" max="1793" width="15.7109375" style="446" customWidth="1"/>
    <col min="1794" max="1794" width="16.5703125" style="446" bestFit="1" customWidth="1"/>
    <col min="1795" max="1795" width="13.7109375" style="446" customWidth="1"/>
    <col min="1796" max="1796" width="17.28515625" style="446" bestFit="1" customWidth="1"/>
    <col min="1797" max="1797" width="4" style="446" customWidth="1"/>
    <col min="1798" max="1798" width="13.7109375" style="446" customWidth="1"/>
    <col min="1799" max="2040" width="13.7109375" style="446"/>
    <col min="2041" max="2041" width="22.28515625" style="446" customWidth="1"/>
    <col min="2042" max="2048" width="13.7109375" style="446" customWidth="1"/>
    <col min="2049" max="2049" width="15.7109375" style="446" customWidth="1"/>
    <col min="2050" max="2050" width="16.5703125" style="446" bestFit="1" customWidth="1"/>
    <col min="2051" max="2051" width="13.7109375" style="446" customWidth="1"/>
    <col min="2052" max="2052" width="17.28515625" style="446" bestFit="1" customWidth="1"/>
    <col min="2053" max="2053" width="4" style="446" customWidth="1"/>
    <col min="2054" max="2054" width="13.7109375" style="446" customWidth="1"/>
    <col min="2055" max="2296" width="13.7109375" style="446"/>
    <col min="2297" max="2297" width="22.28515625" style="446" customWidth="1"/>
    <col min="2298" max="2304" width="13.7109375" style="446" customWidth="1"/>
    <col min="2305" max="2305" width="15.7109375" style="446" customWidth="1"/>
    <col min="2306" max="2306" width="16.5703125" style="446" bestFit="1" customWidth="1"/>
    <col min="2307" max="2307" width="13.7109375" style="446" customWidth="1"/>
    <col min="2308" max="2308" width="17.28515625" style="446" bestFit="1" customWidth="1"/>
    <col min="2309" max="2309" width="4" style="446" customWidth="1"/>
    <col min="2310" max="2310" width="13.7109375" style="446" customWidth="1"/>
    <col min="2311" max="2552" width="13.7109375" style="446"/>
    <col min="2553" max="2553" width="22.28515625" style="446" customWidth="1"/>
    <col min="2554" max="2560" width="13.7109375" style="446" customWidth="1"/>
    <col min="2561" max="2561" width="15.7109375" style="446" customWidth="1"/>
    <col min="2562" max="2562" width="16.5703125" style="446" bestFit="1" customWidth="1"/>
    <col min="2563" max="2563" width="13.7109375" style="446" customWidth="1"/>
    <col min="2564" max="2564" width="17.28515625" style="446" bestFit="1" customWidth="1"/>
    <col min="2565" max="2565" width="4" style="446" customWidth="1"/>
    <col min="2566" max="2566" width="13.7109375" style="446" customWidth="1"/>
    <col min="2567" max="2808" width="13.7109375" style="446"/>
    <col min="2809" max="2809" width="22.28515625" style="446" customWidth="1"/>
    <col min="2810" max="2816" width="13.7109375" style="446" customWidth="1"/>
    <col min="2817" max="2817" width="15.7109375" style="446" customWidth="1"/>
    <col min="2818" max="2818" width="16.5703125" style="446" bestFit="1" customWidth="1"/>
    <col min="2819" max="2819" width="13.7109375" style="446" customWidth="1"/>
    <col min="2820" max="2820" width="17.28515625" style="446" bestFit="1" customWidth="1"/>
    <col min="2821" max="2821" width="4" style="446" customWidth="1"/>
    <col min="2822" max="2822" width="13.7109375" style="446" customWidth="1"/>
    <col min="2823" max="3064" width="13.7109375" style="446"/>
    <col min="3065" max="3065" width="22.28515625" style="446" customWidth="1"/>
    <col min="3066" max="3072" width="13.7109375" style="446" customWidth="1"/>
    <col min="3073" max="3073" width="15.7109375" style="446" customWidth="1"/>
    <col min="3074" max="3074" width="16.5703125" style="446" bestFit="1" customWidth="1"/>
    <col min="3075" max="3075" width="13.7109375" style="446" customWidth="1"/>
    <col min="3076" max="3076" width="17.28515625" style="446" bestFit="1" customWidth="1"/>
    <col min="3077" max="3077" width="4" style="446" customWidth="1"/>
    <col min="3078" max="3078" width="13.7109375" style="446" customWidth="1"/>
    <col min="3079" max="3320" width="13.7109375" style="446"/>
    <col min="3321" max="3321" width="22.28515625" style="446" customWidth="1"/>
    <col min="3322" max="3328" width="13.7109375" style="446" customWidth="1"/>
    <col min="3329" max="3329" width="15.7109375" style="446" customWidth="1"/>
    <col min="3330" max="3330" width="16.5703125" style="446" bestFit="1" customWidth="1"/>
    <col min="3331" max="3331" width="13.7109375" style="446" customWidth="1"/>
    <col min="3332" max="3332" width="17.28515625" style="446" bestFit="1" customWidth="1"/>
    <col min="3333" max="3333" width="4" style="446" customWidth="1"/>
    <col min="3334" max="3334" width="13.7109375" style="446" customWidth="1"/>
    <col min="3335" max="3576" width="13.7109375" style="446"/>
    <col min="3577" max="3577" width="22.28515625" style="446" customWidth="1"/>
    <col min="3578" max="3584" width="13.7109375" style="446" customWidth="1"/>
    <col min="3585" max="3585" width="15.7109375" style="446" customWidth="1"/>
    <col min="3586" max="3586" width="16.5703125" style="446" bestFit="1" customWidth="1"/>
    <col min="3587" max="3587" width="13.7109375" style="446" customWidth="1"/>
    <col min="3588" max="3588" width="17.28515625" style="446" bestFit="1" customWidth="1"/>
    <col min="3589" max="3589" width="4" style="446" customWidth="1"/>
    <col min="3590" max="3590" width="13.7109375" style="446" customWidth="1"/>
    <col min="3591" max="3832" width="13.7109375" style="446"/>
    <col min="3833" max="3833" width="22.28515625" style="446" customWidth="1"/>
    <col min="3834" max="3840" width="13.7109375" style="446" customWidth="1"/>
    <col min="3841" max="3841" width="15.7109375" style="446" customWidth="1"/>
    <col min="3842" max="3842" width="16.5703125" style="446" bestFit="1" customWidth="1"/>
    <col min="3843" max="3843" width="13.7109375" style="446" customWidth="1"/>
    <col min="3844" max="3844" width="17.28515625" style="446" bestFit="1" customWidth="1"/>
    <col min="3845" max="3845" width="4" style="446" customWidth="1"/>
    <col min="3846" max="3846" width="13.7109375" style="446" customWidth="1"/>
    <col min="3847" max="4088" width="13.7109375" style="446"/>
    <col min="4089" max="4089" width="22.28515625" style="446" customWidth="1"/>
    <col min="4090" max="4096" width="13.7109375" style="446" customWidth="1"/>
    <col min="4097" max="4097" width="15.7109375" style="446" customWidth="1"/>
    <col min="4098" max="4098" width="16.5703125" style="446" bestFit="1" customWidth="1"/>
    <col min="4099" max="4099" width="13.7109375" style="446" customWidth="1"/>
    <col min="4100" max="4100" width="17.28515625" style="446" bestFit="1" customWidth="1"/>
    <col min="4101" max="4101" width="4" style="446" customWidth="1"/>
    <col min="4102" max="4102" width="13.7109375" style="446" customWidth="1"/>
    <col min="4103" max="4344" width="13.7109375" style="446"/>
    <col min="4345" max="4345" width="22.28515625" style="446" customWidth="1"/>
    <col min="4346" max="4352" width="13.7109375" style="446" customWidth="1"/>
    <col min="4353" max="4353" width="15.7109375" style="446" customWidth="1"/>
    <col min="4354" max="4354" width="16.5703125" style="446" bestFit="1" customWidth="1"/>
    <col min="4355" max="4355" width="13.7109375" style="446" customWidth="1"/>
    <col min="4356" max="4356" width="17.28515625" style="446" bestFit="1" customWidth="1"/>
    <col min="4357" max="4357" width="4" style="446" customWidth="1"/>
    <col min="4358" max="4358" width="13.7109375" style="446" customWidth="1"/>
    <col min="4359" max="4600" width="13.7109375" style="446"/>
    <col min="4601" max="4601" width="22.28515625" style="446" customWidth="1"/>
    <col min="4602" max="4608" width="13.7109375" style="446" customWidth="1"/>
    <col min="4609" max="4609" width="15.7109375" style="446" customWidth="1"/>
    <col min="4610" max="4610" width="16.5703125" style="446" bestFit="1" customWidth="1"/>
    <col min="4611" max="4611" width="13.7109375" style="446" customWidth="1"/>
    <col min="4612" max="4612" width="17.28515625" style="446" bestFit="1" customWidth="1"/>
    <col min="4613" max="4613" width="4" style="446" customWidth="1"/>
    <col min="4614" max="4614" width="13.7109375" style="446" customWidth="1"/>
    <col min="4615" max="4856" width="13.7109375" style="446"/>
    <col min="4857" max="4857" width="22.28515625" style="446" customWidth="1"/>
    <col min="4858" max="4864" width="13.7109375" style="446" customWidth="1"/>
    <col min="4865" max="4865" width="15.7109375" style="446" customWidth="1"/>
    <col min="4866" max="4866" width="16.5703125" style="446" bestFit="1" customWidth="1"/>
    <col min="4867" max="4867" width="13.7109375" style="446" customWidth="1"/>
    <col min="4868" max="4868" width="17.28515625" style="446" bestFit="1" customWidth="1"/>
    <col min="4869" max="4869" width="4" style="446" customWidth="1"/>
    <col min="4870" max="4870" width="13.7109375" style="446" customWidth="1"/>
    <col min="4871" max="5112" width="13.7109375" style="446"/>
    <col min="5113" max="5113" width="22.28515625" style="446" customWidth="1"/>
    <col min="5114" max="5120" width="13.7109375" style="446" customWidth="1"/>
    <col min="5121" max="5121" width="15.7109375" style="446" customWidth="1"/>
    <col min="5122" max="5122" width="16.5703125" style="446" bestFit="1" customWidth="1"/>
    <col min="5123" max="5123" width="13.7109375" style="446" customWidth="1"/>
    <col min="5124" max="5124" width="17.28515625" style="446" bestFit="1" customWidth="1"/>
    <col min="5125" max="5125" width="4" style="446" customWidth="1"/>
    <col min="5126" max="5126" width="13.7109375" style="446" customWidth="1"/>
    <col min="5127" max="5368" width="13.7109375" style="446"/>
    <col min="5369" max="5369" width="22.28515625" style="446" customWidth="1"/>
    <col min="5370" max="5376" width="13.7109375" style="446" customWidth="1"/>
    <col min="5377" max="5377" width="15.7109375" style="446" customWidth="1"/>
    <col min="5378" max="5378" width="16.5703125" style="446" bestFit="1" customWidth="1"/>
    <col min="5379" max="5379" width="13.7109375" style="446" customWidth="1"/>
    <col min="5380" max="5380" width="17.28515625" style="446" bestFit="1" customWidth="1"/>
    <col min="5381" max="5381" width="4" style="446" customWidth="1"/>
    <col min="5382" max="5382" width="13.7109375" style="446" customWidth="1"/>
    <col min="5383" max="5624" width="13.7109375" style="446"/>
    <col min="5625" max="5625" width="22.28515625" style="446" customWidth="1"/>
    <col min="5626" max="5632" width="13.7109375" style="446" customWidth="1"/>
    <col min="5633" max="5633" width="15.7109375" style="446" customWidth="1"/>
    <col min="5634" max="5634" width="16.5703125" style="446" bestFit="1" customWidth="1"/>
    <col min="5635" max="5635" width="13.7109375" style="446" customWidth="1"/>
    <col min="5636" max="5636" width="17.28515625" style="446" bestFit="1" customWidth="1"/>
    <col min="5637" max="5637" width="4" style="446" customWidth="1"/>
    <col min="5638" max="5638" width="13.7109375" style="446" customWidth="1"/>
    <col min="5639" max="5880" width="13.7109375" style="446"/>
    <col min="5881" max="5881" width="22.28515625" style="446" customWidth="1"/>
    <col min="5882" max="5888" width="13.7109375" style="446" customWidth="1"/>
    <col min="5889" max="5889" width="15.7109375" style="446" customWidth="1"/>
    <col min="5890" max="5890" width="16.5703125" style="446" bestFit="1" customWidth="1"/>
    <col min="5891" max="5891" width="13.7109375" style="446" customWidth="1"/>
    <col min="5892" max="5892" width="17.28515625" style="446" bestFit="1" customWidth="1"/>
    <col min="5893" max="5893" width="4" style="446" customWidth="1"/>
    <col min="5894" max="5894" width="13.7109375" style="446" customWidth="1"/>
    <col min="5895" max="6136" width="13.7109375" style="446"/>
    <col min="6137" max="6137" width="22.28515625" style="446" customWidth="1"/>
    <col min="6138" max="6144" width="13.7109375" style="446" customWidth="1"/>
    <col min="6145" max="6145" width="15.7109375" style="446" customWidth="1"/>
    <col min="6146" max="6146" width="16.5703125" style="446" bestFit="1" customWidth="1"/>
    <col min="6147" max="6147" width="13.7109375" style="446" customWidth="1"/>
    <col min="6148" max="6148" width="17.28515625" style="446" bestFit="1" customWidth="1"/>
    <col min="6149" max="6149" width="4" style="446" customWidth="1"/>
    <col min="6150" max="6150" width="13.7109375" style="446" customWidth="1"/>
    <col min="6151" max="6392" width="13.7109375" style="446"/>
    <col min="6393" max="6393" width="22.28515625" style="446" customWidth="1"/>
    <col min="6394" max="6400" width="13.7109375" style="446" customWidth="1"/>
    <col min="6401" max="6401" width="15.7109375" style="446" customWidth="1"/>
    <col min="6402" max="6402" width="16.5703125" style="446" bestFit="1" customWidth="1"/>
    <col min="6403" max="6403" width="13.7109375" style="446" customWidth="1"/>
    <col min="6404" max="6404" width="17.28515625" style="446" bestFit="1" customWidth="1"/>
    <col min="6405" max="6405" width="4" style="446" customWidth="1"/>
    <col min="6406" max="6406" width="13.7109375" style="446" customWidth="1"/>
    <col min="6407" max="6648" width="13.7109375" style="446"/>
    <col min="6649" max="6649" width="22.28515625" style="446" customWidth="1"/>
    <col min="6650" max="6656" width="13.7109375" style="446" customWidth="1"/>
    <col min="6657" max="6657" width="15.7109375" style="446" customWidth="1"/>
    <col min="6658" max="6658" width="16.5703125" style="446" bestFit="1" customWidth="1"/>
    <col min="6659" max="6659" width="13.7109375" style="446" customWidth="1"/>
    <col min="6660" max="6660" width="17.28515625" style="446" bestFit="1" customWidth="1"/>
    <col min="6661" max="6661" width="4" style="446" customWidth="1"/>
    <col min="6662" max="6662" width="13.7109375" style="446" customWidth="1"/>
    <col min="6663" max="6904" width="13.7109375" style="446"/>
    <col min="6905" max="6905" width="22.28515625" style="446" customWidth="1"/>
    <col min="6906" max="6912" width="13.7109375" style="446" customWidth="1"/>
    <col min="6913" max="6913" width="15.7109375" style="446" customWidth="1"/>
    <col min="6914" max="6914" width="16.5703125" style="446" bestFit="1" customWidth="1"/>
    <col min="6915" max="6915" width="13.7109375" style="446" customWidth="1"/>
    <col min="6916" max="6916" width="17.28515625" style="446" bestFit="1" customWidth="1"/>
    <col min="6917" max="6917" width="4" style="446" customWidth="1"/>
    <col min="6918" max="6918" width="13.7109375" style="446" customWidth="1"/>
    <col min="6919" max="7160" width="13.7109375" style="446"/>
    <col min="7161" max="7161" width="22.28515625" style="446" customWidth="1"/>
    <col min="7162" max="7168" width="13.7109375" style="446" customWidth="1"/>
    <col min="7169" max="7169" width="15.7109375" style="446" customWidth="1"/>
    <col min="7170" max="7170" width="16.5703125" style="446" bestFit="1" customWidth="1"/>
    <col min="7171" max="7171" width="13.7109375" style="446" customWidth="1"/>
    <col min="7172" max="7172" width="17.28515625" style="446" bestFit="1" customWidth="1"/>
    <col min="7173" max="7173" width="4" style="446" customWidth="1"/>
    <col min="7174" max="7174" width="13.7109375" style="446" customWidth="1"/>
    <col min="7175" max="7416" width="13.7109375" style="446"/>
    <col min="7417" max="7417" width="22.28515625" style="446" customWidth="1"/>
    <col min="7418" max="7424" width="13.7109375" style="446" customWidth="1"/>
    <col min="7425" max="7425" width="15.7109375" style="446" customWidth="1"/>
    <col min="7426" max="7426" width="16.5703125" style="446" bestFit="1" customWidth="1"/>
    <col min="7427" max="7427" width="13.7109375" style="446" customWidth="1"/>
    <col min="7428" max="7428" width="17.28515625" style="446" bestFit="1" customWidth="1"/>
    <col min="7429" max="7429" width="4" style="446" customWidth="1"/>
    <col min="7430" max="7430" width="13.7109375" style="446" customWidth="1"/>
    <col min="7431" max="7672" width="13.7109375" style="446"/>
    <col min="7673" max="7673" width="22.28515625" style="446" customWidth="1"/>
    <col min="7674" max="7680" width="13.7109375" style="446" customWidth="1"/>
    <col min="7681" max="7681" width="15.7109375" style="446" customWidth="1"/>
    <col min="7682" max="7682" width="16.5703125" style="446" bestFit="1" customWidth="1"/>
    <col min="7683" max="7683" width="13.7109375" style="446" customWidth="1"/>
    <col min="7684" max="7684" width="17.28515625" style="446" bestFit="1" customWidth="1"/>
    <col min="7685" max="7685" width="4" style="446" customWidth="1"/>
    <col min="7686" max="7686" width="13.7109375" style="446" customWidth="1"/>
    <col min="7687" max="7928" width="13.7109375" style="446"/>
    <col min="7929" max="7929" width="22.28515625" style="446" customWidth="1"/>
    <col min="7930" max="7936" width="13.7109375" style="446" customWidth="1"/>
    <col min="7937" max="7937" width="15.7109375" style="446" customWidth="1"/>
    <col min="7938" max="7938" width="16.5703125" style="446" bestFit="1" customWidth="1"/>
    <col min="7939" max="7939" width="13.7109375" style="446" customWidth="1"/>
    <col min="7940" max="7940" width="17.28515625" style="446" bestFit="1" customWidth="1"/>
    <col min="7941" max="7941" width="4" style="446" customWidth="1"/>
    <col min="7942" max="7942" width="13.7109375" style="446" customWidth="1"/>
    <col min="7943" max="8184" width="13.7109375" style="446"/>
    <col min="8185" max="8185" width="22.28515625" style="446" customWidth="1"/>
    <col min="8186" max="8192" width="13.7109375" style="446" customWidth="1"/>
    <col min="8193" max="8193" width="15.7109375" style="446" customWidth="1"/>
    <col min="8194" max="8194" width="16.5703125" style="446" bestFit="1" customWidth="1"/>
    <col min="8195" max="8195" width="13.7109375" style="446" customWidth="1"/>
    <col min="8196" max="8196" width="17.28515625" style="446" bestFit="1" customWidth="1"/>
    <col min="8197" max="8197" width="4" style="446" customWidth="1"/>
    <col min="8198" max="8198" width="13.7109375" style="446" customWidth="1"/>
    <col min="8199" max="8440" width="13.7109375" style="446"/>
    <col min="8441" max="8441" width="22.28515625" style="446" customWidth="1"/>
    <col min="8442" max="8448" width="13.7109375" style="446" customWidth="1"/>
    <col min="8449" max="8449" width="15.7109375" style="446" customWidth="1"/>
    <col min="8450" max="8450" width="16.5703125" style="446" bestFit="1" customWidth="1"/>
    <col min="8451" max="8451" width="13.7109375" style="446" customWidth="1"/>
    <col min="8452" max="8452" width="17.28515625" style="446" bestFit="1" customWidth="1"/>
    <col min="8453" max="8453" width="4" style="446" customWidth="1"/>
    <col min="8454" max="8454" width="13.7109375" style="446" customWidth="1"/>
    <col min="8455" max="8696" width="13.7109375" style="446"/>
    <col min="8697" max="8697" width="22.28515625" style="446" customWidth="1"/>
    <col min="8698" max="8704" width="13.7109375" style="446" customWidth="1"/>
    <col min="8705" max="8705" width="15.7109375" style="446" customWidth="1"/>
    <col min="8706" max="8706" width="16.5703125" style="446" bestFit="1" customWidth="1"/>
    <col min="8707" max="8707" width="13.7109375" style="446" customWidth="1"/>
    <col min="8708" max="8708" width="17.28515625" style="446" bestFit="1" customWidth="1"/>
    <col min="8709" max="8709" width="4" style="446" customWidth="1"/>
    <col min="8710" max="8710" width="13.7109375" style="446" customWidth="1"/>
    <col min="8711" max="8952" width="13.7109375" style="446"/>
    <col min="8953" max="8953" width="22.28515625" style="446" customWidth="1"/>
    <col min="8954" max="8960" width="13.7109375" style="446" customWidth="1"/>
    <col min="8961" max="8961" width="15.7109375" style="446" customWidth="1"/>
    <col min="8962" max="8962" width="16.5703125" style="446" bestFit="1" customWidth="1"/>
    <col min="8963" max="8963" width="13.7109375" style="446" customWidth="1"/>
    <col min="8964" max="8964" width="17.28515625" style="446" bestFit="1" customWidth="1"/>
    <col min="8965" max="8965" width="4" style="446" customWidth="1"/>
    <col min="8966" max="8966" width="13.7109375" style="446" customWidth="1"/>
    <col min="8967" max="9208" width="13.7109375" style="446"/>
    <col min="9209" max="9209" width="22.28515625" style="446" customWidth="1"/>
    <col min="9210" max="9216" width="13.7109375" style="446" customWidth="1"/>
    <col min="9217" max="9217" width="15.7109375" style="446" customWidth="1"/>
    <col min="9218" max="9218" width="16.5703125" style="446" bestFit="1" customWidth="1"/>
    <col min="9219" max="9219" width="13.7109375" style="446" customWidth="1"/>
    <col min="9220" max="9220" width="17.28515625" style="446" bestFit="1" customWidth="1"/>
    <col min="9221" max="9221" width="4" style="446" customWidth="1"/>
    <col min="9222" max="9222" width="13.7109375" style="446" customWidth="1"/>
    <col min="9223" max="9464" width="13.7109375" style="446"/>
    <col min="9465" max="9465" width="22.28515625" style="446" customWidth="1"/>
    <col min="9466" max="9472" width="13.7109375" style="446" customWidth="1"/>
    <col min="9473" max="9473" width="15.7109375" style="446" customWidth="1"/>
    <col min="9474" max="9474" width="16.5703125" style="446" bestFit="1" customWidth="1"/>
    <col min="9475" max="9475" width="13.7109375" style="446" customWidth="1"/>
    <col min="9476" max="9476" width="17.28515625" style="446" bestFit="1" customWidth="1"/>
    <col min="9477" max="9477" width="4" style="446" customWidth="1"/>
    <col min="9478" max="9478" width="13.7109375" style="446" customWidth="1"/>
    <col min="9479" max="9720" width="13.7109375" style="446"/>
    <col min="9721" max="9721" width="22.28515625" style="446" customWidth="1"/>
    <col min="9722" max="9728" width="13.7109375" style="446" customWidth="1"/>
    <col min="9729" max="9729" width="15.7109375" style="446" customWidth="1"/>
    <col min="9730" max="9730" width="16.5703125" style="446" bestFit="1" customWidth="1"/>
    <col min="9731" max="9731" width="13.7109375" style="446" customWidth="1"/>
    <col min="9732" max="9732" width="17.28515625" style="446" bestFit="1" customWidth="1"/>
    <col min="9733" max="9733" width="4" style="446" customWidth="1"/>
    <col min="9734" max="9734" width="13.7109375" style="446" customWidth="1"/>
    <col min="9735" max="9976" width="13.7109375" style="446"/>
    <col min="9977" max="9977" width="22.28515625" style="446" customWidth="1"/>
    <col min="9978" max="9984" width="13.7109375" style="446" customWidth="1"/>
    <col min="9985" max="9985" width="15.7109375" style="446" customWidth="1"/>
    <col min="9986" max="9986" width="16.5703125" style="446" bestFit="1" customWidth="1"/>
    <col min="9987" max="9987" width="13.7109375" style="446" customWidth="1"/>
    <col min="9988" max="9988" width="17.28515625" style="446" bestFit="1" customWidth="1"/>
    <col min="9989" max="9989" width="4" style="446" customWidth="1"/>
    <col min="9990" max="9990" width="13.7109375" style="446" customWidth="1"/>
    <col min="9991" max="10232" width="13.7109375" style="446"/>
    <col min="10233" max="10233" width="22.28515625" style="446" customWidth="1"/>
    <col min="10234" max="10240" width="13.7109375" style="446" customWidth="1"/>
    <col min="10241" max="10241" width="15.7109375" style="446" customWidth="1"/>
    <col min="10242" max="10242" width="16.5703125" style="446" bestFit="1" customWidth="1"/>
    <col min="10243" max="10243" width="13.7109375" style="446" customWidth="1"/>
    <col min="10244" max="10244" width="17.28515625" style="446" bestFit="1" customWidth="1"/>
    <col min="10245" max="10245" width="4" style="446" customWidth="1"/>
    <col min="10246" max="10246" width="13.7109375" style="446" customWidth="1"/>
    <col min="10247" max="10488" width="13.7109375" style="446"/>
    <col min="10489" max="10489" width="22.28515625" style="446" customWidth="1"/>
    <col min="10490" max="10496" width="13.7109375" style="446" customWidth="1"/>
    <col min="10497" max="10497" width="15.7109375" style="446" customWidth="1"/>
    <col min="10498" max="10498" width="16.5703125" style="446" bestFit="1" customWidth="1"/>
    <col min="10499" max="10499" width="13.7109375" style="446" customWidth="1"/>
    <col min="10500" max="10500" width="17.28515625" style="446" bestFit="1" customWidth="1"/>
    <col min="10501" max="10501" width="4" style="446" customWidth="1"/>
    <col min="10502" max="10502" width="13.7109375" style="446" customWidth="1"/>
    <col min="10503" max="10744" width="13.7109375" style="446"/>
    <col min="10745" max="10745" width="22.28515625" style="446" customWidth="1"/>
    <col min="10746" max="10752" width="13.7109375" style="446" customWidth="1"/>
    <col min="10753" max="10753" width="15.7109375" style="446" customWidth="1"/>
    <col min="10754" max="10754" width="16.5703125" style="446" bestFit="1" customWidth="1"/>
    <col min="10755" max="10755" width="13.7109375" style="446" customWidth="1"/>
    <col min="10756" max="10756" width="17.28515625" style="446" bestFit="1" customWidth="1"/>
    <col min="10757" max="10757" width="4" style="446" customWidth="1"/>
    <col min="10758" max="10758" width="13.7109375" style="446" customWidth="1"/>
    <col min="10759" max="11000" width="13.7109375" style="446"/>
    <col min="11001" max="11001" width="22.28515625" style="446" customWidth="1"/>
    <col min="11002" max="11008" width="13.7109375" style="446" customWidth="1"/>
    <col min="11009" max="11009" width="15.7109375" style="446" customWidth="1"/>
    <col min="11010" max="11010" width="16.5703125" style="446" bestFit="1" customWidth="1"/>
    <col min="11011" max="11011" width="13.7109375" style="446" customWidth="1"/>
    <col min="11012" max="11012" width="17.28515625" style="446" bestFit="1" customWidth="1"/>
    <col min="11013" max="11013" width="4" style="446" customWidth="1"/>
    <col min="11014" max="11014" width="13.7109375" style="446" customWidth="1"/>
    <col min="11015" max="11256" width="13.7109375" style="446"/>
    <col min="11257" max="11257" width="22.28515625" style="446" customWidth="1"/>
    <col min="11258" max="11264" width="13.7109375" style="446" customWidth="1"/>
    <col min="11265" max="11265" width="15.7109375" style="446" customWidth="1"/>
    <col min="11266" max="11266" width="16.5703125" style="446" bestFit="1" customWidth="1"/>
    <col min="11267" max="11267" width="13.7109375" style="446" customWidth="1"/>
    <col min="11268" max="11268" width="17.28515625" style="446" bestFit="1" customWidth="1"/>
    <col min="11269" max="11269" width="4" style="446" customWidth="1"/>
    <col min="11270" max="11270" width="13.7109375" style="446" customWidth="1"/>
    <col min="11271" max="11512" width="13.7109375" style="446"/>
    <col min="11513" max="11513" width="22.28515625" style="446" customWidth="1"/>
    <col min="11514" max="11520" width="13.7109375" style="446" customWidth="1"/>
    <col min="11521" max="11521" width="15.7109375" style="446" customWidth="1"/>
    <col min="11522" max="11522" width="16.5703125" style="446" bestFit="1" customWidth="1"/>
    <col min="11523" max="11523" width="13.7109375" style="446" customWidth="1"/>
    <col min="11524" max="11524" width="17.28515625" style="446" bestFit="1" customWidth="1"/>
    <col min="11525" max="11525" width="4" style="446" customWidth="1"/>
    <col min="11526" max="11526" width="13.7109375" style="446" customWidth="1"/>
    <col min="11527" max="11768" width="13.7109375" style="446"/>
    <col min="11769" max="11769" width="22.28515625" style="446" customWidth="1"/>
    <col min="11770" max="11776" width="13.7109375" style="446" customWidth="1"/>
    <col min="11777" max="11777" width="15.7109375" style="446" customWidth="1"/>
    <col min="11778" max="11778" width="16.5703125" style="446" bestFit="1" customWidth="1"/>
    <col min="11779" max="11779" width="13.7109375" style="446" customWidth="1"/>
    <col min="11780" max="11780" width="17.28515625" style="446" bestFit="1" customWidth="1"/>
    <col min="11781" max="11781" width="4" style="446" customWidth="1"/>
    <col min="11782" max="11782" width="13.7109375" style="446" customWidth="1"/>
    <col min="11783" max="12024" width="13.7109375" style="446"/>
    <col min="12025" max="12025" width="22.28515625" style="446" customWidth="1"/>
    <col min="12026" max="12032" width="13.7109375" style="446" customWidth="1"/>
    <col min="12033" max="12033" width="15.7109375" style="446" customWidth="1"/>
    <col min="12034" max="12034" width="16.5703125" style="446" bestFit="1" customWidth="1"/>
    <col min="12035" max="12035" width="13.7109375" style="446" customWidth="1"/>
    <col min="12036" max="12036" width="17.28515625" style="446" bestFit="1" customWidth="1"/>
    <col min="12037" max="12037" width="4" style="446" customWidth="1"/>
    <col min="12038" max="12038" width="13.7109375" style="446" customWidth="1"/>
    <col min="12039" max="12280" width="13.7109375" style="446"/>
    <col min="12281" max="12281" width="22.28515625" style="446" customWidth="1"/>
    <col min="12282" max="12288" width="13.7109375" style="446" customWidth="1"/>
    <col min="12289" max="12289" width="15.7109375" style="446" customWidth="1"/>
    <col min="12290" max="12290" width="16.5703125" style="446" bestFit="1" customWidth="1"/>
    <col min="12291" max="12291" width="13.7109375" style="446" customWidth="1"/>
    <col min="12292" max="12292" width="17.28515625" style="446" bestFit="1" customWidth="1"/>
    <col min="12293" max="12293" width="4" style="446" customWidth="1"/>
    <col min="12294" max="12294" width="13.7109375" style="446" customWidth="1"/>
    <col min="12295" max="12536" width="13.7109375" style="446"/>
    <col min="12537" max="12537" width="22.28515625" style="446" customWidth="1"/>
    <col min="12538" max="12544" width="13.7109375" style="446" customWidth="1"/>
    <col min="12545" max="12545" width="15.7109375" style="446" customWidth="1"/>
    <col min="12546" max="12546" width="16.5703125" style="446" bestFit="1" customWidth="1"/>
    <col min="12547" max="12547" width="13.7109375" style="446" customWidth="1"/>
    <col min="12548" max="12548" width="17.28515625" style="446" bestFit="1" customWidth="1"/>
    <col min="12549" max="12549" width="4" style="446" customWidth="1"/>
    <col min="12550" max="12550" width="13.7109375" style="446" customWidth="1"/>
    <col min="12551" max="12792" width="13.7109375" style="446"/>
    <col min="12793" max="12793" width="22.28515625" style="446" customWidth="1"/>
    <col min="12794" max="12800" width="13.7109375" style="446" customWidth="1"/>
    <col min="12801" max="12801" width="15.7109375" style="446" customWidth="1"/>
    <col min="12802" max="12802" width="16.5703125" style="446" bestFit="1" customWidth="1"/>
    <col min="12803" max="12803" width="13.7109375" style="446" customWidth="1"/>
    <col min="12804" max="12804" width="17.28515625" style="446" bestFit="1" customWidth="1"/>
    <col min="12805" max="12805" width="4" style="446" customWidth="1"/>
    <col min="12806" max="12806" width="13.7109375" style="446" customWidth="1"/>
    <col min="12807" max="13048" width="13.7109375" style="446"/>
    <col min="13049" max="13049" width="22.28515625" style="446" customWidth="1"/>
    <col min="13050" max="13056" width="13.7109375" style="446" customWidth="1"/>
    <col min="13057" max="13057" width="15.7109375" style="446" customWidth="1"/>
    <col min="13058" max="13058" width="16.5703125" style="446" bestFit="1" customWidth="1"/>
    <col min="13059" max="13059" width="13.7109375" style="446" customWidth="1"/>
    <col min="13060" max="13060" width="17.28515625" style="446" bestFit="1" customWidth="1"/>
    <col min="13061" max="13061" width="4" style="446" customWidth="1"/>
    <col min="13062" max="13062" width="13.7109375" style="446" customWidth="1"/>
    <col min="13063" max="13304" width="13.7109375" style="446"/>
    <col min="13305" max="13305" width="22.28515625" style="446" customWidth="1"/>
    <col min="13306" max="13312" width="13.7109375" style="446" customWidth="1"/>
    <col min="13313" max="13313" width="15.7109375" style="446" customWidth="1"/>
    <col min="13314" max="13314" width="16.5703125" style="446" bestFit="1" customWidth="1"/>
    <col min="13315" max="13315" width="13.7109375" style="446" customWidth="1"/>
    <col min="13316" max="13316" width="17.28515625" style="446" bestFit="1" customWidth="1"/>
    <col min="13317" max="13317" width="4" style="446" customWidth="1"/>
    <col min="13318" max="13318" width="13.7109375" style="446" customWidth="1"/>
    <col min="13319" max="13560" width="13.7109375" style="446"/>
    <col min="13561" max="13561" width="22.28515625" style="446" customWidth="1"/>
    <col min="13562" max="13568" width="13.7109375" style="446" customWidth="1"/>
    <col min="13569" max="13569" width="15.7109375" style="446" customWidth="1"/>
    <col min="13570" max="13570" width="16.5703125" style="446" bestFit="1" customWidth="1"/>
    <col min="13571" max="13571" width="13.7109375" style="446" customWidth="1"/>
    <col min="13572" max="13572" width="17.28515625" style="446" bestFit="1" customWidth="1"/>
    <col min="13573" max="13573" width="4" style="446" customWidth="1"/>
    <col min="13574" max="13574" width="13.7109375" style="446" customWidth="1"/>
    <col min="13575" max="13816" width="13.7109375" style="446"/>
    <col min="13817" max="13817" width="22.28515625" style="446" customWidth="1"/>
    <col min="13818" max="13824" width="13.7109375" style="446" customWidth="1"/>
    <col min="13825" max="13825" width="15.7109375" style="446" customWidth="1"/>
    <col min="13826" max="13826" width="16.5703125" style="446" bestFit="1" customWidth="1"/>
    <col min="13827" max="13827" width="13.7109375" style="446" customWidth="1"/>
    <col min="13828" max="13828" width="17.28515625" style="446" bestFit="1" customWidth="1"/>
    <col min="13829" max="13829" width="4" style="446" customWidth="1"/>
    <col min="13830" max="13830" width="13.7109375" style="446" customWidth="1"/>
    <col min="13831" max="14072" width="13.7109375" style="446"/>
    <col min="14073" max="14073" width="22.28515625" style="446" customWidth="1"/>
    <col min="14074" max="14080" width="13.7109375" style="446" customWidth="1"/>
    <col min="14081" max="14081" width="15.7109375" style="446" customWidth="1"/>
    <col min="14082" max="14082" width="16.5703125" style="446" bestFit="1" customWidth="1"/>
    <col min="14083" max="14083" width="13.7109375" style="446" customWidth="1"/>
    <col min="14084" max="14084" width="17.28515625" style="446" bestFit="1" customWidth="1"/>
    <col min="14085" max="14085" width="4" style="446" customWidth="1"/>
    <col min="14086" max="14086" width="13.7109375" style="446" customWidth="1"/>
    <col min="14087" max="14328" width="13.7109375" style="446"/>
    <col min="14329" max="14329" width="22.28515625" style="446" customWidth="1"/>
    <col min="14330" max="14336" width="13.7109375" style="446" customWidth="1"/>
    <col min="14337" max="14337" width="15.7109375" style="446" customWidth="1"/>
    <col min="14338" max="14338" width="16.5703125" style="446" bestFit="1" customWidth="1"/>
    <col min="14339" max="14339" width="13.7109375" style="446" customWidth="1"/>
    <col min="14340" max="14340" width="17.28515625" style="446" bestFit="1" customWidth="1"/>
    <col min="14341" max="14341" width="4" style="446" customWidth="1"/>
    <col min="14342" max="14342" width="13.7109375" style="446" customWidth="1"/>
    <col min="14343" max="14584" width="13.7109375" style="446"/>
    <col min="14585" max="14585" width="22.28515625" style="446" customWidth="1"/>
    <col min="14586" max="14592" width="13.7109375" style="446" customWidth="1"/>
    <col min="14593" max="14593" width="15.7109375" style="446" customWidth="1"/>
    <col min="14594" max="14594" width="16.5703125" style="446" bestFit="1" customWidth="1"/>
    <col min="14595" max="14595" width="13.7109375" style="446" customWidth="1"/>
    <col min="14596" max="14596" width="17.28515625" style="446" bestFit="1" customWidth="1"/>
    <col min="14597" max="14597" width="4" style="446" customWidth="1"/>
    <col min="14598" max="14598" width="13.7109375" style="446" customWidth="1"/>
    <col min="14599" max="14840" width="13.7109375" style="446"/>
    <col min="14841" max="14841" width="22.28515625" style="446" customWidth="1"/>
    <col min="14842" max="14848" width="13.7109375" style="446" customWidth="1"/>
    <col min="14849" max="14849" width="15.7109375" style="446" customWidth="1"/>
    <col min="14850" max="14850" width="16.5703125" style="446" bestFit="1" customWidth="1"/>
    <col min="14851" max="14851" width="13.7109375" style="446" customWidth="1"/>
    <col min="14852" max="14852" width="17.28515625" style="446" bestFit="1" customWidth="1"/>
    <col min="14853" max="14853" width="4" style="446" customWidth="1"/>
    <col min="14854" max="14854" width="13.7109375" style="446" customWidth="1"/>
    <col min="14855" max="15096" width="13.7109375" style="446"/>
    <col min="15097" max="15097" width="22.28515625" style="446" customWidth="1"/>
    <col min="15098" max="15104" width="13.7109375" style="446" customWidth="1"/>
    <col min="15105" max="15105" width="15.7109375" style="446" customWidth="1"/>
    <col min="15106" max="15106" width="16.5703125" style="446" bestFit="1" customWidth="1"/>
    <col min="15107" max="15107" width="13.7109375" style="446" customWidth="1"/>
    <col min="15108" max="15108" width="17.28515625" style="446" bestFit="1" customWidth="1"/>
    <col min="15109" max="15109" width="4" style="446" customWidth="1"/>
    <col min="15110" max="15110" width="13.7109375" style="446" customWidth="1"/>
    <col min="15111" max="15352" width="13.7109375" style="446"/>
    <col min="15353" max="15353" width="22.28515625" style="446" customWidth="1"/>
    <col min="15354" max="15360" width="13.7109375" style="446" customWidth="1"/>
    <col min="15361" max="15361" width="15.7109375" style="446" customWidth="1"/>
    <col min="15362" max="15362" width="16.5703125" style="446" bestFit="1" customWidth="1"/>
    <col min="15363" max="15363" width="13.7109375" style="446" customWidth="1"/>
    <col min="15364" max="15364" width="17.28515625" style="446" bestFit="1" customWidth="1"/>
    <col min="15365" max="15365" width="4" style="446" customWidth="1"/>
    <col min="15366" max="15366" width="13.7109375" style="446" customWidth="1"/>
    <col min="15367" max="15608" width="13.7109375" style="446"/>
    <col min="15609" max="15609" width="22.28515625" style="446" customWidth="1"/>
    <col min="15610" max="15616" width="13.7109375" style="446" customWidth="1"/>
    <col min="15617" max="15617" width="15.7109375" style="446" customWidth="1"/>
    <col min="15618" max="15618" width="16.5703125" style="446" bestFit="1" customWidth="1"/>
    <col min="15619" max="15619" width="13.7109375" style="446" customWidth="1"/>
    <col min="15620" max="15620" width="17.28515625" style="446" bestFit="1" customWidth="1"/>
    <col min="15621" max="15621" width="4" style="446" customWidth="1"/>
    <col min="15622" max="15622" width="13.7109375" style="446" customWidth="1"/>
    <col min="15623" max="15864" width="13.7109375" style="446"/>
    <col min="15865" max="15865" width="22.28515625" style="446" customWidth="1"/>
    <col min="15866" max="15872" width="13.7109375" style="446" customWidth="1"/>
    <col min="15873" max="15873" width="15.7109375" style="446" customWidth="1"/>
    <col min="15874" max="15874" width="16.5703125" style="446" bestFit="1" customWidth="1"/>
    <col min="15875" max="15875" width="13.7109375" style="446" customWidth="1"/>
    <col min="15876" max="15876" width="17.28515625" style="446" bestFit="1" customWidth="1"/>
    <col min="15877" max="15877" width="4" style="446" customWidth="1"/>
    <col min="15878" max="15878" width="13.7109375" style="446" customWidth="1"/>
    <col min="15879" max="16120" width="13.7109375" style="446"/>
    <col min="16121" max="16121" width="22.28515625" style="446" customWidth="1"/>
    <col min="16122" max="16128" width="13.7109375" style="446" customWidth="1"/>
    <col min="16129" max="16129" width="15.7109375" style="446" customWidth="1"/>
    <col min="16130" max="16130" width="16.5703125" style="446" bestFit="1" customWidth="1"/>
    <col min="16131" max="16131" width="13.7109375" style="446" customWidth="1"/>
    <col min="16132" max="16132" width="17.28515625" style="446" bestFit="1" customWidth="1"/>
    <col min="16133" max="16133" width="4" style="446" customWidth="1"/>
    <col min="16134" max="16134" width="13.7109375" style="446" customWidth="1"/>
    <col min="16135" max="16384" width="13.7109375" style="446"/>
  </cols>
  <sheetData>
    <row r="1" spans="1:27" s="424" customFormat="1">
      <c r="A1" s="172" t="s">
        <v>2</v>
      </c>
      <c r="B1" s="422"/>
      <c r="C1" s="422"/>
      <c r="D1" s="422"/>
      <c r="E1" s="174"/>
      <c r="F1" s="174"/>
      <c r="G1" s="423"/>
      <c r="H1" s="174"/>
      <c r="I1" s="174"/>
    </row>
    <row r="2" spans="1:27" s="424" customFormat="1" ht="25.5">
      <c r="A2" s="425"/>
      <c r="B2" s="425"/>
      <c r="C2" s="6"/>
      <c r="D2" s="458" t="s">
        <v>214</v>
      </c>
      <c r="E2" s="458" t="s">
        <v>215</v>
      </c>
      <c r="G2" s="557" t="s">
        <v>1675</v>
      </c>
      <c r="H2" s="558"/>
      <c r="I2" s="514" t="s">
        <v>1674</v>
      </c>
      <c r="J2" s="6"/>
    </row>
    <row r="3" spans="1:27" s="424" customFormat="1" ht="15.75">
      <c r="A3" s="355" t="str">
        <f>'2-Kosten per locatie'!A3</f>
        <v>Naam opdrachtgever</v>
      </c>
      <c r="B3" s="354" t="str">
        <f>'2-Kosten per locatie'!B3</f>
        <v>Voortgezet Onderwijs van Amsterdam</v>
      </c>
      <c r="C3" s="6"/>
      <c r="D3" s="426" t="s">
        <v>216</v>
      </c>
      <c r="E3" s="427"/>
      <c r="G3" s="555" t="s">
        <v>1667</v>
      </c>
      <c r="H3" s="556"/>
      <c r="I3" s="513" t="s">
        <v>1668</v>
      </c>
      <c r="J3" s="6"/>
    </row>
    <row r="4" spans="1:27" s="424" customFormat="1" ht="15.75">
      <c r="A4" s="355" t="str">
        <f>'2-Kosten per locatie'!A4</f>
        <v>Calculatie onderdeel</v>
      </c>
      <c r="B4" s="31" t="str">
        <f ca="1">MID(CELL("bestandsnaam",$G$9),SEARCH("]",CELL("bestandsnaam",$G$9),1)+1,256)</f>
        <v>10-Glasbewassing</v>
      </c>
      <c r="C4" s="6"/>
      <c r="D4" s="426" t="s">
        <v>217</v>
      </c>
      <c r="E4" s="427"/>
      <c r="G4" s="555" t="s">
        <v>1669</v>
      </c>
      <c r="H4" s="556" t="s">
        <v>1668</v>
      </c>
      <c r="I4" s="513" t="s">
        <v>1668</v>
      </c>
      <c r="J4" s="6"/>
    </row>
    <row r="5" spans="1:27" s="424" customFormat="1" ht="15.75">
      <c r="A5" s="355" t="str">
        <f>'2-Kosten per locatie'!A5</f>
        <v>Plaats</v>
      </c>
      <c r="B5" s="354" t="str">
        <f>'2-Kosten per locatie'!B5</f>
        <v>Amsterdam</v>
      </c>
      <c r="C5" s="6"/>
      <c r="D5" s="428" t="s">
        <v>218</v>
      </c>
      <c r="E5" s="427"/>
      <c r="G5" s="555" t="s">
        <v>1670</v>
      </c>
      <c r="H5" s="556" t="s">
        <v>1668</v>
      </c>
      <c r="I5" s="513" t="s">
        <v>1668</v>
      </c>
      <c r="J5" s="6"/>
      <c r="K5" s="429"/>
      <c r="L5" s="430"/>
      <c r="M5" s="429"/>
      <c r="N5" s="429"/>
      <c r="O5" s="430"/>
      <c r="P5" s="431"/>
      <c r="Q5" s="429"/>
      <c r="R5" s="430"/>
      <c r="S5" s="429"/>
      <c r="T5" s="429"/>
      <c r="U5" s="430"/>
      <c r="V5" s="429"/>
      <c r="W5" s="429"/>
      <c r="X5" s="430"/>
      <c r="Y5" s="429"/>
      <c r="Z5" s="429"/>
      <c r="AA5" s="430"/>
    </row>
    <row r="6" spans="1:27" s="424" customFormat="1" ht="15.75">
      <c r="A6" s="355"/>
      <c r="B6" s="354"/>
      <c r="C6" s="422"/>
      <c r="D6" s="426" t="s">
        <v>1511</v>
      </c>
      <c r="E6" s="427"/>
      <c r="G6" s="555" t="s">
        <v>1671</v>
      </c>
      <c r="H6" s="556" t="s">
        <v>1668</v>
      </c>
      <c r="I6" s="513" t="s">
        <v>1668</v>
      </c>
      <c r="J6" s="6"/>
      <c r="K6" s="432"/>
      <c r="L6" s="433"/>
      <c r="M6" s="429"/>
      <c r="N6" s="432"/>
      <c r="O6" s="433"/>
      <c r="P6" s="431"/>
      <c r="Q6" s="432"/>
      <c r="R6" s="433"/>
      <c r="S6" s="429"/>
      <c r="T6" s="432"/>
      <c r="U6" s="433"/>
      <c r="V6" s="429"/>
      <c r="W6" s="432"/>
      <c r="X6" s="433"/>
      <c r="Y6" s="429"/>
      <c r="Z6" s="432"/>
      <c r="AA6" s="433"/>
    </row>
    <row r="7" spans="1:27" s="424" customFormat="1" ht="15.75">
      <c r="A7" s="355" t="str">
        <f>'2-Kosten per locatie'!A6</f>
        <v>Naam dienstverlener</v>
      </c>
      <c r="B7" s="354">
        <f>'2-Kosten per locatie'!B6</f>
        <v>0</v>
      </c>
      <c r="D7" s="426" t="s">
        <v>1512</v>
      </c>
      <c r="E7" s="427"/>
      <c r="G7" s="555" t="s">
        <v>1672</v>
      </c>
      <c r="H7" s="556" t="s">
        <v>1668</v>
      </c>
      <c r="I7" s="513" t="s">
        <v>1668</v>
      </c>
      <c r="J7" s="6"/>
    </row>
    <row r="8" spans="1:27" s="424" customFormat="1" ht="15.75">
      <c r="A8" s="355" t="str">
        <f>'2-Kosten per locatie'!A7</f>
        <v>Prijspeil</v>
      </c>
      <c r="B8" s="358">
        <f>'2-Kosten per locatie'!B7</f>
        <v>45839</v>
      </c>
      <c r="C8" s="422"/>
      <c r="D8" s="426" t="s">
        <v>1513</v>
      </c>
      <c r="E8" s="427"/>
      <c r="G8" s="555" t="s">
        <v>1673</v>
      </c>
      <c r="H8" s="556" t="s">
        <v>1668</v>
      </c>
      <c r="I8" s="513" t="s">
        <v>1668</v>
      </c>
      <c r="J8" s="6"/>
    </row>
    <row r="9" spans="1:27" s="424" customFormat="1" ht="17.25" customHeight="1">
      <c r="D9" s="6"/>
      <c r="E9" s="6"/>
      <c r="I9" s="430"/>
    </row>
    <row r="10" spans="1:27" s="424" customFormat="1" ht="17.25" customHeight="1">
      <c r="C10"/>
      <c r="D10"/>
      <c r="E10"/>
      <c r="I10" s="430"/>
    </row>
    <row r="11" spans="1:27" s="424" customFormat="1" ht="15.75">
      <c r="A11" s="434"/>
      <c r="B11" s="434"/>
      <c r="E11" s="429"/>
      <c r="G11" s="435"/>
      <c r="H11" s="429"/>
      <c r="I11" s="430"/>
    </row>
    <row r="12" spans="1:27" s="436" customFormat="1" ht="25.5">
      <c r="A12" s="456" t="s">
        <v>15</v>
      </c>
      <c r="B12" s="456" t="s">
        <v>63</v>
      </c>
      <c r="C12" s="457" t="s">
        <v>214</v>
      </c>
      <c r="D12" s="457" t="s">
        <v>219</v>
      </c>
      <c r="E12" s="458" t="s">
        <v>220</v>
      </c>
      <c r="F12" s="457" t="s">
        <v>1657</v>
      </c>
      <c r="G12" s="457" t="s">
        <v>221</v>
      </c>
      <c r="H12" s="457" t="s">
        <v>222</v>
      </c>
      <c r="I12" s="457" t="s">
        <v>223</v>
      </c>
    </row>
    <row r="13" spans="1:27" s="443" customFormat="1">
      <c r="A13" s="49" t="s">
        <v>1680</v>
      </c>
      <c r="B13" s="49" t="s">
        <v>1644</v>
      </c>
      <c r="C13" s="437" t="s">
        <v>216</v>
      </c>
      <c r="D13" s="438" t="s">
        <v>1616</v>
      </c>
      <c r="E13" s="439">
        <v>1074</v>
      </c>
      <c r="F13" s="440">
        <f t="shared" ref="F13:F21" si="0">VLOOKUP(C13,$D$3:$E$10,2,FALSE)</f>
        <v>0</v>
      </c>
      <c r="G13" s="441">
        <f>(E13*F13)</f>
        <v>0</v>
      </c>
      <c r="H13" s="442" t="s">
        <v>293</v>
      </c>
      <c r="I13" s="441">
        <f t="shared" ref="I13:I35" si="1">H13*G13</f>
        <v>0</v>
      </c>
    </row>
    <row r="14" spans="1:27" s="443" customFormat="1">
      <c r="A14" s="49" t="s">
        <v>1680</v>
      </c>
      <c r="B14" s="49" t="s">
        <v>1644</v>
      </c>
      <c r="C14" s="437" t="s">
        <v>217</v>
      </c>
      <c r="D14" s="438" t="s">
        <v>1617</v>
      </c>
      <c r="E14" s="439">
        <v>1074</v>
      </c>
      <c r="F14" s="440">
        <f t="shared" si="0"/>
        <v>0</v>
      </c>
      <c r="G14" s="441">
        <f t="shared" ref="G14:G15" si="2">(E14*F14)</f>
        <v>0</v>
      </c>
      <c r="H14" s="442" t="s">
        <v>293</v>
      </c>
      <c r="I14" s="441">
        <f t="shared" si="1"/>
        <v>0</v>
      </c>
    </row>
    <row r="15" spans="1:27" s="443" customFormat="1">
      <c r="A15" s="49" t="s">
        <v>1680</v>
      </c>
      <c r="B15" s="49" t="s">
        <v>1644</v>
      </c>
      <c r="C15" s="437" t="s">
        <v>218</v>
      </c>
      <c r="D15" s="444" t="s">
        <v>1628</v>
      </c>
      <c r="E15" s="439">
        <v>1596</v>
      </c>
      <c r="F15" s="440">
        <f t="shared" si="0"/>
        <v>0</v>
      </c>
      <c r="G15" s="441">
        <f t="shared" si="2"/>
        <v>0</v>
      </c>
      <c r="H15" s="442" t="s">
        <v>293</v>
      </c>
      <c r="I15" s="441">
        <f t="shared" si="1"/>
        <v>0</v>
      </c>
    </row>
    <row r="16" spans="1:27" s="443" customFormat="1">
      <c r="A16" s="49" t="s">
        <v>1680</v>
      </c>
      <c r="B16" s="49" t="s">
        <v>1644</v>
      </c>
      <c r="C16" s="437" t="s">
        <v>217</v>
      </c>
      <c r="D16" s="444" t="s">
        <v>1634</v>
      </c>
      <c r="E16" s="439">
        <v>315</v>
      </c>
      <c r="F16" s="440">
        <f t="shared" si="0"/>
        <v>0</v>
      </c>
      <c r="G16" s="441">
        <f t="shared" ref="G16" si="3">(E16*F16)</f>
        <v>0</v>
      </c>
      <c r="H16" s="442" t="s">
        <v>293</v>
      </c>
      <c r="I16" s="441">
        <f t="shared" ref="I16" si="4">H16*G16</f>
        <v>0</v>
      </c>
    </row>
    <row r="17" spans="1:9" s="443" customFormat="1">
      <c r="A17" s="49" t="s">
        <v>1680</v>
      </c>
      <c r="B17" s="49" t="s">
        <v>1644</v>
      </c>
      <c r="C17" s="437" t="s">
        <v>216</v>
      </c>
      <c r="D17" s="438" t="s">
        <v>1618</v>
      </c>
      <c r="E17" s="439">
        <v>315</v>
      </c>
      <c r="F17" s="440">
        <f t="shared" si="0"/>
        <v>0</v>
      </c>
      <c r="G17" s="441">
        <f>(E17*F17)</f>
        <v>0</v>
      </c>
      <c r="H17" s="442" t="s">
        <v>293</v>
      </c>
      <c r="I17" s="441">
        <f t="shared" ref="I17:I25" si="5">H17*G17</f>
        <v>0</v>
      </c>
    </row>
    <row r="18" spans="1:9" s="443" customFormat="1">
      <c r="A18" s="49" t="s">
        <v>1680</v>
      </c>
      <c r="B18" s="49" t="s">
        <v>1644</v>
      </c>
      <c r="C18" s="437" t="s">
        <v>218</v>
      </c>
      <c r="D18" s="438" t="s">
        <v>1629</v>
      </c>
      <c r="E18" s="439">
        <v>223</v>
      </c>
      <c r="F18" s="440">
        <f t="shared" si="0"/>
        <v>0</v>
      </c>
      <c r="G18" s="441">
        <f t="shared" ref="G18:G20" si="6">(E18*F18)</f>
        <v>0</v>
      </c>
      <c r="H18" s="442" t="s">
        <v>293</v>
      </c>
      <c r="I18" s="441">
        <f t="shared" si="5"/>
        <v>0</v>
      </c>
    </row>
    <row r="19" spans="1:9" s="443" customFormat="1">
      <c r="A19" s="49" t="s">
        <v>1680</v>
      </c>
      <c r="B19" s="49" t="s">
        <v>1644</v>
      </c>
      <c r="C19" s="437" t="s">
        <v>217</v>
      </c>
      <c r="D19" s="438" t="s">
        <v>1619</v>
      </c>
      <c r="E19" s="439">
        <v>186</v>
      </c>
      <c r="F19" s="440">
        <f t="shared" si="0"/>
        <v>0</v>
      </c>
      <c r="G19" s="441">
        <f t="shared" ref="G19" si="7">(E19*F19)</f>
        <v>0</v>
      </c>
      <c r="H19" s="442" t="s">
        <v>293</v>
      </c>
      <c r="I19" s="441">
        <f t="shared" ref="I19" si="8">H19*G19</f>
        <v>0</v>
      </c>
    </row>
    <row r="20" spans="1:9" s="443" customFormat="1">
      <c r="A20" s="49" t="s">
        <v>1680</v>
      </c>
      <c r="B20" s="49" t="s">
        <v>1644</v>
      </c>
      <c r="C20" s="437" t="s">
        <v>216</v>
      </c>
      <c r="D20" s="444" t="s">
        <v>1620</v>
      </c>
      <c r="E20" s="439">
        <v>186</v>
      </c>
      <c r="F20" s="440">
        <f t="shared" si="0"/>
        <v>0</v>
      </c>
      <c r="G20" s="441">
        <f t="shared" si="6"/>
        <v>0</v>
      </c>
      <c r="H20" s="442" t="s">
        <v>293</v>
      </c>
      <c r="I20" s="441">
        <f t="shared" si="5"/>
        <v>0</v>
      </c>
    </row>
    <row r="21" spans="1:9" s="443" customFormat="1">
      <c r="A21" s="49" t="s">
        <v>1680</v>
      </c>
      <c r="B21" s="49" t="s">
        <v>1644</v>
      </c>
      <c r="C21" s="437" t="s">
        <v>216</v>
      </c>
      <c r="D21" s="444" t="s">
        <v>1633</v>
      </c>
      <c r="E21" s="439">
        <v>186</v>
      </c>
      <c r="F21" s="440">
        <f t="shared" si="0"/>
        <v>0</v>
      </c>
      <c r="G21" s="441">
        <f t="shared" ref="G21" si="9">(E21*F21)</f>
        <v>0</v>
      </c>
      <c r="H21" s="442" t="s">
        <v>293</v>
      </c>
      <c r="I21" s="441">
        <f t="shared" ref="I21" si="10">H21*G21</f>
        <v>0</v>
      </c>
    </row>
    <row r="22" spans="1:9" s="443" customFormat="1">
      <c r="A22" s="49" t="s">
        <v>1681</v>
      </c>
      <c r="B22" s="49" t="s">
        <v>667</v>
      </c>
      <c r="C22" s="437" t="s">
        <v>217</v>
      </c>
      <c r="D22" s="438" t="s">
        <v>1621</v>
      </c>
      <c r="E22" s="439">
        <v>388</v>
      </c>
      <c r="F22" s="440">
        <f t="shared" ref="F22:F35" si="11">VLOOKUP(C22,$D$3:$E$10,2,FALSE)</f>
        <v>0</v>
      </c>
      <c r="G22" s="441">
        <f>(E22*F22)</f>
        <v>0</v>
      </c>
      <c r="H22" s="442" t="s">
        <v>293</v>
      </c>
      <c r="I22" s="441">
        <f t="shared" si="5"/>
        <v>0</v>
      </c>
    </row>
    <row r="23" spans="1:9" s="443" customFormat="1">
      <c r="A23" s="49" t="s">
        <v>1681</v>
      </c>
      <c r="B23" s="49" t="s">
        <v>667</v>
      </c>
      <c r="C23" s="437" t="s">
        <v>217</v>
      </c>
      <c r="D23" s="438" t="s">
        <v>1635</v>
      </c>
      <c r="E23" s="439">
        <v>840</v>
      </c>
      <c r="F23" s="440">
        <f t="shared" si="11"/>
        <v>0</v>
      </c>
      <c r="G23" s="441">
        <f t="shared" ref="G23:G25" si="12">(E23*F23)</f>
        <v>0</v>
      </c>
      <c r="H23" s="442" t="s">
        <v>293</v>
      </c>
      <c r="I23" s="441">
        <f t="shared" si="5"/>
        <v>0</v>
      </c>
    </row>
    <row r="24" spans="1:9" s="443" customFormat="1">
      <c r="A24" s="49" t="s">
        <v>1681</v>
      </c>
      <c r="B24" s="49" t="s">
        <v>667</v>
      </c>
      <c r="C24" s="437" t="s">
        <v>217</v>
      </c>
      <c r="D24" s="444" t="s">
        <v>1622</v>
      </c>
      <c r="E24" s="439">
        <v>70</v>
      </c>
      <c r="F24" s="440">
        <f t="shared" si="11"/>
        <v>0</v>
      </c>
      <c r="G24" s="441">
        <f t="shared" si="12"/>
        <v>0</v>
      </c>
      <c r="H24" s="442" t="s">
        <v>293</v>
      </c>
      <c r="I24" s="441">
        <f t="shared" si="5"/>
        <v>0</v>
      </c>
    </row>
    <row r="25" spans="1:9" s="443" customFormat="1">
      <c r="A25" s="49" t="s">
        <v>1681</v>
      </c>
      <c r="B25" s="49" t="s">
        <v>667</v>
      </c>
      <c r="C25" s="437" t="s">
        <v>216</v>
      </c>
      <c r="D25" s="438" t="s">
        <v>1623</v>
      </c>
      <c r="E25" s="439">
        <v>388</v>
      </c>
      <c r="F25" s="440">
        <f t="shared" si="11"/>
        <v>0</v>
      </c>
      <c r="G25" s="441">
        <f t="shared" si="12"/>
        <v>0</v>
      </c>
      <c r="H25" s="445">
        <v>2</v>
      </c>
      <c r="I25" s="441">
        <f t="shared" si="5"/>
        <v>0</v>
      </c>
    </row>
    <row r="26" spans="1:9" s="443" customFormat="1">
      <c r="A26" s="49" t="s">
        <v>1681</v>
      </c>
      <c r="B26" s="49" t="s">
        <v>667</v>
      </c>
      <c r="C26" s="438" t="s">
        <v>216</v>
      </c>
      <c r="D26" s="438" t="s">
        <v>1645</v>
      </c>
      <c r="E26" s="439">
        <v>96</v>
      </c>
      <c r="F26" s="440">
        <f t="shared" si="11"/>
        <v>0</v>
      </c>
      <c r="G26" s="441">
        <f>(E26*F26)</f>
        <v>0</v>
      </c>
      <c r="H26" s="442" t="s">
        <v>293</v>
      </c>
      <c r="I26" s="441">
        <f t="shared" ref="I26:I30" si="13">H26*G26</f>
        <v>0</v>
      </c>
    </row>
    <row r="27" spans="1:9" s="443" customFormat="1">
      <c r="A27" s="49" t="s">
        <v>1681</v>
      </c>
      <c r="B27" s="49" t="s">
        <v>667</v>
      </c>
      <c r="C27" s="444" t="s">
        <v>218</v>
      </c>
      <c r="D27" s="438" t="s">
        <v>1631</v>
      </c>
      <c r="E27" s="439">
        <v>744</v>
      </c>
      <c r="F27" s="440">
        <f t="shared" si="11"/>
        <v>0</v>
      </c>
      <c r="G27" s="441">
        <f t="shared" ref="G27:G30" si="14">(E27*F27)</f>
        <v>0</v>
      </c>
      <c r="H27" s="442" t="s">
        <v>293</v>
      </c>
      <c r="I27" s="441">
        <f t="shared" si="13"/>
        <v>0</v>
      </c>
    </row>
    <row r="28" spans="1:9" s="443" customFormat="1">
      <c r="A28" s="49" t="s">
        <v>1681</v>
      </c>
      <c r="B28" s="49" t="s">
        <v>667</v>
      </c>
      <c r="C28" s="438" t="s">
        <v>1511</v>
      </c>
      <c r="D28" s="438" t="s">
        <v>1624</v>
      </c>
      <c r="E28" s="439">
        <v>142</v>
      </c>
      <c r="F28" s="440">
        <f t="shared" si="11"/>
        <v>0</v>
      </c>
      <c r="G28" s="441">
        <f t="shared" si="14"/>
        <v>0</v>
      </c>
      <c r="H28" s="442" t="s">
        <v>293</v>
      </c>
      <c r="I28" s="441">
        <f t="shared" si="13"/>
        <v>0</v>
      </c>
    </row>
    <row r="29" spans="1:9" s="443" customFormat="1">
      <c r="A29" s="49" t="s">
        <v>1681</v>
      </c>
      <c r="B29" s="49" t="s">
        <v>667</v>
      </c>
      <c r="C29" s="438" t="s">
        <v>216</v>
      </c>
      <c r="D29" s="444" t="s">
        <v>1625</v>
      </c>
      <c r="E29" s="439">
        <v>70</v>
      </c>
      <c r="F29" s="440">
        <f t="shared" si="11"/>
        <v>0</v>
      </c>
      <c r="G29" s="441">
        <f t="shared" si="14"/>
        <v>0</v>
      </c>
      <c r="H29" s="442" t="s">
        <v>293</v>
      </c>
      <c r="I29" s="441">
        <f t="shared" si="13"/>
        <v>0</v>
      </c>
    </row>
    <row r="30" spans="1:9" s="443" customFormat="1">
      <c r="A30" s="49" t="s">
        <v>1681</v>
      </c>
      <c r="B30" s="49" t="s">
        <v>667</v>
      </c>
      <c r="C30" s="438" t="s">
        <v>218</v>
      </c>
      <c r="D30" s="444" t="s">
        <v>1628</v>
      </c>
      <c r="E30" s="439">
        <v>285</v>
      </c>
      <c r="F30" s="440">
        <f t="shared" si="11"/>
        <v>0</v>
      </c>
      <c r="G30" s="441">
        <f t="shared" si="14"/>
        <v>0</v>
      </c>
      <c r="H30" s="442" t="s">
        <v>293</v>
      </c>
      <c r="I30" s="441">
        <f t="shared" si="13"/>
        <v>0</v>
      </c>
    </row>
    <row r="31" spans="1:9" s="443" customFormat="1">
      <c r="A31" s="49" t="s">
        <v>1681</v>
      </c>
      <c r="B31" s="49" t="s">
        <v>667</v>
      </c>
      <c r="C31" s="444" t="s">
        <v>218</v>
      </c>
      <c r="D31" s="444" t="s">
        <v>1630</v>
      </c>
      <c r="E31" s="439">
        <v>584</v>
      </c>
      <c r="F31" s="440">
        <f t="shared" si="11"/>
        <v>0</v>
      </c>
      <c r="G31" s="441">
        <f t="shared" ref="G31" si="15">(E31*F31)</f>
        <v>0</v>
      </c>
      <c r="H31" s="442" t="s">
        <v>293</v>
      </c>
      <c r="I31" s="441">
        <f t="shared" ref="I31" si="16">H31*G31</f>
        <v>0</v>
      </c>
    </row>
    <row r="32" spans="1:9" s="443" customFormat="1">
      <c r="A32" s="49" t="s">
        <v>1677</v>
      </c>
      <c r="B32" s="49" t="s">
        <v>376</v>
      </c>
      <c r="C32" s="438" t="s">
        <v>217</v>
      </c>
      <c r="D32" s="438" t="s">
        <v>1616</v>
      </c>
      <c r="E32" s="439">
        <v>1031</v>
      </c>
      <c r="F32" s="440">
        <f t="shared" si="11"/>
        <v>0</v>
      </c>
      <c r="G32" s="441">
        <f>(E32*F32)</f>
        <v>0</v>
      </c>
      <c r="H32" s="442" t="s">
        <v>293</v>
      </c>
      <c r="I32" s="441">
        <f t="shared" si="1"/>
        <v>0</v>
      </c>
    </row>
    <row r="33" spans="1:9" s="443" customFormat="1">
      <c r="A33" s="49" t="s">
        <v>1677</v>
      </c>
      <c r="B33" s="49" t="s">
        <v>376</v>
      </c>
      <c r="C33" s="438" t="s">
        <v>216</v>
      </c>
      <c r="D33" s="438" t="s">
        <v>1617</v>
      </c>
      <c r="E33" s="439">
        <v>1031</v>
      </c>
      <c r="F33" s="440">
        <f t="shared" si="11"/>
        <v>0</v>
      </c>
      <c r="G33" s="441">
        <f t="shared" ref="G33:G35" si="17">(E33*F33)</f>
        <v>0</v>
      </c>
      <c r="H33" s="442" t="s">
        <v>293</v>
      </c>
      <c r="I33" s="441">
        <f t="shared" si="1"/>
        <v>0</v>
      </c>
    </row>
    <row r="34" spans="1:9" s="443" customFormat="1">
      <c r="A34" s="49" t="s">
        <v>1677</v>
      </c>
      <c r="B34" s="49" t="s">
        <v>376</v>
      </c>
      <c r="C34" s="444" t="s">
        <v>218</v>
      </c>
      <c r="D34" s="444" t="s">
        <v>1628</v>
      </c>
      <c r="E34" s="439">
        <v>970</v>
      </c>
      <c r="F34" s="440">
        <f t="shared" si="11"/>
        <v>0</v>
      </c>
      <c r="G34" s="441">
        <f t="shared" si="17"/>
        <v>0</v>
      </c>
      <c r="H34" s="442" t="s">
        <v>293</v>
      </c>
      <c r="I34" s="441">
        <f t="shared" si="1"/>
        <v>0</v>
      </c>
    </row>
    <row r="35" spans="1:9" s="443" customFormat="1">
      <c r="A35" s="49" t="s">
        <v>1677</v>
      </c>
      <c r="B35" s="49" t="s">
        <v>376</v>
      </c>
      <c r="C35" s="438" t="s">
        <v>218</v>
      </c>
      <c r="D35" s="438" t="s">
        <v>1646</v>
      </c>
      <c r="E35" s="439">
        <v>64</v>
      </c>
      <c r="F35" s="440">
        <f t="shared" si="11"/>
        <v>0</v>
      </c>
      <c r="G35" s="441">
        <f t="shared" si="17"/>
        <v>0</v>
      </c>
      <c r="H35" s="442" t="s">
        <v>293</v>
      </c>
      <c r="I35" s="441">
        <f t="shared" si="1"/>
        <v>0</v>
      </c>
    </row>
    <row r="36" spans="1:9" s="443" customFormat="1">
      <c r="A36" s="359" t="s">
        <v>1676</v>
      </c>
      <c r="B36" s="154" t="s">
        <v>1656</v>
      </c>
      <c r="C36" s="438" t="s">
        <v>217</v>
      </c>
      <c r="D36" s="438" t="s">
        <v>1636</v>
      </c>
      <c r="E36" s="439">
        <v>521</v>
      </c>
      <c r="F36" s="440">
        <f t="shared" ref="F36:F46" si="18">VLOOKUP(C36,$D$3:$E$10,2,FALSE)</f>
        <v>0</v>
      </c>
      <c r="G36" s="441">
        <f>(E36*F36)</f>
        <v>0</v>
      </c>
      <c r="H36" s="442" t="s">
        <v>293</v>
      </c>
      <c r="I36" s="441">
        <f t="shared" ref="I36:I39" si="19">H36*G36</f>
        <v>0</v>
      </c>
    </row>
    <row r="37" spans="1:9" s="443" customFormat="1">
      <c r="A37" s="359" t="s">
        <v>1676</v>
      </c>
      <c r="B37" s="154" t="s">
        <v>1656</v>
      </c>
      <c r="C37" s="438" t="s">
        <v>216</v>
      </c>
      <c r="D37" s="438" t="s">
        <v>1637</v>
      </c>
      <c r="E37" s="439">
        <v>521</v>
      </c>
      <c r="F37" s="440">
        <f t="shared" si="18"/>
        <v>0</v>
      </c>
      <c r="G37" s="441">
        <f t="shared" ref="G37:G39" si="20">(E37*F37)</f>
        <v>0</v>
      </c>
      <c r="H37" s="442" t="s">
        <v>293</v>
      </c>
      <c r="I37" s="441">
        <f t="shared" si="19"/>
        <v>0</v>
      </c>
    </row>
    <row r="38" spans="1:9" s="443" customFormat="1">
      <c r="A38" s="359" t="s">
        <v>1676</v>
      </c>
      <c r="B38" s="154" t="s">
        <v>1656</v>
      </c>
      <c r="C38" s="444" t="s">
        <v>218</v>
      </c>
      <c r="D38" s="444" t="s">
        <v>1638</v>
      </c>
      <c r="E38" s="439">
        <v>381</v>
      </c>
      <c r="F38" s="440">
        <f t="shared" si="18"/>
        <v>0</v>
      </c>
      <c r="G38" s="441">
        <f t="shared" si="20"/>
        <v>0</v>
      </c>
      <c r="H38" s="442" t="s">
        <v>293</v>
      </c>
      <c r="I38" s="441">
        <f t="shared" si="19"/>
        <v>0</v>
      </c>
    </row>
    <row r="39" spans="1:9" s="443" customFormat="1">
      <c r="A39" s="359" t="s">
        <v>1676</v>
      </c>
      <c r="B39" s="154" t="s">
        <v>1656</v>
      </c>
      <c r="C39" s="438" t="s">
        <v>218</v>
      </c>
      <c r="D39" s="438" t="s">
        <v>1632</v>
      </c>
      <c r="E39" s="439">
        <v>64</v>
      </c>
      <c r="F39" s="440">
        <f t="shared" si="18"/>
        <v>0</v>
      </c>
      <c r="G39" s="441">
        <f t="shared" si="20"/>
        <v>0</v>
      </c>
      <c r="H39" s="442" t="s">
        <v>293</v>
      </c>
      <c r="I39" s="441">
        <f t="shared" si="19"/>
        <v>0</v>
      </c>
    </row>
    <row r="40" spans="1:9" s="443" customFormat="1">
      <c r="A40" s="359" t="s">
        <v>1676</v>
      </c>
      <c r="B40" s="154" t="s">
        <v>1656</v>
      </c>
      <c r="C40" s="444" t="s">
        <v>1511</v>
      </c>
      <c r="D40" s="444" t="s">
        <v>1626</v>
      </c>
      <c r="E40" s="439">
        <v>65</v>
      </c>
      <c r="F40" s="440">
        <f t="shared" si="18"/>
        <v>0</v>
      </c>
      <c r="G40" s="441">
        <f t="shared" ref="G40" si="21">(E40*F40)</f>
        <v>0</v>
      </c>
      <c r="H40" s="442" t="s">
        <v>293</v>
      </c>
      <c r="I40" s="441">
        <f t="shared" ref="I40:I43" si="22">H40*G40</f>
        <v>0</v>
      </c>
    </row>
    <row r="41" spans="1:9" s="443" customFormat="1">
      <c r="A41" s="49" t="s">
        <v>1678</v>
      </c>
      <c r="B41" s="49" t="s">
        <v>665</v>
      </c>
      <c r="C41" s="438" t="s">
        <v>217</v>
      </c>
      <c r="D41" s="438" t="s">
        <v>1637</v>
      </c>
      <c r="E41" s="439">
        <v>772.1</v>
      </c>
      <c r="F41" s="440">
        <f t="shared" si="18"/>
        <v>0</v>
      </c>
      <c r="G41" s="441">
        <f>(E41*F41)</f>
        <v>0</v>
      </c>
      <c r="H41" s="442" t="s">
        <v>293</v>
      </c>
      <c r="I41" s="441">
        <f t="shared" si="22"/>
        <v>0</v>
      </c>
    </row>
    <row r="42" spans="1:9" s="443" customFormat="1">
      <c r="A42" s="49" t="s">
        <v>1678</v>
      </c>
      <c r="B42" s="49" t="s">
        <v>665</v>
      </c>
      <c r="C42" s="438" t="s">
        <v>216</v>
      </c>
      <c r="D42" s="438" t="s">
        <v>1636</v>
      </c>
      <c r="E42" s="439">
        <v>772.1</v>
      </c>
      <c r="F42" s="440">
        <f t="shared" si="18"/>
        <v>0</v>
      </c>
      <c r="G42" s="441">
        <f t="shared" ref="G42:G43" si="23">(E42*F42)</f>
        <v>0</v>
      </c>
      <c r="H42" s="442" t="s">
        <v>293</v>
      </c>
      <c r="I42" s="441">
        <f t="shared" si="22"/>
        <v>0</v>
      </c>
    </row>
    <row r="43" spans="1:9" s="443" customFormat="1">
      <c r="A43" s="49" t="s">
        <v>1678</v>
      </c>
      <c r="B43" s="49" t="s">
        <v>665</v>
      </c>
      <c r="C43" s="438" t="s">
        <v>218</v>
      </c>
      <c r="D43" s="438" t="s">
        <v>1639</v>
      </c>
      <c r="E43" s="439">
        <v>1143</v>
      </c>
      <c r="F43" s="440">
        <f t="shared" si="18"/>
        <v>0</v>
      </c>
      <c r="G43" s="441">
        <f t="shared" si="23"/>
        <v>0</v>
      </c>
      <c r="H43" s="442" t="s">
        <v>293</v>
      </c>
      <c r="I43" s="441">
        <f t="shared" si="22"/>
        <v>0</v>
      </c>
    </row>
    <row r="44" spans="1:9" s="443" customFormat="1">
      <c r="A44" s="49" t="s">
        <v>1679</v>
      </c>
      <c r="B44" s="49" t="s">
        <v>666</v>
      </c>
      <c r="C44" s="438" t="s">
        <v>217</v>
      </c>
      <c r="D44" s="438" t="s">
        <v>1616</v>
      </c>
      <c r="E44" s="439">
        <v>433</v>
      </c>
      <c r="F44" s="440">
        <f t="shared" si="18"/>
        <v>0</v>
      </c>
      <c r="G44" s="441">
        <f t="shared" ref="G44" si="24">(E44*F44)</f>
        <v>0</v>
      </c>
      <c r="H44" s="442" t="s">
        <v>293</v>
      </c>
      <c r="I44" s="441">
        <f t="shared" ref="I44" si="25">H44*G44</f>
        <v>0</v>
      </c>
    </row>
    <row r="45" spans="1:9" s="443" customFormat="1">
      <c r="A45" s="49" t="s">
        <v>1679</v>
      </c>
      <c r="B45" s="49" t="s">
        <v>666</v>
      </c>
      <c r="C45" s="438" t="s">
        <v>216</v>
      </c>
      <c r="D45" s="438" t="s">
        <v>1627</v>
      </c>
      <c r="E45" s="439">
        <v>433</v>
      </c>
      <c r="F45" s="440">
        <f t="shared" si="18"/>
        <v>0</v>
      </c>
      <c r="G45" s="441">
        <f t="shared" ref="G45:G46" si="26">(E45*F45)</f>
        <v>0</v>
      </c>
      <c r="H45" s="442" t="s">
        <v>293</v>
      </c>
      <c r="I45" s="441">
        <f t="shared" ref="I45:I46" si="27">H45*G45</f>
        <v>0</v>
      </c>
    </row>
    <row r="46" spans="1:9" s="443" customFormat="1">
      <c r="A46" s="49" t="s">
        <v>1679</v>
      </c>
      <c r="B46" s="49" t="s">
        <v>666</v>
      </c>
      <c r="C46" s="444" t="s">
        <v>218</v>
      </c>
      <c r="D46" s="438" t="s">
        <v>1628</v>
      </c>
      <c r="E46" s="439">
        <v>277</v>
      </c>
      <c r="F46" s="440">
        <f t="shared" si="18"/>
        <v>0</v>
      </c>
      <c r="G46" s="441">
        <f t="shared" si="26"/>
        <v>0</v>
      </c>
      <c r="H46" s="442" t="s">
        <v>293</v>
      </c>
      <c r="I46" s="441">
        <f t="shared" si="27"/>
        <v>0</v>
      </c>
    </row>
    <row r="47" spans="1:9">
      <c r="C47" s="446"/>
      <c r="D47" s="446"/>
      <c r="F47" s="446"/>
      <c r="G47" s="446"/>
      <c r="H47" s="446"/>
      <c r="I47" s="446"/>
    </row>
    <row r="48" spans="1:9">
      <c r="A48" s="447" t="s">
        <v>26</v>
      </c>
      <c r="B48" s="448"/>
      <c r="C48" s="449"/>
      <c r="D48" s="448"/>
      <c r="E48" s="450">
        <f>SUM(E13:E47)</f>
        <v>17240.2</v>
      </c>
      <c r="F48" s="449"/>
      <c r="G48" s="451"/>
      <c r="H48" s="448"/>
      <c r="I48" s="452">
        <f>SUM(I13:I47)</f>
        <v>0</v>
      </c>
    </row>
  </sheetData>
  <autoFilter ref="A12:AA48" xr:uid="{00000000-0009-0000-0000-00000A000000}"/>
  <mergeCells count="7">
    <mergeCell ref="G7:H7"/>
    <mergeCell ref="G8:H8"/>
    <mergeCell ref="G2:H2"/>
    <mergeCell ref="G3:H3"/>
    <mergeCell ref="G4:H4"/>
    <mergeCell ref="G5:H5"/>
    <mergeCell ref="G6:H6"/>
  </mergeCells>
  <phoneticPr fontId="6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EF68F-F7A1-4FC1-B517-1B7C2C4F3828}">
  <sheetPr>
    <tabColor theme="0" tint="-0.14999847407452621"/>
    <pageSetUpPr fitToPage="1"/>
  </sheetPr>
  <dimension ref="A1:K61"/>
  <sheetViews>
    <sheetView showGridLines="0" zoomScale="80" zoomScaleNormal="80" zoomScaleSheetLayoutView="50" zoomScalePageLayoutView="50" workbookViewId="0">
      <pane ySplit="9" topLeftCell="A10" activePane="bottomLeft" state="frozen"/>
      <selection activeCell="A5" sqref="A5"/>
      <selection pane="bottomLeft" activeCell="A10" sqref="A10"/>
    </sheetView>
  </sheetViews>
  <sheetFormatPr defaultColWidth="13.7109375" defaultRowHeight="12.75"/>
  <cols>
    <col min="1" max="1" width="40.5703125" style="446" bestFit="1" customWidth="1"/>
    <col min="2" max="2" width="35.42578125" style="446" customWidth="1"/>
    <col min="3" max="3" width="16.7109375" style="446" bestFit="1" customWidth="1"/>
    <col min="4" max="4" width="18.28515625" style="453" customWidth="1"/>
    <col min="5" max="5" width="14.5703125" style="446" bestFit="1" customWidth="1"/>
    <col min="6" max="6" width="46.5703125" style="446" bestFit="1" customWidth="1"/>
    <col min="7" max="7" width="19.5703125" style="446" customWidth="1"/>
    <col min="8" max="8" width="15.7109375" style="446" customWidth="1"/>
    <col min="9" max="9" width="19.7109375" style="446" customWidth="1"/>
    <col min="10" max="10" width="19.7109375" style="455" bestFit="1" customWidth="1"/>
    <col min="11" max="230" width="13.7109375" style="446"/>
    <col min="231" max="231" width="22.28515625" style="446" customWidth="1"/>
    <col min="232" max="238" width="13.7109375" style="446" customWidth="1"/>
    <col min="239" max="239" width="15.7109375" style="446" customWidth="1"/>
    <col min="240" max="240" width="16.5703125" style="446" bestFit="1" customWidth="1"/>
    <col min="241" max="241" width="13.7109375" style="446" customWidth="1"/>
    <col min="242" max="242" width="17.28515625" style="446" bestFit="1" customWidth="1"/>
    <col min="243" max="243" width="4" style="446" customWidth="1"/>
    <col min="244" max="244" width="13.7109375" style="446" customWidth="1"/>
    <col min="245" max="486" width="13.7109375" style="446"/>
    <col min="487" max="487" width="22.28515625" style="446" customWidth="1"/>
    <col min="488" max="494" width="13.7109375" style="446" customWidth="1"/>
    <col min="495" max="495" width="15.7109375" style="446" customWidth="1"/>
    <col min="496" max="496" width="16.5703125" style="446" bestFit="1" customWidth="1"/>
    <col min="497" max="497" width="13.7109375" style="446" customWidth="1"/>
    <col min="498" max="498" width="17.28515625" style="446" bestFit="1" customWidth="1"/>
    <col min="499" max="499" width="4" style="446" customWidth="1"/>
    <col min="500" max="500" width="13.7109375" style="446" customWidth="1"/>
    <col min="501" max="742" width="13.7109375" style="446"/>
    <col min="743" max="743" width="22.28515625" style="446" customWidth="1"/>
    <col min="744" max="750" width="13.7109375" style="446" customWidth="1"/>
    <col min="751" max="751" width="15.7109375" style="446" customWidth="1"/>
    <col min="752" max="752" width="16.5703125" style="446" bestFit="1" customWidth="1"/>
    <col min="753" max="753" width="13.7109375" style="446" customWidth="1"/>
    <col min="754" max="754" width="17.28515625" style="446" bestFit="1" customWidth="1"/>
    <col min="755" max="755" width="4" style="446" customWidth="1"/>
    <col min="756" max="756" width="13.7109375" style="446" customWidth="1"/>
    <col min="757" max="998" width="13.7109375" style="446"/>
    <col min="999" max="999" width="22.28515625" style="446" customWidth="1"/>
    <col min="1000" max="1006" width="13.7109375" style="446" customWidth="1"/>
    <col min="1007" max="1007" width="15.7109375" style="446" customWidth="1"/>
    <col min="1008" max="1008" width="16.5703125" style="446" bestFit="1" customWidth="1"/>
    <col min="1009" max="1009" width="13.7109375" style="446" customWidth="1"/>
    <col min="1010" max="1010" width="17.28515625" style="446" bestFit="1" customWidth="1"/>
    <col min="1011" max="1011" width="4" style="446" customWidth="1"/>
    <col min="1012" max="1012" width="13.7109375" style="446" customWidth="1"/>
    <col min="1013" max="1254" width="13.7109375" style="446"/>
    <col min="1255" max="1255" width="22.28515625" style="446" customWidth="1"/>
    <col min="1256" max="1262" width="13.7109375" style="446" customWidth="1"/>
    <col min="1263" max="1263" width="15.7109375" style="446" customWidth="1"/>
    <col min="1264" max="1264" width="16.5703125" style="446" bestFit="1" customWidth="1"/>
    <col min="1265" max="1265" width="13.7109375" style="446" customWidth="1"/>
    <col min="1266" max="1266" width="17.28515625" style="446" bestFit="1" customWidth="1"/>
    <col min="1267" max="1267" width="4" style="446" customWidth="1"/>
    <col min="1268" max="1268" width="13.7109375" style="446" customWidth="1"/>
    <col min="1269" max="1510" width="13.7109375" style="446"/>
    <col min="1511" max="1511" width="22.28515625" style="446" customWidth="1"/>
    <col min="1512" max="1518" width="13.7109375" style="446" customWidth="1"/>
    <col min="1519" max="1519" width="15.7109375" style="446" customWidth="1"/>
    <col min="1520" max="1520" width="16.5703125" style="446" bestFit="1" customWidth="1"/>
    <col min="1521" max="1521" width="13.7109375" style="446" customWidth="1"/>
    <col min="1522" max="1522" width="17.28515625" style="446" bestFit="1" customWidth="1"/>
    <col min="1523" max="1523" width="4" style="446" customWidth="1"/>
    <col min="1524" max="1524" width="13.7109375" style="446" customWidth="1"/>
    <col min="1525" max="1766" width="13.7109375" style="446"/>
    <col min="1767" max="1767" width="22.28515625" style="446" customWidth="1"/>
    <col min="1768" max="1774" width="13.7109375" style="446" customWidth="1"/>
    <col min="1775" max="1775" width="15.7109375" style="446" customWidth="1"/>
    <col min="1776" max="1776" width="16.5703125" style="446" bestFit="1" customWidth="1"/>
    <col min="1777" max="1777" width="13.7109375" style="446" customWidth="1"/>
    <col min="1778" max="1778" width="17.28515625" style="446" bestFit="1" customWidth="1"/>
    <col min="1779" max="1779" width="4" style="446" customWidth="1"/>
    <col min="1780" max="1780" width="13.7109375" style="446" customWidth="1"/>
    <col min="1781" max="2022" width="13.7109375" style="446"/>
    <col min="2023" max="2023" width="22.28515625" style="446" customWidth="1"/>
    <col min="2024" max="2030" width="13.7109375" style="446" customWidth="1"/>
    <col min="2031" max="2031" width="15.7109375" style="446" customWidth="1"/>
    <col min="2032" max="2032" width="16.5703125" style="446" bestFit="1" customWidth="1"/>
    <col min="2033" max="2033" width="13.7109375" style="446" customWidth="1"/>
    <col min="2034" max="2034" width="17.28515625" style="446" bestFit="1" customWidth="1"/>
    <col min="2035" max="2035" width="4" style="446" customWidth="1"/>
    <col min="2036" max="2036" width="13.7109375" style="446" customWidth="1"/>
    <col min="2037" max="2278" width="13.7109375" style="446"/>
    <col min="2279" max="2279" width="22.28515625" style="446" customWidth="1"/>
    <col min="2280" max="2286" width="13.7109375" style="446" customWidth="1"/>
    <col min="2287" max="2287" width="15.7109375" style="446" customWidth="1"/>
    <col min="2288" max="2288" width="16.5703125" style="446" bestFit="1" customWidth="1"/>
    <col min="2289" max="2289" width="13.7109375" style="446" customWidth="1"/>
    <col min="2290" max="2290" width="17.28515625" style="446" bestFit="1" customWidth="1"/>
    <col min="2291" max="2291" width="4" style="446" customWidth="1"/>
    <col min="2292" max="2292" width="13.7109375" style="446" customWidth="1"/>
    <col min="2293" max="2534" width="13.7109375" style="446"/>
    <col min="2535" max="2535" width="22.28515625" style="446" customWidth="1"/>
    <col min="2536" max="2542" width="13.7109375" style="446" customWidth="1"/>
    <col min="2543" max="2543" width="15.7109375" style="446" customWidth="1"/>
    <col min="2544" max="2544" width="16.5703125" style="446" bestFit="1" customWidth="1"/>
    <col min="2545" max="2545" width="13.7109375" style="446" customWidth="1"/>
    <col min="2546" max="2546" width="17.28515625" style="446" bestFit="1" customWidth="1"/>
    <col min="2547" max="2547" width="4" style="446" customWidth="1"/>
    <col min="2548" max="2548" width="13.7109375" style="446" customWidth="1"/>
    <col min="2549" max="2790" width="13.7109375" style="446"/>
    <col min="2791" max="2791" width="22.28515625" style="446" customWidth="1"/>
    <col min="2792" max="2798" width="13.7109375" style="446" customWidth="1"/>
    <col min="2799" max="2799" width="15.7109375" style="446" customWidth="1"/>
    <col min="2800" max="2800" width="16.5703125" style="446" bestFit="1" customWidth="1"/>
    <col min="2801" max="2801" width="13.7109375" style="446" customWidth="1"/>
    <col min="2802" max="2802" width="17.28515625" style="446" bestFit="1" customWidth="1"/>
    <col min="2803" max="2803" width="4" style="446" customWidth="1"/>
    <col min="2804" max="2804" width="13.7109375" style="446" customWidth="1"/>
    <col min="2805" max="3046" width="13.7109375" style="446"/>
    <col min="3047" max="3047" width="22.28515625" style="446" customWidth="1"/>
    <col min="3048" max="3054" width="13.7109375" style="446" customWidth="1"/>
    <col min="3055" max="3055" width="15.7109375" style="446" customWidth="1"/>
    <col min="3056" max="3056" width="16.5703125" style="446" bestFit="1" customWidth="1"/>
    <col min="3057" max="3057" width="13.7109375" style="446" customWidth="1"/>
    <col min="3058" max="3058" width="17.28515625" style="446" bestFit="1" customWidth="1"/>
    <col min="3059" max="3059" width="4" style="446" customWidth="1"/>
    <col min="3060" max="3060" width="13.7109375" style="446" customWidth="1"/>
    <col min="3061" max="3302" width="13.7109375" style="446"/>
    <col min="3303" max="3303" width="22.28515625" style="446" customWidth="1"/>
    <col min="3304" max="3310" width="13.7109375" style="446" customWidth="1"/>
    <col min="3311" max="3311" width="15.7109375" style="446" customWidth="1"/>
    <col min="3312" max="3312" width="16.5703125" style="446" bestFit="1" customWidth="1"/>
    <col min="3313" max="3313" width="13.7109375" style="446" customWidth="1"/>
    <col min="3314" max="3314" width="17.28515625" style="446" bestFit="1" customWidth="1"/>
    <col min="3315" max="3315" width="4" style="446" customWidth="1"/>
    <col min="3316" max="3316" width="13.7109375" style="446" customWidth="1"/>
    <col min="3317" max="3558" width="13.7109375" style="446"/>
    <col min="3559" max="3559" width="22.28515625" style="446" customWidth="1"/>
    <col min="3560" max="3566" width="13.7109375" style="446" customWidth="1"/>
    <col min="3567" max="3567" width="15.7109375" style="446" customWidth="1"/>
    <col min="3568" max="3568" width="16.5703125" style="446" bestFit="1" customWidth="1"/>
    <col min="3569" max="3569" width="13.7109375" style="446" customWidth="1"/>
    <col min="3570" max="3570" width="17.28515625" style="446" bestFit="1" customWidth="1"/>
    <col min="3571" max="3571" width="4" style="446" customWidth="1"/>
    <col min="3572" max="3572" width="13.7109375" style="446" customWidth="1"/>
    <col min="3573" max="3814" width="13.7109375" style="446"/>
    <col min="3815" max="3815" width="22.28515625" style="446" customWidth="1"/>
    <col min="3816" max="3822" width="13.7109375" style="446" customWidth="1"/>
    <col min="3823" max="3823" width="15.7109375" style="446" customWidth="1"/>
    <col min="3824" max="3824" width="16.5703125" style="446" bestFit="1" customWidth="1"/>
    <col min="3825" max="3825" width="13.7109375" style="446" customWidth="1"/>
    <col min="3826" max="3826" width="17.28515625" style="446" bestFit="1" customWidth="1"/>
    <col min="3827" max="3827" width="4" style="446" customWidth="1"/>
    <col min="3828" max="3828" width="13.7109375" style="446" customWidth="1"/>
    <col min="3829" max="4070" width="13.7109375" style="446"/>
    <col min="4071" max="4071" width="22.28515625" style="446" customWidth="1"/>
    <col min="4072" max="4078" width="13.7109375" style="446" customWidth="1"/>
    <col min="4079" max="4079" width="15.7109375" style="446" customWidth="1"/>
    <col min="4080" max="4080" width="16.5703125" style="446" bestFit="1" customWidth="1"/>
    <col min="4081" max="4081" width="13.7109375" style="446" customWidth="1"/>
    <col min="4082" max="4082" width="17.28515625" style="446" bestFit="1" customWidth="1"/>
    <col min="4083" max="4083" width="4" style="446" customWidth="1"/>
    <col min="4084" max="4084" width="13.7109375" style="446" customWidth="1"/>
    <col min="4085" max="4326" width="13.7109375" style="446"/>
    <col min="4327" max="4327" width="22.28515625" style="446" customWidth="1"/>
    <col min="4328" max="4334" width="13.7109375" style="446" customWidth="1"/>
    <col min="4335" max="4335" width="15.7109375" style="446" customWidth="1"/>
    <col min="4336" max="4336" width="16.5703125" style="446" bestFit="1" customWidth="1"/>
    <col min="4337" max="4337" width="13.7109375" style="446" customWidth="1"/>
    <col min="4338" max="4338" width="17.28515625" style="446" bestFit="1" customWidth="1"/>
    <col min="4339" max="4339" width="4" style="446" customWidth="1"/>
    <col min="4340" max="4340" width="13.7109375" style="446" customWidth="1"/>
    <col min="4341" max="4582" width="13.7109375" style="446"/>
    <col min="4583" max="4583" width="22.28515625" style="446" customWidth="1"/>
    <col min="4584" max="4590" width="13.7109375" style="446" customWidth="1"/>
    <col min="4591" max="4591" width="15.7109375" style="446" customWidth="1"/>
    <col min="4592" max="4592" width="16.5703125" style="446" bestFit="1" customWidth="1"/>
    <col min="4593" max="4593" width="13.7109375" style="446" customWidth="1"/>
    <col min="4594" max="4594" width="17.28515625" style="446" bestFit="1" customWidth="1"/>
    <col min="4595" max="4595" width="4" style="446" customWidth="1"/>
    <col min="4596" max="4596" width="13.7109375" style="446" customWidth="1"/>
    <col min="4597" max="4838" width="13.7109375" style="446"/>
    <col min="4839" max="4839" width="22.28515625" style="446" customWidth="1"/>
    <col min="4840" max="4846" width="13.7109375" style="446" customWidth="1"/>
    <col min="4847" max="4847" width="15.7109375" style="446" customWidth="1"/>
    <col min="4848" max="4848" width="16.5703125" style="446" bestFit="1" customWidth="1"/>
    <col min="4849" max="4849" width="13.7109375" style="446" customWidth="1"/>
    <col min="4850" max="4850" width="17.28515625" style="446" bestFit="1" customWidth="1"/>
    <col min="4851" max="4851" width="4" style="446" customWidth="1"/>
    <col min="4852" max="4852" width="13.7109375" style="446" customWidth="1"/>
    <col min="4853" max="5094" width="13.7109375" style="446"/>
    <col min="5095" max="5095" width="22.28515625" style="446" customWidth="1"/>
    <col min="5096" max="5102" width="13.7109375" style="446" customWidth="1"/>
    <col min="5103" max="5103" width="15.7109375" style="446" customWidth="1"/>
    <col min="5104" max="5104" width="16.5703125" style="446" bestFit="1" customWidth="1"/>
    <col min="5105" max="5105" width="13.7109375" style="446" customWidth="1"/>
    <col min="5106" max="5106" width="17.28515625" style="446" bestFit="1" customWidth="1"/>
    <col min="5107" max="5107" width="4" style="446" customWidth="1"/>
    <col min="5108" max="5108" width="13.7109375" style="446" customWidth="1"/>
    <col min="5109" max="5350" width="13.7109375" style="446"/>
    <col min="5351" max="5351" width="22.28515625" style="446" customWidth="1"/>
    <col min="5352" max="5358" width="13.7109375" style="446" customWidth="1"/>
    <col min="5359" max="5359" width="15.7109375" style="446" customWidth="1"/>
    <col min="5360" max="5360" width="16.5703125" style="446" bestFit="1" customWidth="1"/>
    <col min="5361" max="5361" width="13.7109375" style="446" customWidth="1"/>
    <col min="5362" max="5362" width="17.28515625" style="446" bestFit="1" customWidth="1"/>
    <col min="5363" max="5363" width="4" style="446" customWidth="1"/>
    <col min="5364" max="5364" width="13.7109375" style="446" customWidth="1"/>
    <col min="5365" max="5606" width="13.7109375" style="446"/>
    <col min="5607" max="5607" width="22.28515625" style="446" customWidth="1"/>
    <col min="5608" max="5614" width="13.7109375" style="446" customWidth="1"/>
    <col min="5615" max="5615" width="15.7109375" style="446" customWidth="1"/>
    <col min="5616" max="5616" width="16.5703125" style="446" bestFit="1" customWidth="1"/>
    <col min="5617" max="5617" width="13.7109375" style="446" customWidth="1"/>
    <col min="5618" max="5618" width="17.28515625" style="446" bestFit="1" customWidth="1"/>
    <col min="5619" max="5619" width="4" style="446" customWidth="1"/>
    <col min="5620" max="5620" width="13.7109375" style="446" customWidth="1"/>
    <col min="5621" max="5862" width="13.7109375" style="446"/>
    <col min="5863" max="5863" width="22.28515625" style="446" customWidth="1"/>
    <col min="5864" max="5870" width="13.7109375" style="446" customWidth="1"/>
    <col min="5871" max="5871" width="15.7109375" style="446" customWidth="1"/>
    <col min="5872" max="5872" width="16.5703125" style="446" bestFit="1" customWidth="1"/>
    <col min="5873" max="5873" width="13.7109375" style="446" customWidth="1"/>
    <col min="5874" max="5874" width="17.28515625" style="446" bestFit="1" customWidth="1"/>
    <col min="5875" max="5875" width="4" style="446" customWidth="1"/>
    <col min="5876" max="5876" width="13.7109375" style="446" customWidth="1"/>
    <col min="5877" max="6118" width="13.7109375" style="446"/>
    <col min="6119" max="6119" width="22.28515625" style="446" customWidth="1"/>
    <col min="6120" max="6126" width="13.7109375" style="446" customWidth="1"/>
    <col min="6127" max="6127" width="15.7109375" style="446" customWidth="1"/>
    <col min="6128" max="6128" width="16.5703125" style="446" bestFit="1" customWidth="1"/>
    <col min="6129" max="6129" width="13.7109375" style="446" customWidth="1"/>
    <col min="6130" max="6130" width="17.28515625" style="446" bestFit="1" customWidth="1"/>
    <col min="6131" max="6131" width="4" style="446" customWidth="1"/>
    <col min="6132" max="6132" width="13.7109375" style="446" customWidth="1"/>
    <col min="6133" max="6374" width="13.7109375" style="446"/>
    <col min="6375" max="6375" width="22.28515625" style="446" customWidth="1"/>
    <col min="6376" max="6382" width="13.7109375" style="446" customWidth="1"/>
    <col min="6383" max="6383" width="15.7109375" style="446" customWidth="1"/>
    <col min="6384" max="6384" width="16.5703125" style="446" bestFit="1" customWidth="1"/>
    <col min="6385" max="6385" width="13.7109375" style="446" customWidth="1"/>
    <col min="6386" max="6386" width="17.28515625" style="446" bestFit="1" customWidth="1"/>
    <col min="6387" max="6387" width="4" style="446" customWidth="1"/>
    <col min="6388" max="6388" width="13.7109375" style="446" customWidth="1"/>
    <col min="6389" max="6630" width="13.7109375" style="446"/>
    <col min="6631" max="6631" width="22.28515625" style="446" customWidth="1"/>
    <col min="6632" max="6638" width="13.7109375" style="446" customWidth="1"/>
    <col min="6639" max="6639" width="15.7109375" style="446" customWidth="1"/>
    <col min="6640" max="6640" width="16.5703125" style="446" bestFit="1" customWidth="1"/>
    <col min="6641" max="6641" width="13.7109375" style="446" customWidth="1"/>
    <col min="6642" max="6642" width="17.28515625" style="446" bestFit="1" customWidth="1"/>
    <col min="6643" max="6643" width="4" style="446" customWidth="1"/>
    <col min="6644" max="6644" width="13.7109375" style="446" customWidth="1"/>
    <col min="6645" max="6886" width="13.7109375" style="446"/>
    <col min="6887" max="6887" width="22.28515625" style="446" customWidth="1"/>
    <col min="6888" max="6894" width="13.7109375" style="446" customWidth="1"/>
    <col min="6895" max="6895" width="15.7109375" style="446" customWidth="1"/>
    <col min="6896" max="6896" width="16.5703125" style="446" bestFit="1" customWidth="1"/>
    <col min="6897" max="6897" width="13.7109375" style="446" customWidth="1"/>
    <col min="6898" max="6898" width="17.28515625" style="446" bestFit="1" customWidth="1"/>
    <col min="6899" max="6899" width="4" style="446" customWidth="1"/>
    <col min="6900" max="6900" width="13.7109375" style="446" customWidth="1"/>
    <col min="6901" max="7142" width="13.7109375" style="446"/>
    <col min="7143" max="7143" width="22.28515625" style="446" customWidth="1"/>
    <col min="7144" max="7150" width="13.7109375" style="446" customWidth="1"/>
    <col min="7151" max="7151" width="15.7109375" style="446" customWidth="1"/>
    <col min="7152" max="7152" width="16.5703125" style="446" bestFit="1" customWidth="1"/>
    <col min="7153" max="7153" width="13.7109375" style="446" customWidth="1"/>
    <col min="7154" max="7154" width="17.28515625" style="446" bestFit="1" customWidth="1"/>
    <col min="7155" max="7155" width="4" style="446" customWidth="1"/>
    <col min="7156" max="7156" width="13.7109375" style="446" customWidth="1"/>
    <col min="7157" max="7398" width="13.7109375" style="446"/>
    <col min="7399" max="7399" width="22.28515625" style="446" customWidth="1"/>
    <col min="7400" max="7406" width="13.7109375" style="446" customWidth="1"/>
    <col min="7407" max="7407" width="15.7109375" style="446" customWidth="1"/>
    <col min="7408" max="7408" width="16.5703125" style="446" bestFit="1" customWidth="1"/>
    <col min="7409" max="7409" width="13.7109375" style="446" customWidth="1"/>
    <col min="7410" max="7410" width="17.28515625" style="446" bestFit="1" customWidth="1"/>
    <col min="7411" max="7411" width="4" style="446" customWidth="1"/>
    <col min="7412" max="7412" width="13.7109375" style="446" customWidth="1"/>
    <col min="7413" max="7654" width="13.7109375" style="446"/>
    <col min="7655" max="7655" width="22.28515625" style="446" customWidth="1"/>
    <col min="7656" max="7662" width="13.7109375" style="446" customWidth="1"/>
    <col min="7663" max="7663" width="15.7109375" style="446" customWidth="1"/>
    <col min="7664" max="7664" width="16.5703125" style="446" bestFit="1" customWidth="1"/>
    <col min="7665" max="7665" width="13.7109375" style="446" customWidth="1"/>
    <col min="7666" max="7666" width="17.28515625" style="446" bestFit="1" customWidth="1"/>
    <col min="7667" max="7667" width="4" style="446" customWidth="1"/>
    <col min="7668" max="7668" width="13.7109375" style="446" customWidth="1"/>
    <col min="7669" max="7910" width="13.7109375" style="446"/>
    <col min="7911" max="7911" width="22.28515625" style="446" customWidth="1"/>
    <col min="7912" max="7918" width="13.7109375" style="446" customWidth="1"/>
    <col min="7919" max="7919" width="15.7109375" style="446" customWidth="1"/>
    <col min="7920" max="7920" width="16.5703125" style="446" bestFit="1" customWidth="1"/>
    <col min="7921" max="7921" width="13.7109375" style="446" customWidth="1"/>
    <col min="7922" max="7922" width="17.28515625" style="446" bestFit="1" customWidth="1"/>
    <col min="7923" max="7923" width="4" style="446" customWidth="1"/>
    <col min="7924" max="7924" width="13.7109375" style="446" customWidth="1"/>
    <col min="7925" max="8166" width="13.7109375" style="446"/>
    <col min="8167" max="8167" width="22.28515625" style="446" customWidth="1"/>
    <col min="8168" max="8174" width="13.7109375" style="446" customWidth="1"/>
    <col min="8175" max="8175" width="15.7109375" style="446" customWidth="1"/>
    <col min="8176" max="8176" width="16.5703125" style="446" bestFit="1" customWidth="1"/>
    <col min="8177" max="8177" width="13.7109375" style="446" customWidth="1"/>
    <col min="8178" max="8178" width="17.28515625" style="446" bestFit="1" customWidth="1"/>
    <col min="8179" max="8179" width="4" style="446" customWidth="1"/>
    <col min="8180" max="8180" width="13.7109375" style="446" customWidth="1"/>
    <col min="8181" max="8422" width="13.7109375" style="446"/>
    <col min="8423" max="8423" width="22.28515625" style="446" customWidth="1"/>
    <col min="8424" max="8430" width="13.7109375" style="446" customWidth="1"/>
    <col min="8431" max="8431" width="15.7109375" style="446" customWidth="1"/>
    <col min="8432" max="8432" width="16.5703125" style="446" bestFit="1" customWidth="1"/>
    <col min="8433" max="8433" width="13.7109375" style="446" customWidth="1"/>
    <col min="8434" max="8434" width="17.28515625" style="446" bestFit="1" customWidth="1"/>
    <col min="8435" max="8435" width="4" style="446" customWidth="1"/>
    <col min="8436" max="8436" width="13.7109375" style="446" customWidth="1"/>
    <col min="8437" max="8678" width="13.7109375" style="446"/>
    <col min="8679" max="8679" width="22.28515625" style="446" customWidth="1"/>
    <col min="8680" max="8686" width="13.7109375" style="446" customWidth="1"/>
    <col min="8687" max="8687" width="15.7109375" style="446" customWidth="1"/>
    <col min="8688" max="8688" width="16.5703125" style="446" bestFit="1" customWidth="1"/>
    <col min="8689" max="8689" width="13.7109375" style="446" customWidth="1"/>
    <col min="8690" max="8690" width="17.28515625" style="446" bestFit="1" customWidth="1"/>
    <col min="8691" max="8691" width="4" style="446" customWidth="1"/>
    <col min="8692" max="8692" width="13.7109375" style="446" customWidth="1"/>
    <col min="8693" max="8934" width="13.7109375" style="446"/>
    <col min="8935" max="8935" width="22.28515625" style="446" customWidth="1"/>
    <col min="8936" max="8942" width="13.7109375" style="446" customWidth="1"/>
    <col min="8943" max="8943" width="15.7109375" style="446" customWidth="1"/>
    <col min="8944" max="8944" width="16.5703125" style="446" bestFit="1" customWidth="1"/>
    <col min="8945" max="8945" width="13.7109375" style="446" customWidth="1"/>
    <col min="8946" max="8946" width="17.28515625" style="446" bestFit="1" customWidth="1"/>
    <col min="8947" max="8947" width="4" style="446" customWidth="1"/>
    <col min="8948" max="8948" width="13.7109375" style="446" customWidth="1"/>
    <col min="8949" max="9190" width="13.7109375" style="446"/>
    <col min="9191" max="9191" width="22.28515625" style="446" customWidth="1"/>
    <col min="9192" max="9198" width="13.7109375" style="446" customWidth="1"/>
    <col min="9199" max="9199" width="15.7109375" style="446" customWidth="1"/>
    <col min="9200" max="9200" width="16.5703125" style="446" bestFit="1" customWidth="1"/>
    <col min="9201" max="9201" width="13.7109375" style="446" customWidth="1"/>
    <col min="9202" max="9202" width="17.28515625" style="446" bestFit="1" customWidth="1"/>
    <col min="9203" max="9203" width="4" style="446" customWidth="1"/>
    <col min="9204" max="9204" width="13.7109375" style="446" customWidth="1"/>
    <col min="9205" max="9446" width="13.7109375" style="446"/>
    <col min="9447" max="9447" width="22.28515625" style="446" customWidth="1"/>
    <col min="9448" max="9454" width="13.7109375" style="446" customWidth="1"/>
    <col min="9455" max="9455" width="15.7109375" style="446" customWidth="1"/>
    <col min="9456" max="9456" width="16.5703125" style="446" bestFit="1" customWidth="1"/>
    <col min="9457" max="9457" width="13.7109375" style="446" customWidth="1"/>
    <col min="9458" max="9458" width="17.28515625" style="446" bestFit="1" customWidth="1"/>
    <col min="9459" max="9459" width="4" style="446" customWidth="1"/>
    <col min="9460" max="9460" width="13.7109375" style="446" customWidth="1"/>
    <col min="9461" max="9702" width="13.7109375" style="446"/>
    <col min="9703" max="9703" width="22.28515625" style="446" customWidth="1"/>
    <col min="9704" max="9710" width="13.7109375" style="446" customWidth="1"/>
    <col min="9711" max="9711" width="15.7109375" style="446" customWidth="1"/>
    <col min="9712" max="9712" width="16.5703125" style="446" bestFit="1" customWidth="1"/>
    <col min="9713" max="9713" width="13.7109375" style="446" customWidth="1"/>
    <col min="9714" max="9714" width="17.28515625" style="446" bestFit="1" customWidth="1"/>
    <col min="9715" max="9715" width="4" style="446" customWidth="1"/>
    <col min="9716" max="9716" width="13.7109375" style="446" customWidth="1"/>
    <col min="9717" max="9958" width="13.7109375" style="446"/>
    <col min="9959" max="9959" width="22.28515625" style="446" customWidth="1"/>
    <col min="9960" max="9966" width="13.7109375" style="446" customWidth="1"/>
    <col min="9967" max="9967" width="15.7109375" style="446" customWidth="1"/>
    <col min="9968" max="9968" width="16.5703125" style="446" bestFit="1" customWidth="1"/>
    <col min="9969" max="9969" width="13.7109375" style="446" customWidth="1"/>
    <col min="9970" max="9970" width="17.28515625" style="446" bestFit="1" customWidth="1"/>
    <col min="9971" max="9971" width="4" style="446" customWidth="1"/>
    <col min="9972" max="9972" width="13.7109375" style="446" customWidth="1"/>
    <col min="9973" max="10214" width="13.7109375" style="446"/>
    <col min="10215" max="10215" width="22.28515625" style="446" customWidth="1"/>
    <col min="10216" max="10222" width="13.7109375" style="446" customWidth="1"/>
    <col min="10223" max="10223" width="15.7109375" style="446" customWidth="1"/>
    <col min="10224" max="10224" width="16.5703125" style="446" bestFit="1" customWidth="1"/>
    <col min="10225" max="10225" width="13.7109375" style="446" customWidth="1"/>
    <col min="10226" max="10226" width="17.28515625" style="446" bestFit="1" customWidth="1"/>
    <col min="10227" max="10227" width="4" style="446" customWidth="1"/>
    <col min="10228" max="10228" width="13.7109375" style="446" customWidth="1"/>
    <col min="10229" max="10470" width="13.7109375" style="446"/>
    <col min="10471" max="10471" width="22.28515625" style="446" customWidth="1"/>
    <col min="10472" max="10478" width="13.7109375" style="446" customWidth="1"/>
    <col min="10479" max="10479" width="15.7109375" style="446" customWidth="1"/>
    <col min="10480" max="10480" width="16.5703125" style="446" bestFit="1" customWidth="1"/>
    <col min="10481" max="10481" width="13.7109375" style="446" customWidth="1"/>
    <col min="10482" max="10482" width="17.28515625" style="446" bestFit="1" customWidth="1"/>
    <col min="10483" max="10483" width="4" style="446" customWidth="1"/>
    <col min="10484" max="10484" width="13.7109375" style="446" customWidth="1"/>
    <col min="10485" max="10726" width="13.7109375" style="446"/>
    <col min="10727" max="10727" width="22.28515625" style="446" customWidth="1"/>
    <col min="10728" max="10734" width="13.7109375" style="446" customWidth="1"/>
    <col min="10735" max="10735" width="15.7109375" style="446" customWidth="1"/>
    <col min="10736" max="10736" width="16.5703125" style="446" bestFit="1" customWidth="1"/>
    <col min="10737" max="10737" width="13.7109375" style="446" customWidth="1"/>
    <col min="10738" max="10738" width="17.28515625" style="446" bestFit="1" customWidth="1"/>
    <col min="10739" max="10739" width="4" style="446" customWidth="1"/>
    <col min="10740" max="10740" width="13.7109375" style="446" customWidth="1"/>
    <col min="10741" max="10982" width="13.7109375" style="446"/>
    <col min="10983" max="10983" width="22.28515625" style="446" customWidth="1"/>
    <col min="10984" max="10990" width="13.7109375" style="446" customWidth="1"/>
    <col min="10991" max="10991" width="15.7109375" style="446" customWidth="1"/>
    <col min="10992" max="10992" width="16.5703125" style="446" bestFit="1" customWidth="1"/>
    <col min="10993" max="10993" width="13.7109375" style="446" customWidth="1"/>
    <col min="10994" max="10994" width="17.28515625" style="446" bestFit="1" customWidth="1"/>
    <col min="10995" max="10995" width="4" style="446" customWidth="1"/>
    <col min="10996" max="10996" width="13.7109375" style="446" customWidth="1"/>
    <col min="10997" max="11238" width="13.7109375" style="446"/>
    <col min="11239" max="11239" width="22.28515625" style="446" customWidth="1"/>
    <col min="11240" max="11246" width="13.7109375" style="446" customWidth="1"/>
    <col min="11247" max="11247" width="15.7109375" style="446" customWidth="1"/>
    <col min="11248" max="11248" width="16.5703125" style="446" bestFit="1" customWidth="1"/>
    <col min="11249" max="11249" width="13.7109375" style="446" customWidth="1"/>
    <col min="11250" max="11250" width="17.28515625" style="446" bestFit="1" customWidth="1"/>
    <col min="11251" max="11251" width="4" style="446" customWidth="1"/>
    <col min="11252" max="11252" width="13.7109375" style="446" customWidth="1"/>
    <col min="11253" max="11494" width="13.7109375" style="446"/>
    <col min="11495" max="11495" width="22.28515625" style="446" customWidth="1"/>
    <col min="11496" max="11502" width="13.7109375" style="446" customWidth="1"/>
    <col min="11503" max="11503" width="15.7109375" style="446" customWidth="1"/>
    <col min="11504" max="11504" width="16.5703125" style="446" bestFit="1" customWidth="1"/>
    <col min="11505" max="11505" width="13.7109375" style="446" customWidth="1"/>
    <col min="11506" max="11506" width="17.28515625" style="446" bestFit="1" customWidth="1"/>
    <col min="11507" max="11507" width="4" style="446" customWidth="1"/>
    <col min="11508" max="11508" width="13.7109375" style="446" customWidth="1"/>
    <col min="11509" max="11750" width="13.7109375" style="446"/>
    <col min="11751" max="11751" width="22.28515625" style="446" customWidth="1"/>
    <col min="11752" max="11758" width="13.7109375" style="446" customWidth="1"/>
    <col min="11759" max="11759" width="15.7109375" style="446" customWidth="1"/>
    <col min="11760" max="11760" width="16.5703125" style="446" bestFit="1" customWidth="1"/>
    <col min="11761" max="11761" width="13.7109375" style="446" customWidth="1"/>
    <col min="11762" max="11762" width="17.28515625" style="446" bestFit="1" customWidth="1"/>
    <col min="11763" max="11763" width="4" style="446" customWidth="1"/>
    <col min="11764" max="11764" width="13.7109375" style="446" customWidth="1"/>
    <col min="11765" max="12006" width="13.7109375" style="446"/>
    <col min="12007" max="12007" width="22.28515625" style="446" customWidth="1"/>
    <col min="12008" max="12014" width="13.7109375" style="446" customWidth="1"/>
    <col min="12015" max="12015" width="15.7109375" style="446" customWidth="1"/>
    <col min="12016" max="12016" width="16.5703125" style="446" bestFit="1" customWidth="1"/>
    <col min="12017" max="12017" width="13.7109375" style="446" customWidth="1"/>
    <col min="12018" max="12018" width="17.28515625" style="446" bestFit="1" customWidth="1"/>
    <col min="12019" max="12019" width="4" style="446" customWidth="1"/>
    <col min="12020" max="12020" width="13.7109375" style="446" customWidth="1"/>
    <col min="12021" max="12262" width="13.7109375" style="446"/>
    <col min="12263" max="12263" width="22.28515625" style="446" customWidth="1"/>
    <col min="12264" max="12270" width="13.7109375" style="446" customWidth="1"/>
    <col min="12271" max="12271" width="15.7109375" style="446" customWidth="1"/>
    <col min="12272" max="12272" width="16.5703125" style="446" bestFit="1" customWidth="1"/>
    <col min="12273" max="12273" width="13.7109375" style="446" customWidth="1"/>
    <col min="12274" max="12274" width="17.28515625" style="446" bestFit="1" customWidth="1"/>
    <col min="12275" max="12275" width="4" style="446" customWidth="1"/>
    <col min="12276" max="12276" width="13.7109375" style="446" customWidth="1"/>
    <col min="12277" max="12518" width="13.7109375" style="446"/>
    <col min="12519" max="12519" width="22.28515625" style="446" customWidth="1"/>
    <col min="12520" max="12526" width="13.7109375" style="446" customWidth="1"/>
    <col min="12527" max="12527" width="15.7109375" style="446" customWidth="1"/>
    <col min="12528" max="12528" width="16.5703125" style="446" bestFit="1" customWidth="1"/>
    <col min="12529" max="12529" width="13.7109375" style="446" customWidth="1"/>
    <col min="12530" max="12530" width="17.28515625" style="446" bestFit="1" customWidth="1"/>
    <col min="12531" max="12531" width="4" style="446" customWidth="1"/>
    <col min="12532" max="12532" width="13.7109375" style="446" customWidth="1"/>
    <col min="12533" max="12774" width="13.7109375" style="446"/>
    <col min="12775" max="12775" width="22.28515625" style="446" customWidth="1"/>
    <col min="12776" max="12782" width="13.7109375" style="446" customWidth="1"/>
    <col min="12783" max="12783" width="15.7109375" style="446" customWidth="1"/>
    <col min="12784" max="12784" width="16.5703125" style="446" bestFit="1" customWidth="1"/>
    <col min="12785" max="12785" width="13.7109375" style="446" customWidth="1"/>
    <col min="12786" max="12786" width="17.28515625" style="446" bestFit="1" customWidth="1"/>
    <col min="12787" max="12787" width="4" style="446" customWidth="1"/>
    <col min="12788" max="12788" width="13.7109375" style="446" customWidth="1"/>
    <col min="12789" max="13030" width="13.7109375" style="446"/>
    <col min="13031" max="13031" width="22.28515625" style="446" customWidth="1"/>
    <col min="13032" max="13038" width="13.7109375" style="446" customWidth="1"/>
    <col min="13039" max="13039" width="15.7109375" style="446" customWidth="1"/>
    <col min="13040" max="13040" width="16.5703125" style="446" bestFit="1" customWidth="1"/>
    <col min="13041" max="13041" width="13.7109375" style="446" customWidth="1"/>
    <col min="13042" max="13042" width="17.28515625" style="446" bestFit="1" customWidth="1"/>
    <col min="13043" max="13043" width="4" style="446" customWidth="1"/>
    <col min="13044" max="13044" width="13.7109375" style="446" customWidth="1"/>
    <col min="13045" max="13286" width="13.7109375" style="446"/>
    <col min="13287" max="13287" width="22.28515625" style="446" customWidth="1"/>
    <col min="13288" max="13294" width="13.7109375" style="446" customWidth="1"/>
    <col min="13295" max="13295" width="15.7109375" style="446" customWidth="1"/>
    <col min="13296" max="13296" width="16.5703125" style="446" bestFit="1" customWidth="1"/>
    <col min="13297" max="13297" width="13.7109375" style="446" customWidth="1"/>
    <col min="13298" max="13298" width="17.28515625" style="446" bestFit="1" customWidth="1"/>
    <col min="13299" max="13299" width="4" style="446" customWidth="1"/>
    <col min="13300" max="13300" width="13.7109375" style="446" customWidth="1"/>
    <col min="13301" max="13542" width="13.7109375" style="446"/>
    <col min="13543" max="13543" width="22.28515625" style="446" customWidth="1"/>
    <col min="13544" max="13550" width="13.7109375" style="446" customWidth="1"/>
    <col min="13551" max="13551" width="15.7109375" style="446" customWidth="1"/>
    <col min="13552" max="13552" width="16.5703125" style="446" bestFit="1" customWidth="1"/>
    <col min="13553" max="13553" width="13.7109375" style="446" customWidth="1"/>
    <col min="13554" max="13554" width="17.28515625" style="446" bestFit="1" customWidth="1"/>
    <col min="13555" max="13555" width="4" style="446" customWidth="1"/>
    <col min="13556" max="13556" width="13.7109375" style="446" customWidth="1"/>
    <col min="13557" max="13798" width="13.7109375" style="446"/>
    <col min="13799" max="13799" width="22.28515625" style="446" customWidth="1"/>
    <col min="13800" max="13806" width="13.7109375" style="446" customWidth="1"/>
    <col min="13807" max="13807" width="15.7109375" style="446" customWidth="1"/>
    <col min="13808" max="13808" width="16.5703125" style="446" bestFit="1" customWidth="1"/>
    <col min="13809" max="13809" width="13.7109375" style="446" customWidth="1"/>
    <col min="13810" max="13810" width="17.28515625" style="446" bestFit="1" customWidth="1"/>
    <col min="13811" max="13811" width="4" style="446" customWidth="1"/>
    <col min="13812" max="13812" width="13.7109375" style="446" customWidth="1"/>
    <col min="13813" max="14054" width="13.7109375" style="446"/>
    <col min="14055" max="14055" width="22.28515625" style="446" customWidth="1"/>
    <col min="14056" max="14062" width="13.7109375" style="446" customWidth="1"/>
    <col min="14063" max="14063" width="15.7109375" style="446" customWidth="1"/>
    <col min="14064" max="14064" width="16.5703125" style="446" bestFit="1" customWidth="1"/>
    <col min="14065" max="14065" width="13.7109375" style="446" customWidth="1"/>
    <col min="14066" max="14066" width="17.28515625" style="446" bestFit="1" customWidth="1"/>
    <col min="14067" max="14067" width="4" style="446" customWidth="1"/>
    <col min="14068" max="14068" width="13.7109375" style="446" customWidth="1"/>
    <col min="14069" max="14310" width="13.7109375" style="446"/>
    <col min="14311" max="14311" width="22.28515625" style="446" customWidth="1"/>
    <col min="14312" max="14318" width="13.7109375" style="446" customWidth="1"/>
    <col min="14319" max="14319" width="15.7109375" style="446" customWidth="1"/>
    <col min="14320" max="14320" width="16.5703125" style="446" bestFit="1" customWidth="1"/>
    <col min="14321" max="14321" width="13.7109375" style="446" customWidth="1"/>
    <col min="14322" max="14322" width="17.28515625" style="446" bestFit="1" customWidth="1"/>
    <col min="14323" max="14323" width="4" style="446" customWidth="1"/>
    <col min="14324" max="14324" width="13.7109375" style="446" customWidth="1"/>
    <col min="14325" max="14566" width="13.7109375" style="446"/>
    <col min="14567" max="14567" width="22.28515625" style="446" customWidth="1"/>
    <col min="14568" max="14574" width="13.7109375" style="446" customWidth="1"/>
    <col min="14575" max="14575" width="15.7109375" style="446" customWidth="1"/>
    <col min="14576" max="14576" width="16.5703125" style="446" bestFit="1" customWidth="1"/>
    <col min="14577" max="14577" width="13.7109375" style="446" customWidth="1"/>
    <col min="14578" max="14578" width="17.28515625" style="446" bestFit="1" customWidth="1"/>
    <col min="14579" max="14579" width="4" style="446" customWidth="1"/>
    <col min="14580" max="14580" width="13.7109375" style="446" customWidth="1"/>
    <col min="14581" max="14822" width="13.7109375" style="446"/>
    <col min="14823" max="14823" width="22.28515625" style="446" customWidth="1"/>
    <col min="14824" max="14830" width="13.7109375" style="446" customWidth="1"/>
    <col min="14831" max="14831" width="15.7109375" style="446" customWidth="1"/>
    <col min="14832" max="14832" width="16.5703125" style="446" bestFit="1" customWidth="1"/>
    <col min="14833" max="14833" width="13.7109375" style="446" customWidth="1"/>
    <col min="14834" max="14834" width="17.28515625" style="446" bestFit="1" customWidth="1"/>
    <col min="14835" max="14835" width="4" style="446" customWidth="1"/>
    <col min="14836" max="14836" width="13.7109375" style="446" customWidth="1"/>
    <col min="14837" max="15078" width="13.7109375" style="446"/>
    <col min="15079" max="15079" width="22.28515625" style="446" customWidth="1"/>
    <col min="15080" max="15086" width="13.7109375" style="446" customWidth="1"/>
    <col min="15087" max="15087" width="15.7109375" style="446" customWidth="1"/>
    <col min="15088" max="15088" width="16.5703125" style="446" bestFit="1" customWidth="1"/>
    <col min="15089" max="15089" width="13.7109375" style="446" customWidth="1"/>
    <col min="15090" max="15090" width="17.28515625" style="446" bestFit="1" customWidth="1"/>
    <col min="15091" max="15091" width="4" style="446" customWidth="1"/>
    <col min="15092" max="15092" width="13.7109375" style="446" customWidth="1"/>
    <col min="15093" max="15334" width="13.7109375" style="446"/>
    <col min="15335" max="15335" width="22.28515625" style="446" customWidth="1"/>
    <col min="15336" max="15342" width="13.7109375" style="446" customWidth="1"/>
    <col min="15343" max="15343" width="15.7109375" style="446" customWidth="1"/>
    <col min="15344" max="15344" width="16.5703125" style="446" bestFit="1" customWidth="1"/>
    <col min="15345" max="15345" width="13.7109375" style="446" customWidth="1"/>
    <col min="15346" max="15346" width="17.28515625" style="446" bestFit="1" customWidth="1"/>
    <col min="15347" max="15347" width="4" style="446" customWidth="1"/>
    <col min="15348" max="15348" width="13.7109375" style="446" customWidth="1"/>
    <col min="15349" max="15590" width="13.7109375" style="446"/>
    <col min="15591" max="15591" width="22.28515625" style="446" customWidth="1"/>
    <col min="15592" max="15598" width="13.7109375" style="446" customWidth="1"/>
    <col min="15599" max="15599" width="15.7109375" style="446" customWidth="1"/>
    <col min="15600" max="15600" width="16.5703125" style="446" bestFit="1" customWidth="1"/>
    <col min="15601" max="15601" width="13.7109375" style="446" customWidth="1"/>
    <col min="15602" max="15602" width="17.28515625" style="446" bestFit="1" customWidth="1"/>
    <col min="15603" max="15603" width="4" style="446" customWidth="1"/>
    <col min="15604" max="15604" width="13.7109375" style="446" customWidth="1"/>
    <col min="15605" max="15846" width="13.7109375" style="446"/>
    <col min="15847" max="15847" width="22.28515625" style="446" customWidth="1"/>
    <col min="15848" max="15854" width="13.7109375" style="446" customWidth="1"/>
    <col min="15855" max="15855" width="15.7109375" style="446" customWidth="1"/>
    <col min="15856" max="15856" width="16.5703125" style="446" bestFit="1" customWidth="1"/>
    <col min="15857" max="15857" width="13.7109375" style="446" customWidth="1"/>
    <col min="15858" max="15858" width="17.28515625" style="446" bestFit="1" customWidth="1"/>
    <col min="15859" max="15859" width="4" style="446" customWidth="1"/>
    <col min="15860" max="15860" width="13.7109375" style="446" customWidth="1"/>
    <col min="15861" max="16102" width="13.7109375" style="446"/>
    <col min="16103" max="16103" width="22.28515625" style="446" customWidth="1"/>
    <col min="16104" max="16110" width="13.7109375" style="446" customWidth="1"/>
    <col min="16111" max="16111" width="15.7109375" style="446" customWidth="1"/>
    <col min="16112" max="16112" width="16.5703125" style="446" bestFit="1" customWidth="1"/>
    <col min="16113" max="16113" width="13.7109375" style="446" customWidth="1"/>
    <col min="16114" max="16114" width="17.28515625" style="446" bestFit="1" customWidth="1"/>
    <col min="16115" max="16115" width="4" style="446" customWidth="1"/>
    <col min="16116" max="16116" width="13.7109375" style="446" customWidth="1"/>
    <col min="16117" max="16384" width="13.7109375" style="446"/>
  </cols>
  <sheetData>
    <row r="1" spans="1:10" s="424" customFormat="1" ht="18" customHeight="1">
      <c r="A1" s="172" t="s">
        <v>2</v>
      </c>
      <c r="B1" s="459"/>
      <c r="C1" s="459"/>
      <c r="J1" s="423"/>
    </row>
    <row r="2" spans="1:10" s="424" customFormat="1" ht="13.15" customHeight="1">
      <c r="A2" s="425"/>
      <c r="B2" s="425"/>
      <c r="C2" s="425"/>
    </row>
    <row r="3" spans="1:10" s="424" customFormat="1" ht="15.75">
      <c r="A3" s="355" t="str">
        <f>'2-Kosten per locatie'!A3</f>
        <v>Naam opdrachtgever</v>
      </c>
      <c r="B3" s="354" t="str">
        <f>'2-Kosten per locatie'!B3</f>
        <v>Voortgezet Onderwijs van Amsterdam</v>
      </c>
    </row>
    <row r="4" spans="1:10" s="424" customFormat="1" ht="15.75">
      <c r="A4" s="355" t="str">
        <f>'2-Kosten per locatie'!A4</f>
        <v>Calculatie onderdeel</v>
      </c>
      <c r="B4" s="354" t="str">
        <f ca="1">MID(CELL("bestandsnaam",$D$8),SEARCH("]",CELL("bestandsnaam",$D$8),1)+1,256)</f>
        <v>11-Sanitair</v>
      </c>
    </row>
    <row r="5" spans="1:10" s="424" customFormat="1" ht="15.75">
      <c r="A5" s="355" t="str">
        <f>'2-Kosten per locatie'!A5</f>
        <v>Plaats</v>
      </c>
      <c r="B5" s="354" t="str">
        <f>'2-Kosten per locatie'!B5</f>
        <v>Amsterdam</v>
      </c>
      <c r="H5"/>
      <c r="I5"/>
      <c r="J5" s="429"/>
    </row>
    <row r="6" spans="1:10" s="424" customFormat="1" ht="15.75">
      <c r="A6" s="355" t="str">
        <f>'2-Kosten per locatie'!A6</f>
        <v>Naam dienstverlener</v>
      </c>
      <c r="B6" s="354">
        <f>'2-Kosten per locatie'!B6</f>
        <v>0</v>
      </c>
      <c r="H6"/>
      <c r="I6"/>
    </row>
    <row r="7" spans="1:10" s="424" customFormat="1" ht="15.75">
      <c r="A7" s="355" t="str">
        <f>'2-Kosten per locatie'!A7</f>
        <v>Prijspeil</v>
      </c>
      <c r="B7" s="358">
        <f>'2-Kosten per locatie'!B7</f>
        <v>45839</v>
      </c>
    </row>
    <row r="8" spans="1:10" s="424" customFormat="1" ht="17.25" customHeight="1"/>
    <row r="9" spans="1:10" s="436" customFormat="1" ht="38.25">
      <c r="A9" s="473" t="s">
        <v>1534</v>
      </c>
      <c r="B9" s="473" t="s">
        <v>1658</v>
      </c>
      <c r="C9" s="473" t="s">
        <v>1607</v>
      </c>
      <c r="D9" s="424"/>
      <c r="E9" s="473" t="s">
        <v>225</v>
      </c>
      <c r="F9" s="474" t="s">
        <v>226</v>
      </c>
      <c r="G9" s="475" t="s">
        <v>1595</v>
      </c>
      <c r="H9" s="476" t="s">
        <v>1597</v>
      </c>
      <c r="I9" s="477" t="s">
        <v>1604</v>
      </c>
      <c r="J9" s="478" t="s">
        <v>1600</v>
      </c>
    </row>
    <row r="10" spans="1:10" s="436" customFormat="1" ht="13.15" customHeight="1">
      <c r="A10" s="49" t="s">
        <v>1677</v>
      </c>
      <c r="B10" s="460">
        <v>146</v>
      </c>
      <c r="C10" s="461">
        <f>B10*$J$16</f>
        <v>0</v>
      </c>
      <c r="D10" s="424"/>
      <c r="E10" s="462" t="s">
        <v>1611</v>
      </c>
      <c r="F10" s="480" t="s">
        <v>1685</v>
      </c>
      <c r="G10" s="480" t="s">
        <v>1612</v>
      </c>
      <c r="H10" s="465"/>
      <c r="I10" s="466" t="s">
        <v>1613</v>
      </c>
      <c r="J10" s="467">
        <f>I10*H10</f>
        <v>0</v>
      </c>
    </row>
    <row r="11" spans="1:10" s="436" customFormat="1" ht="13.15" customHeight="1">
      <c r="A11" s="9" t="s">
        <v>1676</v>
      </c>
      <c r="B11" s="460">
        <v>105</v>
      </c>
      <c r="C11" s="461">
        <f t="shared" ref="C11:C15" si="0">B11*$J$16</f>
        <v>0</v>
      </c>
      <c r="D11" s="424"/>
      <c r="E11" s="462" t="s">
        <v>1594</v>
      </c>
      <c r="F11" s="480" t="s">
        <v>1684</v>
      </c>
      <c r="G11" s="480" t="s">
        <v>1596</v>
      </c>
      <c r="H11" s="465"/>
      <c r="I11" s="466">
        <v>7</v>
      </c>
      <c r="J11" s="467">
        <f t="shared" ref="J11:J12" si="1">I11*H11</f>
        <v>0</v>
      </c>
    </row>
    <row r="12" spans="1:10" s="436" customFormat="1" ht="13.15" customHeight="1">
      <c r="A12" s="49" t="s">
        <v>1678</v>
      </c>
      <c r="B12" s="460">
        <v>89</v>
      </c>
      <c r="C12" s="461">
        <f t="shared" si="0"/>
        <v>0</v>
      </c>
      <c r="D12" s="424"/>
      <c r="E12" s="468" t="s">
        <v>1598</v>
      </c>
      <c r="F12" s="480" t="s">
        <v>1683</v>
      </c>
      <c r="G12" s="480" t="s">
        <v>1599</v>
      </c>
      <c r="H12" s="465"/>
      <c r="I12" s="466">
        <v>25</v>
      </c>
      <c r="J12" s="467">
        <f t="shared" si="1"/>
        <v>0</v>
      </c>
    </row>
    <row r="13" spans="1:10" s="436" customFormat="1" ht="13.15" customHeight="1">
      <c r="A13" s="49" t="s">
        <v>1679</v>
      </c>
      <c r="B13" s="460">
        <v>48</v>
      </c>
      <c r="C13" s="461">
        <f t="shared" si="0"/>
        <v>0</v>
      </c>
      <c r="D13" s="424"/>
      <c r="E13" s="468" t="s">
        <v>1601</v>
      </c>
      <c r="F13" s="528" t="s">
        <v>1686</v>
      </c>
      <c r="G13" s="529" t="s">
        <v>1602</v>
      </c>
      <c r="H13" s="465"/>
      <c r="I13" s="466" t="s">
        <v>1603</v>
      </c>
      <c r="J13" s="467">
        <f>I13*H13</f>
        <v>0</v>
      </c>
    </row>
    <row r="14" spans="1:10" s="436" customFormat="1" ht="13.15" customHeight="1">
      <c r="A14" s="49" t="s">
        <v>1680</v>
      </c>
      <c r="B14" s="460">
        <v>130</v>
      </c>
      <c r="C14" s="461">
        <f t="shared" si="0"/>
        <v>0</v>
      </c>
      <c r="D14" s="424"/>
      <c r="E14" s="424"/>
      <c r="F14" s="424"/>
      <c r="G14" s="424"/>
      <c r="H14" s="424"/>
      <c r="I14" s="469" t="s">
        <v>26</v>
      </c>
      <c r="J14" s="470">
        <f>SUM(J10:J13)</f>
        <v>0</v>
      </c>
    </row>
    <row r="15" spans="1:10" s="436" customFormat="1" ht="13.15" customHeight="1">
      <c r="A15" s="49" t="s">
        <v>1681</v>
      </c>
      <c r="B15" s="460">
        <v>101</v>
      </c>
      <c r="C15" s="461">
        <f t="shared" si="0"/>
        <v>0</v>
      </c>
      <c r="D15" s="424"/>
      <c r="E15" s="424"/>
      <c r="F15" s="424"/>
      <c r="G15" s="424"/>
      <c r="H15" s="424"/>
      <c r="I15" s="471" t="s">
        <v>1605</v>
      </c>
      <c r="J15" s="471">
        <v>130</v>
      </c>
    </row>
    <row r="16" spans="1:10" s="436" customFormat="1" ht="13.15" customHeight="1">
      <c r="A16" s="446"/>
      <c r="B16" s="446"/>
      <c r="C16" s="453"/>
      <c r="D16" s="424"/>
      <c r="E16" s="424"/>
      <c r="F16" s="424"/>
      <c r="G16" s="424"/>
      <c r="H16" s="424"/>
      <c r="I16" s="471" t="s">
        <v>1606</v>
      </c>
      <c r="J16" s="472">
        <f>J14/J15</f>
        <v>0</v>
      </c>
    </row>
    <row r="17" spans="1:11" ht="12.75" customHeight="1">
      <c r="F17" s="473" t="s">
        <v>1608</v>
      </c>
      <c r="J17" s="424"/>
      <c r="K17" s="436"/>
    </row>
    <row r="18" spans="1:11" ht="38.25">
      <c r="F18" s="473" t="s">
        <v>225</v>
      </c>
      <c r="G18" s="474" t="s">
        <v>226</v>
      </c>
      <c r="H18" s="475" t="s">
        <v>1595</v>
      </c>
      <c r="I18" s="476" t="s">
        <v>1597</v>
      </c>
      <c r="K18" s="455"/>
    </row>
    <row r="19" spans="1:11" ht="13.15" customHeight="1">
      <c r="F19" s="462" t="s">
        <v>1609</v>
      </c>
      <c r="G19" s="463"/>
      <c r="H19" s="464" t="s">
        <v>1610</v>
      </c>
      <c r="I19" s="465"/>
      <c r="K19" s="455"/>
    </row>
    <row r="20" spans="1:11" ht="13.15" customHeight="1">
      <c r="F20" s="479" t="s">
        <v>1659</v>
      </c>
      <c r="G20" s="480"/>
      <c r="H20" s="480"/>
      <c r="I20" s="480"/>
      <c r="K20" s="455"/>
    </row>
    <row r="21" spans="1:11" ht="13.15" customHeight="1">
      <c r="F21" s="479" t="s">
        <v>1687</v>
      </c>
      <c r="G21" s="480"/>
      <c r="H21" s="480"/>
      <c r="I21" s="480"/>
    </row>
    <row r="22" spans="1:11" ht="13.15" customHeight="1"/>
    <row r="23" spans="1:11" ht="18">
      <c r="A23" s="561" t="s">
        <v>1688</v>
      </c>
      <c r="B23" s="562"/>
      <c r="C23" s="562"/>
      <c r="D23" s="562"/>
      <c r="E23" s="562"/>
      <c r="F23" s="562"/>
      <c r="G23" s="562"/>
      <c r="H23" s="562"/>
      <c r="I23" s="562"/>
      <c r="J23" s="562"/>
    </row>
    <row r="24" spans="1:11" ht="13.15" customHeight="1">
      <c r="A24" s="515" t="s">
        <v>1534</v>
      </c>
      <c r="B24" s="515" t="s">
        <v>1691</v>
      </c>
      <c r="C24" s="515" t="s">
        <v>225</v>
      </c>
      <c r="D24" s="516" t="s">
        <v>1689</v>
      </c>
      <c r="E24" s="559" t="s">
        <v>226</v>
      </c>
      <c r="F24" s="559"/>
      <c r="G24" s="559" t="s">
        <v>1690</v>
      </c>
      <c r="H24" s="559"/>
      <c r="I24" s="559"/>
      <c r="J24" s="478" t="s">
        <v>1600</v>
      </c>
    </row>
    <row r="25" spans="1:11" ht="13.15" customHeight="1">
      <c r="A25" s="49" t="s">
        <v>1677</v>
      </c>
      <c r="B25" s="519">
        <v>18</v>
      </c>
      <c r="C25" s="480"/>
      <c r="D25" s="465"/>
      <c r="E25" s="560"/>
      <c r="F25" s="560"/>
      <c r="G25" s="560"/>
      <c r="H25" s="560"/>
      <c r="I25" s="560"/>
      <c r="J25" s="517">
        <f>B25*D25*52</f>
        <v>0</v>
      </c>
    </row>
    <row r="26" spans="1:11" ht="13.15" customHeight="1">
      <c r="A26" s="49" t="s">
        <v>1676</v>
      </c>
      <c r="B26" s="519">
        <v>13</v>
      </c>
      <c r="C26" s="480"/>
      <c r="D26" s="465"/>
      <c r="E26" s="560"/>
      <c r="F26" s="560"/>
      <c r="G26" s="560"/>
      <c r="H26" s="560"/>
      <c r="I26" s="560"/>
      <c r="J26" s="517">
        <f t="shared" ref="J26:J30" si="2">B26*D26*52</f>
        <v>0</v>
      </c>
    </row>
    <row r="27" spans="1:11" ht="13.15" customHeight="1">
      <c r="A27" s="49" t="s">
        <v>1678</v>
      </c>
      <c r="B27" s="519">
        <v>21</v>
      </c>
      <c r="C27" s="480"/>
      <c r="D27" s="465"/>
      <c r="E27" s="560"/>
      <c r="F27" s="560"/>
      <c r="G27" s="560"/>
      <c r="H27" s="560"/>
      <c r="I27" s="560"/>
      <c r="J27" s="517">
        <f t="shared" si="2"/>
        <v>0</v>
      </c>
    </row>
    <row r="28" spans="1:11" ht="13.15" customHeight="1">
      <c r="A28" s="49" t="s">
        <v>1679</v>
      </c>
      <c r="B28" s="519">
        <v>8</v>
      </c>
      <c r="C28" s="480"/>
      <c r="D28" s="465"/>
      <c r="E28" s="560"/>
      <c r="F28" s="560"/>
      <c r="G28" s="560"/>
      <c r="H28" s="560"/>
      <c r="I28" s="560"/>
      <c r="J28" s="517">
        <f t="shared" si="2"/>
        <v>0</v>
      </c>
    </row>
    <row r="29" spans="1:11" ht="13.15" customHeight="1">
      <c r="A29" s="49" t="s">
        <v>1680</v>
      </c>
      <c r="B29" s="519">
        <v>28</v>
      </c>
      <c r="C29" s="480"/>
      <c r="D29" s="465"/>
      <c r="E29" s="560"/>
      <c r="F29" s="560"/>
      <c r="G29" s="560"/>
      <c r="H29" s="560"/>
      <c r="I29" s="560"/>
      <c r="J29" s="517">
        <f t="shared" si="2"/>
        <v>0</v>
      </c>
    </row>
    <row r="30" spans="1:11" ht="13.15" customHeight="1">
      <c r="A30" s="49" t="s">
        <v>1681</v>
      </c>
      <c r="B30" s="519">
        <v>16</v>
      </c>
      <c r="C30" s="480"/>
      <c r="D30" s="465"/>
      <c r="E30" s="560"/>
      <c r="F30" s="560"/>
      <c r="G30" s="560"/>
      <c r="H30" s="560"/>
      <c r="I30" s="560"/>
      <c r="J30" s="517">
        <f t="shared" si="2"/>
        <v>0</v>
      </c>
    </row>
    <row r="31" spans="1:11" ht="13.15" customHeight="1"/>
    <row r="32" spans="1:11" s="518" customFormat="1" ht="25.9" customHeight="1">
      <c r="A32" s="447" t="s">
        <v>26</v>
      </c>
      <c r="B32" s="448"/>
      <c r="C32" s="449"/>
      <c r="D32" s="448"/>
      <c r="E32" s="450"/>
      <c r="F32" s="449"/>
      <c r="G32" s="451"/>
      <c r="H32" s="448"/>
      <c r="I32" s="452"/>
      <c r="J32" s="452">
        <f>SUM(J25:J31)</f>
        <v>0</v>
      </c>
    </row>
    <row r="33" ht="13.15" customHeight="1"/>
    <row r="34" ht="13.15" customHeight="1"/>
    <row r="35" ht="13.15" customHeight="1"/>
    <row r="36" ht="13.15" customHeight="1"/>
    <row r="37" ht="13.15" customHeight="1"/>
    <row r="38" ht="13.15" customHeight="1"/>
    <row r="39" ht="13.15" customHeight="1"/>
    <row r="40" ht="13.15" customHeight="1"/>
    <row r="41" ht="13.15" customHeight="1"/>
    <row r="42" ht="13.15" customHeight="1"/>
    <row r="43" ht="13.15" customHeight="1"/>
    <row r="44" ht="13.15" customHeight="1"/>
    <row r="45" ht="13.15" customHeight="1"/>
    <row r="46" ht="13.15" customHeight="1"/>
    <row r="47" ht="13.15" customHeight="1"/>
    <row r="48" ht="13.15" customHeight="1"/>
    <row r="49" ht="13.15" customHeight="1"/>
    <row r="50" ht="13.15" customHeight="1"/>
    <row r="51" ht="13.15" customHeight="1"/>
    <row r="52" ht="13.15" customHeight="1"/>
    <row r="53" ht="13.15" customHeight="1"/>
    <row r="54" ht="13.15" customHeight="1"/>
    <row r="55" ht="13.15" customHeight="1"/>
    <row r="56" ht="13.15" customHeight="1"/>
    <row r="57" ht="13.15" customHeight="1"/>
    <row r="58" ht="13.15" customHeight="1"/>
    <row r="59" ht="13.15" customHeight="1"/>
    <row r="61" ht="13.15" customHeight="1"/>
  </sheetData>
  <autoFilter ref="A9:J16" xr:uid="{00000000-0009-0000-0000-00000A000000}"/>
  <mergeCells count="15">
    <mergeCell ref="G24:I24"/>
    <mergeCell ref="E24:F24"/>
    <mergeCell ref="E25:F25"/>
    <mergeCell ref="A23:J23"/>
    <mergeCell ref="G30:I30"/>
    <mergeCell ref="E26:F26"/>
    <mergeCell ref="E27:F27"/>
    <mergeCell ref="E28:F28"/>
    <mergeCell ref="E29:F29"/>
    <mergeCell ref="E30:F30"/>
    <mergeCell ref="G25:I25"/>
    <mergeCell ref="G26:I26"/>
    <mergeCell ref="G27:I27"/>
    <mergeCell ref="G28:I28"/>
    <mergeCell ref="G29:I29"/>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3F4A-78AD-4BD2-8BF6-9B560BBA845D}">
  <sheetPr>
    <tabColor theme="0" tint="-0.14999847407452621"/>
    <pageSetUpPr fitToPage="1"/>
  </sheetPr>
  <dimension ref="A1:AA38"/>
  <sheetViews>
    <sheetView showGridLines="0" zoomScale="80" zoomScaleNormal="80" zoomScaleSheetLayoutView="50" zoomScalePageLayoutView="50" workbookViewId="0">
      <pane xSplit="2" ySplit="7" topLeftCell="C8" activePane="bottomRight" state="frozen"/>
      <selection activeCell="A5" sqref="A5"/>
      <selection pane="topRight" activeCell="A5" sqref="A5"/>
      <selection pane="bottomLeft" activeCell="A5" sqref="A5"/>
      <selection pane="bottomRight" activeCell="C8" sqref="C8"/>
    </sheetView>
  </sheetViews>
  <sheetFormatPr defaultColWidth="13.7109375" defaultRowHeight="12.75"/>
  <cols>
    <col min="1" max="1" width="46.28515625" style="446" customWidth="1"/>
    <col min="2" max="2" width="36.28515625" style="453" bestFit="1" customWidth="1"/>
    <col min="3" max="3" width="25.42578125" style="453" customWidth="1"/>
    <col min="4" max="4" width="22" style="446" customWidth="1"/>
    <col min="5" max="5" width="15.28515625" style="454" customWidth="1"/>
    <col min="6" max="6" width="16.28515625" style="455" customWidth="1"/>
    <col min="7" max="7" width="18.28515625" style="454" customWidth="1"/>
    <col min="8" max="8" width="14.7109375" style="454" bestFit="1" customWidth="1"/>
    <col min="9" max="9" width="16.28515625" style="455" customWidth="1"/>
    <col min="10" max="10" width="22.42578125" style="454" customWidth="1"/>
    <col min="11" max="12" width="13.7109375" style="454" customWidth="1"/>
    <col min="13" max="13" width="18.7109375" style="454" customWidth="1"/>
    <col min="14" max="14" width="13.7109375" style="454" customWidth="1"/>
    <col min="15" max="15" width="15.7109375" style="454" customWidth="1"/>
    <col min="16" max="16" width="18" style="446" bestFit="1" customWidth="1"/>
    <col min="17" max="17" width="19.28515625" style="446" customWidth="1"/>
    <col min="18" max="18" width="17.7109375" style="446" customWidth="1"/>
    <col min="19" max="19" width="19.28515625" style="446" customWidth="1"/>
    <col min="20" max="20" width="19.7109375" style="446" customWidth="1"/>
    <col min="21" max="21" width="16.7109375" style="446" bestFit="1" customWidth="1"/>
    <col min="22" max="22" width="15.28515625" style="446" customWidth="1"/>
    <col min="23" max="248" width="13.7109375" style="446"/>
    <col min="249" max="249" width="22.28515625" style="446" customWidth="1"/>
    <col min="250" max="256" width="13.7109375" style="446" customWidth="1"/>
    <col min="257" max="257" width="15.7109375" style="446" customWidth="1"/>
    <col min="258" max="258" width="16.5703125" style="446" bestFit="1" customWidth="1"/>
    <col min="259" max="259" width="13.7109375" style="446" customWidth="1"/>
    <col min="260" max="260" width="17.28515625" style="446" bestFit="1" customWidth="1"/>
    <col min="261" max="261" width="4" style="446" customWidth="1"/>
    <col min="262" max="262" width="13.7109375" style="446" customWidth="1"/>
    <col min="263" max="504" width="13.7109375" style="446"/>
    <col min="505" max="505" width="22.28515625" style="446" customWidth="1"/>
    <col min="506" max="512" width="13.7109375" style="446" customWidth="1"/>
    <col min="513" max="513" width="15.7109375" style="446" customWidth="1"/>
    <col min="514" max="514" width="16.5703125" style="446" bestFit="1" customWidth="1"/>
    <col min="515" max="515" width="13.7109375" style="446" customWidth="1"/>
    <col min="516" max="516" width="17.28515625" style="446" bestFit="1" customWidth="1"/>
    <col min="517" max="517" width="4" style="446" customWidth="1"/>
    <col min="518" max="518" width="13.7109375" style="446" customWidth="1"/>
    <col min="519" max="760" width="13.7109375" style="446"/>
    <col min="761" max="761" width="22.28515625" style="446" customWidth="1"/>
    <col min="762" max="768" width="13.7109375" style="446" customWidth="1"/>
    <col min="769" max="769" width="15.7109375" style="446" customWidth="1"/>
    <col min="770" max="770" width="16.5703125" style="446" bestFit="1" customWidth="1"/>
    <col min="771" max="771" width="13.7109375" style="446" customWidth="1"/>
    <col min="772" max="772" width="17.28515625" style="446" bestFit="1" customWidth="1"/>
    <col min="773" max="773" width="4" style="446" customWidth="1"/>
    <col min="774" max="774" width="13.7109375" style="446" customWidth="1"/>
    <col min="775" max="1016" width="13.7109375" style="446"/>
    <col min="1017" max="1017" width="22.28515625" style="446" customWidth="1"/>
    <col min="1018" max="1024" width="13.7109375" style="446" customWidth="1"/>
    <col min="1025" max="1025" width="15.7109375" style="446" customWidth="1"/>
    <col min="1026" max="1026" width="16.5703125" style="446" bestFit="1" customWidth="1"/>
    <col min="1027" max="1027" width="13.7109375" style="446" customWidth="1"/>
    <col min="1028" max="1028" width="17.28515625" style="446" bestFit="1" customWidth="1"/>
    <col min="1029" max="1029" width="4" style="446" customWidth="1"/>
    <col min="1030" max="1030" width="13.7109375" style="446" customWidth="1"/>
    <col min="1031" max="1272" width="13.7109375" style="446"/>
    <col min="1273" max="1273" width="22.28515625" style="446" customWidth="1"/>
    <col min="1274" max="1280" width="13.7109375" style="446" customWidth="1"/>
    <col min="1281" max="1281" width="15.7109375" style="446" customWidth="1"/>
    <col min="1282" max="1282" width="16.5703125" style="446" bestFit="1" customWidth="1"/>
    <col min="1283" max="1283" width="13.7109375" style="446" customWidth="1"/>
    <col min="1284" max="1284" width="17.28515625" style="446" bestFit="1" customWidth="1"/>
    <col min="1285" max="1285" width="4" style="446" customWidth="1"/>
    <col min="1286" max="1286" width="13.7109375" style="446" customWidth="1"/>
    <col min="1287" max="1528" width="13.7109375" style="446"/>
    <col min="1529" max="1529" width="22.28515625" style="446" customWidth="1"/>
    <col min="1530" max="1536" width="13.7109375" style="446" customWidth="1"/>
    <col min="1537" max="1537" width="15.7109375" style="446" customWidth="1"/>
    <col min="1538" max="1538" width="16.5703125" style="446" bestFit="1" customWidth="1"/>
    <col min="1539" max="1539" width="13.7109375" style="446" customWidth="1"/>
    <col min="1540" max="1540" width="17.28515625" style="446" bestFit="1" customWidth="1"/>
    <col min="1541" max="1541" width="4" style="446" customWidth="1"/>
    <col min="1542" max="1542" width="13.7109375" style="446" customWidth="1"/>
    <col min="1543" max="1784" width="13.7109375" style="446"/>
    <col min="1785" max="1785" width="22.28515625" style="446" customWidth="1"/>
    <col min="1786" max="1792" width="13.7109375" style="446" customWidth="1"/>
    <col min="1793" max="1793" width="15.7109375" style="446" customWidth="1"/>
    <col min="1794" max="1794" width="16.5703125" style="446" bestFit="1" customWidth="1"/>
    <col min="1795" max="1795" width="13.7109375" style="446" customWidth="1"/>
    <col min="1796" max="1796" width="17.28515625" style="446" bestFit="1" customWidth="1"/>
    <col min="1797" max="1797" width="4" style="446" customWidth="1"/>
    <col min="1798" max="1798" width="13.7109375" style="446" customWidth="1"/>
    <col min="1799" max="2040" width="13.7109375" style="446"/>
    <col min="2041" max="2041" width="22.28515625" style="446" customWidth="1"/>
    <col min="2042" max="2048" width="13.7109375" style="446" customWidth="1"/>
    <col min="2049" max="2049" width="15.7109375" style="446" customWidth="1"/>
    <col min="2050" max="2050" width="16.5703125" style="446" bestFit="1" customWidth="1"/>
    <col min="2051" max="2051" width="13.7109375" style="446" customWidth="1"/>
    <col min="2052" max="2052" width="17.28515625" style="446" bestFit="1" customWidth="1"/>
    <col min="2053" max="2053" width="4" style="446" customWidth="1"/>
    <col min="2054" max="2054" width="13.7109375" style="446" customWidth="1"/>
    <col min="2055" max="2296" width="13.7109375" style="446"/>
    <col min="2297" max="2297" width="22.28515625" style="446" customWidth="1"/>
    <col min="2298" max="2304" width="13.7109375" style="446" customWidth="1"/>
    <col min="2305" max="2305" width="15.7109375" style="446" customWidth="1"/>
    <col min="2306" max="2306" width="16.5703125" style="446" bestFit="1" customWidth="1"/>
    <col min="2307" max="2307" width="13.7109375" style="446" customWidth="1"/>
    <col min="2308" max="2308" width="17.28515625" style="446" bestFit="1" customWidth="1"/>
    <col min="2309" max="2309" width="4" style="446" customWidth="1"/>
    <col min="2310" max="2310" width="13.7109375" style="446" customWidth="1"/>
    <col min="2311" max="2552" width="13.7109375" style="446"/>
    <col min="2553" max="2553" width="22.28515625" style="446" customWidth="1"/>
    <col min="2554" max="2560" width="13.7109375" style="446" customWidth="1"/>
    <col min="2561" max="2561" width="15.7109375" style="446" customWidth="1"/>
    <col min="2562" max="2562" width="16.5703125" style="446" bestFit="1" customWidth="1"/>
    <col min="2563" max="2563" width="13.7109375" style="446" customWidth="1"/>
    <col min="2564" max="2564" width="17.28515625" style="446" bestFit="1" customWidth="1"/>
    <col min="2565" max="2565" width="4" style="446" customWidth="1"/>
    <col min="2566" max="2566" width="13.7109375" style="446" customWidth="1"/>
    <col min="2567" max="2808" width="13.7109375" style="446"/>
    <col min="2809" max="2809" width="22.28515625" style="446" customWidth="1"/>
    <col min="2810" max="2816" width="13.7109375" style="446" customWidth="1"/>
    <col min="2817" max="2817" width="15.7109375" style="446" customWidth="1"/>
    <col min="2818" max="2818" width="16.5703125" style="446" bestFit="1" customWidth="1"/>
    <col min="2819" max="2819" width="13.7109375" style="446" customWidth="1"/>
    <col min="2820" max="2820" width="17.28515625" style="446" bestFit="1" customWidth="1"/>
    <col min="2821" max="2821" width="4" style="446" customWidth="1"/>
    <col min="2822" max="2822" width="13.7109375" style="446" customWidth="1"/>
    <col min="2823" max="3064" width="13.7109375" style="446"/>
    <col min="3065" max="3065" width="22.28515625" style="446" customWidth="1"/>
    <col min="3066" max="3072" width="13.7109375" style="446" customWidth="1"/>
    <col min="3073" max="3073" width="15.7109375" style="446" customWidth="1"/>
    <col min="3074" max="3074" width="16.5703125" style="446" bestFit="1" customWidth="1"/>
    <col min="3075" max="3075" width="13.7109375" style="446" customWidth="1"/>
    <col min="3076" max="3076" width="17.28515625" style="446" bestFit="1" customWidth="1"/>
    <col min="3077" max="3077" width="4" style="446" customWidth="1"/>
    <col min="3078" max="3078" width="13.7109375" style="446" customWidth="1"/>
    <col min="3079" max="3320" width="13.7109375" style="446"/>
    <col min="3321" max="3321" width="22.28515625" style="446" customWidth="1"/>
    <col min="3322" max="3328" width="13.7109375" style="446" customWidth="1"/>
    <col min="3329" max="3329" width="15.7109375" style="446" customWidth="1"/>
    <col min="3330" max="3330" width="16.5703125" style="446" bestFit="1" customWidth="1"/>
    <col min="3331" max="3331" width="13.7109375" style="446" customWidth="1"/>
    <col min="3332" max="3332" width="17.28515625" style="446" bestFit="1" customWidth="1"/>
    <col min="3333" max="3333" width="4" style="446" customWidth="1"/>
    <col min="3334" max="3334" width="13.7109375" style="446" customWidth="1"/>
    <col min="3335" max="3576" width="13.7109375" style="446"/>
    <col min="3577" max="3577" width="22.28515625" style="446" customWidth="1"/>
    <col min="3578" max="3584" width="13.7109375" style="446" customWidth="1"/>
    <col min="3585" max="3585" width="15.7109375" style="446" customWidth="1"/>
    <col min="3586" max="3586" width="16.5703125" style="446" bestFit="1" customWidth="1"/>
    <col min="3587" max="3587" width="13.7109375" style="446" customWidth="1"/>
    <col min="3588" max="3588" width="17.28515625" style="446" bestFit="1" customWidth="1"/>
    <col min="3589" max="3589" width="4" style="446" customWidth="1"/>
    <col min="3590" max="3590" width="13.7109375" style="446" customWidth="1"/>
    <col min="3591" max="3832" width="13.7109375" style="446"/>
    <col min="3833" max="3833" width="22.28515625" style="446" customWidth="1"/>
    <col min="3834" max="3840" width="13.7109375" style="446" customWidth="1"/>
    <col min="3841" max="3841" width="15.7109375" style="446" customWidth="1"/>
    <col min="3842" max="3842" width="16.5703125" style="446" bestFit="1" customWidth="1"/>
    <col min="3843" max="3843" width="13.7109375" style="446" customWidth="1"/>
    <col min="3844" max="3844" width="17.28515625" style="446" bestFit="1" customWidth="1"/>
    <col min="3845" max="3845" width="4" style="446" customWidth="1"/>
    <col min="3846" max="3846" width="13.7109375" style="446" customWidth="1"/>
    <col min="3847" max="4088" width="13.7109375" style="446"/>
    <col min="4089" max="4089" width="22.28515625" style="446" customWidth="1"/>
    <col min="4090" max="4096" width="13.7109375" style="446" customWidth="1"/>
    <col min="4097" max="4097" width="15.7109375" style="446" customWidth="1"/>
    <col min="4098" max="4098" width="16.5703125" style="446" bestFit="1" customWidth="1"/>
    <col min="4099" max="4099" width="13.7109375" style="446" customWidth="1"/>
    <col min="4100" max="4100" width="17.28515625" style="446" bestFit="1" customWidth="1"/>
    <col min="4101" max="4101" width="4" style="446" customWidth="1"/>
    <col min="4102" max="4102" width="13.7109375" style="446" customWidth="1"/>
    <col min="4103" max="4344" width="13.7109375" style="446"/>
    <col min="4345" max="4345" width="22.28515625" style="446" customWidth="1"/>
    <col min="4346" max="4352" width="13.7109375" style="446" customWidth="1"/>
    <col min="4353" max="4353" width="15.7109375" style="446" customWidth="1"/>
    <col min="4354" max="4354" width="16.5703125" style="446" bestFit="1" customWidth="1"/>
    <col min="4355" max="4355" width="13.7109375" style="446" customWidth="1"/>
    <col min="4356" max="4356" width="17.28515625" style="446" bestFit="1" customWidth="1"/>
    <col min="4357" max="4357" width="4" style="446" customWidth="1"/>
    <col min="4358" max="4358" width="13.7109375" style="446" customWidth="1"/>
    <col min="4359" max="4600" width="13.7109375" style="446"/>
    <col min="4601" max="4601" width="22.28515625" style="446" customWidth="1"/>
    <col min="4602" max="4608" width="13.7109375" style="446" customWidth="1"/>
    <col min="4609" max="4609" width="15.7109375" style="446" customWidth="1"/>
    <col min="4610" max="4610" width="16.5703125" style="446" bestFit="1" customWidth="1"/>
    <col min="4611" max="4611" width="13.7109375" style="446" customWidth="1"/>
    <col min="4612" max="4612" width="17.28515625" style="446" bestFit="1" customWidth="1"/>
    <col min="4613" max="4613" width="4" style="446" customWidth="1"/>
    <col min="4614" max="4614" width="13.7109375" style="446" customWidth="1"/>
    <col min="4615" max="4856" width="13.7109375" style="446"/>
    <col min="4857" max="4857" width="22.28515625" style="446" customWidth="1"/>
    <col min="4858" max="4864" width="13.7109375" style="446" customWidth="1"/>
    <col min="4865" max="4865" width="15.7109375" style="446" customWidth="1"/>
    <col min="4866" max="4866" width="16.5703125" style="446" bestFit="1" customWidth="1"/>
    <col min="4867" max="4867" width="13.7109375" style="446" customWidth="1"/>
    <col min="4868" max="4868" width="17.28515625" style="446" bestFit="1" customWidth="1"/>
    <col min="4869" max="4869" width="4" style="446" customWidth="1"/>
    <col min="4870" max="4870" width="13.7109375" style="446" customWidth="1"/>
    <col min="4871" max="5112" width="13.7109375" style="446"/>
    <col min="5113" max="5113" width="22.28515625" style="446" customWidth="1"/>
    <col min="5114" max="5120" width="13.7109375" style="446" customWidth="1"/>
    <col min="5121" max="5121" width="15.7109375" style="446" customWidth="1"/>
    <col min="5122" max="5122" width="16.5703125" style="446" bestFit="1" customWidth="1"/>
    <col min="5123" max="5123" width="13.7109375" style="446" customWidth="1"/>
    <col min="5124" max="5124" width="17.28515625" style="446" bestFit="1" customWidth="1"/>
    <col min="5125" max="5125" width="4" style="446" customWidth="1"/>
    <col min="5126" max="5126" width="13.7109375" style="446" customWidth="1"/>
    <col min="5127" max="5368" width="13.7109375" style="446"/>
    <col min="5369" max="5369" width="22.28515625" style="446" customWidth="1"/>
    <col min="5370" max="5376" width="13.7109375" style="446" customWidth="1"/>
    <col min="5377" max="5377" width="15.7109375" style="446" customWidth="1"/>
    <col min="5378" max="5378" width="16.5703125" style="446" bestFit="1" customWidth="1"/>
    <col min="5379" max="5379" width="13.7109375" style="446" customWidth="1"/>
    <col min="5380" max="5380" width="17.28515625" style="446" bestFit="1" customWidth="1"/>
    <col min="5381" max="5381" width="4" style="446" customWidth="1"/>
    <col min="5382" max="5382" width="13.7109375" style="446" customWidth="1"/>
    <col min="5383" max="5624" width="13.7109375" style="446"/>
    <col min="5625" max="5625" width="22.28515625" style="446" customWidth="1"/>
    <col min="5626" max="5632" width="13.7109375" style="446" customWidth="1"/>
    <col min="5633" max="5633" width="15.7109375" style="446" customWidth="1"/>
    <col min="5634" max="5634" width="16.5703125" style="446" bestFit="1" customWidth="1"/>
    <col min="5635" max="5635" width="13.7109375" style="446" customWidth="1"/>
    <col min="5636" max="5636" width="17.28515625" style="446" bestFit="1" customWidth="1"/>
    <col min="5637" max="5637" width="4" style="446" customWidth="1"/>
    <col min="5638" max="5638" width="13.7109375" style="446" customWidth="1"/>
    <col min="5639" max="5880" width="13.7109375" style="446"/>
    <col min="5881" max="5881" width="22.28515625" style="446" customWidth="1"/>
    <col min="5882" max="5888" width="13.7109375" style="446" customWidth="1"/>
    <col min="5889" max="5889" width="15.7109375" style="446" customWidth="1"/>
    <col min="5890" max="5890" width="16.5703125" style="446" bestFit="1" customWidth="1"/>
    <col min="5891" max="5891" width="13.7109375" style="446" customWidth="1"/>
    <col min="5892" max="5892" width="17.28515625" style="446" bestFit="1" customWidth="1"/>
    <col min="5893" max="5893" width="4" style="446" customWidth="1"/>
    <col min="5894" max="5894" width="13.7109375" style="446" customWidth="1"/>
    <col min="5895" max="6136" width="13.7109375" style="446"/>
    <col min="6137" max="6137" width="22.28515625" style="446" customWidth="1"/>
    <col min="6138" max="6144" width="13.7109375" style="446" customWidth="1"/>
    <col min="6145" max="6145" width="15.7109375" style="446" customWidth="1"/>
    <col min="6146" max="6146" width="16.5703125" style="446" bestFit="1" customWidth="1"/>
    <col min="6147" max="6147" width="13.7109375" style="446" customWidth="1"/>
    <col min="6148" max="6148" width="17.28515625" style="446" bestFit="1" customWidth="1"/>
    <col min="6149" max="6149" width="4" style="446" customWidth="1"/>
    <col min="6150" max="6150" width="13.7109375" style="446" customWidth="1"/>
    <col min="6151" max="6392" width="13.7109375" style="446"/>
    <col min="6393" max="6393" width="22.28515625" style="446" customWidth="1"/>
    <col min="6394" max="6400" width="13.7109375" style="446" customWidth="1"/>
    <col min="6401" max="6401" width="15.7109375" style="446" customWidth="1"/>
    <col min="6402" max="6402" width="16.5703125" style="446" bestFit="1" customWidth="1"/>
    <col min="6403" max="6403" width="13.7109375" style="446" customWidth="1"/>
    <col min="6404" max="6404" width="17.28515625" style="446" bestFit="1" customWidth="1"/>
    <col min="6405" max="6405" width="4" style="446" customWidth="1"/>
    <col min="6406" max="6406" width="13.7109375" style="446" customWidth="1"/>
    <col min="6407" max="6648" width="13.7109375" style="446"/>
    <col min="6649" max="6649" width="22.28515625" style="446" customWidth="1"/>
    <col min="6650" max="6656" width="13.7109375" style="446" customWidth="1"/>
    <col min="6657" max="6657" width="15.7109375" style="446" customWidth="1"/>
    <col min="6658" max="6658" width="16.5703125" style="446" bestFit="1" customWidth="1"/>
    <col min="6659" max="6659" width="13.7109375" style="446" customWidth="1"/>
    <col min="6660" max="6660" width="17.28515625" style="446" bestFit="1" customWidth="1"/>
    <col min="6661" max="6661" width="4" style="446" customWidth="1"/>
    <col min="6662" max="6662" width="13.7109375" style="446" customWidth="1"/>
    <col min="6663" max="6904" width="13.7109375" style="446"/>
    <col min="6905" max="6905" width="22.28515625" style="446" customWidth="1"/>
    <col min="6906" max="6912" width="13.7109375" style="446" customWidth="1"/>
    <col min="6913" max="6913" width="15.7109375" style="446" customWidth="1"/>
    <col min="6914" max="6914" width="16.5703125" style="446" bestFit="1" customWidth="1"/>
    <col min="6915" max="6915" width="13.7109375" style="446" customWidth="1"/>
    <col min="6916" max="6916" width="17.28515625" style="446" bestFit="1" customWidth="1"/>
    <col min="6917" max="6917" width="4" style="446" customWidth="1"/>
    <col min="6918" max="6918" width="13.7109375" style="446" customWidth="1"/>
    <col min="6919" max="7160" width="13.7109375" style="446"/>
    <col min="7161" max="7161" width="22.28515625" style="446" customWidth="1"/>
    <col min="7162" max="7168" width="13.7109375" style="446" customWidth="1"/>
    <col min="7169" max="7169" width="15.7109375" style="446" customWidth="1"/>
    <col min="7170" max="7170" width="16.5703125" style="446" bestFit="1" customWidth="1"/>
    <col min="7171" max="7171" width="13.7109375" style="446" customWidth="1"/>
    <col min="7172" max="7172" width="17.28515625" style="446" bestFit="1" customWidth="1"/>
    <col min="7173" max="7173" width="4" style="446" customWidth="1"/>
    <col min="7174" max="7174" width="13.7109375" style="446" customWidth="1"/>
    <col min="7175" max="7416" width="13.7109375" style="446"/>
    <col min="7417" max="7417" width="22.28515625" style="446" customWidth="1"/>
    <col min="7418" max="7424" width="13.7109375" style="446" customWidth="1"/>
    <col min="7425" max="7425" width="15.7109375" style="446" customWidth="1"/>
    <col min="7426" max="7426" width="16.5703125" style="446" bestFit="1" customWidth="1"/>
    <col min="7427" max="7427" width="13.7109375" style="446" customWidth="1"/>
    <col min="7428" max="7428" width="17.28515625" style="446" bestFit="1" customWidth="1"/>
    <col min="7429" max="7429" width="4" style="446" customWidth="1"/>
    <col min="7430" max="7430" width="13.7109375" style="446" customWidth="1"/>
    <col min="7431" max="7672" width="13.7109375" style="446"/>
    <col min="7673" max="7673" width="22.28515625" style="446" customWidth="1"/>
    <col min="7674" max="7680" width="13.7109375" style="446" customWidth="1"/>
    <col min="7681" max="7681" width="15.7109375" style="446" customWidth="1"/>
    <col min="7682" max="7682" width="16.5703125" style="446" bestFit="1" customWidth="1"/>
    <col min="7683" max="7683" width="13.7109375" style="446" customWidth="1"/>
    <col min="7684" max="7684" width="17.28515625" style="446" bestFit="1" customWidth="1"/>
    <col min="7685" max="7685" width="4" style="446" customWidth="1"/>
    <col min="7686" max="7686" width="13.7109375" style="446" customWidth="1"/>
    <col min="7687" max="7928" width="13.7109375" style="446"/>
    <col min="7929" max="7929" width="22.28515625" style="446" customWidth="1"/>
    <col min="7930" max="7936" width="13.7109375" style="446" customWidth="1"/>
    <col min="7937" max="7937" width="15.7109375" style="446" customWidth="1"/>
    <col min="7938" max="7938" width="16.5703125" style="446" bestFit="1" customWidth="1"/>
    <col min="7939" max="7939" width="13.7109375" style="446" customWidth="1"/>
    <col min="7940" max="7940" width="17.28515625" style="446" bestFit="1" customWidth="1"/>
    <col min="7941" max="7941" width="4" style="446" customWidth="1"/>
    <col min="7942" max="7942" width="13.7109375" style="446" customWidth="1"/>
    <col min="7943" max="8184" width="13.7109375" style="446"/>
    <col min="8185" max="8185" width="22.28515625" style="446" customWidth="1"/>
    <col min="8186" max="8192" width="13.7109375" style="446" customWidth="1"/>
    <col min="8193" max="8193" width="15.7109375" style="446" customWidth="1"/>
    <col min="8194" max="8194" width="16.5703125" style="446" bestFit="1" customWidth="1"/>
    <col min="8195" max="8195" width="13.7109375" style="446" customWidth="1"/>
    <col min="8196" max="8196" width="17.28515625" style="446" bestFit="1" customWidth="1"/>
    <col min="8197" max="8197" width="4" style="446" customWidth="1"/>
    <col min="8198" max="8198" width="13.7109375" style="446" customWidth="1"/>
    <col min="8199" max="8440" width="13.7109375" style="446"/>
    <col min="8441" max="8441" width="22.28515625" style="446" customWidth="1"/>
    <col min="8442" max="8448" width="13.7109375" style="446" customWidth="1"/>
    <col min="8449" max="8449" width="15.7109375" style="446" customWidth="1"/>
    <col min="8450" max="8450" width="16.5703125" style="446" bestFit="1" customWidth="1"/>
    <col min="8451" max="8451" width="13.7109375" style="446" customWidth="1"/>
    <col min="8452" max="8452" width="17.28515625" style="446" bestFit="1" customWidth="1"/>
    <col min="8453" max="8453" width="4" style="446" customWidth="1"/>
    <col min="8454" max="8454" width="13.7109375" style="446" customWidth="1"/>
    <col min="8455" max="8696" width="13.7109375" style="446"/>
    <col min="8697" max="8697" width="22.28515625" style="446" customWidth="1"/>
    <col min="8698" max="8704" width="13.7109375" style="446" customWidth="1"/>
    <col min="8705" max="8705" width="15.7109375" style="446" customWidth="1"/>
    <col min="8706" max="8706" width="16.5703125" style="446" bestFit="1" customWidth="1"/>
    <col min="8707" max="8707" width="13.7109375" style="446" customWidth="1"/>
    <col min="8708" max="8708" width="17.28515625" style="446" bestFit="1" customWidth="1"/>
    <col min="8709" max="8709" width="4" style="446" customWidth="1"/>
    <col min="8710" max="8710" width="13.7109375" style="446" customWidth="1"/>
    <col min="8711" max="8952" width="13.7109375" style="446"/>
    <col min="8953" max="8953" width="22.28515625" style="446" customWidth="1"/>
    <col min="8954" max="8960" width="13.7109375" style="446" customWidth="1"/>
    <col min="8961" max="8961" width="15.7109375" style="446" customWidth="1"/>
    <col min="8962" max="8962" width="16.5703125" style="446" bestFit="1" customWidth="1"/>
    <col min="8963" max="8963" width="13.7109375" style="446" customWidth="1"/>
    <col min="8964" max="8964" width="17.28515625" style="446" bestFit="1" customWidth="1"/>
    <col min="8965" max="8965" width="4" style="446" customWidth="1"/>
    <col min="8966" max="8966" width="13.7109375" style="446" customWidth="1"/>
    <col min="8967" max="9208" width="13.7109375" style="446"/>
    <col min="9209" max="9209" width="22.28515625" style="446" customWidth="1"/>
    <col min="9210" max="9216" width="13.7109375" style="446" customWidth="1"/>
    <col min="9217" max="9217" width="15.7109375" style="446" customWidth="1"/>
    <col min="9218" max="9218" width="16.5703125" style="446" bestFit="1" customWidth="1"/>
    <col min="9219" max="9219" width="13.7109375" style="446" customWidth="1"/>
    <col min="9220" max="9220" width="17.28515625" style="446" bestFit="1" customWidth="1"/>
    <col min="9221" max="9221" width="4" style="446" customWidth="1"/>
    <col min="9222" max="9222" width="13.7109375" style="446" customWidth="1"/>
    <col min="9223" max="9464" width="13.7109375" style="446"/>
    <col min="9465" max="9465" width="22.28515625" style="446" customWidth="1"/>
    <col min="9466" max="9472" width="13.7109375" style="446" customWidth="1"/>
    <col min="9473" max="9473" width="15.7109375" style="446" customWidth="1"/>
    <col min="9474" max="9474" width="16.5703125" style="446" bestFit="1" customWidth="1"/>
    <col min="9475" max="9475" width="13.7109375" style="446" customWidth="1"/>
    <col min="9476" max="9476" width="17.28515625" style="446" bestFit="1" customWidth="1"/>
    <col min="9477" max="9477" width="4" style="446" customWidth="1"/>
    <col min="9478" max="9478" width="13.7109375" style="446" customWidth="1"/>
    <col min="9479" max="9720" width="13.7109375" style="446"/>
    <col min="9721" max="9721" width="22.28515625" style="446" customWidth="1"/>
    <col min="9722" max="9728" width="13.7109375" style="446" customWidth="1"/>
    <col min="9729" max="9729" width="15.7109375" style="446" customWidth="1"/>
    <col min="9730" max="9730" width="16.5703125" style="446" bestFit="1" customWidth="1"/>
    <col min="9731" max="9731" width="13.7109375" style="446" customWidth="1"/>
    <col min="9732" max="9732" width="17.28515625" style="446" bestFit="1" customWidth="1"/>
    <col min="9733" max="9733" width="4" style="446" customWidth="1"/>
    <col min="9734" max="9734" width="13.7109375" style="446" customWidth="1"/>
    <col min="9735" max="9976" width="13.7109375" style="446"/>
    <col min="9977" max="9977" width="22.28515625" style="446" customWidth="1"/>
    <col min="9978" max="9984" width="13.7109375" style="446" customWidth="1"/>
    <col min="9985" max="9985" width="15.7109375" style="446" customWidth="1"/>
    <col min="9986" max="9986" width="16.5703125" style="446" bestFit="1" customWidth="1"/>
    <col min="9987" max="9987" width="13.7109375" style="446" customWidth="1"/>
    <col min="9988" max="9988" width="17.28515625" style="446" bestFit="1" customWidth="1"/>
    <col min="9989" max="9989" width="4" style="446" customWidth="1"/>
    <col min="9990" max="9990" width="13.7109375" style="446" customWidth="1"/>
    <col min="9991" max="10232" width="13.7109375" style="446"/>
    <col min="10233" max="10233" width="22.28515625" style="446" customWidth="1"/>
    <col min="10234" max="10240" width="13.7109375" style="446" customWidth="1"/>
    <col min="10241" max="10241" width="15.7109375" style="446" customWidth="1"/>
    <col min="10242" max="10242" width="16.5703125" style="446" bestFit="1" customWidth="1"/>
    <col min="10243" max="10243" width="13.7109375" style="446" customWidth="1"/>
    <col min="10244" max="10244" width="17.28515625" style="446" bestFit="1" customWidth="1"/>
    <col min="10245" max="10245" width="4" style="446" customWidth="1"/>
    <col min="10246" max="10246" width="13.7109375" style="446" customWidth="1"/>
    <col min="10247" max="10488" width="13.7109375" style="446"/>
    <col min="10489" max="10489" width="22.28515625" style="446" customWidth="1"/>
    <col min="10490" max="10496" width="13.7109375" style="446" customWidth="1"/>
    <col min="10497" max="10497" width="15.7109375" style="446" customWidth="1"/>
    <col min="10498" max="10498" width="16.5703125" style="446" bestFit="1" customWidth="1"/>
    <col min="10499" max="10499" width="13.7109375" style="446" customWidth="1"/>
    <col min="10500" max="10500" width="17.28515625" style="446" bestFit="1" customWidth="1"/>
    <col min="10501" max="10501" width="4" style="446" customWidth="1"/>
    <col min="10502" max="10502" width="13.7109375" style="446" customWidth="1"/>
    <col min="10503" max="10744" width="13.7109375" style="446"/>
    <col min="10745" max="10745" width="22.28515625" style="446" customWidth="1"/>
    <col min="10746" max="10752" width="13.7109375" style="446" customWidth="1"/>
    <col min="10753" max="10753" width="15.7109375" style="446" customWidth="1"/>
    <col min="10754" max="10754" width="16.5703125" style="446" bestFit="1" customWidth="1"/>
    <col min="10755" max="10755" width="13.7109375" style="446" customWidth="1"/>
    <col min="10756" max="10756" width="17.28515625" style="446" bestFit="1" customWidth="1"/>
    <col min="10757" max="10757" width="4" style="446" customWidth="1"/>
    <col min="10758" max="10758" width="13.7109375" style="446" customWidth="1"/>
    <col min="10759" max="11000" width="13.7109375" style="446"/>
    <col min="11001" max="11001" width="22.28515625" style="446" customWidth="1"/>
    <col min="11002" max="11008" width="13.7109375" style="446" customWidth="1"/>
    <col min="11009" max="11009" width="15.7109375" style="446" customWidth="1"/>
    <col min="11010" max="11010" width="16.5703125" style="446" bestFit="1" customWidth="1"/>
    <col min="11011" max="11011" width="13.7109375" style="446" customWidth="1"/>
    <col min="11012" max="11012" width="17.28515625" style="446" bestFit="1" customWidth="1"/>
    <col min="11013" max="11013" width="4" style="446" customWidth="1"/>
    <col min="11014" max="11014" width="13.7109375" style="446" customWidth="1"/>
    <col min="11015" max="11256" width="13.7109375" style="446"/>
    <col min="11257" max="11257" width="22.28515625" style="446" customWidth="1"/>
    <col min="11258" max="11264" width="13.7109375" style="446" customWidth="1"/>
    <col min="11265" max="11265" width="15.7109375" style="446" customWidth="1"/>
    <col min="11266" max="11266" width="16.5703125" style="446" bestFit="1" customWidth="1"/>
    <col min="11267" max="11267" width="13.7109375" style="446" customWidth="1"/>
    <col min="11268" max="11268" width="17.28515625" style="446" bestFit="1" customWidth="1"/>
    <col min="11269" max="11269" width="4" style="446" customWidth="1"/>
    <col min="11270" max="11270" width="13.7109375" style="446" customWidth="1"/>
    <col min="11271" max="11512" width="13.7109375" style="446"/>
    <col min="11513" max="11513" width="22.28515625" style="446" customWidth="1"/>
    <col min="11514" max="11520" width="13.7109375" style="446" customWidth="1"/>
    <col min="11521" max="11521" width="15.7109375" style="446" customWidth="1"/>
    <col min="11522" max="11522" width="16.5703125" style="446" bestFit="1" customWidth="1"/>
    <col min="11523" max="11523" width="13.7109375" style="446" customWidth="1"/>
    <col min="11524" max="11524" width="17.28515625" style="446" bestFit="1" customWidth="1"/>
    <col min="11525" max="11525" width="4" style="446" customWidth="1"/>
    <col min="11526" max="11526" width="13.7109375" style="446" customWidth="1"/>
    <col min="11527" max="11768" width="13.7109375" style="446"/>
    <col min="11769" max="11769" width="22.28515625" style="446" customWidth="1"/>
    <col min="11770" max="11776" width="13.7109375" style="446" customWidth="1"/>
    <col min="11777" max="11777" width="15.7109375" style="446" customWidth="1"/>
    <col min="11778" max="11778" width="16.5703125" style="446" bestFit="1" customWidth="1"/>
    <col min="11779" max="11779" width="13.7109375" style="446" customWidth="1"/>
    <col min="11780" max="11780" width="17.28515625" style="446" bestFit="1" customWidth="1"/>
    <col min="11781" max="11781" width="4" style="446" customWidth="1"/>
    <col min="11782" max="11782" width="13.7109375" style="446" customWidth="1"/>
    <col min="11783" max="12024" width="13.7109375" style="446"/>
    <col min="12025" max="12025" width="22.28515625" style="446" customWidth="1"/>
    <col min="12026" max="12032" width="13.7109375" style="446" customWidth="1"/>
    <col min="12033" max="12033" width="15.7109375" style="446" customWidth="1"/>
    <col min="12034" max="12034" width="16.5703125" style="446" bestFit="1" customWidth="1"/>
    <col min="12035" max="12035" width="13.7109375" style="446" customWidth="1"/>
    <col min="12036" max="12036" width="17.28515625" style="446" bestFit="1" customWidth="1"/>
    <col min="12037" max="12037" width="4" style="446" customWidth="1"/>
    <col min="12038" max="12038" width="13.7109375" style="446" customWidth="1"/>
    <col min="12039" max="12280" width="13.7109375" style="446"/>
    <col min="12281" max="12281" width="22.28515625" style="446" customWidth="1"/>
    <col min="12282" max="12288" width="13.7109375" style="446" customWidth="1"/>
    <col min="12289" max="12289" width="15.7109375" style="446" customWidth="1"/>
    <col min="12290" max="12290" width="16.5703125" style="446" bestFit="1" customWidth="1"/>
    <col min="12291" max="12291" width="13.7109375" style="446" customWidth="1"/>
    <col min="12292" max="12292" width="17.28515625" style="446" bestFit="1" customWidth="1"/>
    <col min="12293" max="12293" width="4" style="446" customWidth="1"/>
    <col min="12294" max="12294" width="13.7109375" style="446" customWidth="1"/>
    <col min="12295" max="12536" width="13.7109375" style="446"/>
    <col min="12537" max="12537" width="22.28515625" style="446" customWidth="1"/>
    <col min="12538" max="12544" width="13.7109375" style="446" customWidth="1"/>
    <col min="12545" max="12545" width="15.7109375" style="446" customWidth="1"/>
    <col min="12546" max="12546" width="16.5703125" style="446" bestFit="1" customWidth="1"/>
    <col min="12547" max="12547" width="13.7109375" style="446" customWidth="1"/>
    <col min="12548" max="12548" width="17.28515625" style="446" bestFit="1" customWidth="1"/>
    <col min="12549" max="12549" width="4" style="446" customWidth="1"/>
    <col min="12550" max="12550" width="13.7109375" style="446" customWidth="1"/>
    <col min="12551" max="12792" width="13.7109375" style="446"/>
    <col min="12793" max="12793" width="22.28515625" style="446" customWidth="1"/>
    <col min="12794" max="12800" width="13.7109375" style="446" customWidth="1"/>
    <col min="12801" max="12801" width="15.7109375" style="446" customWidth="1"/>
    <col min="12802" max="12802" width="16.5703125" style="446" bestFit="1" customWidth="1"/>
    <col min="12803" max="12803" width="13.7109375" style="446" customWidth="1"/>
    <col min="12804" max="12804" width="17.28515625" style="446" bestFit="1" customWidth="1"/>
    <col min="12805" max="12805" width="4" style="446" customWidth="1"/>
    <col min="12806" max="12806" width="13.7109375" style="446" customWidth="1"/>
    <col min="12807" max="13048" width="13.7109375" style="446"/>
    <col min="13049" max="13049" width="22.28515625" style="446" customWidth="1"/>
    <col min="13050" max="13056" width="13.7109375" style="446" customWidth="1"/>
    <col min="13057" max="13057" width="15.7109375" style="446" customWidth="1"/>
    <col min="13058" max="13058" width="16.5703125" style="446" bestFit="1" customWidth="1"/>
    <col min="13059" max="13059" width="13.7109375" style="446" customWidth="1"/>
    <col min="13060" max="13060" width="17.28515625" style="446" bestFit="1" customWidth="1"/>
    <col min="13061" max="13061" width="4" style="446" customWidth="1"/>
    <col min="13062" max="13062" width="13.7109375" style="446" customWidth="1"/>
    <col min="13063" max="13304" width="13.7109375" style="446"/>
    <col min="13305" max="13305" width="22.28515625" style="446" customWidth="1"/>
    <col min="13306" max="13312" width="13.7109375" style="446" customWidth="1"/>
    <col min="13313" max="13313" width="15.7109375" style="446" customWidth="1"/>
    <col min="13314" max="13314" width="16.5703125" style="446" bestFit="1" customWidth="1"/>
    <col min="13315" max="13315" width="13.7109375" style="446" customWidth="1"/>
    <col min="13316" max="13316" width="17.28515625" style="446" bestFit="1" customWidth="1"/>
    <col min="13317" max="13317" width="4" style="446" customWidth="1"/>
    <col min="13318" max="13318" width="13.7109375" style="446" customWidth="1"/>
    <col min="13319" max="13560" width="13.7109375" style="446"/>
    <col min="13561" max="13561" width="22.28515625" style="446" customWidth="1"/>
    <col min="13562" max="13568" width="13.7109375" style="446" customWidth="1"/>
    <col min="13569" max="13569" width="15.7109375" style="446" customWidth="1"/>
    <col min="13570" max="13570" width="16.5703125" style="446" bestFit="1" customWidth="1"/>
    <col min="13571" max="13571" width="13.7109375" style="446" customWidth="1"/>
    <col min="13572" max="13572" width="17.28515625" style="446" bestFit="1" customWidth="1"/>
    <col min="13573" max="13573" width="4" style="446" customWidth="1"/>
    <col min="13574" max="13574" width="13.7109375" style="446" customWidth="1"/>
    <col min="13575" max="13816" width="13.7109375" style="446"/>
    <col min="13817" max="13817" width="22.28515625" style="446" customWidth="1"/>
    <col min="13818" max="13824" width="13.7109375" style="446" customWidth="1"/>
    <col min="13825" max="13825" width="15.7109375" style="446" customWidth="1"/>
    <col min="13826" max="13826" width="16.5703125" style="446" bestFit="1" customWidth="1"/>
    <col min="13827" max="13827" width="13.7109375" style="446" customWidth="1"/>
    <col min="13828" max="13828" width="17.28515625" style="446" bestFit="1" customWidth="1"/>
    <col min="13829" max="13829" width="4" style="446" customWidth="1"/>
    <col min="13830" max="13830" width="13.7109375" style="446" customWidth="1"/>
    <col min="13831" max="14072" width="13.7109375" style="446"/>
    <col min="14073" max="14073" width="22.28515625" style="446" customWidth="1"/>
    <col min="14074" max="14080" width="13.7109375" style="446" customWidth="1"/>
    <col min="14081" max="14081" width="15.7109375" style="446" customWidth="1"/>
    <col min="14082" max="14082" width="16.5703125" style="446" bestFit="1" customWidth="1"/>
    <col min="14083" max="14083" width="13.7109375" style="446" customWidth="1"/>
    <col min="14084" max="14084" width="17.28515625" style="446" bestFit="1" customWidth="1"/>
    <col min="14085" max="14085" width="4" style="446" customWidth="1"/>
    <col min="14086" max="14086" width="13.7109375" style="446" customWidth="1"/>
    <col min="14087" max="14328" width="13.7109375" style="446"/>
    <col min="14329" max="14329" width="22.28515625" style="446" customWidth="1"/>
    <col min="14330" max="14336" width="13.7109375" style="446" customWidth="1"/>
    <col min="14337" max="14337" width="15.7109375" style="446" customWidth="1"/>
    <col min="14338" max="14338" width="16.5703125" style="446" bestFit="1" customWidth="1"/>
    <col min="14339" max="14339" width="13.7109375" style="446" customWidth="1"/>
    <col min="14340" max="14340" width="17.28515625" style="446" bestFit="1" customWidth="1"/>
    <col min="14341" max="14341" width="4" style="446" customWidth="1"/>
    <col min="14342" max="14342" width="13.7109375" style="446" customWidth="1"/>
    <col min="14343" max="14584" width="13.7109375" style="446"/>
    <col min="14585" max="14585" width="22.28515625" style="446" customWidth="1"/>
    <col min="14586" max="14592" width="13.7109375" style="446" customWidth="1"/>
    <col min="14593" max="14593" width="15.7109375" style="446" customWidth="1"/>
    <col min="14594" max="14594" width="16.5703125" style="446" bestFit="1" customWidth="1"/>
    <col min="14595" max="14595" width="13.7109375" style="446" customWidth="1"/>
    <col min="14596" max="14596" width="17.28515625" style="446" bestFit="1" customWidth="1"/>
    <col min="14597" max="14597" width="4" style="446" customWidth="1"/>
    <col min="14598" max="14598" width="13.7109375" style="446" customWidth="1"/>
    <col min="14599" max="14840" width="13.7109375" style="446"/>
    <col min="14841" max="14841" width="22.28515625" style="446" customWidth="1"/>
    <col min="14842" max="14848" width="13.7109375" style="446" customWidth="1"/>
    <col min="14849" max="14849" width="15.7109375" style="446" customWidth="1"/>
    <col min="14850" max="14850" width="16.5703125" style="446" bestFit="1" customWidth="1"/>
    <col min="14851" max="14851" width="13.7109375" style="446" customWidth="1"/>
    <col min="14852" max="14852" width="17.28515625" style="446" bestFit="1" customWidth="1"/>
    <col min="14853" max="14853" width="4" style="446" customWidth="1"/>
    <col min="14854" max="14854" width="13.7109375" style="446" customWidth="1"/>
    <col min="14855" max="15096" width="13.7109375" style="446"/>
    <col min="15097" max="15097" width="22.28515625" style="446" customWidth="1"/>
    <col min="15098" max="15104" width="13.7109375" style="446" customWidth="1"/>
    <col min="15105" max="15105" width="15.7109375" style="446" customWidth="1"/>
    <col min="15106" max="15106" width="16.5703125" style="446" bestFit="1" customWidth="1"/>
    <col min="15107" max="15107" width="13.7109375" style="446" customWidth="1"/>
    <col min="15108" max="15108" width="17.28515625" style="446" bestFit="1" customWidth="1"/>
    <col min="15109" max="15109" width="4" style="446" customWidth="1"/>
    <col min="15110" max="15110" width="13.7109375" style="446" customWidth="1"/>
    <col min="15111" max="15352" width="13.7109375" style="446"/>
    <col min="15353" max="15353" width="22.28515625" style="446" customWidth="1"/>
    <col min="15354" max="15360" width="13.7109375" style="446" customWidth="1"/>
    <col min="15361" max="15361" width="15.7109375" style="446" customWidth="1"/>
    <col min="15362" max="15362" width="16.5703125" style="446" bestFit="1" customWidth="1"/>
    <col min="15363" max="15363" width="13.7109375" style="446" customWidth="1"/>
    <col min="15364" max="15364" width="17.28515625" style="446" bestFit="1" customWidth="1"/>
    <col min="15365" max="15365" width="4" style="446" customWidth="1"/>
    <col min="15366" max="15366" width="13.7109375" style="446" customWidth="1"/>
    <col min="15367" max="15608" width="13.7109375" style="446"/>
    <col min="15609" max="15609" width="22.28515625" style="446" customWidth="1"/>
    <col min="15610" max="15616" width="13.7109375" style="446" customWidth="1"/>
    <col min="15617" max="15617" width="15.7109375" style="446" customWidth="1"/>
    <col min="15618" max="15618" width="16.5703125" style="446" bestFit="1" customWidth="1"/>
    <col min="15619" max="15619" width="13.7109375" style="446" customWidth="1"/>
    <col min="15620" max="15620" width="17.28515625" style="446" bestFit="1" customWidth="1"/>
    <col min="15621" max="15621" width="4" style="446" customWidth="1"/>
    <col min="15622" max="15622" width="13.7109375" style="446" customWidth="1"/>
    <col min="15623" max="15864" width="13.7109375" style="446"/>
    <col min="15865" max="15865" width="22.28515625" style="446" customWidth="1"/>
    <col min="15866" max="15872" width="13.7109375" style="446" customWidth="1"/>
    <col min="15873" max="15873" width="15.7109375" style="446" customWidth="1"/>
    <col min="15874" max="15874" width="16.5703125" style="446" bestFit="1" customWidth="1"/>
    <col min="15875" max="15875" width="13.7109375" style="446" customWidth="1"/>
    <col min="15876" max="15876" width="17.28515625" style="446" bestFit="1" customWidth="1"/>
    <col min="15877" max="15877" width="4" style="446" customWidth="1"/>
    <col min="15878" max="15878" width="13.7109375" style="446" customWidth="1"/>
    <col min="15879" max="16120" width="13.7109375" style="446"/>
    <col min="16121" max="16121" width="22.28515625" style="446" customWidth="1"/>
    <col min="16122" max="16128" width="13.7109375" style="446" customWidth="1"/>
    <col min="16129" max="16129" width="15.7109375" style="446" customWidth="1"/>
    <col min="16130" max="16130" width="16.5703125" style="446" bestFit="1" customWidth="1"/>
    <col min="16131" max="16131" width="13.7109375" style="446" customWidth="1"/>
    <col min="16132" max="16132" width="17.28515625" style="446" bestFit="1" customWidth="1"/>
    <col min="16133" max="16133" width="4" style="446" customWidth="1"/>
    <col min="16134" max="16134" width="13.7109375" style="446" customWidth="1"/>
    <col min="16135" max="16384" width="13.7109375" style="446"/>
  </cols>
  <sheetData>
    <row r="1" spans="1:27" s="424" customFormat="1">
      <c r="A1" s="507" t="s">
        <v>2</v>
      </c>
      <c r="B1" s="422"/>
      <c r="C1" s="422"/>
      <c r="D1" s="174"/>
      <c r="E1" s="174"/>
      <c r="F1" s="423"/>
      <c r="G1" s="174"/>
      <c r="H1" s="174"/>
      <c r="I1" s="423"/>
      <c r="J1" s="174"/>
      <c r="K1" s="174"/>
      <c r="L1" s="174"/>
      <c r="M1" s="174"/>
      <c r="N1" s="174"/>
      <c r="O1" s="174"/>
    </row>
    <row r="2" spans="1:27" s="424" customFormat="1">
      <c r="A2" s="425"/>
      <c r="B2" s="422"/>
      <c r="C2" s="422"/>
      <c r="O2" s="174"/>
    </row>
    <row r="3" spans="1:27" s="424" customFormat="1" ht="15.75">
      <c r="A3" s="355" t="str">
        <f>'2-Kosten per locatie'!A3</f>
        <v>Naam opdrachtgever</v>
      </c>
      <c r="B3" s="354" t="str">
        <f>'2-Kosten per locatie'!B3</f>
        <v>Voortgezet Onderwijs van Amsterdam</v>
      </c>
      <c r="C3" s="354"/>
    </row>
    <row r="4" spans="1:27" s="424" customFormat="1" ht="15.75">
      <c r="A4" s="355" t="str">
        <f>'2-Kosten per locatie'!A4</f>
        <v>Calculatie onderdeel</v>
      </c>
      <c r="B4" s="354" t="str">
        <f ca="1">MID(CELL("bestandsnaam",$C$9),SEARCH("]",CELL("bestandsnaam",$C$9),1)+1,256)</f>
        <v>12-Vloeronderhoud</v>
      </c>
      <c r="C4" s="354"/>
    </row>
    <row r="5" spans="1:27" s="424" customFormat="1" ht="15.75">
      <c r="A5" s="355" t="str">
        <f>'2-Kosten per locatie'!A5</f>
        <v>Plaats</v>
      </c>
      <c r="B5" s="354" t="str">
        <f>'2-Kosten per locatie'!B5</f>
        <v>Amsterdam</v>
      </c>
      <c r="C5" s="354"/>
      <c r="F5"/>
      <c r="T5" s="429"/>
      <c r="U5" s="430"/>
      <c r="V5" s="429"/>
      <c r="W5" s="429"/>
      <c r="X5" s="430"/>
      <c r="Y5" s="429"/>
      <c r="Z5" s="429"/>
      <c r="AA5" s="430"/>
    </row>
    <row r="6" spans="1:27" s="424" customFormat="1" ht="17.25" customHeight="1">
      <c r="A6" s="355" t="str">
        <f>'2-Kosten per locatie'!A6</f>
        <v>Naam dienstverlener</v>
      </c>
      <c r="B6" s="354">
        <f>'2-Kosten per locatie'!B6</f>
        <v>0</v>
      </c>
      <c r="C6" s="354"/>
    </row>
    <row r="7" spans="1:27" s="424" customFormat="1" ht="17.25" customHeight="1">
      <c r="A7" s="355" t="str">
        <f>'2-Kosten per locatie'!A7</f>
        <v>Prijspeil</v>
      </c>
      <c r="B7" s="481">
        <f>'2-Kosten per locatie'!B7</f>
        <v>45839</v>
      </c>
    </row>
    <row r="8" spans="1:27" s="424" customFormat="1" ht="17.25" customHeight="1">
      <c r="A8" s="355"/>
      <c r="B8" s="481"/>
      <c r="M8" s="482"/>
      <c r="O8" s="430"/>
      <c r="P8" s="483"/>
      <c r="Q8" s="484"/>
      <c r="R8" s="485"/>
    </row>
    <row r="9" spans="1:27" s="424" customFormat="1" ht="17.25" customHeight="1">
      <c r="D9" s="508" t="s">
        <v>1572</v>
      </c>
      <c r="E9" s="509"/>
      <c r="F9" s="509"/>
      <c r="G9" s="509"/>
      <c r="H9" s="509"/>
      <c r="I9" s="509"/>
      <c r="J9" s="509"/>
      <c r="K9" s="509"/>
      <c r="L9" s="509"/>
      <c r="M9" s="509"/>
      <c r="N9" s="509"/>
      <c r="O9" s="509"/>
      <c r="P9" s="509"/>
      <c r="Q9" s="509"/>
      <c r="R9" s="510"/>
    </row>
    <row r="10" spans="1:27" s="436" customFormat="1" ht="82.9" customHeight="1">
      <c r="A10" s="456" t="s">
        <v>15</v>
      </c>
      <c r="B10" s="457" t="s">
        <v>1515</v>
      </c>
      <c r="C10" s="457" t="s">
        <v>1516</v>
      </c>
      <c r="D10" s="458" t="s">
        <v>220</v>
      </c>
      <c r="E10" s="457" t="s">
        <v>1660</v>
      </c>
      <c r="F10" s="457" t="s">
        <v>1573</v>
      </c>
      <c r="G10" s="457" t="s">
        <v>1574</v>
      </c>
      <c r="H10" s="457" t="s">
        <v>1661</v>
      </c>
      <c r="I10" s="457" t="s">
        <v>1575</v>
      </c>
      <c r="J10" s="457" t="s">
        <v>1576</v>
      </c>
      <c r="K10" s="457" t="s">
        <v>1662</v>
      </c>
      <c r="L10" s="457" t="s">
        <v>1640</v>
      </c>
      <c r="M10" s="457" t="s">
        <v>1535</v>
      </c>
      <c r="N10" s="457" t="s">
        <v>1663</v>
      </c>
      <c r="O10" s="457" t="s">
        <v>1577</v>
      </c>
      <c r="P10" s="457" t="s">
        <v>1578</v>
      </c>
      <c r="Q10" s="457" t="s">
        <v>1579</v>
      </c>
      <c r="R10" s="457" t="s">
        <v>223</v>
      </c>
    </row>
    <row r="11" spans="1:27">
      <c r="A11" s="49" t="s">
        <v>1677</v>
      </c>
      <c r="B11" s="1" t="s">
        <v>1522</v>
      </c>
      <c r="C11" s="486" t="s">
        <v>1517</v>
      </c>
      <c r="D11" s="487">
        <f>SUMIFS('4-Basis ruimtestaat'!L:L,'4-Basis ruimtestaat'!B:B,'12-Vloeronderhoud'!A11,'4-Basis ruimtestaat'!K:K,'12-Vloeronderhoud'!B11)</f>
        <v>2007.8300000000002</v>
      </c>
      <c r="E11" s="488"/>
      <c r="F11" s="489">
        <v>8</v>
      </c>
      <c r="G11" s="490">
        <f>(D11*E11*F11)</f>
        <v>0</v>
      </c>
      <c r="H11" s="488"/>
      <c r="I11" s="489">
        <v>2</v>
      </c>
      <c r="J11" s="490">
        <f t="shared" ref="J11:J16" si="0">(D11*H11*I11)</f>
        <v>0</v>
      </c>
      <c r="K11" s="488"/>
      <c r="L11" s="489">
        <v>30</v>
      </c>
      <c r="M11" s="491">
        <f t="shared" ref="M11:M16" si="1">(D11*K11*L11)</f>
        <v>0</v>
      </c>
      <c r="N11" s="427"/>
      <c r="O11" s="489">
        <v>40</v>
      </c>
      <c r="P11" s="492">
        <f t="shared" ref="P11:P16" si="2">D11*N11*O11</f>
        <v>0</v>
      </c>
      <c r="Q11" s="490">
        <f>P11+M11+J11+G11</f>
        <v>0</v>
      </c>
      <c r="R11" s="490">
        <f>Q11/10</f>
        <v>0</v>
      </c>
    </row>
    <row r="12" spans="1:27">
      <c r="A12" s="49" t="s">
        <v>1676</v>
      </c>
      <c r="B12" s="1" t="s">
        <v>1522</v>
      </c>
      <c r="C12" s="486" t="s">
        <v>1517</v>
      </c>
      <c r="D12" s="487">
        <f>SUMIFS('4-Basis ruimtestaat'!L:L,'4-Basis ruimtestaat'!B:B,'12-Vloeronderhoud'!A12,'4-Basis ruimtestaat'!K:K,'12-Vloeronderhoud'!B12)</f>
        <v>3737.1000000000013</v>
      </c>
      <c r="E12" s="488"/>
      <c r="F12" s="489">
        <v>8</v>
      </c>
      <c r="G12" s="490">
        <f t="shared" ref="G12:G16" si="3">(D12*E12*F12)</f>
        <v>0</v>
      </c>
      <c r="H12" s="488"/>
      <c r="I12" s="489">
        <v>2</v>
      </c>
      <c r="J12" s="490">
        <f t="shared" si="0"/>
        <v>0</v>
      </c>
      <c r="K12" s="488"/>
      <c r="L12" s="489">
        <v>30</v>
      </c>
      <c r="M12" s="491">
        <f t="shared" si="1"/>
        <v>0</v>
      </c>
      <c r="N12" s="427"/>
      <c r="O12" s="489">
        <v>40</v>
      </c>
      <c r="P12" s="492">
        <f t="shared" si="2"/>
        <v>0</v>
      </c>
      <c r="Q12" s="490">
        <f t="shared" ref="Q12:Q16" si="4">P12+M12+J12+G12</f>
        <v>0</v>
      </c>
      <c r="R12" s="490">
        <f t="shared" ref="R12:R16" si="5">Q12/10</f>
        <v>0</v>
      </c>
    </row>
    <row r="13" spans="1:27">
      <c r="A13" s="49" t="s">
        <v>1678</v>
      </c>
      <c r="B13" s="1" t="s">
        <v>1522</v>
      </c>
      <c r="C13" s="486" t="s">
        <v>1517</v>
      </c>
      <c r="D13" s="487">
        <f>SUMIFS('4-Basis ruimtestaat'!L:L,'4-Basis ruimtestaat'!B:B,'12-Vloeronderhoud'!A13,'4-Basis ruimtestaat'!K:K,'12-Vloeronderhoud'!B13)</f>
        <v>0</v>
      </c>
      <c r="E13" s="488"/>
      <c r="F13" s="489">
        <v>8</v>
      </c>
      <c r="G13" s="490">
        <f t="shared" si="3"/>
        <v>0</v>
      </c>
      <c r="H13" s="488"/>
      <c r="I13" s="489">
        <v>2</v>
      </c>
      <c r="J13" s="490">
        <f t="shared" si="0"/>
        <v>0</v>
      </c>
      <c r="K13" s="488"/>
      <c r="L13" s="489">
        <v>30</v>
      </c>
      <c r="M13" s="491">
        <f t="shared" si="1"/>
        <v>0</v>
      </c>
      <c r="N13" s="427"/>
      <c r="O13" s="489">
        <v>40</v>
      </c>
      <c r="P13" s="492">
        <f t="shared" si="2"/>
        <v>0</v>
      </c>
      <c r="Q13" s="490">
        <f t="shared" si="4"/>
        <v>0</v>
      </c>
      <c r="R13" s="490">
        <f t="shared" si="5"/>
        <v>0</v>
      </c>
    </row>
    <row r="14" spans="1:27">
      <c r="A14" s="49" t="s">
        <v>1679</v>
      </c>
      <c r="B14" s="1" t="s">
        <v>1522</v>
      </c>
      <c r="C14" s="486" t="s">
        <v>1517</v>
      </c>
      <c r="D14" s="487">
        <f>SUMIFS('4-Basis ruimtestaat'!L:L,'4-Basis ruimtestaat'!B:B,'12-Vloeronderhoud'!A14,'4-Basis ruimtestaat'!K:K,'12-Vloeronderhoud'!B14)</f>
        <v>1590.35</v>
      </c>
      <c r="E14" s="488"/>
      <c r="F14" s="489">
        <v>8</v>
      </c>
      <c r="G14" s="490">
        <f t="shared" si="3"/>
        <v>0</v>
      </c>
      <c r="H14" s="488"/>
      <c r="I14" s="489">
        <v>2</v>
      </c>
      <c r="J14" s="490">
        <f t="shared" si="0"/>
        <v>0</v>
      </c>
      <c r="K14" s="488"/>
      <c r="L14" s="489">
        <v>30</v>
      </c>
      <c r="M14" s="491">
        <f t="shared" si="1"/>
        <v>0</v>
      </c>
      <c r="N14" s="427"/>
      <c r="O14" s="489">
        <v>40</v>
      </c>
      <c r="P14" s="492">
        <f t="shared" si="2"/>
        <v>0</v>
      </c>
      <c r="Q14" s="490">
        <f t="shared" si="4"/>
        <v>0</v>
      </c>
      <c r="R14" s="490">
        <f t="shared" si="5"/>
        <v>0</v>
      </c>
    </row>
    <row r="15" spans="1:27">
      <c r="A15" s="49" t="s">
        <v>1680</v>
      </c>
      <c r="B15" s="1" t="s">
        <v>1522</v>
      </c>
      <c r="C15" s="486" t="s">
        <v>1517</v>
      </c>
      <c r="D15" s="487">
        <f>SUMIFS('4-Basis ruimtestaat'!L:L,'4-Basis ruimtestaat'!B:B,'12-Vloeronderhoud'!A15,'4-Basis ruimtestaat'!K:K,'12-Vloeronderhoud'!B15)</f>
        <v>3248.8700000000013</v>
      </c>
      <c r="E15" s="488"/>
      <c r="F15" s="489">
        <v>8</v>
      </c>
      <c r="G15" s="490">
        <f t="shared" si="3"/>
        <v>0</v>
      </c>
      <c r="H15" s="488"/>
      <c r="I15" s="489">
        <v>2</v>
      </c>
      <c r="J15" s="490">
        <f t="shared" si="0"/>
        <v>0</v>
      </c>
      <c r="K15" s="488"/>
      <c r="L15" s="489">
        <v>30</v>
      </c>
      <c r="M15" s="491">
        <f t="shared" si="1"/>
        <v>0</v>
      </c>
      <c r="N15" s="427"/>
      <c r="O15" s="489">
        <v>40</v>
      </c>
      <c r="P15" s="492">
        <f t="shared" si="2"/>
        <v>0</v>
      </c>
      <c r="Q15" s="490">
        <f t="shared" si="4"/>
        <v>0</v>
      </c>
      <c r="R15" s="490">
        <f t="shared" si="5"/>
        <v>0</v>
      </c>
    </row>
    <row r="16" spans="1:27">
      <c r="A16" s="49" t="s">
        <v>1681</v>
      </c>
      <c r="B16" s="1" t="s">
        <v>1522</v>
      </c>
      <c r="C16" s="486" t="s">
        <v>1517</v>
      </c>
      <c r="D16" s="487">
        <f>SUMIFS('4-Basis ruimtestaat'!L:L,'4-Basis ruimtestaat'!B:B,'12-Vloeronderhoud'!A16,'4-Basis ruimtestaat'!K:K,'12-Vloeronderhoud'!B16)</f>
        <v>3193.6600000000003</v>
      </c>
      <c r="E16" s="488"/>
      <c r="F16" s="489">
        <v>8</v>
      </c>
      <c r="G16" s="490">
        <f t="shared" si="3"/>
        <v>0</v>
      </c>
      <c r="H16" s="488"/>
      <c r="I16" s="489">
        <v>2</v>
      </c>
      <c r="J16" s="490">
        <f t="shared" si="0"/>
        <v>0</v>
      </c>
      <c r="K16" s="488"/>
      <c r="L16" s="489">
        <v>30</v>
      </c>
      <c r="M16" s="491">
        <f t="shared" si="1"/>
        <v>0</v>
      </c>
      <c r="N16" s="427"/>
      <c r="O16" s="489">
        <v>40</v>
      </c>
      <c r="P16" s="492">
        <f t="shared" si="2"/>
        <v>0</v>
      </c>
      <c r="Q16" s="490">
        <f t="shared" si="4"/>
        <v>0</v>
      </c>
      <c r="R16" s="490">
        <f t="shared" si="5"/>
        <v>0</v>
      </c>
    </row>
    <row r="17" spans="1:20">
      <c r="B17" s="446"/>
      <c r="C17" s="446"/>
      <c r="E17" s="446"/>
      <c r="F17" s="446"/>
      <c r="G17" s="446"/>
      <c r="H17" s="446"/>
      <c r="I17" s="446"/>
      <c r="J17" s="446"/>
      <c r="K17" s="446"/>
      <c r="L17" s="446"/>
      <c r="M17" s="446"/>
      <c r="N17" s="446"/>
      <c r="O17" s="446"/>
    </row>
    <row r="18" spans="1:20">
      <c r="A18" s="447" t="s">
        <v>26</v>
      </c>
      <c r="B18" s="449"/>
      <c r="C18" s="448"/>
      <c r="D18" s="450">
        <f>SUM(D11:D16)</f>
        <v>13777.810000000001</v>
      </c>
      <c r="E18" s="449"/>
      <c r="F18" s="448"/>
      <c r="G18" s="493">
        <f>SUM(G11:G16)</f>
        <v>0</v>
      </c>
      <c r="H18" s="449"/>
      <c r="I18" s="447"/>
      <c r="J18" s="493">
        <f>SUM(J11:J16)</f>
        <v>0</v>
      </c>
      <c r="K18" s="448"/>
      <c r="L18" s="448"/>
      <c r="M18" s="493">
        <f>SUM(M11:M16)</f>
        <v>0</v>
      </c>
      <c r="N18" s="448"/>
      <c r="O18" s="448"/>
      <c r="P18" s="493">
        <f>SUM(P11:P16)</f>
        <v>0</v>
      </c>
      <c r="Q18" s="493">
        <f>SUM(Q11:Q16)</f>
        <v>0</v>
      </c>
      <c r="R18" s="494">
        <f>SUM(R11:R16)</f>
        <v>0</v>
      </c>
      <c r="S18" s="495"/>
      <c r="T18" s="495"/>
    </row>
    <row r="19" spans="1:20">
      <c r="A19" s="496"/>
      <c r="B19" s="496"/>
      <c r="C19" s="496"/>
      <c r="D19" s="496"/>
      <c r="E19" s="496"/>
      <c r="F19" s="496"/>
      <c r="G19" s="496"/>
      <c r="H19" s="496"/>
      <c r="I19" s="496"/>
      <c r="J19" s="496"/>
      <c r="K19" s="496"/>
      <c r="L19" s="496"/>
      <c r="M19" s="496"/>
      <c r="N19" s="496"/>
      <c r="O19" s="496"/>
      <c r="P19" s="496"/>
      <c r="Q19" s="496"/>
      <c r="R19" s="496"/>
      <c r="S19" s="496"/>
    </row>
    <row r="20" spans="1:20">
      <c r="A20" s="496"/>
      <c r="B20" s="496"/>
      <c r="C20" s="496"/>
      <c r="D20" s="496"/>
      <c r="E20" s="496"/>
      <c r="F20" s="496"/>
      <c r="G20" s="496"/>
      <c r="H20" s="496"/>
      <c r="I20" s="496"/>
      <c r="J20" s="496"/>
      <c r="K20" s="496"/>
      <c r="L20" s="496"/>
      <c r="M20" s="496"/>
      <c r="N20" s="496"/>
      <c r="O20" s="496"/>
      <c r="P20" s="496"/>
      <c r="Q20" s="496"/>
      <c r="R20" s="496"/>
      <c r="S20" s="496"/>
    </row>
    <row r="21" spans="1:20">
      <c r="D21" s="453"/>
      <c r="E21" s="453"/>
      <c r="F21" s="453"/>
      <c r="G21" s="453"/>
      <c r="H21" s="453"/>
      <c r="I21" s="453"/>
      <c r="J21" s="453"/>
      <c r="K21" s="453"/>
      <c r="L21" s="453"/>
      <c r="M21" s="453"/>
      <c r="N21" s="453"/>
      <c r="O21" s="453"/>
      <c r="P21" s="453"/>
      <c r="Q21" s="453"/>
      <c r="R21" s="453"/>
      <c r="S21" s="453"/>
    </row>
    <row r="22" spans="1:20" ht="20.25">
      <c r="A22" s="497" t="s">
        <v>1587</v>
      </c>
      <c r="B22" s="498"/>
      <c r="C22" s="498"/>
      <c r="D22" s="499"/>
      <c r="E22" s="500"/>
      <c r="I22" s="454"/>
      <c r="P22" s="454"/>
      <c r="Q22" s="454"/>
      <c r="R22" s="454"/>
      <c r="S22" s="454"/>
    </row>
    <row r="23" spans="1:20" ht="15">
      <c r="A23" s="34"/>
      <c r="O23" s="446"/>
    </row>
    <row r="24" spans="1:20">
      <c r="D24" s="511" t="s">
        <v>1580</v>
      </c>
      <c r="E24" s="512"/>
      <c r="F24" s="512"/>
      <c r="G24" s="512"/>
      <c r="H24" s="512"/>
      <c r="I24" s="512"/>
      <c r="J24" s="512"/>
      <c r="K24" s="512"/>
      <c r="L24" s="512"/>
      <c r="M24" s="512"/>
      <c r="N24" s="512"/>
      <c r="O24" s="512"/>
      <c r="P24" s="512"/>
      <c r="Q24" s="512"/>
      <c r="R24" s="512"/>
    </row>
    <row r="25" spans="1:20" ht="87.4" customHeight="1">
      <c r="A25" s="456" t="s">
        <v>15</v>
      </c>
      <c r="B25" s="457" t="s">
        <v>1515</v>
      </c>
      <c r="C25" s="457" t="s">
        <v>1516</v>
      </c>
      <c r="D25" s="458" t="s">
        <v>220</v>
      </c>
      <c r="E25" s="457" t="s">
        <v>1664</v>
      </c>
      <c r="F25" s="457" t="s">
        <v>1641</v>
      </c>
      <c r="G25" s="457" t="s">
        <v>1581</v>
      </c>
      <c r="H25" s="457" t="s">
        <v>1665</v>
      </c>
      <c r="I25" s="457" t="s">
        <v>1642</v>
      </c>
      <c r="J25" s="457" t="s">
        <v>1582</v>
      </c>
      <c r="K25" s="457" t="s">
        <v>1666</v>
      </c>
      <c r="L25" s="457" t="s">
        <v>1643</v>
      </c>
      <c r="M25" s="457" t="s">
        <v>1583</v>
      </c>
      <c r="N25" s="457" t="s">
        <v>1663</v>
      </c>
      <c r="O25" s="457" t="s">
        <v>1577</v>
      </c>
      <c r="P25" s="457" t="s">
        <v>1578</v>
      </c>
      <c r="Q25" s="457" t="s">
        <v>1579</v>
      </c>
      <c r="R25" s="457" t="s">
        <v>223</v>
      </c>
    </row>
    <row r="26" spans="1:20">
      <c r="A26" s="49" t="s">
        <v>1677</v>
      </c>
      <c r="B26" s="1" t="s">
        <v>1522</v>
      </c>
      <c r="C26" s="486" t="s">
        <v>1517</v>
      </c>
      <c r="D26" s="487">
        <f t="shared" ref="D26:D31" si="6">D11</f>
        <v>2007.8300000000002</v>
      </c>
      <c r="E26" s="488"/>
      <c r="F26" s="501" t="s">
        <v>224</v>
      </c>
      <c r="G26" s="490">
        <f t="shared" ref="G26:G31" si="7">(D26*E26*F26)</f>
        <v>0</v>
      </c>
      <c r="H26" s="488"/>
      <c r="I26" s="502">
        <v>1</v>
      </c>
      <c r="J26" s="490">
        <f t="shared" ref="J26:J31" si="8">(D26*H26*I26)</f>
        <v>0</v>
      </c>
      <c r="K26" s="488"/>
      <c r="L26" s="502">
        <v>8</v>
      </c>
      <c r="M26" s="492">
        <f t="shared" ref="M26:M31" si="9">D26*K26*L26</f>
        <v>0</v>
      </c>
      <c r="N26" s="427"/>
      <c r="O26" s="502">
        <v>10</v>
      </c>
      <c r="P26" s="492">
        <f t="shared" ref="P26:P31" si="10">D26*N26*O26</f>
        <v>0</v>
      </c>
      <c r="Q26" s="492">
        <f t="shared" ref="Q26:Q31" si="11">P26+M26+J26+G26</f>
        <v>0</v>
      </c>
      <c r="R26" s="490">
        <f t="shared" ref="R26:R32" si="12">Q26/10</f>
        <v>0</v>
      </c>
    </row>
    <row r="27" spans="1:20">
      <c r="A27" s="49" t="s">
        <v>1676</v>
      </c>
      <c r="B27" s="1" t="s">
        <v>1522</v>
      </c>
      <c r="C27" s="486" t="s">
        <v>1517</v>
      </c>
      <c r="D27" s="487">
        <f t="shared" si="6"/>
        <v>3737.1000000000013</v>
      </c>
      <c r="E27" s="488"/>
      <c r="F27" s="501" t="s">
        <v>224</v>
      </c>
      <c r="G27" s="490">
        <f t="shared" si="7"/>
        <v>0</v>
      </c>
      <c r="H27" s="488"/>
      <c r="I27" s="502">
        <v>1</v>
      </c>
      <c r="J27" s="490">
        <f t="shared" si="8"/>
        <v>0</v>
      </c>
      <c r="K27" s="488"/>
      <c r="L27" s="502">
        <v>8</v>
      </c>
      <c r="M27" s="492">
        <f t="shared" si="9"/>
        <v>0</v>
      </c>
      <c r="N27" s="427"/>
      <c r="O27" s="502">
        <v>10</v>
      </c>
      <c r="P27" s="492">
        <f t="shared" si="10"/>
        <v>0</v>
      </c>
      <c r="Q27" s="492">
        <f t="shared" si="11"/>
        <v>0</v>
      </c>
      <c r="R27" s="490">
        <f t="shared" si="12"/>
        <v>0</v>
      </c>
    </row>
    <row r="28" spans="1:20">
      <c r="A28" s="49" t="s">
        <v>1678</v>
      </c>
      <c r="B28" s="1" t="s">
        <v>1522</v>
      </c>
      <c r="C28" s="486" t="s">
        <v>1517</v>
      </c>
      <c r="D28" s="487">
        <f t="shared" si="6"/>
        <v>0</v>
      </c>
      <c r="E28" s="488"/>
      <c r="F28" s="501" t="s">
        <v>224</v>
      </c>
      <c r="G28" s="490">
        <f t="shared" si="7"/>
        <v>0</v>
      </c>
      <c r="H28" s="488"/>
      <c r="I28" s="502">
        <v>1</v>
      </c>
      <c r="J28" s="490">
        <f t="shared" si="8"/>
        <v>0</v>
      </c>
      <c r="K28" s="488"/>
      <c r="L28" s="502">
        <v>8</v>
      </c>
      <c r="M28" s="492">
        <f t="shared" si="9"/>
        <v>0</v>
      </c>
      <c r="N28" s="427"/>
      <c r="O28" s="502">
        <v>10</v>
      </c>
      <c r="P28" s="492">
        <f t="shared" si="10"/>
        <v>0</v>
      </c>
      <c r="Q28" s="492">
        <f t="shared" si="11"/>
        <v>0</v>
      </c>
      <c r="R28" s="490">
        <f t="shared" si="12"/>
        <v>0</v>
      </c>
    </row>
    <row r="29" spans="1:20">
      <c r="A29" s="49" t="s">
        <v>1679</v>
      </c>
      <c r="B29" s="1" t="s">
        <v>1522</v>
      </c>
      <c r="C29" s="486" t="s">
        <v>1517</v>
      </c>
      <c r="D29" s="487">
        <f t="shared" si="6"/>
        <v>1590.35</v>
      </c>
      <c r="E29" s="488"/>
      <c r="F29" s="501" t="s">
        <v>224</v>
      </c>
      <c r="G29" s="490">
        <f t="shared" si="7"/>
        <v>0</v>
      </c>
      <c r="H29" s="488"/>
      <c r="I29" s="502">
        <v>1</v>
      </c>
      <c r="J29" s="490">
        <f t="shared" si="8"/>
        <v>0</v>
      </c>
      <c r="K29" s="488"/>
      <c r="L29" s="502">
        <v>8</v>
      </c>
      <c r="M29" s="492">
        <f t="shared" si="9"/>
        <v>0</v>
      </c>
      <c r="N29" s="427"/>
      <c r="O29" s="502">
        <v>10</v>
      </c>
      <c r="P29" s="492">
        <f t="shared" si="10"/>
        <v>0</v>
      </c>
      <c r="Q29" s="492">
        <f t="shared" si="11"/>
        <v>0</v>
      </c>
      <c r="R29" s="490">
        <f t="shared" si="12"/>
        <v>0</v>
      </c>
    </row>
    <row r="30" spans="1:20">
      <c r="A30" s="49" t="s">
        <v>1680</v>
      </c>
      <c r="B30" s="1" t="s">
        <v>1522</v>
      </c>
      <c r="C30" s="486" t="s">
        <v>1517</v>
      </c>
      <c r="D30" s="487">
        <f t="shared" si="6"/>
        <v>3248.8700000000013</v>
      </c>
      <c r="E30" s="488"/>
      <c r="F30" s="501" t="s">
        <v>224</v>
      </c>
      <c r="G30" s="490">
        <f t="shared" si="7"/>
        <v>0</v>
      </c>
      <c r="H30" s="488"/>
      <c r="I30" s="502">
        <v>1</v>
      </c>
      <c r="J30" s="490">
        <f t="shared" si="8"/>
        <v>0</v>
      </c>
      <c r="K30" s="488"/>
      <c r="L30" s="502">
        <v>8</v>
      </c>
      <c r="M30" s="492">
        <f t="shared" si="9"/>
        <v>0</v>
      </c>
      <c r="N30" s="427"/>
      <c r="O30" s="502">
        <v>10</v>
      </c>
      <c r="P30" s="492">
        <f t="shared" si="10"/>
        <v>0</v>
      </c>
      <c r="Q30" s="492">
        <f t="shared" si="11"/>
        <v>0</v>
      </c>
      <c r="R30" s="490">
        <f t="shared" si="12"/>
        <v>0</v>
      </c>
    </row>
    <row r="31" spans="1:20">
      <c r="A31" s="49" t="s">
        <v>1681</v>
      </c>
      <c r="B31" s="1" t="s">
        <v>1522</v>
      </c>
      <c r="C31" s="486" t="s">
        <v>1517</v>
      </c>
      <c r="D31" s="487">
        <f t="shared" si="6"/>
        <v>3193.6600000000003</v>
      </c>
      <c r="E31" s="488"/>
      <c r="F31" s="501" t="s">
        <v>224</v>
      </c>
      <c r="G31" s="490">
        <f t="shared" si="7"/>
        <v>0</v>
      </c>
      <c r="H31" s="488"/>
      <c r="I31" s="502">
        <v>1</v>
      </c>
      <c r="J31" s="490">
        <f t="shared" si="8"/>
        <v>0</v>
      </c>
      <c r="K31" s="488"/>
      <c r="L31" s="502">
        <v>8</v>
      </c>
      <c r="M31" s="492">
        <f t="shared" si="9"/>
        <v>0</v>
      </c>
      <c r="N31" s="427"/>
      <c r="O31" s="502">
        <v>10</v>
      </c>
      <c r="P31" s="492">
        <f t="shared" si="10"/>
        <v>0</v>
      </c>
      <c r="Q31" s="492">
        <f t="shared" si="11"/>
        <v>0</v>
      </c>
      <c r="R31" s="490">
        <f t="shared" si="12"/>
        <v>0</v>
      </c>
    </row>
    <row r="32" spans="1:20">
      <c r="B32" s="446"/>
      <c r="C32" s="446"/>
      <c r="E32" s="446"/>
      <c r="F32" s="446"/>
      <c r="G32" s="446"/>
      <c r="H32" s="446"/>
      <c r="I32" s="446"/>
      <c r="J32" s="446"/>
      <c r="K32" s="446"/>
      <c r="L32" s="446"/>
      <c r="M32" s="446"/>
      <c r="N32" s="446"/>
      <c r="O32" s="446"/>
      <c r="R32" s="490">
        <f t="shared" si="12"/>
        <v>0</v>
      </c>
    </row>
    <row r="33" spans="1:25">
      <c r="A33" s="447" t="s">
        <v>26</v>
      </c>
      <c r="B33" s="449"/>
      <c r="C33" s="448"/>
      <c r="D33" s="450">
        <f>SUM(D26:D31)</f>
        <v>13777.810000000001</v>
      </c>
      <c r="E33" s="449"/>
      <c r="F33" s="448"/>
      <c r="G33" s="493">
        <f>SUM(G26:G31)</f>
        <v>0</v>
      </c>
      <c r="H33" s="449"/>
      <c r="I33" s="448"/>
      <c r="J33" s="493">
        <f>SUM(J26:J31)</f>
        <v>0</v>
      </c>
      <c r="K33" s="448"/>
      <c r="L33" s="448"/>
      <c r="M33" s="493">
        <f>SUM(M26:M31)</f>
        <v>0</v>
      </c>
      <c r="N33" s="448"/>
      <c r="O33" s="448"/>
      <c r="P33" s="493">
        <f>SUM(P26:P31)</f>
        <v>0</v>
      </c>
      <c r="Q33" s="503">
        <f>SUM(Q26:Q31)</f>
        <v>0</v>
      </c>
      <c r="R33" s="504">
        <f>SUM(R26:R31)</f>
        <v>0</v>
      </c>
      <c r="U33" s="505"/>
    </row>
    <row r="34" spans="1:25">
      <c r="D34" s="453"/>
      <c r="E34" s="453"/>
      <c r="F34" s="453"/>
      <c r="G34" s="453"/>
      <c r="H34" s="453"/>
      <c r="I34" s="453"/>
      <c r="J34" s="453"/>
      <c r="K34" s="453"/>
      <c r="L34" s="453"/>
      <c r="M34" s="453"/>
      <c r="N34" s="453"/>
      <c r="O34" s="453"/>
      <c r="P34" s="453"/>
      <c r="Q34" s="453"/>
      <c r="R34" s="453"/>
      <c r="S34" s="453"/>
      <c r="T34" s="453"/>
      <c r="U34" s="506"/>
      <c r="V34" s="453"/>
      <c r="W34" s="453"/>
      <c r="X34" s="453"/>
      <c r="Y34" s="453"/>
    </row>
    <row r="35" spans="1:25">
      <c r="D35" s="453"/>
      <c r="E35" s="453"/>
      <c r="F35" s="453"/>
      <c r="G35" s="453"/>
      <c r="H35" s="453"/>
      <c r="I35" s="453"/>
      <c r="J35" s="453"/>
      <c r="K35" s="453"/>
      <c r="L35" s="453"/>
      <c r="M35" s="453"/>
      <c r="N35" s="453"/>
      <c r="O35" s="453"/>
      <c r="P35" s="453"/>
      <c r="Q35" s="453"/>
      <c r="R35" s="453"/>
      <c r="S35" s="453"/>
      <c r="T35" s="453"/>
      <c r="U35" s="453"/>
      <c r="V35" s="453"/>
      <c r="W35" s="453"/>
      <c r="X35" s="453"/>
      <c r="Y35" s="453"/>
    </row>
    <row r="36" spans="1:25">
      <c r="R36" s="505"/>
    </row>
    <row r="38" spans="1:25">
      <c r="S38" s="495"/>
    </row>
  </sheetData>
  <phoneticPr fontId="6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D33"/>
  <sheetViews>
    <sheetView showGridLines="0" showZeros="0" tabSelected="1" zoomScale="80" zoomScaleNormal="80" workbookViewId="0">
      <pane xSplit="1" ySplit="9" topLeftCell="B10" activePane="bottomRight" state="frozen"/>
      <selection activeCell="A5" sqref="A5"/>
      <selection pane="topRight" activeCell="A5" sqref="A5"/>
      <selection pane="bottomLeft" activeCell="A5" sqref="A5"/>
      <selection pane="bottomRight" activeCell="B10" sqref="B10"/>
    </sheetView>
  </sheetViews>
  <sheetFormatPr defaultColWidth="8.7109375" defaultRowHeight="13.9" customHeight="1"/>
  <cols>
    <col min="1" max="1" width="40.5703125" style="16" bestFit="1" customWidth="1"/>
    <col min="2" max="2" width="20.28515625" style="16" customWidth="1"/>
    <col min="3" max="3" width="16.7109375" style="16" customWidth="1"/>
    <col min="4" max="4" width="19" style="17" customWidth="1"/>
    <col min="5" max="5" width="17.42578125" style="17" customWidth="1"/>
    <col min="6" max="6" width="16.42578125" style="17" customWidth="1"/>
    <col min="7" max="7" width="18.28515625" style="17" customWidth="1"/>
    <col min="8" max="8" width="19.28515625" style="17" customWidth="1"/>
    <col min="9" max="9" width="18.5703125" style="17" customWidth="1"/>
    <col min="10" max="10" width="17.28515625" style="17" customWidth="1"/>
    <col min="11" max="11" width="17.42578125" style="17" customWidth="1"/>
    <col min="12" max="12" width="18.7109375" style="17" customWidth="1"/>
    <col min="13" max="13" width="20.28515625" style="17" customWidth="1"/>
    <col min="14" max="14" width="18.28515625" style="17" customWidth="1"/>
    <col min="15" max="15" width="5.28515625" style="17" customWidth="1"/>
    <col min="16" max="16" width="17.28515625" style="17" bestFit="1" customWidth="1"/>
    <col min="17" max="17" width="16.7109375" style="17" bestFit="1" customWidth="1"/>
    <col min="18" max="19" width="13.7109375" style="17" customWidth="1"/>
    <col min="20" max="24" width="13.28515625" style="17" customWidth="1"/>
    <col min="25" max="25" width="26.28515625" style="17" bestFit="1" customWidth="1"/>
    <col min="26" max="29" width="13.28515625" style="17" customWidth="1"/>
    <col min="30" max="16384" width="8.7109375" style="16"/>
  </cols>
  <sheetData>
    <row r="1" spans="1:30" ht="13.9" customHeight="1">
      <c r="A1" s="344" t="s">
        <v>2</v>
      </c>
      <c r="E1" s="57" t="s">
        <v>3</v>
      </c>
      <c r="F1" s="58"/>
      <c r="G1" s="18"/>
      <c r="H1" s="19" t="s">
        <v>4</v>
      </c>
      <c r="I1" s="20"/>
      <c r="J1" s="20"/>
      <c r="K1" s="20"/>
      <c r="L1" s="20"/>
      <c r="M1" s="21"/>
      <c r="N1" s="22" t="e">
        <f>M28</f>
        <v>#DIV/0!</v>
      </c>
    </row>
    <row r="2" spans="1:30" ht="13.9" customHeight="1">
      <c r="E2" s="23">
        <v>0</v>
      </c>
      <c r="F2" s="24" t="s">
        <v>5</v>
      </c>
      <c r="G2" s="18"/>
      <c r="H2" s="25" t="s">
        <v>6</v>
      </c>
      <c r="I2" s="26"/>
      <c r="J2" s="26"/>
      <c r="K2" s="26"/>
      <c r="L2" s="26"/>
      <c r="M2" s="27">
        <v>0.21</v>
      </c>
      <c r="N2" s="28" t="e">
        <f>M2*N1</f>
        <v>#DIV/0!</v>
      </c>
    </row>
    <row r="3" spans="1:30" ht="13.9" customHeight="1">
      <c r="A3" s="4" t="s">
        <v>0</v>
      </c>
      <c r="B3" s="5" t="s">
        <v>1651</v>
      </c>
      <c r="C3" s="29"/>
      <c r="D3" s="18"/>
      <c r="E3" s="18"/>
      <c r="G3" s="18"/>
      <c r="H3" s="25" t="s">
        <v>7</v>
      </c>
      <c r="I3" s="26"/>
      <c r="J3" s="26"/>
      <c r="K3" s="26"/>
      <c r="L3" s="26"/>
      <c r="M3" s="26"/>
      <c r="N3" s="30" t="e">
        <f>N1+N2</f>
        <v>#DIV/0!</v>
      </c>
      <c r="AB3" s="18"/>
      <c r="AC3" s="18"/>
    </row>
    <row r="4" spans="1:30" ht="13.9" customHeight="1">
      <c r="A4" s="4" t="s">
        <v>1</v>
      </c>
      <c r="B4" s="31" t="str">
        <f ca="1">MID(CELL("bestandsnaam",$B$10),SEARCH("]",CELL("bestandsnaam",$B$10),1)+1,256)</f>
        <v>2-Kosten per locatie</v>
      </c>
      <c r="C4" s="31"/>
      <c r="D4" s="18"/>
      <c r="E4" s="57" t="s">
        <v>8</v>
      </c>
      <c r="F4" s="58"/>
      <c r="G4" s="18"/>
      <c r="H4" s="26"/>
      <c r="I4" s="26"/>
      <c r="J4" s="26"/>
      <c r="K4" s="26"/>
      <c r="L4" s="26"/>
      <c r="M4" s="26"/>
      <c r="N4" s="26"/>
      <c r="AB4" s="18"/>
      <c r="AC4" s="18"/>
    </row>
    <row r="5" spans="1:30" ht="13.9" customHeight="1">
      <c r="A5" s="4" t="s">
        <v>1695</v>
      </c>
      <c r="B5" s="5" t="s">
        <v>1652</v>
      </c>
      <c r="C5" s="29"/>
      <c r="D5" s="18"/>
      <c r="E5" s="32">
        <v>0</v>
      </c>
      <c r="F5" s="33" t="s">
        <v>9</v>
      </c>
      <c r="G5" s="18"/>
      <c r="H5" s="59" t="s">
        <v>10</v>
      </c>
      <c r="I5" s="60"/>
      <c r="J5" s="60"/>
      <c r="K5" s="60"/>
      <c r="L5" s="60"/>
      <c r="M5" s="60"/>
      <c r="N5" s="61">
        <v>707000</v>
      </c>
      <c r="AB5" s="18"/>
      <c r="AC5" s="18"/>
    </row>
    <row r="6" spans="1:30" ht="13.9" customHeight="1">
      <c r="A6" s="4" t="s">
        <v>12</v>
      </c>
      <c r="B6" s="526"/>
      <c r="C6" s="29"/>
      <c r="D6" s="18"/>
      <c r="E6" s="18"/>
      <c r="F6" s="18"/>
      <c r="G6" s="18"/>
      <c r="H6" s="59" t="s">
        <v>11</v>
      </c>
      <c r="I6" s="60"/>
      <c r="J6" s="60"/>
      <c r="K6" s="60"/>
      <c r="L6" s="60"/>
      <c r="M6" s="60"/>
      <c r="N6" s="61">
        <v>636200</v>
      </c>
      <c r="AB6" s="18"/>
      <c r="AC6" s="18"/>
    </row>
    <row r="7" spans="1:30" ht="13.9" customHeight="1">
      <c r="A7" s="4" t="s">
        <v>13</v>
      </c>
      <c r="B7" s="527">
        <v>45839</v>
      </c>
      <c r="C7" s="29"/>
      <c r="D7" s="18"/>
      <c r="E7" s="18"/>
      <c r="F7" s="18"/>
      <c r="G7" s="18"/>
      <c r="H7" s="18"/>
      <c r="I7" s="18"/>
      <c r="J7" s="18"/>
      <c r="K7" s="18"/>
      <c r="R7" s="18"/>
      <c r="S7" s="16"/>
      <c r="T7" s="16"/>
      <c r="U7" s="16"/>
      <c r="AB7" s="18"/>
      <c r="AC7" s="18"/>
    </row>
    <row r="8" spans="1:30" ht="13.9" customHeight="1">
      <c r="A8" s="4" t="s">
        <v>14</v>
      </c>
      <c r="B8" s="31" t="s">
        <v>1698</v>
      </c>
      <c r="C8" s="4"/>
      <c r="D8" s="18"/>
      <c r="E8" s="18"/>
      <c r="F8" s="18"/>
      <c r="G8" s="18"/>
      <c r="H8" s="18"/>
      <c r="I8" s="18"/>
      <c r="J8" s="18"/>
      <c r="K8" s="18"/>
      <c r="L8" s="18"/>
      <c r="M8" s="18"/>
      <c r="N8" s="6"/>
      <c r="O8" s="18"/>
      <c r="P8" s="18"/>
      <c r="Q8" s="18"/>
      <c r="R8" s="18"/>
      <c r="S8" s="18"/>
      <c r="T8" s="18"/>
      <c r="U8" s="18"/>
      <c r="V8" s="18"/>
      <c r="W8" s="35"/>
      <c r="X8" s="35"/>
      <c r="Y8" s="35"/>
      <c r="Z8" s="35"/>
      <c r="AA8" s="35"/>
      <c r="AB8" s="18"/>
      <c r="AC8" s="18"/>
    </row>
    <row r="9" spans="1:30" ht="13.9" customHeight="1">
      <c r="A9" s="4"/>
      <c r="B9" s="31"/>
      <c r="C9" s="4"/>
      <c r="D9" s="4"/>
      <c r="E9" s="4"/>
      <c r="F9" s="4"/>
      <c r="G9" s="18"/>
      <c r="H9" s="18"/>
      <c r="I9" s="18"/>
      <c r="J9" s="36"/>
      <c r="L9" s="18"/>
      <c r="M9" s="18"/>
      <c r="R9" s="18"/>
      <c r="S9" s="16"/>
      <c r="T9" s="16"/>
      <c r="U9" s="16"/>
      <c r="V9" s="16"/>
      <c r="W9" s="16"/>
      <c r="X9" s="16"/>
      <c r="Y9" s="16"/>
      <c r="Z9" s="16"/>
      <c r="AA9" s="16"/>
      <c r="AB9" s="18"/>
      <c r="AC9" s="18"/>
    </row>
    <row r="10" spans="1:30" ht="18" customHeight="1">
      <c r="A10" s="37"/>
      <c r="B10" s="37"/>
      <c r="C10" s="37"/>
      <c r="D10" s="37"/>
      <c r="E10" s="37"/>
      <c r="F10" s="6"/>
      <c r="G10" s="6"/>
      <c r="H10" s="6"/>
      <c r="I10" s="6"/>
      <c r="J10" s="6"/>
      <c r="K10" s="6"/>
      <c r="L10" s="6"/>
      <c r="M10" s="6"/>
      <c r="N10" s="6"/>
      <c r="O10" s="6"/>
      <c r="P10" s="6"/>
      <c r="Q10" s="6"/>
      <c r="R10" s="6"/>
      <c r="S10" s="6"/>
      <c r="T10" s="6"/>
      <c r="U10" s="6"/>
      <c r="V10" s="6"/>
      <c r="W10" s="6"/>
      <c r="X10" s="6"/>
      <c r="Y10" s="18"/>
      <c r="Z10" s="18"/>
      <c r="AA10" s="18"/>
      <c r="AB10" s="18"/>
      <c r="AC10" s="18"/>
      <c r="AD10" s="18"/>
    </row>
    <row r="11" spans="1:30" ht="38.25">
      <c r="A11" s="14" t="s">
        <v>15</v>
      </c>
      <c r="B11" s="62" t="s">
        <v>16</v>
      </c>
      <c r="C11" s="62" t="s">
        <v>17</v>
      </c>
      <c r="D11" s="63" t="s">
        <v>18</v>
      </c>
      <c r="E11" s="63" t="s">
        <v>19</v>
      </c>
      <c r="F11" s="15" t="s">
        <v>20</v>
      </c>
      <c r="G11" s="15" t="s">
        <v>21</v>
      </c>
      <c r="H11" s="15" t="s">
        <v>22</v>
      </c>
      <c r="I11" s="15" t="s">
        <v>23</v>
      </c>
      <c r="J11" s="15" t="s">
        <v>24</v>
      </c>
      <c r="K11" s="15" t="s">
        <v>25</v>
      </c>
      <c r="L11" s="18"/>
      <c r="M11" s="6"/>
      <c r="N11" s="16"/>
      <c r="O11" s="16"/>
      <c r="P11" s="16"/>
      <c r="Q11" s="16"/>
      <c r="R11" s="16"/>
      <c r="S11" s="16"/>
      <c r="T11" s="16"/>
      <c r="U11" s="16"/>
      <c r="V11" s="16"/>
      <c r="W11" s="16"/>
      <c r="X11" s="16"/>
      <c r="Y11" s="16"/>
      <c r="Z11" s="16"/>
      <c r="AA11" s="16"/>
      <c r="AB11" s="16"/>
      <c r="AC11" s="16"/>
    </row>
    <row r="12" spans="1:30" ht="15" customHeight="1">
      <c r="A12" s="49" t="s">
        <v>1677</v>
      </c>
      <c r="B12" s="38">
        <f>SUMIF('4-Basis ruimtestaat'!B:B,'2-Kosten per locatie'!A12,'4-Basis ruimtestaat'!L:L)</f>
        <v>5922.7400000000025</v>
      </c>
      <c r="C12" s="39">
        <v>1</v>
      </c>
      <c r="D12" s="40">
        <f>_xlfn.MAXIFS('4-Basis ruimtestaat'!N:N,'4-Basis ruimtestaat'!B:B,'2-Kosten per locatie'!A12)</f>
        <v>190</v>
      </c>
      <c r="E12" s="40">
        <f>_xlfn.MAXIFS('4-Basis ruimtestaat'!O:O,'4-Basis ruimtestaat'!B:B,'2-Kosten per locatie'!A12)</f>
        <v>0</v>
      </c>
      <c r="F12" s="10" t="e">
        <f>SUMIF('4-Basis ruimtestaat'!B:B,'2-Kosten per locatie'!A12,'4-Basis ruimtestaat'!P:P)</f>
        <v>#DIV/0!</v>
      </c>
      <c r="G12" s="10">
        <f>SUMIF('4-Basis ruimtestaat'!B:B,'2-Kosten per locatie'!A12,'4-Basis ruimtestaat'!Q:Q)</f>
        <v>0</v>
      </c>
      <c r="H12" s="10" t="e">
        <f t="shared" ref="H12:H17" si="0">IF(F12&lt;(D12*$E$2),D12*$E$2-F12,0)</f>
        <v>#DIV/0!</v>
      </c>
      <c r="I12" s="10">
        <f t="shared" ref="I12:I17" si="1">IF(G12&lt;(E12*$E$2),E12*$E$2-G12,0)</f>
        <v>0</v>
      </c>
      <c r="J12" s="10" t="e">
        <f t="shared" ref="J12:J17" si="2">F12*$E$5</f>
        <v>#DIV/0!</v>
      </c>
      <c r="K12" s="10">
        <f t="shared" ref="K12:K17" si="3">G12*$E$5</f>
        <v>0</v>
      </c>
      <c r="L12" s="18"/>
      <c r="M12" s="6"/>
      <c r="N12" s="16"/>
      <c r="O12" s="16"/>
      <c r="P12" s="16"/>
      <c r="Q12" s="16"/>
      <c r="R12" s="16"/>
      <c r="S12" s="16"/>
      <c r="T12" s="16"/>
      <c r="U12" s="16"/>
      <c r="V12" s="16"/>
      <c r="W12" s="16"/>
      <c r="X12" s="16"/>
      <c r="Y12" s="16"/>
      <c r="Z12" s="16"/>
      <c r="AA12" s="16"/>
      <c r="AB12" s="16"/>
      <c r="AC12" s="16"/>
    </row>
    <row r="13" spans="1:30" ht="15" customHeight="1">
      <c r="A13" s="49" t="s">
        <v>1676</v>
      </c>
      <c r="B13" s="38">
        <f>SUMIF('4-Basis ruimtestaat'!B:B,'2-Kosten per locatie'!A13,'4-Basis ruimtestaat'!L:L)</f>
        <v>4710.7999999999975</v>
      </c>
      <c r="C13" s="39">
        <v>1</v>
      </c>
      <c r="D13" s="40">
        <f>_xlfn.MAXIFS('4-Basis ruimtestaat'!N:N,'4-Basis ruimtestaat'!B:B,'2-Kosten per locatie'!A13)</f>
        <v>190</v>
      </c>
      <c r="E13" s="40">
        <f>_xlfn.MAXIFS('4-Basis ruimtestaat'!O:O,'4-Basis ruimtestaat'!B:B,'2-Kosten per locatie'!A13)</f>
        <v>0</v>
      </c>
      <c r="F13" s="10" t="e">
        <f>SUMIF('4-Basis ruimtestaat'!B:B,'2-Kosten per locatie'!A13,'4-Basis ruimtestaat'!P:P)</f>
        <v>#DIV/0!</v>
      </c>
      <c r="G13" s="10">
        <f>SUMIF('4-Basis ruimtestaat'!B:B,'2-Kosten per locatie'!A13,'4-Basis ruimtestaat'!Q:Q)</f>
        <v>0</v>
      </c>
      <c r="H13" s="10" t="e">
        <f t="shared" si="0"/>
        <v>#DIV/0!</v>
      </c>
      <c r="I13" s="10">
        <f t="shared" si="1"/>
        <v>0</v>
      </c>
      <c r="J13" s="10" t="e">
        <f t="shared" si="2"/>
        <v>#DIV/0!</v>
      </c>
      <c r="K13" s="10">
        <f t="shared" si="3"/>
        <v>0</v>
      </c>
      <c r="L13" s="18"/>
      <c r="M13" s="6"/>
      <c r="N13" s="16"/>
      <c r="O13" s="16"/>
      <c r="P13" s="16"/>
      <c r="Q13" s="16"/>
      <c r="R13" s="16"/>
      <c r="S13" s="16"/>
      <c r="T13" s="16"/>
      <c r="U13" s="16"/>
      <c r="V13" s="16"/>
      <c r="W13" s="16"/>
      <c r="X13" s="16"/>
      <c r="Y13" s="16"/>
      <c r="Z13" s="16"/>
      <c r="AA13" s="16"/>
      <c r="AB13" s="16"/>
      <c r="AC13" s="16"/>
    </row>
    <row r="14" spans="1:30" ht="15" customHeight="1">
      <c r="A14" s="49" t="s">
        <v>1678</v>
      </c>
      <c r="B14" s="38">
        <f>SUMIF('4-Basis ruimtestaat'!B:B,'2-Kosten per locatie'!A14,'4-Basis ruimtestaat'!L:L)</f>
        <v>6757.2000000000007</v>
      </c>
      <c r="C14" s="39">
        <v>1</v>
      </c>
      <c r="D14" s="40">
        <f>_xlfn.MAXIFS('4-Basis ruimtestaat'!N:N,'4-Basis ruimtestaat'!B:B,'2-Kosten per locatie'!A14)</f>
        <v>190</v>
      </c>
      <c r="E14" s="40">
        <f>_xlfn.MAXIFS('4-Basis ruimtestaat'!O:O,'4-Basis ruimtestaat'!B:B,'2-Kosten per locatie'!A14)</f>
        <v>0</v>
      </c>
      <c r="F14" s="10" t="e">
        <f>SUMIF('4-Basis ruimtestaat'!B:B,'2-Kosten per locatie'!A14,'4-Basis ruimtestaat'!P:P)</f>
        <v>#DIV/0!</v>
      </c>
      <c r="G14" s="10">
        <f>SUMIF('4-Basis ruimtestaat'!B:B,'2-Kosten per locatie'!A14,'4-Basis ruimtestaat'!Q:Q)</f>
        <v>0</v>
      </c>
      <c r="H14" s="10" t="e">
        <f t="shared" si="0"/>
        <v>#DIV/0!</v>
      </c>
      <c r="I14" s="10">
        <f t="shared" si="1"/>
        <v>0</v>
      </c>
      <c r="J14" s="10" t="e">
        <f t="shared" si="2"/>
        <v>#DIV/0!</v>
      </c>
      <c r="K14" s="10">
        <f t="shared" si="3"/>
        <v>0</v>
      </c>
      <c r="L14" s="18"/>
      <c r="M14" s="6"/>
      <c r="N14" s="16"/>
      <c r="O14" s="16"/>
      <c r="P14" s="16"/>
      <c r="Q14" s="16"/>
      <c r="R14" s="16"/>
      <c r="S14" s="16"/>
      <c r="T14" s="16"/>
      <c r="U14" s="16"/>
      <c r="V14" s="16"/>
      <c r="W14" s="16"/>
      <c r="X14" s="16"/>
      <c r="Y14" s="16"/>
      <c r="Z14" s="16"/>
      <c r="AA14" s="16"/>
      <c r="AB14" s="16"/>
      <c r="AC14" s="16"/>
    </row>
    <row r="15" spans="1:30" ht="15" customHeight="1">
      <c r="A15" s="49" t="s">
        <v>1679</v>
      </c>
      <c r="B15" s="38">
        <f>SUMIF('4-Basis ruimtestaat'!B:B,'2-Kosten per locatie'!A15,'4-Basis ruimtestaat'!L:L)</f>
        <v>1880.8200000000011</v>
      </c>
      <c r="C15" s="39">
        <v>1</v>
      </c>
      <c r="D15" s="40">
        <f>_xlfn.MAXIFS('4-Basis ruimtestaat'!N:N,'4-Basis ruimtestaat'!B:B,'2-Kosten per locatie'!A15)</f>
        <v>190</v>
      </c>
      <c r="E15" s="40">
        <f>_xlfn.MAXIFS('4-Basis ruimtestaat'!O:O,'4-Basis ruimtestaat'!B:B,'2-Kosten per locatie'!A15)</f>
        <v>0</v>
      </c>
      <c r="F15" s="10" t="e">
        <f>SUMIF('4-Basis ruimtestaat'!B:B,'2-Kosten per locatie'!A15,'4-Basis ruimtestaat'!P:P)</f>
        <v>#DIV/0!</v>
      </c>
      <c r="G15" s="10">
        <f>SUMIF('4-Basis ruimtestaat'!B:B,'2-Kosten per locatie'!A15,'4-Basis ruimtestaat'!Q:Q)</f>
        <v>0</v>
      </c>
      <c r="H15" s="10" t="e">
        <f t="shared" si="0"/>
        <v>#DIV/0!</v>
      </c>
      <c r="I15" s="10">
        <f t="shared" si="1"/>
        <v>0</v>
      </c>
      <c r="J15" s="10" t="e">
        <f t="shared" si="2"/>
        <v>#DIV/0!</v>
      </c>
      <c r="K15" s="10">
        <f t="shared" si="3"/>
        <v>0</v>
      </c>
      <c r="L15" s="18"/>
      <c r="M15" s="6"/>
      <c r="N15" s="16"/>
      <c r="O15" s="16"/>
      <c r="P15" s="16"/>
      <c r="Q15" s="16"/>
      <c r="R15" s="16"/>
      <c r="S15" s="16"/>
      <c r="T15" s="16"/>
      <c r="U15" s="16"/>
      <c r="V15" s="16"/>
      <c r="W15" s="16"/>
      <c r="X15" s="16"/>
      <c r="Y15" s="16"/>
      <c r="Z15" s="16"/>
      <c r="AA15" s="16"/>
      <c r="AB15" s="16"/>
      <c r="AC15" s="16"/>
    </row>
    <row r="16" spans="1:30" ht="15" customHeight="1">
      <c r="A16" s="49" t="s">
        <v>1680</v>
      </c>
      <c r="B16" s="38">
        <f>SUMIF('4-Basis ruimtestaat'!B:B,'2-Kosten per locatie'!A16,'4-Basis ruimtestaat'!L:L)</f>
        <v>7904.9900000000052</v>
      </c>
      <c r="C16" s="39">
        <v>1</v>
      </c>
      <c r="D16" s="40">
        <f>_xlfn.MAXIFS('4-Basis ruimtestaat'!N:N,'4-Basis ruimtestaat'!B:B,'2-Kosten per locatie'!A16)</f>
        <v>190</v>
      </c>
      <c r="E16" s="40">
        <f>_xlfn.MAXIFS('4-Basis ruimtestaat'!O:O,'4-Basis ruimtestaat'!B:B,'2-Kosten per locatie'!A16)</f>
        <v>190</v>
      </c>
      <c r="F16" s="10" t="e">
        <f>SUMIF('4-Basis ruimtestaat'!B:B,'2-Kosten per locatie'!A16,'4-Basis ruimtestaat'!P:P)</f>
        <v>#DIV/0!</v>
      </c>
      <c r="G16" s="10" t="e">
        <f>SUMIF('4-Basis ruimtestaat'!B:B,'2-Kosten per locatie'!A16,'4-Basis ruimtestaat'!Q:Q)</f>
        <v>#DIV/0!</v>
      </c>
      <c r="H16" s="10" t="e">
        <f t="shared" si="0"/>
        <v>#DIV/0!</v>
      </c>
      <c r="I16" s="10" t="e">
        <f t="shared" si="1"/>
        <v>#DIV/0!</v>
      </c>
      <c r="J16" s="10" t="e">
        <f t="shared" si="2"/>
        <v>#DIV/0!</v>
      </c>
      <c r="K16" s="10" t="e">
        <f t="shared" si="3"/>
        <v>#DIV/0!</v>
      </c>
      <c r="L16" s="18"/>
      <c r="M16" s="6"/>
      <c r="N16" s="16"/>
      <c r="O16" s="16"/>
      <c r="P16" s="16"/>
      <c r="Q16" s="16"/>
      <c r="R16" s="16"/>
      <c r="S16" s="16"/>
      <c r="T16" s="16"/>
      <c r="U16" s="16"/>
      <c r="V16" s="16"/>
      <c r="W16" s="16"/>
      <c r="X16" s="16"/>
      <c r="Y16" s="16"/>
      <c r="Z16" s="16"/>
      <c r="AA16" s="16"/>
      <c r="AB16" s="16"/>
      <c r="AC16" s="16"/>
    </row>
    <row r="17" spans="1:29" ht="15" customHeight="1">
      <c r="A17" s="49" t="s">
        <v>1681</v>
      </c>
      <c r="B17" s="38">
        <f>SUMIF('4-Basis ruimtestaat'!B:B,'2-Kosten per locatie'!A17,'4-Basis ruimtestaat'!L:L)</f>
        <v>4259.6000000000004</v>
      </c>
      <c r="C17" s="39">
        <v>1</v>
      </c>
      <c r="D17" s="40">
        <f>_xlfn.MAXIFS('4-Basis ruimtestaat'!N:N,'4-Basis ruimtestaat'!B:B,'2-Kosten per locatie'!A17)</f>
        <v>190</v>
      </c>
      <c r="E17" s="40">
        <f>_xlfn.MAXIFS('4-Basis ruimtestaat'!O:O,'4-Basis ruimtestaat'!B:B,'2-Kosten per locatie'!A17)</f>
        <v>0</v>
      </c>
      <c r="F17" s="10" t="e">
        <f>SUMIF('4-Basis ruimtestaat'!B:B,'2-Kosten per locatie'!A17,'4-Basis ruimtestaat'!P:P)</f>
        <v>#DIV/0!</v>
      </c>
      <c r="G17" s="10">
        <f>SUMIF('4-Basis ruimtestaat'!B:B,'2-Kosten per locatie'!A17,'4-Basis ruimtestaat'!Q:Q)</f>
        <v>0</v>
      </c>
      <c r="H17" s="10" t="e">
        <f t="shared" si="0"/>
        <v>#DIV/0!</v>
      </c>
      <c r="I17" s="10">
        <f t="shared" si="1"/>
        <v>0</v>
      </c>
      <c r="J17" s="10" t="e">
        <f t="shared" si="2"/>
        <v>#DIV/0!</v>
      </c>
      <c r="K17" s="10">
        <f t="shared" si="3"/>
        <v>0</v>
      </c>
      <c r="L17" s="18"/>
      <c r="M17" s="6"/>
      <c r="N17" s="16"/>
      <c r="O17" s="16"/>
      <c r="P17" s="16"/>
      <c r="Q17" s="16"/>
      <c r="R17" s="16"/>
      <c r="S17" s="16"/>
      <c r="T17" s="16"/>
      <c r="U17" s="16"/>
      <c r="V17" s="16"/>
      <c r="W17" s="16"/>
      <c r="X17" s="16"/>
      <c r="Y17" s="16"/>
      <c r="Z17" s="16"/>
      <c r="AA17" s="16"/>
      <c r="AB17" s="16"/>
      <c r="AC17" s="16"/>
    </row>
    <row r="18" spans="1:29" s="44" customFormat="1" ht="15" customHeight="1">
      <c r="A18" s="11" t="s">
        <v>26</v>
      </c>
      <c r="B18" s="41">
        <f>SUM(B12:B17)</f>
        <v>31436.150000000009</v>
      </c>
      <c r="C18" s="42"/>
      <c r="D18" s="43"/>
      <c r="E18" s="43"/>
      <c r="F18" s="12" t="e">
        <f t="shared" ref="F18:K18" si="4">SUM(F12:F17)</f>
        <v>#DIV/0!</v>
      </c>
      <c r="G18" s="12" t="e">
        <f t="shared" si="4"/>
        <v>#DIV/0!</v>
      </c>
      <c r="H18" s="12" t="e">
        <f t="shared" si="4"/>
        <v>#DIV/0!</v>
      </c>
      <c r="I18" s="12" t="e">
        <f t="shared" si="4"/>
        <v>#DIV/0!</v>
      </c>
      <c r="J18" s="12" t="e">
        <f t="shared" si="4"/>
        <v>#DIV/0!</v>
      </c>
      <c r="K18" s="12" t="e">
        <f t="shared" si="4"/>
        <v>#DIV/0!</v>
      </c>
      <c r="L18" s="18"/>
    </row>
    <row r="19" spans="1:29" s="45" customFormat="1" ht="13.9" customHeight="1">
      <c r="Z19" s="16"/>
    </row>
    <row r="20" spans="1:29" ht="87.4" customHeight="1">
      <c r="A20" s="64" t="s">
        <v>15</v>
      </c>
      <c r="B20" s="65" t="s">
        <v>1648</v>
      </c>
      <c r="C20" s="65" t="s">
        <v>1649</v>
      </c>
      <c r="D20" s="65" t="s">
        <v>27</v>
      </c>
      <c r="E20" s="65" t="s">
        <v>28</v>
      </c>
      <c r="F20" s="65" t="s">
        <v>29</v>
      </c>
      <c r="G20" s="15" t="s">
        <v>30</v>
      </c>
      <c r="H20" s="65" t="s">
        <v>31</v>
      </c>
      <c r="I20" s="65" t="s">
        <v>32</v>
      </c>
      <c r="J20" s="65" t="s">
        <v>1593</v>
      </c>
      <c r="K20" s="65" t="s">
        <v>1592</v>
      </c>
      <c r="L20" s="65" t="s">
        <v>1615</v>
      </c>
      <c r="M20" s="65" t="s">
        <v>33</v>
      </c>
      <c r="N20" s="65" t="s">
        <v>34</v>
      </c>
      <c r="O20"/>
      <c r="P20" s="65" t="s">
        <v>1682</v>
      </c>
      <c r="Q20" s="45"/>
      <c r="W20" s="45"/>
      <c r="X20" s="16"/>
      <c r="Y20" s="16"/>
      <c r="Z20" s="16"/>
      <c r="AA20" s="16"/>
      <c r="AB20" s="16"/>
      <c r="AC20" s="16"/>
    </row>
    <row r="21" spans="1:29" ht="15" customHeight="1">
      <c r="A21" s="49" t="s">
        <v>1677</v>
      </c>
      <c r="B21" s="46" t="e">
        <f>(F12+H12)*'6-Opbouw uurtarief productie'!$E$45</f>
        <v>#DIV/0!</v>
      </c>
      <c r="C21" s="46" t="e">
        <f>(G12+I12)*'6-Opbouw uurtarief productie'!$E$45</f>
        <v>#DIV/0!</v>
      </c>
      <c r="D21" s="47" t="e">
        <f t="shared" ref="D21:D26" si="5">SUM(B21:C21)</f>
        <v>#DIV/0!</v>
      </c>
      <c r="E21" s="47" t="e">
        <f>J12*'7-Opbouw uurtarief toezicht'!$E$45</f>
        <v>#DIV/0!</v>
      </c>
      <c r="F21" s="47" t="e">
        <f>K12*'7-Opbouw uurtarief toezicht'!$E$45</f>
        <v>#DIV/0!</v>
      </c>
      <c r="G21" s="48" t="e">
        <f t="shared" ref="G21:G26" si="6">SUM(E21:F21)</f>
        <v>#DIV/0!</v>
      </c>
      <c r="H21" s="47">
        <f>SUMIF('8-Additionele kosten'!A:A,'2-Kosten per locatie'!A21,'8-Additionele kosten'!H:H)</f>
        <v>0</v>
      </c>
      <c r="I21" s="47">
        <f>SUMIF('10-Glasbewassing'!A:A,'2-Kosten per locatie'!A21,'10-Glasbewassing'!I:I)</f>
        <v>0</v>
      </c>
      <c r="J21" s="47">
        <f>SUMIF('11-Sanitair'!A:A,'2-Kosten per locatie'!A21,'11-Sanitair'!C:C)+(SUMIF('11-Sanitair'!$A$25:$A$30,'2-Kosten per locatie'!A21,'11-Sanitair'!$J$25:$J$30))</f>
        <v>0</v>
      </c>
      <c r="K21" s="47">
        <f>SUMIF('12-Vloeronderhoud'!A26:A36,'2-Kosten per locatie'!A:A,'12-Vloeronderhoud'!R26:R36)*0.5</f>
        <v>0</v>
      </c>
      <c r="L21" s="47">
        <f>SUMIF('12-Vloeronderhoud'!$A$11:$A$16,'2-Kosten per locatie'!A:A,'12-Vloeronderhoud'!$R$11:$R$16)*0.5</f>
        <v>0</v>
      </c>
      <c r="M21" s="47" t="e">
        <f>D21+G21++H21+I21+J21+K21+L21</f>
        <v>#DIV/0!</v>
      </c>
      <c r="N21" s="47" t="e">
        <f t="shared" ref="N21:N23" si="7">M21/12</f>
        <v>#DIV/0!</v>
      </c>
      <c r="O21"/>
      <c r="P21" s="55">
        <v>152000</v>
      </c>
      <c r="Q21" s="45"/>
      <c r="W21" s="45"/>
      <c r="X21" s="16"/>
      <c r="Y21" s="16"/>
      <c r="Z21" s="16"/>
      <c r="AA21" s="16"/>
      <c r="AB21" s="16"/>
      <c r="AC21" s="16"/>
    </row>
    <row r="22" spans="1:29" ht="15" customHeight="1">
      <c r="A22" s="49" t="s">
        <v>1676</v>
      </c>
      <c r="B22" s="46" t="e">
        <f>(F13+H13)*'6-Opbouw uurtarief productie'!$E$45</f>
        <v>#DIV/0!</v>
      </c>
      <c r="C22" s="46" t="e">
        <f>(G13+I13)*'6-Opbouw uurtarief productie'!$E$45</f>
        <v>#DIV/0!</v>
      </c>
      <c r="D22" s="47" t="e">
        <f t="shared" si="5"/>
        <v>#DIV/0!</v>
      </c>
      <c r="E22" s="47" t="e">
        <f>J13*'7-Opbouw uurtarief toezicht'!$E$45</f>
        <v>#DIV/0!</v>
      </c>
      <c r="F22" s="47" t="e">
        <f>K13*'7-Opbouw uurtarief toezicht'!$E$45</f>
        <v>#DIV/0!</v>
      </c>
      <c r="G22" s="48" t="e">
        <f t="shared" si="6"/>
        <v>#DIV/0!</v>
      </c>
      <c r="H22" s="47">
        <f>SUMIF('8-Additionele kosten'!A:A,'2-Kosten per locatie'!A22,'8-Additionele kosten'!H:H)</f>
        <v>0</v>
      </c>
      <c r="I22" s="47">
        <f>SUMIF('10-Glasbewassing'!A:A,'2-Kosten per locatie'!A22,'10-Glasbewassing'!I:I)</f>
        <v>0</v>
      </c>
      <c r="J22" s="47">
        <f>SUMIF('11-Sanitair'!A:A,'2-Kosten per locatie'!A22,'11-Sanitair'!C:C)+(SUMIF('11-Sanitair'!$A$25:$A$30,'2-Kosten per locatie'!A22,'11-Sanitair'!$J$25:$J$30))</f>
        <v>0</v>
      </c>
      <c r="K22" s="47">
        <f>SUMIF('12-Vloeronderhoud'!A27:A37,'2-Kosten per locatie'!A:A,'12-Vloeronderhoud'!R27:R37)*0.5</f>
        <v>0</v>
      </c>
      <c r="L22" s="47">
        <f>SUMIF('12-Vloeronderhoud'!$A$11:$A$16,'2-Kosten per locatie'!A:A,'12-Vloeronderhoud'!$R$11:$R$16)*0.5</f>
        <v>0</v>
      </c>
      <c r="M22" s="47" t="e">
        <f t="shared" ref="M22:M26" si="8">D22+G22++H22+I22+J22+K22+L22</f>
        <v>#DIV/0!</v>
      </c>
      <c r="N22" s="47" t="e">
        <f t="shared" si="7"/>
        <v>#DIV/0!</v>
      </c>
      <c r="O22"/>
      <c r="P22" s="55">
        <v>88000</v>
      </c>
      <c r="Q22" s="45"/>
      <c r="W22" s="45"/>
      <c r="X22" s="16"/>
      <c r="Y22" s="16"/>
      <c r="Z22" s="16"/>
      <c r="AA22" s="16"/>
      <c r="AB22" s="16"/>
      <c r="AC22" s="16"/>
    </row>
    <row r="23" spans="1:29" ht="15" customHeight="1">
      <c r="A23" s="49" t="s">
        <v>1678</v>
      </c>
      <c r="B23" s="46" t="e">
        <f>(F14+H14)*'6-Opbouw uurtarief productie'!$E$45</f>
        <v>#DIV/0!</v>
      </c>
      <c r="C23" s="46" t="e">
        <f>(G14+I14)*'6-Opbouw uurtarief productie'!$E$45</f>
        <v>#DIV/0!</v>
      </c>
      <c r="D23" s="47" t="e">
        <f t="shared" si="5"/>
        <v>#DIV/0!</v>
      </c>
      <c r="E23" s="47" t="e">
        <f>J14*'7-Opbouw uurtarief toezicht'!$E$45</f>
        <v>#DIV/0!</v>
      </c>
      <c r="F23" s="47" t="e">
        <f>K14*'7-Opbouw uurtarief toezicht'!$E$45</f>
        <v>#DIV/0!</v>
      </c>
      <c r="G23" s="48" t="e">
        <f>SUM(E23:F23)</f>
        <v>#DIV/0!</v>
      </c>
      <c r="H23" s="47">
        <f>SUMIF('8-Additionele kosten'!A:A,'2-Kosten per locatie'!A23,'8-Additionele kosten'!H:H)</f>
        <v>0</v>
      </c>
      <c r="I23" s="47">
        <f>SUMIF('10-Glasbewassing'!A:A,'2-Kosten per locatie'!A23,'10-Glasbewassing'!I:I)</f>
        <v>0</v>
      </c>
      <c r="J23" s="47">
        <f>SUMIF('11-Sanitair'!A:A,'2-Kosten per locatie'!A23,'11-Sanitair'!C:C)+(SUMIF('11-Sanitair'!$A$25:$A$30,'2-Kosten per locatie'!A23,'11-Sanitair'!$J$25:$J$30))</f>
        <v>0</v>
      </c>
      <c r="K23" s="47">
        <f>SUMIF('12-Vloeronderhoud'!A28:A38,'2-Kosten per locatie'!A:A,'12-Vloeronderhoud'!R28:R38)*0.5</f>
        <v>0</v>
      </c>
      <c r="L23" s="47">
        <f>SUMIF('12-Vloeronderhoud'!$A$11:$A$16,'2-Kosten per locatie'!A:A,'12-Vloeronderhoud'!$R$11:$R$16)*0.5</f>
        <v>0</v>
      </c>
      <c r="M23" s="47" t="e">
        <f t="shared" si="8"/>
        <v>#DIV/0!</v>
      </c>
      <c r="N23" s="47" t="e">
        <f t="shared" si="7"/>
        <v>#DIV/0!</v>
      </c>
      <c r="O23"/>
      <c r="P23" s="55">
        <v>110000</v>
      </c>
      <c r="Q23" s="45"/>
      <c r="W23" s="45"/>
      <c r="X23" s="16"/>
      <c r="Y23" s="16"/>
      <c r="Z23" s="16"/>
      <c r="AA23" s="16"/>
      <c r="AB23" s="16"/>
      <c r="AC23" s="16"/>
    </row>
    <row r="24" spans="1:29" s="45" customFormat="1" ht="15" customHeight="1">
      <c r="A24" s="49" t="s">
        <v>1679</v>
      </c>
      <c r="B24" s="46" t="e">
        <f>(F15+H15)*'6-Opbouw uurtarief productie'!$E$45</f>
        <v>#DIV/0!</v>
      </c>
      <c r="C24" s="46" t="e">
        <f>(G15+I15)*'6-Opbouw uurtarief productie'!$E$45</f>
        <v>#DIV/0!</v>
      </c>
      <c r="D24" s="47" t="e">
        <f t="shared" si="5"/>
        <v>#DIV/0!</v>
      </c>
      <c r="E24" s="47" t="e">
        <f>J15*'7-Opbouw uurtarief toezicht'!$E$45</f>
        <v>#DIV/0!</v>
      </c>
      <c r="F24" s="47" t="e">
        <f>K15*'7-Opbouw uurtarief toezicht'!$E$45</f>
        <v>#DIV/0!</v>
      </c>
      <c r="G24" s="48" t="e">
        <f t="shared" si="6"/>
        <v>#DIV/0!</v>
      </c>
      <c r="H24" s="47">
        <f>SUMIF('8-Additionele kosten'!A:A,'2-Kosten per locatie'!A24,'8-Additionele kosten'!H:H)</f>
        <v>0</v>
      </c>
      <c r="I24" s="47">
        <f>SUMIF('10-Glasbewassing'!A:A,'2-Kosten per locatie'!A24,'10-Glasbewassing'!I:I)</f>
        <v>0</v>
      </c>
      <c r="J24" s="47">
        <f>SUMIF('11-Sanitair'!A:A,'2-Kosten per locatie'!A24,'11-Sanitair'!C:C)+(SUMIF('11-Sanitair'!$A$25:$A$30,'2-Kosten per locatie'!A24,'11-Sanitair'!$J$25:$J$30))</f>
        <v>0</v>
      </c>
      <c r="K24" s="47">
        <f>SUMIF('12-Vloeronderhoud'!A29:A39,'2-Kosten per locatie'!A:A,'12-Vloeronderhoud'!R29:R39)*0.5</f>
        <v>0</v>
      </c>
      <c r="L24" s="47">
        <f>SUMIF('12-Vloeronderhoud'!$A$11:$A$16,'2-Kosten per locatie'!A:A,'12-Vloeronderhoud'!$R$11:$R$16)*0.5</f>
        <v>0</v>
      </c>
      <c r="M24" s="47" t="e">
        <f t="shared" si="8"/>
        <v>#DIV/0!</v>
      </c>
      <c r="N24" s="47" t="e">
        <f>M24/12</f>
        <v>#DIV/0!</v>
      </c>
      <c r="O24"/>
      <c r="P24" s="55">
        <v>45000</v>
      </c>
    </row>
    <row r="25" spans="1:29" ht="15" customHeight="1">
      <c r="A25" s="49" t="s">
        <v>1680</v>
      </c>
      <c r="B25" s="46" t="e">
        <f>(F16+H16)*'6-Opbouw uurtarief productie'!$E$45</f>
        <v>#DIV/0!</v>
      </c>
      <c r="C25" s="46" t="e">
        <f>(G16+I16)*'6-Opbouw uurtarief productie'!$E$45</f>
        <v>#DIV/0!</v>
      </c>
      <c r="D25" s="47" t="e">
        <f t="shared" si="5"/>
        <v>#DIV/0!</v>
      </c>
      <c r="E25" s="47" t="e">
        <f>J16*'7-Opbouw uurtarief toezicht'!$E$45</f>
        <v>#DIV/0!</v>
      </c>
      <c r="F25" s="47" t="e">
        <f>K16*'7-Opbouw uurtarief toezicht'!$E$45</f>
        <v>#DIV/0!</v>
      </c>
      <c r="G25" s="48" t="e">
        <f t="shared" si="6"/>
        <v>#DIV/0!</v>
      </c>
      <c r="H25" s="47">
        <f>SUMIF('8-Additionele kosten'!A:A,'2-Kosten per locatie'!A25,'8-Additionele kosten'!H:H)</f>
        <v>0</v>
      </c>
      <c r="I25" s="47">
        <f>SUMIF('10-Glasbewassing'!A:A,'2-Kosten per locatie'!A25,'10-Glasbewassing'!I:I)</f>
        <v>0</v>
      </c>
      <c r="J25" s="47">
        <f>SUMIF('11-Sanitair'!A:A,'2-Kosten per locatie'!A25,'11-Sanitair'!C:C)+(SUMIF('11-Sanitair'!$A$25:$A$30,'2-Kosten per locatie'!A25,'11-Sanitair'!$J$25:$J$30))</f>
        <v>0</v>
      </c>
      <c r="K25" s="47">
        <f>SUMIF('12-Vloeronderhoud'!A30:A40,'2-Kosten per locatie'!A:A,'12-Vloeronderhoud'!R30:R40)*0.5</f>
        <v>0</v>
      </c>
      <c r="L25" s="47">
        <f>SUMIF('12-Vloeronderhoud'!$A$11:$A$16,'2-Kosten per locatie'!A:A,'12-Vloeronderhoud'!$R$11:$R$16)*0.5</f>
        <v>0</v>
      </c>
      <c r="M25" s="47" t="e">
        <f t="shared" si="8"/>
        <v>#DIV/0!</v>
      </c>
      <c r="N25" s="47" t="e">
        <f t="shared" ref="N25:N26" si="9">M25/12</f>
        <v>#DIV/0!</v>
      </c>
      <c r="O25"/>
      <c r="P25" s="55">
        <v>164500</v>
      </c>
      <c r="Q25" s="45"/>
      <c r="W25" s="45"/>
      <c r="X25" s="16"/>
      <c r="Y25" s="16"/>
      <c r="Z25" s="16"/>
      <c r="AA25" s="16"/>
      <c r="AB25" s="16"/>
      <c r="AC25" s="16"/>
    </row>
    <row r="26" spans="1:29" ht="15" customHeight="1">
      <c r="A26" s="49" t="s">
        <v>1681</v>
      </c>
      <c r="B26" s="46" t="e">
        <f>(F17+H17)*'6-Opbouw uurtarief productie'!$E$45</f>
        <v>#DIV/0!</v>
      </c>
      <c r="C26" s="46" t="e">
        <f>(G17+I17)*'6-Opbouw uurtarief productie'!$E$45</f>
        <v>#DIV/0!</v>
      </c>
      <c r="D26" s="47" t="e">
        <f t="shared" si="5"/>
        <v>#DIV/0!</v>
      </c>
      <c r="E26" s="47" t="e">
        <f>J17*'7-Opbouw uurtarief toezicht'!$E$45</f>
        <v>#DIV/0!</v>
      </c>
      <c r="F26" s="47" t="e">
        <f>K17*'7-Opbouw uurtarief toezicht'!$E$45</f>
        <v>#DIV/0!</v>
      </c>
      <c r="G26" s="48" t="e">
        <f t="shared" si="6"/>
        <v>#DIV/0!</v>
      </c>
      <c r="H26" s="47">
        <f>SUMIF('8-Additionele kosten'!A:A,'2-Kosten per locatie'!A26,'8-Additionele kosten'!H:H)</f>
        <v>0</v>
      </c>
      <c r="I26" s="47">
        <f>SUMIF('10-Glasbewassing'!A:A,'2-Kosten per locatie'!A26,'10-Glasbewassing'!I:I)</f>
        <v>0</v>
      </c>
      <c r="J26" s="47">
        <f>SUMIF('11-Sanitair'!A:A,'2-Kosten per locatie'!A26,'11-Sanitair'!C:C)+(SUMIF('11-Sanitair'!$A$25:$A$30,'2-Kosten per locatie'!A26,'11-Sanitair'!$J$25:$J$30))</f>
        <v>0</v>
      </c>
      <c r="K26" s="47">
        <f>SUMIF('12-Vloeronderhoud'!A31:A41,'2-Kosten per locatie'!A:A,'12-Vloeronderhoud'!R31:R41)*0.5</f>
        <v>0</v>
      </c>
      <c r="L26" s="47">
        <f>SUMIF('12-Vloeronderhoud'!$A$11:$A$16,'2-Kosten per locatie'!A:A,'12-Vloeronderhoud'!$R$11:$R$16)*0.5</f>
        <v>0</v>
      </c>
      <c r="M26" s="47" t="e">
        <f t="shared" si="8"/>
        <v>#DIV/0!</v>
      </c>
      <c r="N26" s="47" t="e">
        <f t="shared" si="9"/>
        <v>#DIV/0!</v>
      </c>
      <c r="O26"/>
      <c r="P26" s="55">
        <v>86000</v>
      </c>
      <c r="Q26" s="45"/>
      <c r="W26" s="45"/>
      <c r="X26" s="16"/>
      <c r="Y26" s="16"/>
      <c r="Z26" s="16"/>
      <c r="AA26" s="16"/>
      <c r="AB26" s="16"/>
      <c r="AC26" s="16"/>
    </row>
    <row r="27" spans="1:29" ht="15" customHeight="1">
      <c r="A27" s="49" t="s">
        <v>1650</v>
      </c>
      <c r="B27" s="50" t="s">
        <v>231</v>
      </c>
      <c r="C27" s="50" t="s">
        <v>231</v>
      </c>
      <c r="D27" s="51" t="s">
        <v>231</v>
      </c>
      <c r="E27" s="51" t="s">
        <v>231</v>
      </c>
      <c r="F27" s="51" t="s">
        <v>231</v>
      </c>
      <c r="G27" s="52" t="s">
        <v>231</v>
      </c>
      <c r="H27" s="51" t="s">
        <v>231</v>
      </c>
      <c r="I27" s="51" t="s">
        <v>231</v>
      </c>
      <c r="J27" s="51" t="s">
        <v>231</v>
      </c>
      <c r="K27" s="51" t="s">
        <v>231</v>
      </c>
      <c r="L27" s="51" t="s">
        <v>231</v>
      </c>
      <c r="M27" s="525"/>
      <c r="N27" s="47">
        <f t="shared" ref="N27" si="10">M27/12</f>
        <v>0</v>
      </c>
      <c r="O27"/>
      <c r="P27" s="66"/>
      <c r="Q27" s="45"/>
      <c r="S27" s="45"/>
      <c r="T27" s="45"/>
      <c r="U27" s="45"/>
      <c r="V27" s="45"/>
      <c r="W27" s="45"/>
      <c r="X27" s="16"/>
      <c r="Y27" s="16"/>
      <c r="Z27" s="16"/>
      <c r="AA27" s="16"/>
      <c r="AB27" s="16"/>
      <c r="AC27" s="16"/>
    </row>
    <row r="28" spans="1:29" s="44" customFormat="1" ht="15" customHeight="1">
      <c r="A28" s="11" t="s">
        <v>26</v>
      </c>
      <c r="B28" s="53" t="e">
        <f t="shared" ref="B28:L28" si="11">SUM(B21:B26)</f>
        <v>#DIV/0!</v>
      </c>
      <c r="C28" s="53" t="e">
        <f t="shared" si="11"/>
        <v>#DIV/0!</v>
      </c>
      <c r="D28" s="53" t="e">
        <f t="shared" si="11"/>
        <v>#DIV/0!</v>
      </c>
      <c r="E28" s="53" t="e">
        <f t="shared" si="11"/>
        <v>#DIV/0!</v>
      </c>
      <c r="F28" s="53" t="e">
        <f t="shared" si="11"/>
        <v>#DIV/0!</v>
      </c>
      <c r="G28" s="53" t="e">
        <f t="shared" si="11"/>
        <v>#DIV/0!</v>
      </c>
      <c r="H28" s="53">
        <f t="shared" si="11"/>
        <v>0</v>
      </c>
      <c r="I28" s="53">
        <f t="shared" si="11"/>
        <v>0</v>
      </c>
      <c r="J28" s="54">
        <f t="shared" si="11"/>
        <v>0</v>
      </c>
      <c r="K28" s="53">
        <f t="shared" si="11"/>
        <v>0</v>
      </c>
      <c r="L28" s="53">
        <f t="shared" si="11"/>
        <v>0</v>
      </c>
      <c r="M28" s="55" t="e">
        <f>SUM(M21:M27)</f>
        <v>#DIV/0!</v>
      </c>
      <c r="N28" s="53" t="e">
        <f>SUM(N21:N27)</f>
        <v>#DIV/0!</v>
      </c>
      <c r="O28"/>
      <c r="P28" s="53">
        <f>SUM(P21:P27)</f>
        <v>645500</v>
      </c>
      <c r="Q28" s="45"/>
      <c r="R28" s="17"/>
      <c r="S28" s="45"/>
      <c r="T28" s="45"/>
      <c r="U28" s="45"/>
      <c r="V28" s="45"/>
      <c r="W28" s="45"/>
    </row>
    <row r="29" spans="1:29" ht="13.9" customHeight="1">
      <c r="Q29" s="45"/>
      <c r="Y29" s="45"/>
      <c r="Z29" s="45"/>
      <c r="AA29" s="45"/>
      <c r="AB29" s="45"/>
      <c r="AC29" s="45"/>
    </row>
    <row r="30" spans="1:29" ht="13.9" customHeight="1">
      <c r="B30"/>
      <c r="C30"/>
      <c r="D30"/>
      <c r="E30"/>
      <c r="F30"/>
      <c r="G30"/>
      <c r="H30"/>
      <c r="I30"/>
      <c r="J30"/>
      <c r="K30"/>
      <c r="L30"/>
      <c r="M30"/>
      <c r="Q30" s="45"/>
    </row>
    <row r="31" spans="1:29" ht="13.9" customHeight="1">
      <c r="B31"/>
      <c r="C31"/>
      <c r="D31"/>
      <c r="E31"/>
      <c r="F31"/>
      <c r="G31"/>
      <c r="H31"/>
      <c r="I31"/>
      <c r="J31"/>
      <c r="K31"/>
      <c r="L31"/>
      <c r="M31"/>
      <c r="Q31" s="45"/>
    </row>
    <row r="32" spans="1:29" ht="13.9" customHeight="1">
      <c r="B32"/>
      <c r="C32"/>
      <c r="D32"/>
      <c r="E32"/>
      <c r="F32"/>
      <c r="G32"/>
      <c r="H32"/>
      <c r="I32"/>
      <c r="J32"/>
      <c r="K32"/>
      <c r="L32"/>
      <c r="M32"/>
      <c r="Q32" s="45"/>
    </row>
    <row r="33" spans="4:25" ht="13.9" customHeight="1">
      <c r="D33" s="16"/>
      <c r="E33" s="16"/>
      <c r="F33" s="16"/>
      <c r="G33" s="16"/>
      <c r="H33" s="16"/>
      <c r="I33" s="16"/>
      <c r="J33" s="16"/>
      <c r="K33" s="16"/>
      <c r="L33" s="16"/>
      <c r="M33" s="16"/>
      <c r="N33" s="16"/>
      <c r="O33" s="16"/>
      <c r="P33" s="16"/>
      <c r="Q33" s="16"/>
      <c r="R33" s="16"/>
      <c r="S33" s="16"/>
      <c r="T33" s="16"/>
      <c r="U33" s="16"/>
      <c r="V33" s="16"/>
      <c r="W33" s="16"/>
      <c r="X33" s="16"/>
      <c r="Y33" s="16"/>
    </row>
  </sheetData>
  <printOptions horizontalCentered="1" gridLinesSet="0"/>
  <pageMargins left="0.19685039370078741" right="0.19685039370078741" top="0.59055118110236227" bottom="0.78740157480314965" header="0.39370078740157483" footer="0.19685039370078741"/>
  <pageSetup paperSize="9" scale="34"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AB56"/>
  <sheetViews>
    <sheetView showGridLines="0" zoomScale="80" zoomScaleNormal="80" workbookViewId="0">
      <pane ySplit="9" topLeftCell="A10" activePane="bottomLeft" state="frozen"/>
      <selection activeCell="A5" sqref="A5"/>
      <selection pane="bottomLeft" activeCell="A10" sqref="A10"/>
    </sheetView>
  </sheetViews>
  <sheetFormatPr defaultColWidth="9.28515625" defaultRowHeight="12.75"/>
  <cols>
    <col min="1" max="1" width="51.7109375" style="6" customWidth="1"/>
    <col min="2" max="2" width="9.28515625" style="6" customWidth="1"/>
    <col min="3" max="5" width="9.28515625" style="6"/>
    <col min="6" max="9" width="9" style="6" customWidth="1"/>
    <col min="10" max="10" width="9" style="67" customWidth="1"/>
    <col min="11" max="14" width="9" style="6" customWidth="1"/>
    <col min="15" max="15" width="11.28515625" style="67" customWidth="1"/>
    <col min="16" max="16" width="9" style="67" customWidth="1"/>
    <col min="17" max="23" width="9" style="6" customWidth="1"/>
    <col min="24" max="24" width="9.28515625" style="6"/>
    <col min="25" max="25" width="13.28515625" style="6" customWidth="1"/>
    <col min="26" max="26" width="11.7109375" style="6" customWidth="1"/>
    <col min="27" max="29" width="9.28515625" style="6"/>
    <col min="30" max="30" width="12.28515625" style="6" bestFit="1" customWidth="1"/>
    <col min="31" max="31" width="12.42578125" style="6" bestFit="1" customWidth="1"/>
    <col min="32" max="16384" width="9.28515625" style="6"/>
  </cols>
  <sheetData>
    <row r="1" spans="1:28">
      <c r="A1" s="343" t="s">
        <v>2</v>
      </c>
    </row>
    <row r="2" spans="1:28">
      <c r="J2" s="6"/>
      <c r="O2" s="6"/>
      <c r="P2" s="6"/>
    </row>
    <row r="3" spans="1:28" ht="15.75">
      <c r="A3" s="4" t="str">
        <f>'2-Kosten per locatie'!A3</f>
        <v>Naam opdrachtgever</v>
      </c>
      <c r="B3" s="31" t="str">
        <f>'2-Kosten per locatie'!B3</f>
        <v>Voortgezet Onderwijs van Amsterdam</v>
      </c>
      <c r="C3" s="68"/>
      <c r="J3" s="6"/>
      <c r="O3" s="6"/>
      <c r="P3" s="6"/>
    </row>
    <row r="4" spans="1:28" ht="15.75">
      <c r="A4" s="4" t="str">
        <f>'2-Kosten per locatie'!A4</f>
        <v>Calculatie onderdeel</v>
      </c>
      <c r="B4" s="31" t="str">
        <f ca="1">MID(CELL("bestandsnaam",$B$7),SEARCH("]",CELL("bestandsnaam",$B$7),1)+1,256)</f>
        <v>3-Productie normen</v>
      </c>
      <c r="C4" s="31"/>
    </row>
    <row r="5" spans="1:28" ht="15.75">
      <c r="A5" s="4" t="str">
        <f>'2-Kosten per locatie'!A5</f>
        <v>Plaats</v>
      </c>
      <c r="B5" s="31" t="str">
        <f>'2-Kosten per locatie'!B5</f>
        <v>Amsterdam</v>
      </c>
      <c r="C5" s="31"/>
    </row>
    <row r="6" spans="1:28" ht="15.75">
      <c r="A6" s="4"/>
      <c r="B6" s="31"/>
      <c r="C6" s="31"/>
      <c r="K6" s="69" t="s">
        <v>35</v>
      </c>
      <c r="L6" s="70"/>
      <c r="M6" s="71"/>
      <c r="N6" s="72" t="e">
        <f>SUM('4-Basis ruimtestaat'!W:W)/SUM('4-Basis ruimtestaat'!P:Q)</f>
        <v>#DIV/0!</v>
      </c>
      <c r="O6" s="73" t="s">
        <v>36</v>
      </c>
    </row>
    <row r="7" spans="1:28">
      <c r="A7" s="74"/>
      <c r="B7" s="75"/>
      <c r="C7" s="75"/>
      <c r="D7" s="76"/>
      <c r="E7" s="77"/>
      <c r="F7" s="77"/>
      <c r="G7" s="78"/>
      <c r="H7" s="79"/>
      <c r="I7" s="80"/>
      <c r="K7" s="81"/>
      <c r="L7" s="81"/>
      <c r="M7" s="80"/>
      <c r="N7" s="80"/>
      <c r="O7" s="82"/>
      <c r="P7" s="82"/>
    </row>
    <row r="8" spans="1:28" ht="33.4" customHeight="1">
      <c r="A8" s="107" t="s">
        <v>37</v>
      </c>
      <c r="B8" s="108">
        <v>1</v>
      </c>
      <c r="C8" s="108">
        <v>2</v>
      </c>
      <c r="D8" s="108">
        <v>4</v>
      </c>
      <c r="E8" s="108">
        <v>12</v>
      </c>
      <c r="F8" s="108">
        <v>38</v>
      </c>
      <c r="G8" s="108">
        <v>40</v>
      </c>
      <c r="H8" s="108">
        <v>41</v>
      </c>
      <c r="I8" s="108">
        <v>42</v>
      </c>
      <c r="J8" s="108">
        <v>76</v>
      </c>
      <c r="K8" s="108">
        <v>80</v>
      </c>
      <c r="L8" s="108">
        <v>82</v>
      </c>
      <c r="M8" s="108">
        <v>84</v>
      </c>
      <c r="N8" s="108">
        <v>120</v>
      </c>
      <c r="O8" s="108">
        <v>123</v>
      </c>
      <c r="P8" s="108">
        <v>126</v>
      </c>
      <c r="Q8" s="108">
        <v>153</v>
      </c>
      <c r="R8" s="108">
        <v>190</v>
      </c>
      <c r="S8" s="108">
        <v>200</v>
      </c>
      <c r="T8" s="108">
        <v>205</v>
      </c>
      <c r="U8" s="108">
        <v>210</v>
      </c>
      <c r="V8" s="108">
        <v>233</v>
      </c>
      <c r="W8" s="108">
        <v>255</v>
      </c>
      <c r="X8" s="80"/>
      <c r="Y8" s="67"/>
      <c r="Z8" s="83">
        <v>1.25</v>
      </c>
      <c r="AA8" s="84"/>
    </row>
    <row r="9" spans="1:28" ht="60.4" customHeight="1">
      <c r="A9" s="109" t="s">
        <v>38</v>
      </c>
      <c r="B9" s="533" t="s">
        <v>39</v>
      </c>
      <c r="C9" s="534"/>
      <c r="D9" s="534"/>
      <c r="E9" s="534"/>
      <c r="F9" s="534"/>
      <c r="G9" s="534"/>
      <c r="H9" s="534"/>
      <c r="I9" s="534"/>
      <c r="J9" s="534"/>
      <c r="K9" s="534"/>
      <c r="L9" s="534"/>
      <c r="M9" s="534"/>
      <c r="N9" s="534"/>
      <c r="O9" s="534"/>
      <c r="P9" s="534"/>
      <c r="Q9" s="534"/>
      <c r="R9" s="534"/>
      <c r="S9" s="534"/>
      <c r="T9" s="534"/>
      <c r="U9" s="534"/>
      <c r="V9" s="534"/>
      <c r="W9" s="535"/>
      <c r="X9" s="80"/>
      <c r="Y9" s="110" t="s">
        <v>40</v>
      </c>
      <c r="Z9" s="85" t="s">
        <v>41</v>
      </c>
      <c r="AA9" s="84"/>
      <c r="AB9" s="110" t="s">
        <v>42</v>
      </c>
    </row>
    <row r="10" spans="1:28">
      <c r="A10" s="86" t="s">
        <v>274</v>
      </c>
      <c r="B10" s="524"/>
      <c r="C10" s="524"/>
      <c r="D10" s="524"/>
      <c r="E10" s="524"/>
      <c r="F10" s="524"/>
      <c r="G10" s="524"/>
      <c r="H10" s="524"/>
      <c r="I10" s="524"/>
      <c r="J10" s="87"/>
      <c r="K10" s="87"/>
      <c r="L10" s="87"/>
      <c r="M10" s="87"/>
      <c r="N10" s="87"/>
      <c r="O10" s="87"/>
      <c r="P10" s="87"/>
      <c r="Q10" s="87"/>
      <c r="R10" s="87"/>
      <c r="S10" s="87"/>
      <c r="T10" s="87"/>
      <c r="U10" s="87"/>
      <c r="V10" s="87"/>
      <c r="W10" s="87"/>
      <c r="X10" s="80"/>
      <c r="Y10" s="88">
        <f>SUMIF('4-Basis ruimtestaat'!I:I,'3-Productie normen'!A10,'4-Basis ruimtestaat'!L:L)</f>
        <v>2434.3400000000006</v>
      </c>
      <c r="Z10" s="89"/>
      <c r="AA10" s="80"/>
      <c r="AB10" s="90" t="s">
        <v>43</v>
      </c>
    </row>
    <row r="11" spans="1:28">
      <c r="A11" s="91" t="s">
        <v>1488</v>
      </c>
      <c r="B11" s="524"/>
      <c r="C11" s="524"/>
      <c r="D11" s="524"/>
      <c r="E11" s="524"/>
      <c r="F11" s="524"/>
      <c r="G11" s="524"/>
      <c r="H11" s="524"/>
      <c r="I11" s="524"/>
      <c r="J11" s="524"/>
      <c r="K11" s="524"/>
      <c r="L11" s="524"/>
      <c r="M11" s="524"/>
      <c r="N11" s="524"/>
      <c r="O11" s="524"/>
      <c r="P11" s="524"/>
      <c r="Q11" s="524"/>
      <c r="R11" s="87"/>
      <c r="S11" s="87"/>
      <c r="T11" s="87"/>
      <c r="U11" s="524"/>
      <c r="V11" s="524"/>
      <c r="W11" s="87"/>
      <c r="X11" s="80"/>
      <c r="Y11" s="88">
        <f>SUMIF('4-Basis ruimtestaat'!I:I,'3-Productie normen'!A11,'4-Basis ruimtestaat'!L:L)</f>
        <v>52.19</v>
      </c>
      <c r="AB11" s="90" t="s">
        <v>45</v>
      </c>
    </row>
    <row r="12" spans="1:28">
      <c r="A12" s="91" t="s">
        <v>247</v>
      </c>
      <c r="B12" s="524"/>
      <c r="C12" s="524"/>
      <c r="D12" s="524"/>
      <c r="E12" s="524"/>
      <c r="F12" s="524"/>
      <c r="G12" s="524"/>
      <c r="H12" s="524"/>
      <c r="I12" s="524"/>
      <c r="J12" s="524"/>
      <c r="K12" s="87"/>
      <c r="L12" s="524"/>
      <c r="M12" s="524"/>
      <c r="N12" s="524"/>
      <c r="O12" s="524"/>
      <c r="P12" s="524"/>
      <c r="Q12" s="524"/>
      <c r="R12" s="87"/>
      <c r="S12" s="87"/>
      <c r="T12" s="87"/>
      <c r="U12" s="87"/>
      <c r="V12" s="87"/>
      <c r="W12" s="87"/>
      <c r="X12" s="80"/>
      <c r="Y12" s="88">
        <f>SUMIF('4-Basis ruimtestaat'!I:I,'3-Productie normen'!A12,'4-Basis ruimtestaat'!L:L)</f>
        <v>168.74</v>
      </c>
      <c r="AB12" s="90" t="s">
        <v>46</v>
      </c>
    </row>
    <row r="13" spans="1:28">
      <c r="A13" s="1" t="s">
        <v>282</v>
      </c>
      <c r="B13" s="524"/>
      <c r="C13" s="524"/>
      <c r="D13" s="524"/>
      <c r="E13" s="524"/>
      <c r="F13" s="87"/>
      <c r="G13" s="87"/>
      <c r="H13" s="524"/>
      <c r="I13" s="524"/>
      <c r="J13" s="524"/>
      <c r="K13" s="524"/>
      <c r="L13" s="524"/>
      <c r="M13" s="524"/>
      <c r="N13" s="524"/>
      <c r="O13" s="524"/>
      <c r="P13" s="524"/>
      <c r="Q13" s="524"/>
      <c r="R13" s="524"/>
      <c r="S13" s="524"/>
      <c r="T13" s="524"/>
      <c r="U13" s="524"/>
      <c r="V13" s="524"/>
      <c r="W13" s="524"/>
      <c r="X13" s="80"/>
      <c r="Y13" s="88">
        <f>SUMIF('4-Basis ruimtestaat'!I:I,'3-Productie normen'!A13,'4-Basis ruimtestaat'!L:L)</f>
        <v>374.88</v>
      </c>
      <c r="AB13" s="90" t="s">
        <v>46</v>
      </c>
    </row>
    <row r="14" spans="1:28">
      <c r="A14" s="1" t="s">
        <v>1487</v>
      </c>
      <c r="B14" s="524"/>
      <c r="C14" s="524"/>
      <c r="D14" s="524"/>
      <c r="E14" s="524"/>
      <c r="F14" s="87"/>
      <c r="G14" s="87"/>
      <c r="H14" s="87"/>
      <c r="I14" s="524"/>
      <c r="J14" s="524"/>
      <c r="K14" s="524"/>
      <c r="L14" s="524"/>
      <c r="M14" s="524"/>
      <c r="N14" s="524"/>
      <c r="O14" s="524"/>
      <c r="P14" s="524"/>
      <c r="Q14" s="524"/>
      <c r="R14" s="524"/>
      <c r="S14" s="524"/>
      <c r="T14" s="524"/>
      <c r="U14" s="524"/>
      <c r="V14" s="524"/>
      <c r="W14" s="524"/>
      <c r="X14" s="80"/>
      <c r="Y14" s="88">
        <f>SUMIF('4-Basis ruimtestaat'!I:I,'3-Productie normen'!A14,'4-Basis ruimtestaat'!L:L)</f>
        <v>296.8</v>
      </c>
      <c r="AB14" s="90" t="s">
        <v>46</v>
      </c>
    </row>
    <row r="15" spans="1:28">
      <c r="A15" s="86" t="s">
        <v>49</v>
      </c>
      <c r="B15" s="524"/>
      <c r="C15" s="524"/>
      <c r="D15" s="524"/>
      <c r="E15" s="524"/>
      <c r="F15" s="524"/>
      <c r="G15" s="524"/>
      <c r="H15" s="524"/>
      <c r="I15" s="524"/>
      <c r="J15" s="87"/>
      <c r="K15" s="87"/>
      <c r="L15" s="524"/>
      <c r="M15" s="524"/>
      <c r="N15" s="524"/>
      <c r="O15" s="524"/>
      <c r="P15" s="87"/>
      <c r="Q15" s="524"/>
      <c r="R15" s="87"/>
      <c r="S15" s="87"/>
      <c r="T15" s="87"/>
      <c r="U15" s="87"/>
      <c r="V15" s="524"/>
      <c r="W15" s="524"/>
      <c r="X15" s="80"/>
      <c r="Y15" s="88">
        <f>SUMIF('4-Basis ruimtestaat'!I:I,'3-Productie normen'!A15,'4-Basis ruimtestaat'!L:L)</f>
        <v>604.82000000000005</v>
      </c>
      <c r="AB15" s="90" t="s">
        <v>46</v>
      </c>
    </row>
    <row r="16" spans="1:28">
      <c r="A16" s="91" t="s">
        <v>272</v>
      </c>
      <c r="B16" s="524"/>
      <c r="C16" s="524"/>
      <c r="D16" s="524"/>
      <c r="E16" s="524"/>
      <c r="F16" s="524"/>
      <c r="G16" s="524"/>
      <c r="H16" s="524"/>
      <c r="I16" s="524"/>
      <c r="J16" s="524"/>
      <c r="K16" s="87"/>
      <c r="L16" s="87"/>
      <c r="M16" s="87"/>
      <c r="N16" s="87"/>
      <c r="O16" s="87"/>
      <c r="P16" s="87"/>
      <c r="Q16" s="87"/>
      <c r="R16" s="87"/>
      <c r="S16" s="87"/>
      <c r="T16" s="87"/>
      <c r="U16" s="87"/>
      <c r="V16" s="87"/>
      <c r="W16" s="87"/>
      <c r="X16" s="80"/>
      <c r="Y16" s="88">
        <f>SUMIF('4-Basis ruimtestaat'!I:I,'3-Productie normen'!A16,'4-Basis ruimtestaat'!L:L)</f>
        <v>1880.89</v>
      </c>
      <c r="AB16" s="90" t="s">
        <v>1520</v>
      </c>
    </row>
    <row r="17" spans="1:28">
      <c r="A17" s="93" t="s">
        <v>1589</v>
      </c>
      <c r="B17" s="524"/>
      <c r="C17" s="524"/>
      <c r="D17" s="524"/>
      <c r="E17" s="524"/>
      <c r="F17" s="524"/>
      <c r="G17" s="524"/>
      <c r="H17" s="524"/>
      <c r="I17" s="524"/>
      <c r="J17" s="524"/>
      <c r="K17" s="87"/>
      <c r="L17" s="87"/>
      <c r="M17" s="87"/>
      <c r="N17" s="87"/>
      <c r="O17" s="87"/>
      <c r="P17" s="87"/>
      <c r="Q17" s="87"/>
      <c r="R17" s="87"/>
      <c r="S17" s="524"/>
      <c r="T17" s="524"/>
      <c r="U17" s="524"/>
      <c r="V17" s="524"/>
      <c r="W17" s="524"/>
      <c r="X17" s="80"/>
      <c r="Y17" s="88">
        <f>SUMIF('4-Basis ruimtestaat'!I:I,'3-Productie normen'!A17,'4-Basis ruimtestaat'!L:L)</f>
        <v>819.52</v>
      </c>
      <c r="AB17" s="90" t="s">
        <v>1520</v>
      </c>
    </row>
    <row r="18" spans="1:28">
      <c r="A18" s="91" t="s">
        <v>244</v>
      </c>
      <c r="B18" s="524"/>
      <c r="C18" s="524"/>
      <c r="D18" s="524"/>
      <c r="E18" s="524"/>
      <c r="F18" s="524"/>
      <c r="G18" s="524"/>
      <c r="H18" s="524"/>
      <c r="I18" s="524"/>
      <c r="J18" s="87"/>
      <c r="K18" s="87"/>
      <c r="L18" s="87"/>
      <c r="M18" s="87"/>
      <c r="N18" s="87"/>
      <c r="O18" s="87"/>
      <c r="P18" s="87"/>
      <c r="Q18" s="87"/>
      <c r="R18" s="87"/>
      <c r="S18" s="87"/>
      <c r="T18" s="87"/>
      <c r="U18" s="87"/>
      <c r="V18" s="87"/>
      <c r="W18" s="87"/>
      <c r="X18" s="80"/>
      <c r="Y18" s="88">
        <f>SUMIF('4-Basis ruimtestaat'!I:I,'3-Productie normen'!A18,'4-Basis ruimtestaat'!L:L)</f>
        <v>9924.0600000000013</v>
      </c>
      <c r="AB18" s="90" t="s">
        <v>1520</v>
      </c>
    </row>
    <row r="19" spans="1:28">
      <c r="A19" s="91" t="s">
        <v>54</v>
      </c>
      <c r="B19" s="524"/>
      <c r="C19" s="524"/>
      <c r="D19" s="524"/>
      <c r="E19" s="524"/>
      <c r="F19" s="87"/>
      <c r="G19" s="87"/>
      <c r="H19" s="524"/>
      <c r="I19" s="524"/>
      <c r="J19" s="524"/>
      <c r="K19" s="87"/>
      <c r="L19" s="524"/>
      <c r="M19" s="524"/>
      <c r="N19" s="524"/>
      <c r="O19" s="524"/>
      <c r="P19" s="524"/>
      <c r="Q19" s="524"/>
      <c r="R19" s="87"/>
      <c r="S19" s="87"/>
      <c r="T19" s="87"/>
      <c r="U19" s="87"/>
      <c r="V19" s="87"/>
      <c r="W19" s="87"/>
      <c r="X19" s="80"/>
      <c r="Y19" s="88">
        <f>SUMIF('4-Basis ruimtestaat'!I:I,'3-Productie normen'!A19,'4-Basis ruimtestaat'!L:L)</f>
        <v>14.91</v>
      </c>
      <c r="AB19" s="90" t="s">
        <v>46</v>
      </c>
    </row>
    <row r="20" spans="1:28">
      <c r="A20" s="86" t="s">
        <v>242</v>
      </c>
      <c r="B20" s="87"/>
      <c r="C20" s="87"/>
      <c r="D20" s="87"/>
      <c r="E20" s="87"/>
      <c r="F20" s="524"/>
      <c r="G20" s="524"/>
      <c r="H20" s="524"/>
      <c r="I20" s="87"/>
      <c r="J20" s="524"/>
      <c r="K20" s="524"/>
      <c r="L20" s="524"/>
      <c r="M20" s="524"/>
      <c r="N20" s="524"/>
      <c r="O20" s="87"/>
      <c r="P20" s="87"/>
      <c r="Q20" s="524"/>
      <c r="R20" s="87"/>
      <c r="S20" s="87"/>
      <c r="T20" s="524"/>
      <c r="U20" s="87"/>
      <c r="V20" s="524"/>
      <c r="W20" s="524"/>
      <c r="X20" s="80"/>
      <c r="Y20" s="88">
        <f>SUMIF('4-Basis ruimtestaat'!I:I,'3-Productie normen'!A20,'4-Basis ruimtestaat'!L:L)</f>
        <v>1829.0500000000009</v>
      </c>
      <c r="AB20" s="90" t="s">
        <v>46</v>
      </c>
    </row>
    <row r="21" spans="1:28">
      <c r="A21" s="86" t="s">
        <v>47</v>
      </c>
      <c r="B21" s="524"/>
      <c r="C21" s="524"/>
      <c r="D21" s="524"/>
      <c r="E21" s="524"/>
      <c r="F21" s="524"/>
      <c r="G21" s="524"/>
      <c r="H21" s="524"/>
      <c r="I21" s="524"/>
      <c r="J21" s="524"/>
      <c r="K21" s="524"/>
      <c r="L21" s="524"/>
      <c r="M21" s="524"/>
      <c r="N21" s="524"/>
      <c r="O21" s="87"/>
      <c r="P21" s="524"/>
      <c r="Q21" s="524"/>
      <c r="R21" s="87"/>
      <c r="S21" s="87"/>
      <c r="T21" s="524"/>
      <c r="U21" s="87"/>
      <c r="V21" s="524"/>
      <c r="W21" s="524"/>
      <c r="X21" s="80"/>
      <c r="Y21" s="88">
        <f>SUMIF('4-Basis ruimtestaat'!I:I,'3-Productie normen'!A21,'4-Basis ruimtestaat'!L:L)</f>
        <v>592.49</v>
      </c>
      <c r="AB21" s="90" t="s">
        <v>46</v>
      </c>
    </row>
    <row r="22" spans="1:28">
      <c r="A22" s="91" t="s">
        <v>48</v>
      </c>
      <c r="B22" s="524"/>
      <c r="C22" s="524"/>
      <c r="D22" s="524"/>
      <c r="E22" s="524"/>
      <c r="F22" s="524"/>
      <c r="G22" s="524"/>
      <c r="H22" s="524"/>
      <c r="I22" s="524"/>
      <c r="J22" s="524"/>
      <c r="K22" s="87"/>
      <c r="L22" s="524"/>
      <c r="M22" s="524"/>
      <c r="N22" s="524"/>
      <c r="O22" s="524"/>
      <c r="P22" s="524"/>
      <c r="Q22" s="524"/>
      <c r="R22" s="87"/>
      <c r="S22" s="87"/>
      <c r="T22" s="87"/>
      <c r="U22" s="87"/>
      <c r="V22" s="524"/>
      <c r="W22" s="87"/>
      <c r="X22" s="80"/>
      <c r="Y22" s="88">
        <f>SUMIF('4-Basis ruimtestaat'!I:I,'3-Productie normen'!A22,'4-Basis ruimtestaat'!L:L)</f>
        <v>2057.1800000000003</v>
      </c>
      <c r="AB22" s="90" t="s">
        <v>46</v>
      </c>
    </row>
    <row r="23" spans="1:28">
      <c r="A23" s="94" t="s">
        <v>44</v>
      </c>
      <c r="B23" s="524"/>
      <c r="C23" s="524"/>
      <c r="D23" s="524"/>
      <c r="E23" s="524"/>
      <c r="F23" s="524"/>
      <c r="G23" s="524"/>
      <c r="H23" s="524"/>
      <c r="I23" s="524"/>
      <c r="J23" s="524"/>
      <c r="K23" s="87"/>
      <c r="L23" s="524"/>
      <c r="M23" s="524"/>
      <c r="N23" s="524"/>
      <c r="O23" s="524"/>
      <c r="P23" s="524"/>
      <c r="Q23" s="524"/>
      <c r="R23" s="87"/>
      <c r="S23" s="87"/>
      <c r="T23" s="87"/>
      <c r="U23" s="87"/>
      <c r="V23" s="87"/>
      <c r="W23" s="87"/>
      <c r="X23" s="80"/>
      <c r="Y23" s="88">
        <f>SUMIF('4-Basis ruimtestaat'!I:I,'3-Productie normen'!A23,'4-Basis ruimtestaat'!L:L)</f>
        <v>620.81999999999994</v>
      </c>
      <c r="AA23" s="80"/>
      <c r="AB23" s="90" t="s">
        <v>45</v>
      </c>
    </row>
    <row r="24" spans="1:28">
      <c r="A24" s="94" t="s">
        <v>51</v>
      </c>
      <c r="B24" s="524"/>
      <c r="C24" s="524"/>
      <c r="D24" s="524"/>
      <c r="E24" s="524"/>
      <c r="F24" s="524"/>
      <c r="G24" s="524"/>
      <c r="H24" s="524"/>
      <c r="I24" s="524"/>
      <c r="J24" s="524"/>
      <c r="K24" s="524"/>
      <c r="L24" s="524"/>
      <c r="M24" s="524"/>
      <c r="N24" s="524"/>
      <c r="O24" s="524"/>
      <c r="P24" s="524"/>
      <c r="Q24" s="524"/>
      <c r="R24" s="87"/>
      <c r="S24" s="87"/>
      <c r="T24" s="87"/>
      <c r="U24" s="524"/>
      <c r="V24" s="524"/>
      <c r="W24" s="524"/>
      <c r="X24" s="80"/>
      <c r="Y24" s="88">
        <f>SUMIF('4-Basis ruimtestaat'!I:I,'3-Productie normen'!A24,'4-Basis ruimtestaat'!L:L)</f>
        <v>1849.2799999999997</v>
      </c>
      <c r="AB24" s="90" t="s">
        <v>46</v>
      </c>
    </row>
    <row r="25" spans="1:28">
      <c r="A25" s="1" t="s">
        <v>233</v>
      </c>
      <c r="B25" s="524"/>
      <c r="C25" s="524"/>
      <c r="D25" s="524"/>
      <c r="E25" s="524"/>
      <c r="F25" s="524"/>
      <c r="G25" s="524"/>
      <c r="H25" s="524"/>
      <c r="I25" s="524"/>
      <c r="J25" s="524"/>
      <c r="K25" s="87"/>
      <c r="L25" s="524"/>
      <c r="M25" s="524"/>
      <c r="N25" s="524"/>
      <c r="O25" s="524"/>
      <c r="P25" s="524"/>
      <c r="Q25" s="524"/>
      <c r="R25" s="87"/>
      <c r="S25" s="87"/>
      <c r="T25" s="87"/>
      <c r="U25" s="87"/>
      <c r="V25" s="87"/>
      <c r="W25" s="87"/>
      <c r="X25" s="80"/>
      <c r="Y25" s="88">
        <f>SUMIF('4-Basis ruimtestaat'!I:I,'3-Productie normen'!A25,'4-Basis ruimtestaat'!L:L)</f>
        <v>1422.2500000000002</v>
      </c>
      <c r="AB25" s="90" t="s">
        <v>46</v>
      </c>
    </row>
    <row r="26" spans="1:28">
      <c r="A26" s="86" t="s">
        <v>50</v>
      </c>
      <c r="B26" s="524"/>
      <c r="C26" s="524"/>
      <c r="D26" s="524"/>
      <c r="E26" s="524"/>
      <c r="F26" s="524"/>
      <c r="G26" s="524"/>
      <c r="H26" s="524"/>
      <c r="I26" s="524"/>
      <c r="J26" s="87"/>
      <c r="K26" s="87"/>
      <c r="L26" s="87"/>
      <c r="M26" s="87"/>
      <c r="N26" s="524"/>
      <c r="O26" s="87"/>
      <c r="P26" s="87"/>
      <c r="Q26" s="524"/>
      <c r="R26" s="95"/>
      <c r="S26" s="87"/>
      <c r="T26" s="87"/>
      <c r="U26" s="87"/>
      <c r="V26" s="87"/>
      <c r="W26" s="87"/>
      <c r="X26" s="80"/>
      <c r="Y26" s="88">
        <f>SUMIF('4-Basis ruimtestaat'!I:I,'3-Productie normen'!A26,'4-Basis ruimtestaat'!L:L)</f>
        <v>856.33999999999992</v>
      </c>
      <c r="AB26" s="90" t="s">
        <v>43</v>
      </c>
    </row>
    <row r="27" spans="1:28">
      <c r="A27" s="91" t="s">
        <v>1486</v>
      </c>
      <c r="B27" s="524"/>
      <c r="C27" s="524"/>
      <c r="D27" s="87"/>
      <c r="E27" s="87"/>
      <c r="F27" s="87"/>
      <c r="G27" s="87"/>
      <c r="H27" s="87"/>
      <c r="I27" s="524"/>
      <c r="J27" s="524"/>
      <c r="K27" s="87"/>
      <c r="L27" s="524"/>
      <c r="M27" s="524"/>
      <c r="N27" s="524"/>
      <c r="O27" s="524"/>
      <c r="P27" s="87"/>
      <c r="Q27" s="524"/>
      <c r="R27" s="87"/>
      <c r="S27" s="87"/>
      <c r="T27" s="87"/>
      <c r="U27" s="87"/>
      <c r="V27" s="87"/>
      <c r="W27" s="87"/>
      <c r="X27" s="80"/>
      <c r="Y27" s="88">
        <f>SUMIF('4-Basis ruimtestaat'!I:I,'3-Productie normen'!A27,'4-Basis ruimtestaat'!L:L)</f>
        <v>4962.46</v>
      </c>
      <c r="AB27" s="90" t="s">
        <v>46</v>
      </c>
    </row>
    <row r="28" spans="1:28">
      <c r="A28" s="91" t="s">
        <v>239</v>
      </c>
      <c r="B28" s="95"/>
      <c r="C28" s="95"/>
      <c r="D28" s="95"/>
      <c r="E28" s="95"/>
      <c r="F28" s="95"/>
      <c r="G28" s="95"/>
      <c r="H28" s="95"/>
      <c r="I28" s="95"/>
      <c r="J28" s="95"/>
      <c r="K28" s="87"/>
      <c r="L28" s="95"/>
      <c r="M28" s="95"/>
      <c r="N28" s="96"/>
      <c r="O28" s="95"/>
      <c r="P28" s="95"/>
      <c r="Q28" s="95"/>
      <c r="R28" s="95"/>
      <c r="S28" s="95"/>
      <c r="T28" s="95"/>
      <c r="U28" s="96"/>
      <c r="V28" s="95"/>
      <c r="W28" s="96"/>
      <c r="X28" s="80"/>
      <c r="Y28" s="88">
        <f>SUMIF('4-Basis ruimtestaat'!I:I,'3-Productie normen'!A28,'4-Basis ruimtestaat'!L:L)</f>
        <v>675.13000000000011</v>
      </c>
      <c r="AB28" s="90"/>
    </row>
    <row r="29" spans="1:28">
      <c r="A29" s="91"/>
      <c r="B29" s="97"/>
      <c r="C29" s="97"/>
      <c r="D29" s="97"/>
      <c r="E29" s="97"/>
      <c r="F29" s="97"/>
      <c r="G29" s="97"/>
      <c r="H29" s="97"/>
      <c r="I29" s="97"/>
      <c r="J29" s="97"/>
      <c r="K29" s="97"/>
      <c r="L29" s="97"/>
      <c r="M29" s="97"/>
      <c r="N29" s="98"/>
      <c r="O29" s="97"/>
      <c r="P29" s="97"/>
      <c r="Q29" s="97"/>
      <c r="R29" s="97"/>
      <c r="S29" s="97"/>
      <c r="T29" s="97"/>
      <c r="U29" s="98"/>
      <c r="V29" s="97"/>
      <c r="W29" s="98"/>
      <c r="X29" s="80"/>
      <c r="Y29" s="88"/>
      <c r="AA29" s="84"/>
      <c r="AB29" s="90"/>
    </row>
    <row r="30" spans="1:28">
      <c r="A30" s="99" t="s">
        <v>26</v>
      </c>
      <c r="B30" s="100"/>
      <c r="C30" s="100"/>
      <c r="D30" s="100"/>
      <c r="E30" s="100"/>
      <c r="F30" s="100"/>
      <c r="G30" s="100"/>
      <c r="H30" s="100"/>
      <c r="I30" s="100"/>
      <c r="J30" s="100"/>
      <c r="K30" s="100"/>
      <c r="L30" s="100"/>
      <c r="M30" s="100"/>
      <c r="N30" s="101"/>
      <c r="O30" s="100"/>
      <c r="P30" s="100"/>
      <c r="Q30" s="100"/>
      <c r="R30" s="100"/>
      <c r="S30" s="100"/>
      <c r="T30" s="100"/>
      <c r="U30" s="101"/>
      <c r="V30" s="100"/>
      <c r="W30" s="101"/>
      <c r="X30" s="102"/>
      <c r="Y30" s="103">
        <f>SUM(Y10:Y29)</f>
        <v>31436.15</v>
      </c>
      <c r="AA30" s="80"/>
      <c r="AB30" s="104"/>
    </row>
    <row r="31" spans="1:28">
      <c r="J31" s="6"/>
      <c r="O31" s="6"/>
      <c r="P31" s="6"/>
      <c r="AA31" s="80"/>
    </row>
    <row r="32" spans="1:28">
      <c r="A32" s="111" t="s">
        <v>55</v>
      </c>
      <c r="B32" s="112">
        <v>2</v>
      </c>
      <c r="C32" s="112">
        <v>3</v>
      </c>
      <c r="D32" s="112">
        <v>4</v>
      </c>
      <c r="E32" s="112">
        <v>5</v>
      </c>
      <c r="F32" s="112">
        <v>6</v>
      </c>
      <c r="G32" s="112">
        <v>7</v>
      </c>
      <c r="H32" s="112">
        <v>8</v>
      </c>
      <c r="I32" s="112">
        <v>9</v>
      </c>
      <c r="J32" s="112">
        <v>10</v>
      </c>
      <c r="K32" s="112">
        <v>11</v>
      </c>
      <c r="L32" s="112">
        <v>12</v>
      </c>
      <c r="M32" s="112">
        <v>13</v>
      </c>
      <c r="N32" s="112">
        <v>14</v>
      </c>
      <c r="O32" s="112">
        <v>15</v>
      </c>
      <c r="P32" s="112">
        <v>16</v>
      </c>
      <c r="Q32" s="112">
        <v>17</v>
      </c>
      <c r="R32" s="112">
        <v>18</v>
      </c>
      <c r="S32" s="112">
        <v>19</v>
      </c>
      <c r="T32" s="112">
        <v>20</v>
      </c>
      <c r="U32" s="112">
        <v>21</v>
      </c>
      <c r="V32" s="112">
        <v>22</v>
      </c>
      <c r="W32" s="112">
        <v>23</v>
      </c>
      <c r="X32" s="80"/>
      <c r="Y32" s="67"/>
      <c r="AB32" s="67"/>
    </row>
    <row r="34" spans="1:3">
      <c r="A34" s="113" t="s">
        <v>56</v>
      </c>
      <c r="B34" s="113" t="s">
        <v>57</v>
      </c>
      <c r="C34" s="114" t="s">
        <v>58</v>
      </c>
    </row>
    <row r="35" spans="1:3">
      <c r="A35" s="92" t="s">
        <v>1489</v>
      </c>
      <c r="B35" s="108">
        <v>1</v>
      </c>
      <c r="C35" s="105">
        <v>2</v>
      </c>
    </row>
    <row r="36" spans="1:3">
      <c r="A36" s="92" t="s">
        <v>1490</v>
      </c>
      <c r="B36" s="108">
        <v>2</v>
      </c>
      <c r="C36" s="105">
        <v>3</v>
      </c>
    </row>
    <row r="37" spans="1:3">
      <c r="A37" s="92" t="s">
        <v>1491</v>
      </c>
      <c r="B37" s="108">
        <v>4</v>
      </c>
      <c r="C37" s="105">
        <v>4</v>
      </c>
    </row>
    <row r="38" spans="1:3">
      <c r="A38" s="92" t="s">
        <v>59</v>
      </c>
      <c r="B38" s="108">
        <v>12</v>
      </c>
      <c r="C38" s="105">
        <v>5</v>
      </c>
    </row>
    <row r="39" spans="1:3">
      <c r="A39" s="92" t="s">
        <v>1584</v>
      </c>
      <c r="B39" s="108">
        <v>38</v>
      </c>
      <c r="C39" s="105">
        <v>6</v>
      </c>
    </row>
    <row r="40" spans="1:3">
      <c r="A40" s="92" t="s">
        <v>1492</v>
      </c>
      <c r="B40" s="108">
        <v>40</v>
      </c>
      <c r="C40" s="105">
        <v>7</v>
      </c>
    </row>
    <row r="41" spans="1:3">
      <c r="A41" s="92" t="s">
        <v>1494</v>
      </c>
      <c r="B41" s="108">
        <v>41</v>
      </c>
      <c r="C41" s="105">
        <v>8</v>
      </c>
    </row>
    <row r="42" spans="1:3">
      <c r="A42" s="92" t="s">
        <v>1653</v>
      </c>
      <c r="B42" s="108">
        <v>42</v>
      </c>
      <c r="C42" s="105">
        <v>9</v>
      </c>
    </row>
    <row r="43" spans="1:3">
      <c r="A43" s="92" t="s">
        <v>1654</v>
      </c>
      <c r="B43" s="108">
        <v>76</v>
      </c>
      <c r="C43" s="105">
        <v>10</v>
      </c>
    </row>
    <row r="44" spans="1:3">
      <c r="A44" s="92" t="s">
        <v>1493</v>
      </c>
      <c r="B44" s="108">
        <v>80</v>
      </c>
      <c r="C44" s="105">
        <v>11</v>
      </c>
    </row>
    <row r="45" spans="1:3">
      <c r="A45" s="92" t="s">
        <v>1495</v>
      </c>
      <c r="B45" s="108">
        <v>82</v>
      </c>
      <c r="C45" s="105">
        <v>12</v>
      </c>
    </row>
    <row r="46" spans="1:3">
      <c r="A46" s="92" t="s">
        <v>1496</v>
      </c>
      <c r="B46" s="108">
        <v>84</v>
      </c>
      <c r="C46" s="105">
        <v>13</v>
      </c>
    </row>
    <row r="47" spans="1:3">
      <c r="A47" s="92" t="s">
        <v>1655</v>
      </c>
      <c r="B47" s="108">
        <v>120</v>
      </c>
      <c r="C47" s="105">
        <v>14</v>
      </c>
    </row>
    <row r="48" spans="1:3">
      <c r="A48" s="92" t="s">
        <v>1497</v>
      </c>
      <c r="B48" s="108">
        <v>123</v>
      </c>
      <c r="C48" s="105">
        <v>15</v>
      </c>
    </row>
    <row r="49" spans="1:3">
      <c r="A49" s="92" t="s">
        <v>1498</v>
      </c>
      <c r="B49" s="108">
        <v>126</v>
      </c>
      <c r="C49" s="105">
        <v>16</v>
      </c>
    </row>
    <row r="50" spans="1:3">
      <c r="A50" s="92" t="s">
        <v>1503</v>
      </c>
      <c r="B50" s="108">
        <v>153</v>
      </c>
      <c r="C50" s="105">
        <v>17</v>
      </c>
    </row>
    <row r="51" spans="1:3">
      <c r="A51" s="92" t="s">
        <v>1502</v>
      </c>
      <c r="B51" s="108">
        <v>190</v>
      </c>
      <c r="C51" s="105">
        <v>18</v>
      </c>
    </row>
    <row r="52" spans="1:3">
      <c r="A52" s="92" t="s">
        <v>1501</v>
      </c>
      <c r="B52" s="108">
        <v>200</v>
      </c>
      <c r="C52" s="105">
        <v>19</v>
      </c>
    </row>
    <row r="53" spans="1:3">
      <c r="A53" s="92" t="s">
        <v>1499</v>
      </c>
      <c r="B53" s="108">
        <v>205</v>
      </c>
      <c r="C53" s="105">
        <v>20</v>
      </c>
    </row>
    <row r="54" spans="1:3">
      <c r="A54" s="92" t="s">
        <v>1500</v>
      </c>
      <c r="B54" s="108">
        <v>210</v>
      </c>
      <c r="C54" s="105">
        <v>21</v>
      </c>
    </row>
    <row r="55" spans="1:3">
      <c r="A55" s="106" t="s">
        <v>1614</v>
      </c>
      <c r="B55" s="108">
        <v>233</v>
      </c>
      <c r="C55" s="105">
        <v>22</v>
      </c>
    </row>
    <row r="56" spans="1:3">
      <c r="A56" s="92" t="s">
        <v>60</v>
      </c>
      <c r="B56" s="108">
        <v>255</v>
      </c>
      <c r="C56" s="105">
        <v>23</v>
      </c>
    </row>
  </sheetData>
  <sortState xmlns:xlrd2="http://schemas.microsoft.com/office/spreadsheetml/2017/richdata2" ref="A10:AB27">
    <sortCondition ref="A10:A27"/>
  </sortState>
  <mergeCells count="1">
    <mergeCell ref="B9:W9"/>
  </mergeCells>
  <phoneticPr fontId="66" type="noConversion"/>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W969"/>
  <sheetViews>
    <sheetView showGridLines="0" showZeros="0" zoomScale="70" zoomScaleNormal="70" zoomScalePageLayoutView="75" workbookViewId="0">
      <pane xSplit="1" ySplit="9" topLeftCell="B10" activePane="bottomRight" state="frozen"/>
      <selection activeCell="A5" sqref="A5"/>
      <selection pane="topRight" activeCell="A5" sqref="A5"/>
      <selection pane="bottomLeft" activeCell="A5" sqref="A5"/>
      <selection pane="bottomRight" activeCell="B10" sqref="B10"/>
    </sheetView>
  </sheetViews>
  <sheetFormatPr defaultColWidth="8.7109375" defaultRowHeight="13.9" customHeight="1"/>
  <cols>
    <col min="1" max="1" width="6.28515625" style="6" bestFit="1" customWidth="1"/>
    <col min="2" max="2" width="40.5703125" style="6" bestFit="1" customWidth="1"/>
    <col min="3" max="3" width="38.28515625" style="6" bestFit="1" customWidth="1"/>
    <col min="4" max="4" width="12" style="115" customWidth="1"/>
    <col min="5" max="5" width="20.28515625" style="115" bestFit="1" customWidth="1"/>
    <col min="6" max="6" width="20.28515625" style="115" customWidth="1"/>
    <col min="7" max="7" width="23.42578125" style="116" customWidth="1"/>
    <col min="8" max="8" width="39" style="6" bestFit="1" customWidth="1"/>
    <col min="9" max="9" width="34" style="6" bestFit="1" customWidth="1"/>
    <col min="10" max="10" width="24.28515625" style="6" customWidth="1"/>
    <col min="11" max="11" width="19.42578125" style="6" customWidth="1"/>
    <col min="12" max="12" width="11.42578125" style="17" bestFit="1" customWidth="1"/>
    <col min="13" max="13" width="16.28515625" style="117" bestFit="1" customWidth="1"/>
    <col min="14" max="14" width="9.28515625" style="165" customWidth="1"/>
    <col min="15" max="15" width="9.7109375" style="166" customWidth="1"/>
    <col min="16" max="16" width="18.28515625" style="6" customWidth="1"/>
    <col min="17" max="17" width="12.5703125" style="6" bestFit="1" customWidth="1"/>
    <col min="18" max="18" width="19.7109375" style="6" bestFit="1" customWidth="1"/>
    <col min="19" max="19" width="16.7109375" style="6" customWidth="1"/>
    <col min="20" max="20" width="9.28515625" style="6" customWidth="1"/>
    <col min="21" max="21" width="35.28515625" style="6" customWidth="1"/>
    <col min="22" max="22" width="3" style="6" customWidth="1"/>
    <col min="23" max="23" width="11.28515625" style="6" customWidth="1"/>
    <col min="24" max="24" width="15.5703125" style="6" bestFit="1" customWidth="1"/>
    <col min="25" max="16384" width="8.7109375" style="6"/>
  </cols>
  <sheetData>
    <row r="1" spans="1:23" ht="12.75">
      <c r="N1" s="115"/>
      <c r="O1" s="67"/>
    </row>
    <row r="2" spans="1:23" ht="13.9" customHeight="1">
      <c r="A2" s="118">
        <v>2</v>
      </c>
      <c r="B2" s="119"/>
      <c r="C2" s="119"/>
      <c r="D2" s="120"/>
      <c r="E2" s="120"/>
      <c r="F2" s="6"/>
      <c r="G2" s="121"/>
      <c r="I2" s="122"/>
      <c r="J2" s="8"/>
      <c r="K2" s="8"/>
      <c r="L2" s="123"/>
      <c r="M2" s="124"/>
      <c r="N2" s="124"/>
      <c r="O2" s="8"/>
      <c r="P2" s="8"/>
      <c r="Q2" s="8"/>
      <c r="R2" s="8"/>
      <c r="S2" s="123"/>
      <c r="T2" s="122"/>
      <c r="U2" s="122"/>
    </row>
    <row r="3" spans="1:23" ht="15.75">
      <c r="A3" s="118">
        <v>3</v>
      </c>
      <c r="B3" s="4" t="str">
        <f>'2-Kosten per locatie'!A3</f>
        <v>Naam opdrachtgever</v>
      </c>
      <c r="C3" s="31" t="str">
        <f>'2-Kosten per locatie'!B3</f>
        <v>Voortgezet Onderwijs van Amsterdam</v>
      </c>
      <c r="E3" s="125"/>
      <c r="F3" s="6"/>
      <c r="I3" s="122"/>
      <c r="J3" s="8"/>
      <c r="K3" s="8"/>
      <c r="L3" s="126"/>
      <c r="M3" s="124"/>
      <c r="N3" s="124"/>
      <c r="O3" s="8"/>
      <c r="P3" s="8"/>
      <c r="Q3" s="8"/>
      <c r="R3" s="8"/>
      <c r="S3" s="123"/>
      <c r="T3" s="122"/>
      <c r="U3" s="122"/>
    </row>
    <row r="4" spans="1:23" ht="15.75">
      <c r="A4" s="118">
        <v>4</v>
      </c>
      <c r="B4" s="4" t="str">
        <f>'2-Kosten per locatie'!A4</f>
        <v>Calculatie onderdeel</v>
      </c>
      <c r="C4" s="31" t="str">
        <f ca="1">MID(CELL("bestandsnaam",$D$9),SEARCH("]",CELL("bestandsnaam",$D$9),1)+1,256)</f>
        <v>4-Basis ruimtestaat</v>
      </c>
      <c r="E4" s="127"/>
      <c r="F4" s="6"/>
      <c r="M4" s="6"/>
      <c r="N4" s="6"/>
      <c r="O4" s="6"/>
      <c r="R4" s="8"/>
      <c r="S4" s="123"/>
      <c r="T4" s="122"/>
      <c r="U4" s="122"/>
    </row>
    <row r="5" spans="1:23" ht="15.75">
      <c r="A5" s="118">
        <v>5</v>
      </c>
      <c r="B5" s="4" t="str">
        <f>'2-Kosten per locatie'!A5</f>
        <v>Plaats</v>
      </c>
      <c r="C5" s="31" t="str">
        <f>'2-Kosten per locatie'!B5</f>
        <v>Amsterdam</v>
      </c>
      <c r="E5" s="125"/>
      <c r="F5" s="6"/>
      <c r="M5" s="6"/>
      <c r="N5" s="6"/>
      <c r="O5" s="6"/>
      <c r="R5" s="8"/>
      <c r="S5" s="123"/>
      <c r="T5" s="122"/>
      <c r="U5" s="122"/>
    </row>
    <row r="6" spans="1:23" ht="15.75" customHeight="1">
      <c r="A6" s="118">
        <v>6</v>
      </c>
      <c r="B6" s="4"/>
      <c r="C6" s="31"/>
      <c r="E6" s="125"/>
      <c r="F6" s="125"/>
      <c r="M6" s="6"/>
      <c r="N6" s="6"/>
      <c r="O6" s="6"/>
      <c r="R6" s="8"/>
      <c r="S6" s="536" t="s">
        <v>61</v>
      </c>
      <c r="T6" s="122"/>
      <c r="U6" s="122"/>
    </row>
    <row r="7" spans="1:23" ht="15.75">
      <c r="A7" s="118">
        <v>7</v>
      </c>
      <c r="B7" s="4" t="str">
        <f>'2-Kosten per locatie'!A6</f>
        <v>Naam dienstverlener</v>
      </c>
      <c r="C7" s="31">
        <f>'2-Kosten per locatie'!B6</f>
        <v>0</v>
      </c>
      <c r="E7" s="125"/>
      <c r="F7" s="125"/>
      <c r="M7" s="6"/>
      <c r="N7" s="6"/>
      <c r="O7" s="6"/>
      <c r="R7" s="123"/>
      <c r="S7" s="537"/>
      <c r="T7" s="122"/>
      <c r="U7" s="122"/>
    </row>
    <row r="8" spans="1:23" ht="13.9" customHeight="1">
      <c r="A8" s="118">
        <v>8</v>
      </c>
      <c r="B8" s="122"/>
      <c r="C8" s="122"/>
      <c r="D8" s="120"/>
      <c r="E8" s="120"/>
      <c r="F8" s="120"/>
      <c r="G8" s="121"/>
      <c r="H8" s="122"/>
      <c r="I8" s="122"/>
      <c r="J8" s="8"/>
      <c r="K8" s="8"/>
      <c r="L8" s="128"/>
      <c r="M8" s="129"/>
      <c r="N8" s="130"/>
      <c r="O8" s="131"/>
      <c r="P8" s="8"/>
      <c r="Q8" s="8"/>
      <c r="R8" s="8"/>
      <c r="S8" s="171">
        <f>'3-Productie normen'!Z8</f>
        <v>1.25</v>
      </c>
      <c r="T8" s="122"/>
      <c r="U8" s="122"/>
    </row>
    <row r="9" spans="1:23" ht="49.15" customHeight="1">
      <c r="A9" s="118">
        <v>9</v>
      </c>
      <c r="B9" s="167" t="s">
        <v>62</v>
      </c>
      <c r="C9" s="167" t="s">
        <v>63</v>
      </c>
      <c r="D9" s="168" t="s">
        <v>64</v>
      </c>
      <c r="E9" s="168" t="s">
        <v>227</v>
      </c>
      <c r="F9" s="168" t="s">
        <v>228</v>
      </c>
      <c r="G9" s="167" t="s">
        <v>65</v>
      </c>
      <c r="H9" s="167" t="s">
        <v>229</v>
      </c>
      <c r="I9" s="167" t="s">
        <v>66</v>
      </c>
      <c r="J9" s="169" t="s">
        <v>67</v>
      </c>
      <c r="K9" s="169" t="s">
        <v>1519</v>
      </c>
      <c r="L9" s="170" t="s">
        <v>68</v>
      </c>
      <c r="M9" s="65" t="s">
        <v>69</v>
      </c>
      <c r="N9" s="65" t="s">
        <v>70</v>
      </c>
      <c r="O9" s="65" t="s">
        <v>71</v>
      </c>
      <c r="P9" s="65" t="s">
        <v>72</v>
      </c>
      <c r="Q9" s="65" t="s">
        <v>73</v>
      </c>
      <c r="R9" s="65" t="s">
        <v>74</v>
      </c>
      <c r="S9" s="65" t="s">
        <v>41</v>
      </c>
      <c r="T9" s="168" t="s">
        <v>75</v>
      </c>
      <c r="U9" s="168" t="s">
        <v>76</v>
      </c>
      <c r="V9" s="115"/>
      <c r="W9" s="168" t="s">
        <v>77</v>
      </c>
    </row>
    <row r="10" spans="1:23" ht="13.9" customHeight="1">
      <c r="A10" s="132">
        <v>10</v>
      </c>
      <c r="B10" s="49" t="s">
        <v>1677</v>
      </c>
      <c r="C10" s="49" t="s">
        <v>376</v>
      </c>
      <c r="D10" s="133" t="s">
        <v>246</v>
      </c>
      <c r="E10" s="133" t="s">
        <v>377</v>
      </c>
      <c r="F10" s="133"/>
      <c r="G10" s="134" t="s">
        <v>232</v>
      </c>
      <c r="H10" s="134" t="s">
        <v>53</v>
      </c>
      <c r="I10" s="1" t="s">
        <v>233</v>
      </c>
      <c r="J10" s="134" t="s">
        <v>78</v>
      </c>
      <c r="K10" s="1" t="s">
        <v>1522</v>
      </c>
      <c r="L10" s="135">
        <v>7.95</v>
      </c>
      <c r="M10" s="136">
        <f t="shared" ref="M10:M22" si="0">SUM(N10:O10)</f>
        <v>190</v>
      </c>
      <c r="N10" s="2">
        <v>190</v>
      </c>
      <c r="O10" s="1"/>
      <c r="P10" s="137" t="e">
        <f t="shared" ref="P10:P22" si="1">IF(N10="nio",0,IF(N10&gt;0,N10*L10/R10,0))</f>
        <v>#DIV/0!</v>
      </c>
      <c r="Q10" s="137">
        <f t="shared" ref="Q10:Q22" si="2">IF(O10&gt;0,O10*L10/S10,0)</f>
        <v>0</v>
      </c>
      <c r="R10" s="138">
        <f>IF(N10="nio",0,IF(N10&gt;0,VLOOKUP(I10,'3-Productie normen'!A:V,VLOOKUP(N10,'3-Productie normen'!$B$35:$C$56,2,FALSE),FALSE)))/VLOOKUP(B10,'2-Kosten per locatie'!$A$11:$C$18,3,FALSE)</f>
        <v>0</v>
      </c>
      <c r="S10" s="138">
        <f t="shared" ref="S10:S22" si="3">IF(O10&gt;0,R10*$S$8,0)</f>
        <v>0</v>
      </c>
      <c r="T10" s="139" t="str">
        <f>VLOOKUP(I10,'3-Productie normen'!A:AF,28,FALSE)</f>
        <v>V</v>
      </c>
      <c r="U10" s="140"/>
      <c r="W10" s="141">
        <f t="shared" ref="W10:W22" si="4">M10*L10</f>
        <v>1510.5</v>
      </c>
    </row>
    <row r="11" spans="1:23" ht="13.9" customHeight="1">
      <c r="A11" s="132">
        <v>11</v>
      </c>
      <c r="B11" s="49" t="s">
        <v>1677</v>
      </c>
      <c r="C11" s="49" t="s">
        <v>376</v>
      </c>
      <c r="D11" s="133" t="s">
        <v>246</v>
      </c>
      <c r="E11" s="133" t="s">
        <v>378</v>
      </c>
      <c r="F11" s="133"/>
      <c r="G11" s="134" t="s">
        <v>232</v>
      </c>
      <c r="H11" s="134" t="s">
        <v>53</v>
      </c>
      <c r="I11" s="1" t="s">
        <v>233</v>
      </c>
      <c r="J11" s="134" t="s">
        <v>379</v>
      </c>
      <c r="K11" s="134"/>
      <c r="L11" s="135">
        <v>13.77</v>
      </c>
      <c r="M11" s="136">
        <f t="shared" si="0"/>
        <v>190</v>
      </c>
      <c r="N11" s="2">
        <v>190</v>
      </c>
      <c r="O11" s="1"/>
      <c r="P11" s="137" t="e">
        <f t="shared" si="1"/>
        <v>#DIV/0!</v>
      </c>
      <c r="Q11" s="137">
        <f t="shared" si="2"/>
        <v>0</v>
      </c>
      <c r="R11" s="138">
        <f>IF(N11="nio",0,IF(N11&gt;0,VLOOKUP(I11,'3-Productie normen'!A:V,VLOOKUP(N11,'3-Productie normen'!$B$35:$C$56,2,FALSE),FALSE)))/VLOOKUP(B11,'2-Kosten per locatie'!$A$11:$C$18,3,FALSE)</f>
        <v>0</v>
      </c>
      <c r="S11" s="138">
        <f t="shared" si="3"/>
        <v>0</v>
      </c>
      <c r="T11" s="139" t="str">
        <f>VLOOKUP(I11,'3-Productie normen'!A:AF,28,FALSE)</f>
        <v>V</v>
      </c>
      <c r="U11" s="140"/>
      <c r="W11" s="141">
        <f t="shared" si="4"/>
        <v>2616.2999999999997</v>
      </c>
    </row>
    <row r="12" spans="1:23" ht="13.9" customHeight="1">
      <c r="A12" s="118">
        <v>12</v>
      </c>
      <c r="B12" s="49" t="s">
        <v>1677</v>
      </c>
      <c r="C12" s="49" t="s">
        <v>376</v>
      </c>
      <c r="D12" s="133" t="s">
        <v>246</v>
      </c>
      <c r="E12" s="133" t="s">
        <v>380</v>
      </c>
      <c r="F12" s="133"/>
      <c r="G12" s="134" t="s">
        <v>232</v>
      </c>
      <c r="H12" s="134" t="s">
        <v>53</v>
      </c>
      <c r="I12" s="1" t="s">
        <v>233</v>
      </c>
      <c r="J12" s="134" t="s">
        <v>379</v>
      </c>
      <c r="K12" s="134"/>
      <c r="L12" s="135">
        <v>13.77</v>
      </c>
      <c r="M12" s="136">
        <f t="shared" si="0"/>
        <v>190</v>
      </c>
      <c r="N12" s="2">
        <v>190</v>
      </c>
      <c r="O12" s="1"/>
      <c r="P12" s="137" t="e">
        <f t="shared" si="1"/>
        <v>#DIV/0!</v>
      </c>
      <c r="Q12" s="137">
        <f t="shared" si="2"/>
        <v>0</v>
      </c>
      <c r="R12" s="138">
        <f>IF(N12="nio",0,IF(N12&gt;0,VLOOKUP(I12,'3-Productie normen'!A:V,VLOOKUP(N12,'3-Productie normen'!$B$35:$C$56,2,FALSE),FALSE)))/VLOOKUP(B12,'2-Kosten per locatie'!$A$11:$C$18,3,FALSE)</f>
        <v>0</v>
      </c>
      <c r="S12" s="138">
        <f t="shared" si="3"/>
        <v>0</v>
      </c>
      <c r="T12" s="139" t="str">
        <f>VLOOKUP(I12,'3-Productie normen'!A:AF,28,FALSE)</f>
        <v>V</v>
      </c>
      <c r="U12" s="140"/>
      <c r="W12" s="141">
        <f t="shared" si="4"/>
        <v>2616.2999999999997</v>
      </c>
    </row>
    <row r="13" spans="1:23" ht="13.9" customHeight="1">
      <c r="A13" s="132">
        <v>13</v>
      </c>
      <c r="B13" s="49" t="s">
        <v>1677</v>
      </c>
      <c r="C13" s="49" t="s">
        <v>376</v>
      </c>
      <c r="D13" s="133" t="s">
        <v>246</v>
      </c>
      <c r="E13" s="133" t="s">
        <v>381</v>
      </c>
      <c r="F13" s="133"/>
      <c r="G13" s="134" t="s">
        <v>232</v>
      </c>
      <c r="H13" s="134" t="s">
        <v>53</v>
      </c>
      <c r="I13" s="1" t="s">
        <v>233</v>
      </c>
      <c r="J13" s="134" t="s">
        <v>78</v>
      </c>
      <c r="K13" s="1" t="s">
        <v>1522</v>
      </c>
      <c r="L13" s="135">
        <v>7.95</v>
      </c>
      <c r="M13" s="136">
        <f t="shared" si="0"/>
        <v>190</v>
      </c>
      <c r="N13" s="2">
        <v>190</v>
      </c>
      <c r="O13" s="1"/>
      <c r="P13" s="137" t="e">
        <f t="shared" si="1"/>
        <v>#DIV/0!</v>
      </c>
      <c r="Q13" s="137">
        <f t="shared" si="2"/>
        <v>0</v>
      </c>
      <c r="R13" s="138">
        <f>IF(N13="nio",0,IF(N13&gt;0,VLOOKUP(I13,'3-Productie normen'!A:V,VLOOKUP(N13,'3-Productie normen'!$B$35:$C$56,2,FALSE),FALSE)))/VLOOKUP(B13,'2-Kosten per locatie'!$A$11:$C$18,3,FALSE)</f>
        <v>0</v>
      </c>
      <c r="S13" s="138">
        <f t="shared" si="3"/>
        <v>0</v>
      </c>
      <c r="T13" s="139" t="str">
        <f>VLOOKUP(I13,'3-Productie normen'!A:AF,28,FALSE)</f>
        <v>V</v>
      </c>
      <c r="U13" s="140"/>
      <c r="W13" s="141">
        <f t="shared" si="4"/>
        <v>1510.5</v>
      </c>
    </row>
    <row r="14" spans="1:23" ht="13.9" customHeight="1">
      <c r="A14" s="132">
        <v>14</v>
      </c>
      <c r="B14" s="49" t="s">
        <v>1677</v>
      </c>
      <c r="C14" s="49" t="s">
        <v>376</v>
      </c>
      <c r="D14" s="133" t="s">
        <v>246</v>
      </c>
      <c r="E14" s="133" t="s">
        <v>382</v>
      </c>
      <c r="F14" s="133"/>
      <c r="G14" s="134" t="s">
        <v>232</v>
      </c>
      <c r="H14" s="134" t="s">
        <v>54</v>
      </c>
      <c r="I14" s="134" t="s">
        <v>54</v>
      </c>
      <c r="J14" s="134" t="s">
        <v>325</v>
      </c>
      <c r="K14" s="134"/>
      <c r="L14" s="135">
        <v>4</v>
      </c>
      <c r="M14" s="136">
        <f t="shared" si="0"/>
        <v>190</v>
      </c>
      <c r="N14" s="2">
        <v>190</v>
      </c>
      <c r="O14" s="1"/>
      <c r="P14" s="137" t="e">
        <f t="shared" si="1"/>
        <v>#DIV/0!</v>
      </c>
      <c r="Q14" s="137">
        <f t="shared" si="2"/>
        <v>0</v>
      </c>
      <c r="R14" s="138">
        <f>IF(N14="nio",0,IF(N14&gt;0,VLOOKUP(I14,'3-Productie normen'!A:V,VLOOKUP(N14,'3-Productie normen'!$B$35:$C$56,2,FALSE),FALSE)))/VLOOKUP(B14,'2-Kosten per locatie'!$A$11:$C$18,3,FALSE)</f>
        <v>0</v>
      </c>
      <c r="S14" s="138">
        <f t="shared" si="3"/>
        <v>0</v>
      </c>
      <c r="T14" s="139" t="str">
        <f>VLOOKUP(I14,'3-Productie normen'!A:AF,28,FALSE)</f>
        <v>V</v>
      </c>
      <c r="U14" s="140"/>
      <c r="W14" s="141">
        <f t="shared" si="4"/>
        <v>760</v>
      </c>
    </row>
    <row r="15" spans="1:23" ht="13.9" customHeight="1">
      <c r="A15" s="118">
        <v>15</v>
      </c>
      <c r="B15" s="49" t="s">
        <v>1677</v>
      </c>
      <c r="C15" s="49" t="s">
        <v>376</v>
      </c>
      <c r="D15" s="133" t="s">
        <v>246</v>
      </c>
      <c r="E15" s="133" t="s">
        <v>383</v>
      </c>
      <c r="F15" s="133"/>
      <c r="G15" s="134" t="s">
        <v>232</v>
      </c>
      <c r="H15" s="134" t="s">
        <v>53</v>
      </c>
      <c r="I15" s="1" t="s">
        <v>233</v>
      </c>
      <c r="J15" s="134" t="s">
        <v>325</v>
      </c>
      <c r="K15" s="134"/>
      <c r="L15" s="135">
        <v>4.4800000000000004</v>
      </c>
      <c r="M15" s="136">
        <f t="shared" si="0"/>
        <v>190</v>
      </c>
      <c r="N15" s="2">
        <v>190</v>
      </c>
      <c r="O15" s="1"/>
      <c r="P15" s="137" t="e">
        <f t="shared" si="1"/>
        <v>#DIV/0!</v>
      </c>
      <c r="Q15" s="137">
        <f t="shared" si="2"/>
        <v>0</v>
      </c>
      <c r="R15" s="138">
        <f>IF(N15="nio",0,IF(N15&gt;0,VLOOKUP(I15,'3-Productie normen'!A:V,VLOOKUP(N15,'3-Productie normen'!$B$35:$C$56,2,FALSE),FALSE)))/VLOOKUP(B15,'2-Kosten per locatie'!$A$11:$C$18,3,FALSE)</f>
        <v>0</v>
      </c>
      <c r="S15" s="138">
        <f t="shared" si="3"/>
        <v>0</v>
      </c>
      <c r="T15" s="139" t="str">
        <f>VLOOKUP(I15,'3-Productie normen'!A:AF,28,FALSE)</f>
        <v>V</v>
      </c>
      <c r="U15" s="140"/>
      <c r="W15" s="141">
        <f t="shared" si="4"/>
        <v>851.2</v>
      </c>
    </row>
    <row r="16" spans="1:23" ht="13.9" customHeight="1">
      <c r="A16" s="132">
        <v>16</v>
      </c>
      <c r="B16" s="49" t="s">
        <v>1677</v>
      </c>
      <c r="C16" s="49" t="s">
        <v>376</v>
      </c>
      <c r="D16" s="133" t="s">
        <v>246</v>
      </c>
      <c r="E16" s="133" t="s">
        <v>384</v>
      </c>
      <c r="F16" s="133"/>
      <c r="G16" s="134" t="s">
        <v>235</v>
      </c>
      <c r="H16" s="134" t="s">
        <v>52</v>
      </c>
      <c r="I16" s="1" t="s">
        <v>247</v>
      </c>
      <c r="J16" s="134" t="s">
        <v>385</v>
      </c>
      <c r="K16" s="134"/>
      <c r="L16" s="135">
        <v>30.67</v>
      </c>
      <c r="M16" s="136">
        <f t="shared" si="0"/>
        <v>190</v>
      </c>
      <c r="N16" s="2">
        <v>190</v>
      </c>
      <c r="O16" s="1"/>
      <c r="P16" s="137" t="e">
        <f t="shared" si="1"/>
        <v>#DIV/0!</v>
      </c>
      <c r="Q16" s="137">
        <f t="shared" si="2"/>
        <v>0</v>
      </c>
      <c r="R16" s="138">
        <f>IF(N16="nio",0,IF(N16&gt;0,VLOOKUP(I16,'3-Productie normen'!A:V,VLOOKUP(N16,'3-Productie normen'!$B$35:$C$56,2,FALSE),FALSE)))/VLOOKUP(B16,'2-Kosten per locatie'!$A$11:$C$18,3,FALSE)</f>
        <v>0</v>
      </c>
      <c r="S16" s="138">
        <f t="shared" si="3"/>
        <v>0</v>
      </c>
      <c r="T16" s="139" t="str">
        <f>VLOOKUP(I16,'3-Productie normen'!A:AF,28,FALSE)</f>
        <v>V</v>
      </c>
      <c r="U16" s="140"/>
      <c r="W16" s="141">
        <f t="shared" si="4"/>
        <v>5827.3</v>
      </c>
    </row>
    <row r="17" spans="1:23" ht="13.9" customHeight="1">
      <c r="A17" s="132">
        <v>17</v>
      </c>
      <c r="B17" s="49" t="s">
        <v>1677</v>
      </c>
      <c r="C17" s="49" t="s">
        <v>376</v>
      </c>
      <c r="D17" s="133" t="s">
        <v>246</v>
      </c>
      <c r="E17" s="133" t="s">
        <v>386</v>
      </c>
      <c r="F17" s="133"/>
      <c r="G17" s="134" t="s">
        <v>235</v>
      </c>
      <c r="H17" s="134" t="s">
        <v>236</v>
      </c>
      <c r="I17" s="49" t="s">
        <v>1486</v>
      </c>
      <c r="J17" s="134" t="s">
        <v>375</v>
      </c>
      <c r="K17" s="134"/>
      <c r="L17" s="135">
        <v>58.81</v>
      </c>
      <c r="M17" s="136">
        <f t="shared" si="0"/>
        <v>190</v>
      </c>
      <c r="N17" s="2">
        <v>190</v>
      </c>
      <c r="O17" s="1"/>
      <c r="P17" s="137" t="e">
        <f t="shared" si="1"/>
        <v>#DIV/0!</v>
      </c>
      <c r="Q17" s="137">
        <f t="shared" si="2"/>
        <v>0</v>
      </c>
      <c r="R17" s="138">
        <f>IF(N17="nio",0,IF(N17&gt;0,VLOOKUP(I17,'3-Productie normen'!A:V,VLOOKUP(N17,'3-Productie normen'!$B$35:$C$56,2,FALSE),FALSE)))/VLOOKUP(B17,'2-Kosten per locatie'!$A$11:$C$18,3,FALSE)</f>
        <v>0</v>
      </c>
      <c r="S17" s="138">
        <f t="shared" si="3"/>
        <v>0</v>
      </c>
      <c r="T17" s="139" t="str">
        <f>VLOOKUP(I17,'3-Productie normen'!A:AF,28,FALSE)</f>
        <v>V</v>
      </c>
      <c r="U17" s="140"/>
      <c r="W17" s="141">
        <f t="shared" si="4"/>
        <v>11173.9</v>
      </c>
    </row>
    <row r="18" spans="1:23" ht="13.9" customHeight="1">
      <c r="A18" s="118">
        <v>18</v>
      </c>
      <c r="B18" s="49" t="s">
        <v>1677</v>
      </c>
      <c r="C18" s="49" t="s">
        <v>376</v>
      </c>
      <c r="D18" s="133" t="s">
        <v>246</v>
      </c>
      <c r="E18" s="133" t="s">
        <v>387</v>
      </c>
      <c r="F18" s="133"/>
      <c r="G18" s="134" t="s">
        <v>235</v>
      </c>
      <c r="H18" s="134" t="s">
        <v>249</v>
      </c>
      <c r="I18" s="49" t="s">
        <v>1486</v>
      </c>
      <c r="J18" s="134" t="s">
        <v>375</v>
      </c>
      <c r="K18" s="134"/>
      <c r="L18" s="135">
        <v>94.45</v>
      </c>
      <c r="M18" s="136">
        <f t="shared" si="0"/>
        <v>190</v>
      </c>
      <c r="N18" s="2">
        <v>190</v>
      </c>
      <c r="O18" s="1"/>
      <c r="P18" s="137" t="e">
        <f t="shared" si="1"/>
        <v>#DIV/0!</v>
      </c>
      <c r="Q18" s="137">
        <f t="shared" si="2"/>
        <v>0</v>
      </c>
      <c r="R18" s="138">
        <f>IF(N18="nio",0,IF(N18&gt;0,VLOOKUP(I18,'3-Productie normen'!A:V,VLOOKUP(N18,'3-Productie normen'!$B$35:$C$56,2,FALSE),FALSE)))/VLOOKUP(B18,'2-Kosten per locatie'!$A$11:$C$18,3,FALSE)</f>
        <v>0</v>
      </c>
      <c r="S18" s="138">
        <f t="shared" si="3"/>
        <v>0</v>
      </c>
      <c r="T18" s="139" t="str">
        <f>VLOOKUP(I18,'3-Productie normen'!A:AF,28,FALSE)</f>
        <v>V</v>
      </c>
      <c r="U18" s="140"/>
      <c r="W18" s="141">
        <f t="shared" si="4"/>
        <v>17945.5</v>
      </c>
    </row>
    <row r="19" spans="1:23" ht="13.9" customHeight="1">
      <c r="A19" s="132">
        <v>19</v>
      </c>
      <c r="B19" s="49" t="s">
        <v>1677</v>
      </c>
      <c r="C19" s="49" t="s">
        <v>376</v>
      </c>
      <c r="D19" s="133" t="s">
        <v>246</v>
      </c>
      <c r="E19" s="133" t="s">
        <v>388</v>
      </c>
      <c r="F19" s="133"/>
      <c r="G19" s="134" t="s">
        <v>235</v>
      </c>
      <c r="H19" s="134" t="s">
        <v>236</v>
      </c>
      <c r="I19" s="49" t="s">
        <v>1486</v>
      </c>
      <c r="J19" s="134" t="s">
        <v>375</v>
      </c>
      <c r="K19" s="134"/>
      <c r="L19" s="135">
        <v>72.77</v>
      </c>
      <c r="M19" s="136">
        <f t="shared" si="0"/>
        <v>190</v>
      </c>
      <c r="N19" s="2">
        <v>190</v>
      </c>
      <c r="O19" s="1"/>
      <c r="P19" s="137" t="e">
        <f t="shared" si="1"/>
        <v>#DIV/0!</v>
      </c>
      <c r="Q19" s="137">
        <f t="shared" si="2"/>
        <v>0</v>
      </c>
      <c r="R19" s="138">
        <f>IF(N19="nio",0,IF(N19&gt;0,VLOOKUP(I19,'3-Productie normen'!A:V,VLOOKUP(N19,'3-Productie normen'!$B$35:$C$56,2,FALSE),FALSE)))/VLOOKUP(B19,'2-Kosten per locatie'!$A$11:$C$18,3,FALSE)</f>
        <v>0</v>
      </c>
      <c r="S19" s="138">
        <f t="shared" si="3"/>
        <v>0</v>
      </c>
      <c r="T19" s="139" t="str">
        <f>VLOOKUP(I19,'3-Productie normen'!A:AF,28,FALSE)</f>
        <v>V</v>
      </c>
      <c r="U19" s="140"/>
      <c r="W19" s="141">
        <f t="shared" si="4"/>
        <v>13826.3</v>
      </c>
    </row>
    <row r="20" spans="1:23" ht="13.9" customHeight="1">
      <c r="A20" s="132">
        <v>20</v>
      </c>
      <c r="B20" s="49" t="s">
        <v>1677</v>
      </c>
      <c r="C20" s="49" t="s">
        <v>376</v>
      </c>
      <c r="D20" s="133" t="s">
        <v>246</v>
      </c>
      <c r="E20" s="133" t="s">
        <v>389</v>
      </c>
      <c r="F20" s="133"/>
      <c r="G20" s="134" t="s">
        <v>235</v>
      </c>
      <c r="H20" s="134" t="s">
        <v>236</v>
      </c>
      <c r="I20" s="49" t="s">
        <v>1486</v>
      </c>
      <c r="J20" s="134" t="s">
        <v>375</v>
      </c>
      <c r="K20" s="134"/>
      <c r="L20" s="135">
        <v>36.549999999999997</v>
      </c>
      <c r="M20" s="136">
        <f t="shared" si="0"/>
        <v>190</v>
      </c>
      <c r="N20" s="2">
        <v>190</v>
      </c>
      <c r="O20" s="1"/>
      <c r="P20" s="137" t="e">
        <f t="shared" si="1"/>
        <v>#DIV/0!</v>
      </c>
      <c r="Q20" s="137">
        <f t="shared" si="2"/>
        <v>0</v>
      </c>
      <c r="R20" s="138">
        <f>IF(N20="nio",0,IF(N20&gt;0,VLOOKUP(I20,'3-Productie normen'!A:V,VLOOKUP(N20,'3-Productie normen'!$B$35:$C$56,2,FALSE),FALSE)))/VLOOKUP(B20,'2-Kosten per locatie'!$A$11:$C$18,3,FALSE)</f>
        <v>0</v>
      </c>
      <c r="S20" s="138">
        <f t="shared" si="3"/>
        <v>0</v>
      </c>
      <c r="T20" s="139" t="str">
        <f>VLOOKUP(I20,'3-Productie normen'!A:AF,28,FALSE)</f>
        <v>V</v>
      </c>
      <c r="U20" s="140"/>
      <c r="W20" s="141">
        <f t="shared" si="4"/>
        <v>6944.4999999999991</v>
      </c>
    </row>
    <row r="21" spans="1:23" ht="13.9" customHeight="1">
      <c r="A21" s="118">
        <v>21</v>
      </c>
      <c r="B21" s="49" t="s">
        <v>1677</v>
      </c>
      <c r="C21" s="49" t="s">
        <v>376</v>
      </c>
      <c r="D21" s="133" t="s">
        <v>246</v>
      </c>
      <c r="E21" s="133" t="s">
        <v>390</v>
      </c>
      <c r="F21" s="133"/>
      <c r="G21" s="134" t="s">
        <v>235</v>
      </c>
      <c r="H21" s="134" t="s">
        <v>236</v>
      </c>
      <c r="I21" s="49" t="s">
        <v>1486</v>
      </c>
      <c r="J21" s="134" t="s">
        <v>375</v>
      </c>
      <c r="K21" s="134"/>
      <c r="L21" s="135">
        <v>35.61</v>
      </c>
      <c r="M21" s="136">
        <f t="shared" si="0"/>
        <v>190</v>
      </c>
      <c r="N21" s="2">
        <v>190</v>
      </c>
      <c r="O21" s="1"/>
      <c r="P21" s="137" t="e">
        <f t="shared" si="1"/>
        <v>#DIV/0!</v>
      </c>
      <c r="Q21" s="137">
        <f t="shared" si="2"/>
        <v>0</v>
      </c>
      <c r="R21" s="138">
        <f>IF(N21="nio",0,IF(N21&gt;0,VLOOKUP(I21,'3-Productie normen'!A:V,VLOOKUP(N21,'3-Productie normen'!$B$35:$C$56,2,FALSE),FALSE)))/VLOOKUP(B21,'2-Kosten per locatie'!$A$11:$C$18,3,FALSE)</f>
        <v>0</v>
      </c>
      <c r="S21" s="138">
        <f t="shared" si="3"/>
        <v>0</v>
      </c>
      <c r="T21" s="139" t="str">
        <f>VLOOKUP(I21,'3-Productie normen'!A:AF,28,FALSE)</f>
        <v>V</v>
      </c>
      <c r="U21" s="140"/>
      <c r="W21" s="141">
        <f t="shared" si="4"/>
        <v>6765.9</v>
      </c>
    </row>
    <row r="22" spans="1:23" ht="13.9" customHeight="1">
      <c r="A22" s="132">
        <v>22</v>
      </c>
      <c r="B22" s="49" t="s">
        <v>1677</v>
      </c>
      <c r="C22" s="49" t="s">
        <v>376</v>
      </c>
      <c r="D22" s="133" t="s">
        <v>246</v>
      </c>
      <c r="E22" s="133" t="s">
        <v>391</v>
      </c>
      <c r="F22" s="133"/>
      <c r="G22" s="134" t="s">
        <v>235</v>
      </c>
      <c r="H22" s="134" t="s">
        <v>236</v>
      </c>
      <c r="I22" s="49" t="s">
        <v>1486</v>
      </c>
      <c r="J22" s="134" t="s">
        <v>392</v>
      </c>
      <c r="K22" s="134"/>
      <c r="L22" s="135">
        <v>54.28</v>
      </c>
      <c r="M22" s="136">
        <f t="shared" si="0"/>
        <v>190</v>
      </c>
      <c r="N22" s="2">
        <v>190</v>
      </c>
      <c r="O22" s="1"/>
      <c r="P22" s="137" t="e">
        <f t="shared" si="1"/>
        <v>#DIV/0!</v>
      </c>
      <c r="Q22" s="137">
        <f t="shared" si="2"/>
        <v>0</v>
      </c>
      <c r="R22" s="138">
        <f>IF(N22="nio",0,IF(N22&gt;0,VLOOKUP(I22,'3-Productie normen'!A:V,VLOOKUP(N22,'3-Productie normen'!$B$35:$C$56,2,FALSE),FALSE)))/VLOOKUP(B22,'2-Kosten per locatie'!$A$11:$C$18,3,FALSE)</f>
        <v>0</v>
      </c>
      <c r="S22" s="138">
        <f t="shared" si="3"/>
        <v>0</v>
      </c>
      <c r="T22" s="139" t="str">
        <f>VLOOKUP(I22,'3-Productie normen'!A:AF,28,FALSE)</f>
        <v>V</v>
      </c>
      <c r="U22" s="140"/>
      <c r="W22" s="141">
        <f t="shared" si="4"/>
        <v>10313.200000000001</v>
      </c>
    </row>
    <row r="23" spans="1:23" ht="13.9" customHeight="1">
      <c r="A23" s="132">
        <v>23</v>
      </c>
      <c r="B23" s="49" t="s">
        <v>1677</v>
      </c>
      <c r="C23" s="49" t="s">
        <v>376</v>
      </c>
      <c r="D23" s="133" t="s">
        <v>246</v>
      </c>
      <c r="E23" s="133" t="s">
        <v>393</v>
      </c>
      <c r="F23" s="133" t="s">
        <v>394</v>
      </c>
      <c r="G23" s="134" t="s">
        <v>243</v>
      </c>
      <c r="H23" s="134" t="s">
        <v>395</v>
      </c>
      <c r="I23" s="134" t="s">
        <v>285</v>
      </c>
      <c r="J23" s="134" t="s">
        <v>78</v>
      </c>
      <c r="K23" s="1" t="s">
        <v>1522</v>
      </c>
      <c r="L23" s="135">
        <v>89.34</v>
      </c>
      <c r="M23" s="136">
        <f t="shared" ref="M23:M86" si="5">SUM(N23:O23)</f>
        <v>190</v>
      </c>
      <c r="N23" s="2">
        <v>190</v>
      </c>
      <c r="O23" s="1"/>
      <c r="P23" s="137" t="e">
        <f t="shared" ref="P23:P86" si="6">IF(N23="nio",0,IF(N23&gt;0,N23*L23/R23,0))</f>
        <v>#DIV/0!</v>
      </c>
      <c r="Q23" s="137">
        <f t="shared" ref="Q23:Q86" si="7">IF(O23&gt;0,O23*L23/S23,0)</f>
        <v>0</v>
      </c>
      <c r="R23" s="138">
        <f>IF(N23="nio",0,IF(N23&gt;0,VLOOKUP(I23,'3-Productie normen'!A:V,VLOOKUP(N23,'3-Productie normen'!$B$35:$C$56,2,FALSE),FALSE)))/VLOOKUP(B23,'2-Kosten per locatie'!$A$11:$C$18,3,FALSE)</f>
        <v>0</v>
      </c>
      <c r="S23" s="138">
        <f t="shared" ref="S23:S86" si="8">IF(O23&gt;0,R23*$S$8,0)</f>
        <v>0</v>
      </c>
      <c r="T23" s="139" t="str">
        <f>VLOOKUP(I23,'3-Productie normen'!A:AF,28,FALSE)</f>
        <v>L</v>
      </c>
      <c r="U23" s="140"/>
      <c r="W23" s="141">
        <f t="shared" ref="W23:W86" si="9">M23*L23</f>
        <v>16974.600000000002</v>
      </c>
    </row>
    <row r="24" spans="1:23" ht="13.9" customHeight="1">
      <c r="A24" s="118">
        <v>24</v>
      </c>
      <c r="B24" s="49" t="s">
        <v>1677</v>
      </c>
      <c r="C24" s="49" t="s">
        <v>376</v>
      </c>
      <c r="D24" s="133" t="s">
        <v>246</v>
      </c>
      <c r="E24" s="133" t="s">
        <v>396</v>
      </c>
      <c r="F24" s="133"/>
      <c r="G24" s="142" t="s">
        <v>237</v>
      </c>
      <c r="H24" s="134" t="s">
        <v>238</v>
      </c>
      <c r="I24" s="91" t="s">
        <v>239</v>
      </c>
      <c r="J24" s="134" t="s">
        <v>80</v>
      </c>
      <c r="K24" s="134"/>
      <c r="L24" s="135">
        <v>33.130000000000003</v>
      </c>
      <c r="M24" s="136">
        <f t="shared" si="5"/>
        <v>0</v>
      </c>
      <c r="N24" s="2" t="s">
        <v>273</v>
      </c>
      <c r="O24" s="1"/>
      <c r="P24" s="137">
        <f t="shared" si="6"/>
        <v>0</v>
      </c>
      <c r="Q24" s="137">
        <f t="shared" si="7"/>
        <v>0</v>
      </c>
      <c r="R24" s="138">
        <f>IF(N24="nio",0,IF(N24&gt;0,VLOOKUP(I24,'3-Productie normen'!A:V,VLOOKUP(N24,'3-Productie normen'!$B$35:$C$56,2,FALSE),FALSE)))/VLOOKUP(B24,'2-Kosten per locatie'!$A$11:$C$18,3,FALSE)</f>
        <v>0</v>
      </c>
      <c r="S24" s="138">
        <f t="shared" si="8"/>
        <v>0</v>
      </c>
      <c r="T24" s="139">
        <f>VLOOKUP(I24,'3-Productie normen'!A:AF,28,FALSE)</f>
        <v>0</v>
      </c>
      <c r="U24" s="140"/>
      <c r="W24" s="141">
        <f t="shared" si="9"/>
        <v>0</v>
      </c>
    </row>
    <row r="25" spans="1:23" ht="13.9" customHeight="1">
      <c r="A25" s="132">
        <v>25</v>
      </c>
      <c r="B25" s="49" t="s">
        <v>1677</v>
      </c>
      <c r="C25" s="49" t="s">
        <v>376</v>
      </c>
      <c r="D25" s="133" t="s">
        <v>246</v>
      </c>
      <c r="E25" s="133" t="s">
        <v>397</v>
      </c>
      <c r="F25" s="133"/>
      <c r="G25" s="134" t="s">
        <v>243</v>
      </c>
      <c r="H25" s="134" t="s">
        <v>266</v>
      </c>
      <c r="I25" s="134" t="s">
        <v>253</v>
      </c>
      <c r="J25" s="134" t="s">
        <v>375</v>
      </c>
      <c r="K25" s="134"/>
      <c r="L25" s="135">
        <v>159.69</v>
      </c>
      <c r="M25" s="136">
        <f t="shared" si="5"/>
        <v>190</v>
      </c>
      <c r="N25" s="2">
        <v>190</v>
      </c>
      <c r="O25" s="1"/>
      <c r="P25" s="137" t="e">
        <f t="shared" si="6"/>
        <v>#DIV/0!</v>
      </c>
      <c r="Q25" s="137">
        <f t="shared" si="7"/>
        <v>0</v>
      </c>
      <c r="R25" s="138">
        <f>IF(N25="nio",0,IF(N25&gt;0,VLOOKUP(I25,'3-Productie normen'!A:V,VLOOKUP(N25,'3-Productie normen'!$B$35:$C$56,2,FALSE),FALSE)))/VLOOKUP(B25,'2-Kosten per locatie'!$A$11:$C$18,3,FALSE)</f>
        <v>0</v>
      </c>
      <c r="S25" s="138">
        <f t="shared" si="8"/>
        <v>0</v>
      </c>
      <c r="T25" s="139" t="str">
        <f>VLOOKUP(I25,'3-Productie normen'!A:AF,28,FALSE)</f>
        <v>V</v>
      </c>
      <c r="U25" s="140"/>
      <c r="W25" s="141">
        <f t="shared" si="9"/>
        <v>30341.1</v>
      </c>
    </row>
    <row r="26" spans="1:23" ht="13.9" customHeight="1">
      <c r="A26" s="132">
        <v>26</v>
      </c>
      <c r="B26" s="49" t="s">
        <v>1677</v>
      </c>
      <c r="C26" s="49" t="s">
        <v>376</v>
      </c>
      <c r="D26" s="133" t="s">
        <v>246</v>
      </c>
      <c r="E26" s="133" t="s">
        <v>398</v>
      </c>
      <c r="F26" s="133" t="s">
        <v>399</v>
      </c>
      <c r="G26" s="134" t="s">
        <v>242</v>
      </c>
      <c r="H26" s="134" t="s">
        <v>242</v>
      </c>
      <c r="I26" s="1" t="s">
        <v>242</v>
      </c>
      <c r="J26" s="134" t="s">
        <v>379</v>
      </c>
      <c r="K26" s="134"/>
      <c r="L26" s="135">
        <v>8.02</v>
      </c>
      <c r="M26" s="136">
        <f t="shared" si="5"/>
        <v>2</v>
      </c>
      <c r="N26" s="2">
        <v>2</v>
      </c>
      <c r="O26" s="1"/>
      <c r="P26" s="137" t="e">
        <f t="shared" si="6"/>
        <v>#DIV/0!</v>
      </c>
      <c r="Q26" s="137">
        <f t="shared" si="7"/>
        <v>0</v>
      </c>
      <c r="R26" s="138">
        <f>IF(N26="nio",0,IF(N26&gt;0,VLOOKUP(I26,'3-Productie normen'!A:V,VLOOKUP(N26,'3-Productie normen'!$B$35:$C$56,2,FALSE),FALSE)))/VLOOKUP(B26,'2-Kosten per locatie'!$A$11:$C$18,3,FALSE)</f>
        <v>0</v>
      </c>
      <c r="S26" s="138">
        <f t="shared" si="8"/>
        <v>0</v>
      </c>
      <c r="T26" s="139" t="str">
        <f>VLOOKUP(I26,'3-Productie normen'!A:AF,28,FALSE)</f>
        <v>V</v>
      </c>
      <c r="U26" s="140"/>
      <c r="W26" s="141">
        <f t="shared" si="9"/>
        <v>16.04</v>
      </c>
    </row>
    <row r="27" spans="1:23" ht="13.9" customHeight="1">
      <c r="A27" s="118">
        <v>27</v>
      </c>
      <c r="B27" s="49" t="s">
        <v>1677</v>
      </c>
      <c r="C27" s="49" t="s">
        <v>376</v>
      </c>
      <c r="D27" s="133" t="s">
        <v>246</v>
      </c>
      <c r="E27" s="133" t="s">
        <v>400</v>
      </c>
      <c r="F27" s="133" t="s">
        <v>401</v>
      </c>
      <c r="G27" s="134" t="s">
        <v>242</v>
      </c>
      <c r="H27" s="134" t="s">
        <v>242</v>
      </c>
      <c r="I27" s="1" t="s">
        <v>242</v>
      </c>
      <c r="J27" s="134" t="s">
        <v>78</v>
      </c>
      <c r="K27" s="1" t="s">
        <v>1522</v>
      </c>
      <c r="L27" s="135">
        <v>22.92</v>
      </c>
      <c r="M27" s="136">
        <f t="shared" si="5"/>
        <v>2</v>
      </c>
      <c r="N27" s="2">
        <v>2</v>
      </c>
      <c r="O27" s="1"/>
      <c r="P27" s="137" t="e">
        <f t="shared" si="6"/>
        <v>#DIV/0!</v>
      </c>
      <c r="Q27" s="137">
        <f t="shared" si="7"/>
        <v>0</v>
      </c>
      <c r="R27" s="138">
        <f>IF(N27="nio",0,IF(N27&gt;0,VLOOKUP(I27,'3-Productie normen'!A:V,VLOOKUP(N27,'3-Productie normen'!$B$35:$C$56,2,FALSE),FALSE)))/VLOOKUP(B27,'2-Kosten per locatie'!$A$11:$C$18,3,FALSE)</f>
        <v>0</v>
      </c>
      <c r="S27" s="138">
        <f t="shared" si="8"/>
        <v>0</v>
      </c>
      <c r="T27" s="139" t="str">
        <f>VLOOKUP(I27,'3-Productie normen'!A:AF,28,FALSE)</f>
        <v>V</v>
      </c>
      <c r="U27" s="140"/>
      <c r="W27" s="141">
        <f t="shared" si="9"/>
        <v>45.84</v>
      </c>
    </row>
    <row r="28" spans="1:23" ht="13.9" customHeight="1">
      <c r="A28" s="132">
        <v>28</v>
      </c>
      <c r="B28" s="49" t="s">
        <v>1677</v>
      </c>
      <c r="C28" s="49" t="s">
        <v>376</v>
      </c>
      <c r="D28" s="133" t="s">
        <v>246</v>
      </c>
      <c r="E28" s="133" t="s">
        <v>402</v>
      </c>
      <c r="F28" s="133" t="s">
        <v>403</v>
      </c>
      <c r="G28" s="134" t="s">
        <v>242</v>
      </c>
      <c r="H28" s="134" t="s">
        <v>242</v>
      </c>
      <c r="I28" s="1" t="s">
        <v>242</v>
      </c>
      <c r="J28" s="134" t="s">
        <v>78</v>
      </c>
      <c r="K28" s="1" t="s">
        <v>1522</v>
      </c>
      <c r="L28" s="135">
        <v>39.159999999999997</v>
      </c>
      <c r="M28" s="136">
        <f t="shared" si="5"/>
        <v>2</v>
      </c>
      <c r="N28" s="2">
        <v>2</v>
      </c>
      <c r="O28" s="1"/>
      <c r="P28" s="137" t="e">
        <f t="shared" si="6"/>
        <v>#DIV/0!</v>
      </c>
      <c r="Q28" s="137">
        <f t="shared" si="7"/>
        <v>0</v>
      </c>
      <c r="R28" s="138">
        <f>IF(N28="nio",0,IF(N28&gt;0,VLOOKUP(I28,'3-Productie normen'!A:V,VLOOKUP(N28,'3-Productie normen'!$B$35:$C$56,2,FALSE),FALSE)))/VLOOKUP(B28,'2-Kosten per locatie'!$A$11:$C$18,3,FALSE)</f>
        <v>0</v>
      </c>
      <c r="S28" s="138">
        <f t="shared" si="8"/>
        <v>0</v>
      </c>
      <c r="T28" s="139" t="str">
        <f>VLOOKUP(I28,'3-Productie normen'!A:AF,28,FALSE)</f>
        <v>V</v>
      </c>
      <c r="U28" s="140"/>
      <c r="W28" s="141">
        <f t="shared" si="9"/>
        <v>78.319999999999993</v>
      </c>
    </row>
    <row r="29" spans="1:23" ht="13.9" customHeight="1">
      <c r="A29" s="132">
        <v>29</v>
      </c>
      <c r="B29" s="49" t="s">
        <v>1677</v>
      </c>
      <c r="C29" s="49" t="s">
        <v>376</v>
      </c>
      <c r="D29" s="133" t="s">
        <v>246</v>
      </c>
      <c r="E29" s="133" t="s">
        <v>404</v>
      </c>
      <c r="F29" s="133"/>
      <c r="G29" s="142" t="s">
        <v>44</v>
      </c>
      <c r="H29" s="134" t="s">
        <v>255</v>
      </c>
      <c r="I29" s="134" t="s">
        <v>239</v>
      </c>
      <c r="J29" s="134" t="s">
        <v>78</v>
      </c>
      <c r="K29" s="134"/>
      <c r="L29" s="135">
        <v>4.42</v>
      </c>
      <c r="M29" s="136">
        <f t="shared" si="5"/>
        <v>0</v>
      </c>
      <c r="N29" s="2" t="s">
        <v>273</v>
      </c>
      <c r="O29" s="1"/>
      <c r="P29" s="137">
        <f t="shared" si="6"/>
        <v>0</v>
      </c>
      <c r="Q29" s="137">
        <f t="shared" si="7"/>
        <v>0</v>
      </c>
      <c r="R29" s="138">
        <f>IF(N29="nio",0,IF(N29&gt;0,VLOOKUP(I29,'3-Productie normen'!A:V,VLOOKUP(N29,'3-Productie normen'!$B$35:$C$56,2,FALSE),FALSE)))/VLOOKUP(B29,'2-Kosten per locatie'!$A$11:$C$18,3,FALSE)</f>
        <v>0</v>
      </c>
      <c r="S29" s="138">
        <f t="shared" si="8"/>
        <v>0</v>
      </c>
      <c r="T29" s="139">
        <f>VLOOKUP(I29,'3-Productie normen'!A:AF,28,FALSE)</f>
        <v>0</v>
      </c>
      <c r="U29" s="140"/>
      <c r="W29" s="141">
        <f t="shared" si="9"/>
        <v>0</v>
      </c>
    </row>
    <row r="30" spans="1:23" ht="13.9" customHeight="1">
      <c r="A30" s="118">
        <v>30</v>
      </c>
      <c r="B30" s="49" t="s">
        <v>1677</v>
      </c>
      <c r="C30" s="49" t="s">
        <v>376</v>
      </c>
      <c r="D30" s="133" t="s">
        <v>246</v>
      </c>
      <c r="E30" s="133" t="s">
        <v>405</v>
      </c>
      <c r="F30" s="133" t="s">
        <v>406</v>
      </c>
      <c r="G30" s="142" t="s">
        <v>237</v>
      </c>
      <c r="H30" s="134" t="s">
        <v>407</v>
      </c>
      <c r="I30" s="91" t="s">
        <v>239</v>
      </c>
      <c r="J30" s="134" t="s">
        <v>379</v>
      </c>
      <c r="K30" s="134"/>
      <c r="L30" s="135">
        <v>3.31</v>
      </c>
      <c r="M30" s="136">
        <f t="shared" si="5"/>
        <v>0</v>
      </c>
      <c r="N30" s="2" t="s">
        <v>273</v>
      </c>
      <c r="O30" s="1"/>
      <c r="P30" s="137">
        <f t="shared" si="6"/>
        <v>0</v>
      </c>
      <c r="Q30" s="137">
        <f t="shared" si="7"/>
        <v>0</v>
      </c>
      <c r="R30" s="138">
        <f>IF(N30="nio",0,IF(N30&gt;0,VLOOKUP(I30,'3-Productie normen'!A:V,VLOOKUP(N30,'3-Productie normen'!$B$35:$C$56,2,FALSE),FALSE)))/VLOOKUP(B30,'2-Kosten per locatie'!$A$11:$C$18,3,FALSE)</f>
        <v>0</v>
      </c>
      <c r="S30" s="138">
        <f t="shared" si="8"/>
        <v>0</v>
      </c>
      <c r="T30" s="139">
        <f>VLOOKUP(I30,'3-Productie normen'!A:AF,28,FALSE)</f>
        <v>0</v>
      </c>
      <c r="U30" s="140"/>
      <c r="W30" s="141">
        <f t="shared" si="9"/>
        <v>0</v>
      </c>
    </row>
    <row r="31" spans="1:23" ht="13.9" customHeight="1">
      <c r="A31" s="132">
        <v>31</v>
      </c>
      <c r="B31" s="49" t="s">
        <v>1677</v>
      </c>
      <c r="C31" s="49" t="s">
        <v>376</v>
      </c>
      <c r="D31" s="133" t="s">
        <v>246</v>
      </c>
      <c r="E31" s="133" t="s">
        <v>408</v>
      </c>
      <c r="F31" s="133" t="s">
        <v>409</v>
      </c>
      <c r="G31" s="134" t="s">
        <v>279</v>
      </c>
      <c r="H31" s="134" t="s">
        <v>280</v>
      </c>
      <c r="I31" s="1" t="s">
        <v>242</v>
      </c>
      <c r="J31" s="134" t="s">
        <v>379</v>
      </c>
      <c r="K31" s="134"/>
      <c r="L31" s="135">
        <v>30</v>
      </c>
      <c r="M31" s="136">
        <f t="shared" si="5"/>
        <v>2</v>
      </c>
      <c r="N31" s="2">
        <v>2</v>
      </c>
      <c r="O31" s="1"/>
      <c r="P31" s="137" t="e">
        <f t="shared" si="6"/>
        <v>#DIV/0!</v>
      </c>
      <c r="Q31" s="137">
        <f t="shared" si="7"/>
        <v>0</v>
      </c>
      <c r="R31" s="138">
        <f>IF(N31="nio",0,IF(N31&gt;0,VLOOKUP(I31,'3-Productie normen'!A:V,VLOOKUP(N31,'3-Productie normen'!$B$35:$C$56,2,FALSE),FALSE)))/VLOOKUP(B31,'2-Kosten per locatie'!$A$11:$C$18,3,FALSE)</f>
        <v>0</v>
      </c>
      <c r="S31" s="138">
        <f t="shared" si="8"/>
        <v>0</v>
      </c>
      <c r="T31" s="139" t="str">
        <f>VLOOKUP(I31,'3-Productie normen'!A:AF,28,FALSE)</f>
        <v>V</v>
      </c>
      <c r="U31" s="140"/>
      <c r="W31" s="141">
        <f t="shared" si="9"/>
        <v>60</v>
      </c>
    </row>
    <row r="32" spans="1:23" ht="13.9" customHeight="1">
      <c r="A32" s="132">
        <v>32</v>
      </c>
      <c r="B32" s="49" t="s">
        <v>1677</v>
      </c>
      <c r="C32" s="49" t="s">
        <v>376</v>
      </c>
      <c r="D32" s="133" t="s">
        <v>246</v>
      </c>
      <c r="E32" s="133" t="s">
        <v>410</v>
      </c>
      <c r="F32" s="133"/>
      <c r="G32" s="134" t="s">
        <v>242</v>
      </c>
      <c r="H32" s="134" t="s">
        <v>242</v>
      </c>
      <c r="I32" s="1" t="s">
        <v>242</v>
      </c>
      <c r="J32" s="134" t="s">
        <v>375</v>
      </c>
      <c r="K32" s="134"/>
      <c r="L32" s="135">
        <v>4.03</v>
      </c>
      <c r="M32" s="136">
        <f t="shared" si="5"/>
        <v>2</v>
      </c>
      <c r="N32" s="2">
        <v>2</v>
      </c>
      <c r="O32" s="1"/>
      <c r="P32" s="137" t="e">
        <f t="shared" si="6"/>
        <v>#DIV/0!</v>
      </c>
      <c r="Q32" s="137">
        <f t="shared" si="7"/>
        <v>0</v>
      </c>
      <c r="R32" s="138">
        <f>IF(N32="nio",0,IF(N32&gt;0,VLOOKUP(I32,'3-Productie normen'!A:V,VLOOKUP(N32,'3-Productie normen'!$B$35:$C$56,2,FALSE),FALSE)))/VLOOKUP(B32,'2-Kosten per locatie'!$A$11:$C$18,3,FALSE)</f>
        <v>0</v>
      </c>
      <c r="S32" s="138">
        <f t="shared" si="8"/>
        <v>0</v>
      </c>
      <c r="T32" s="139" t="str">
        <f>VLOOKUP(I32,'3-Productie normen'!A:AF,28,FALSE)</f>
        <v>V</v>
      </c>
      <c r="U32" s="140"/>
      <c r="W32" s="141">
        <f t="shared" si="9"/>
        <v>8.06</v>
      </c>
    </row>
    <row r="33" spans="1:23" ht="13.9" customHeight="1">
      <c r="A33" s="118">
        <v>33</v>
      </c>
      <c r="B33" s="49" t="s">
        <v>1677</v>
      </c>
      <c r="C33" s="49" t="s">
        <v>376</v>
      </c>
      <c r="D33" s="133" t="s">
        <v>246</v>
      </c>
      <c r="E33" s="133" t="s">
        <v>411</v>
      </c>
      <c r="F33" s="133"/>
      <c r="G33" s="134" t="s">
        <v>242</v>
      </c>
      <c r="H33" s="134" t="s">
        <v>242</v>
      </c>
      <c r="I33" s="1" t="s">
        <v>242</v>
      </c>
      <c r="J33" s="134" t="s">
        <v>375</v>
      </c>
      <c r="K33" s="134"/>
      <c r="L33" s="135">
        <v>3.78</v>
      </c>
      <c r="M33" s="136">
        <f t="shared" si="5"/>
        <v>2</v>
      </c>
      <c r="N33" s="2">
        <v>2</v>
      </c>
      <c r="O33" s="1"/>
      <c r="P33" s="137" t="e">
        <f t="shared" si="6"/>
        <v>#DIV/0!</v>
      </c>
      <c r="Q33" s="137">
        <f t="shared" si="7"/>
        <v>0</v>
      </c>
      <c r="R33" s="138">
        <f>IF(N33="nio",0,IF(N33&gt;0,VLOOKUP(I33,'3-Productie normen'!A:V,VLOOKUP(N33,'3-Productie normen'!$B$35:$C$56,2,FALSE),FALSE)))/VLOOKUP(B33,'2-Kosten per locatie'!$A$11:$C$18,3,FALSE)</f>
        <v>0</v>
      </c>
      <c r="S33" s="138">
        <f t="shared" si="8"/>
        <v>0</v>
      </c>
      <c r="T33" s="139" t="str">
        <f>VLOOKUP(I33,'3-Productie normen'!A:AF,28,FALSE)</f>
        <v>V</v>
      </c>
      <c r="U33" s="140"/>
      <c r="W33" s="141">
        <f t="shared" si="9"/>
        <v>7.56</v>
      </c>
    </row>
    <row r="34" spans="1:23" ht="13.9" customHeight="1">
      <c r="A34" s="132">
        <v>34</v>
      </c>
      <c r="B34" s="49" t="s">
        <v>1677</v>
      </c>
      <c r="C34" s="49" t="s">
        <v>376</v>
      </c>
      <c r="D34" s="133" t="s">
        <v>246</v>
      </c>
      <c r="E34" s="133" t="s">
        <v>412</v>
      </c>
      <c r="F34" s="133" t="s">
        <v>413</v>
      </c>
      <c r="G34" s="142" t="s">
        <v>237</v>
      </c>
      <c r="H34" s="134" t="s">
        <v>238</v>
      </c>
      <c r="I34" s="91" t="s">
        <v>239</v>
      </c>
      <c r="J34" s="134" t="s">
        <v>379</v>
      </c>
      <c r="K34" s="134"/>
      <c r="L34" s="135">
        <v>5.66</v>
      </c>
      <c r="M34" s="136">
        <f t="shared" si="5"/>
        <v>0</v>
      </c>
      <c r="N34" s="2" t="s">
        <v>273</v>
      </c>
      <c r="O34" s="1"/>
      <c r="P34" s="137">
        <f t="shared" si="6"/>
        <v>0</v>
      </c>
      <c r="Q34" s="137">
        <f t="shared" si="7"/>
        <v>0</v>
      </c>
      <c r="R34" s="138">
        <f>IF(N34="nio",0,IF(N34&gt;0,VLOOKUP(I34,'3-Productie normen'!A:V,VLOOKUP(N34,'3-Productie normen'!$B$35:$C$56,2,FALSE),FALSE)))/VLOOKUP(B34,'2-Kosten per locatie'!$A$11:$C$18,3,FALSE)</f>
        <v>0</v>
      </c>
      <c r="S34" s="138">
        <f t="shared" si="8"/>
        <v>0</v>
      </c>
      <c r="T34" s="139">
        <f>VLOOKUP(I34,'3-Productie normen'!A:AF,28,FALSE)</f>
        <v>0</v>
      </c>
      <c r="U34" s="140"/>
      <c r="W34" s="141">
        <f t="shared" si="9"/>
        <v>0</v>
      </c>
    </row>
    <row r="35" spans="1:23" ht="13.9" customHeight="1">
      <c r="A35" s="132">
        <v>35</v>
      </c>
      <c r="B35" s="49" t="s">
        <v>1677</v>
      </c>
      <c r="C35" s="49" t="s">
        <v>376</v>
      </c>
      <c r="D35" s="133" t="s">
        <v>246</v>
      </c>
      <c r="E35" s="133" t="s">
        <v>414</v>
      </c>
      <c r="F35" s="133"/>
      <c r="G35" s="142" t="s">
        <v>237</v>
      </c>
      <c r="H35" s="134" t="s">
        <v>278</v>
      </c>
      <c r="I35" s="91" t="s">
        <v>239</v>
      </c>
      <c r="J35" s="134" t="s">
        <v>379</v>
      </c>
      <c r="K35" s="134"/>
      <c r="L35" s="135">
        <v>10.36</v>
      </c>
      <c r="M35" s="136">
        <f t="shared" si="5"/>
        <v>0</v>
      </c>
      <c r="N35" s="2" t="s">
        <v>273</v>
      </c>
      <c r="O35" s="1"/>
      <c r="P35" s="137">
        <f t="shared" si="6"/>
        <v>0</v>
      </c>
      <c r="Q35" s="137">
        <f t="shared" si="7"/>
        <v>0</v>
      </c>
      <c r="R35" s="138">
        <f>IF(N35="nio",0,IF(N35&gt;0,VLOOKUP(I35,'3-Productie normen'!A:V,VLOOKUP(N35,'3-Productie normen'!$B$35:$C$56,2,FALSE),FALSE)))/VLOOKUP(B35,'2-Kosten per locatie'!$A$11:$C$18,3,FALSE)</f>
        <v>0</v>
      </c>
      <c r="S35" s="138">
        <f t="shared" si="8"/>
        <v>0</v>
      </c>
      <c r="T35" s="139">
        <f>VLOOKUP(I35,'3-Productie normen'!A:AF,28,FALSE)</f>
        <v>0</v>
      </c>
      <c r="U35" s="140"/>
      <c r="W35" s="141">
        <f t="shared" si="9"/>
        <v>0</v>
      </c>
    </row>
    <row r="36" spans="1:23" ht="13.9" customHeight="1">
      <c r="A36" s="118">
        <v>36</v>
      </c>
      <c r="B36" s="49" t="s">
        <v>1677</v>
      </c>
      <c r="C36" s="49" t="s">
        <v>376</v>
      </c>
      <c r="D36" s="133" t="s">
        <v>246</v>
      </c>
      <c r="E36" s="133" t="s">
        <v>415</v>
      </c>
      <c r="F36" s="133" t="s">
        <v>416</v>
      </c>
      <c r="G36" s="142" t="s">
        <v>44</v>
      </c>
      <c r="H36" s="134" t="s">
        <v>255</v>
      </c>
      <c r="I36" s="134" t="s">
        <v>239</v>
      </c>
      <c r="J36" s="134" t="s">
        <v>379</v>
      </c>
      <c r="K36" s="134"/>
      <c r="L36" s="135">
        <v>8.02</v>
      </c>
      <c r="M36" s="136">
        <f t="shared" si="5"/>
        <v>0</v>
      </c>
      <c r="N36" s="2" t="s">
        <v>273</v>
      </c>
      <c r="O36" s="1"/>
      <c r="P36" s="137">
        <f t="shared" si="6"/>
        <v>0</v>
      </c>
      <c r="Q36" s="137">
        <f t="shared" si="7"/>
        <v>0</v>
      </c>
      <c r="R36" s="138">
        <f>IF(N36="nio",0,IF(N36&gt;0,VLOOKUP(I36,'3-Productie normen'!A:V,VLOOKUP(N36,'3-Productie normen'!$B$35:$C$56,2,FALSE),FALSE)))/VLOOKUP(B36,'2-Kosten per locatie'!$A$11:$C$18,3,FALSE)</f>
        <v>0</v>
      </c>
      <c r="S36" s="138">
        <f t="shared" si="8"/>
        <v>0</v>
      </c>
      <c r="T36" s="139">
        <f>VLOOKUP(I36,'3-Productie normen'!A:AF,28,FALSE)</f>
        <v>0</v>
      </c>
      <c r="U36" s="140"/>
      <c r="W36" s="141">
        <f t="shared" si="9"/>
        <v>0</v>
      </c>
    </row>
    <row r="37" spans="1:23" ht="13.9" customHeight="1">
      <c r="A37" s="132">
        <v>37</v>
      </c>
      <c r="B37" s="49" t="s">
        <v>1677</v>
      </c>
      <c r="C37" s="49" t="s">
        <v>376</v>
      </c>
      <c r="D37" s="133" t="s">
        <v>246</v>
      </c>
      <c r="E37" s="133" t="s">
        <v>417</v>
      </c>
      <c r="F37" s="133" t="s">
        <v>418</v>
      </c>
      <c r="G37" s="134" t="s">
        <v>242</v>
      </c>
      <c r="H37" s="134" t="s">
        <v>242</v>
      </c>
      <c r="I37" s="1" t="s">
        <v>242</v>
      </c>
      <c r="J37" s="134" t="s">
        <v>375</v>
      </c>
      <c r="K37" s="134"/>
      <c r="L37" s="135">
        <v>32.06</v>
      </c>
      <c r="M37" s="136">
        <f t="shared" si="5"/>
        <v>2</v>
      </c>
      <c r="N37" s="2">
        <v>2</v>
      </c>
      <c r="O37" s="1"/>
      <c r="P37" s="137" t="e">
        <f t="shared" si="6"/>
        <v>#DIV/0!</v>
      </c>
      <c r="Q37" s="137">
        <f t="shared" si="7"/>
        <v>0</v>
      </c>
      <c r="R37" s="138">
        <f>IF(N37="nio",0,IF(N37&gt;0,VLOOKUP(I37,'3-Productie normen'!A:V,VLOOKUP(N37,'3-Productie normen'!$B$35:$C$56,2,FALSE),FALSE)))/VLOOKUP(B37,'2-Kosten per locatie'!$A$11:$C$18,3,FALSE)</f>
        <v>0</v>
      </c>
      <c r="S37" s="138">
        <f t="shared" si="8"/>
        <v>0</v>
      </c>
      <c r="T37" s="139" t="str">
        <f>VLOOKUP(I37,'3-Productie normen'!A:AF,28,FALSE)</f>
        <v>V</v>
      </c>
      <c r="U37" s="140"/>
      <c r="W37" s="141">
        <f t="shared" si="9"/>
        <v>64.12</v>
      </c>
    </row>
    <row r="38" spans="1:23" ht="13.9" customHeight="1">
      <c r="A38" s="132">
        <v>38</v>
      </c>
      <c r="B38" s="49" t="s">
        <v>1677</v>
      </c>
      <c r="C38" s="49" t="s">
        <v>376</v>
      </c>
      <c r="D38" s="133" t="s">
        <v>246</v>
      </c>
      <c r="E38" s="133" t="s">
        <v>419</v>
      </c>
      <c r="F38" s="133" t="s">
        <v>420</v>
      </c>
      <c r="G38" s="134" t="s">
        <v>242</v>
      </c>
      <c r="H38" s="134" t="s">
        <v>242</v>
      </c>
      <c r="I38" s="1" t="s">
        <v>242</v>
      </c>
      <c r="J38" s="134" t="s">
        <v>78</v>
      </c>
      <c r="K38" s="1" t="s">
        <v>1522</v>
      </c>
      <c r="L38" s="135">
        <v>18.72</v>
      </c>
      <c r="M38" s="136">
        <f t="shared" si="5"/>
        <v>2</v>
      </c>
      <c r="N38" s="2">
        <v>2</v>
      </c>
      <c r="O38" s="1"/>
      <c r="P38" s="137" t="e">
        <f t="shared" si="6"/>
        <v>#DIV/0!</v>
      </c>
      <c r="Q38" s="137">
        <f t="shared" si="7"/>
        <v>0</v>
      </c>
      <c r="R38" s="138">
        <f>IF(N38="nio",0,IF(N38&gt;0,VLOOKUP(I38,'3-Productie normen'!A:V,VLOOKUP(N38,'3-Productie normen'!$B$35:$C$56,2,FALSE),FALSE)))/VLOOKUP(B38,'2-Kosten per locatie'!$A$11:$C$18,3,FALSE)</f>
        <v>0</v>
      </c>
      <c r="S38" s="138">
        <f t="shared" si="8"/>
        <v>0</v>
      </c>
      <c r="T38" s="139" t="str">
        <f>VLOOKUP(I38,'3-Productie normen'!A:AF,28,FALSE)</f>
        <v>V</v>
      </c>
      <c r="U38" s="140"/>
      <c r="W38" s="141">
        <f t="shared" si="9"/>
        <v>37.44</v>
      </c>
    </row>
    <row r="39" spans="1:23" ht="13.9" customHeight="1">
      <c r="A39" s="118">
        <v>39</v>
      </c>
      <c r="B39" s="49" t="s">
        <v>1677</v>
      </c>
      <c r="C39" s="49" t="s">
        <v>376</v>
      </c>
      <c r="D39" s="133" t="s">
        <v>246</v>
      </c>
      <c r="E39" s="133" t="s">
        <v>421</v>
      </c>
      <c r="F39" s="133"/>
      <c r="G39" s="142" t="s">
        <v>237</v>
      </c>
      <c r="H39" s="134" t="s">
        <v>257</v>
      </c>
      <c r="I39" s="91" t="s">
        <v>239</v>
      </c>
      <c r="J39" s="134" t="s">
        <v>231</v>
      </c>
      <c r="K39" s="134"/>
      <c r="L39" s="135">
        <v>0</v>
      </c>
      <c r="M39" s="136">
        <f t="shared" si="5"/>
        <v>0</v>
      </c>
      <c r="N39" s="2" t="s">
        <v>273</v>
      </c>
      <c r="O39" s="1"/>
      <c r="P39" s="137">
        <f t="shared" si="6"/>
        <v>0</v>
      </c>
      <c r="Q39" s="137">
        <f t="shared" si="7"/>
        <v>0</v>
      </c>
      <c r="R39" s="138">
        <f>IF(N39="nio",0,IF(N39&gt;0,VLOOKUP(I39,'3-Productie normen'!A:V,VLOOKUP(N39,'3-Productie normen'!$B$35:$C$56,2,FALSE),FALSE)))/VLOOKUP(B39,'2-Kosten per locatie'!$A$11:$C$18,3,FALSE)</f>
        <v>0</v>
      </c>
      <c r="S39" s="138">
        <f t="shared" si="8"/>
        <v>0</v>
      </c>
      <c r="T39" s="139">
        <f>VLOOKUP(I39,'3-Productie normen'!A:AF,28,FALSE)</f>
        <v>0</v>
      </c>
      <c r="U39" s="140"/>
      <c r="W39" s="141">
        <f t="shared" si="9"/>
        <v>0</v>
      </c>
    </row>
    <row r="40" spans="1:23" ht="13.9" customHeight="1">
      <c r="A40" s="132">
        <v>40</v>
      </c>
      <c r="B40" s="49" t="s">
        <v>1677</v>
      </c>
      <c r="C40" s="49" t="s">
        <v>376</v>
      </c>
      <c r="D40" s="133" t="s">
        <v>246</v>
      </c>
      <c r="E40" s="133" t="s">
        <v>422</v>
      </c>
      <c r="F40" s="133"/>
      <c r="G40" s="142" t="s">
        <v>237</v>
      </c>
      <c r="H40" s="134" t="s">
        <v>257</v>
      </c>
      <c r="I40" s="91" t="s">
        <v>239</v>
      </c>
      <c r="J40" s="134" t="s">
        <v>375</v>
      </c>
      <c r="K40" s="134"/>
      <c r="L40" s="135">
        <v>1.1499999999999999</v>
      </c>
      <c r="M40" s="136">
        <f t="shared" si="5"/>
        <v>0</v>
      </c>
      <c r="N40" s="2" t="s">
        <v>273</v>
      </c>
      <c r="O40" s="1"/>
      <c r="P40" s="137">
        <f t="shared" si="6"/>
        <v>0</v>
      </c>
      <c r="Q40" s="137">
        <f t="shared" si="7"/>
        <v>0</v>
      </c>
      <c r="R40" s="138">
        <f>IF(N40="nio",0,IF(N40&gt;0,VLOOKUP(I40,'3-Productie normen'!A:V,VLOOKUP(N40,'3-Productie normen'!$B$35:$C$56,2,FALSE),FALSE)))/VLOOKUP(B40,'2-Kosten per locatie'!$A$11:$C$18,3,FALSE)</f>
        <v>0</v>
      </c>
      <c r="S40" s="138">
        <f t="shared" si="8"/>
        <v>0</v>
      </c>
      <c r="T40" s="139">
        <f>VLOOKUP(I40,'3-Productie normen'!A:AF,28,FALSE)</f>
        <v>0</v>
      </c>
      <c r="U40" s="140"/>
      <c r="W40" s="141">
        <f t="shared" si="9"/>
        <v>0</v>
      </c>
    </row>
    <row r="41" spans="1:23" ht="13.9" customHeight="1">
      <c r="A41" s="132">
        <v>41</v>
      </c>
      <c r="B41" s="49" t="s">
        <v>1677</v>
      </c>
      <c r="C41" s="49" t="s">
        <v>376</v>
      </c>
      <c r="D41" s="133" t="s">
        <v>246</v>
      </c>
      <c r="E41" s="133" t="s">
        <v>423</v>
      </c>
      <c r="F41" s="133"/>
      <c r="G41" s="142" t="s">
        <v>237</v>
      </c>
      <c r="H41" s="134" t="s">
        <v>257</v>
      </c>
      <c r="I41" s="91" t="s">
        <v>239</v>
      </c>
      <c r="J41" s="134" t="s">
        <v>231</v>
      </c>
      <c r="K41" s="134"/>
      <c r="L41" s="135">
        <v>0</v>
      </c>
      <c r="M41" s="136">
        <f t="shared" si="5"/>
        <v>0</v>
      </c>
      <c r="N41" s="2" t="s">
        <v>273</v>
      </c>
      <c r="O41" s="1"/>
      <c r="P41" s="137">
        <f t="shared" si="6"/>
        <v>0</v>
      </c>
      <c r="Q41" s="137">
        <f t="shared" si="7"/>
        <v>0</v>
      </c>
      <c r="R41" s="138">
        <f>IF(N41="nio",0,IF(N41&gt;0,VLOOKUP(I41,'3-Productie normen'!A:V,VLOOKUP(N41,'3-Productie normen'!$B$35:$C$56,2,FALSE),FALSE)))/VLOOKUP(B41,'2-Kosten per locatie'!$A$11:$C$18,3,FALSE)</f>
        <v>0</v>
      </c>
      <c r="S41" s="138">
        <f t="shared" si="8"/>
        <v>0</v>
      </c>
      <c r="T41" s="139">
        <f>VLOOKUP(I41,'3-Productie normen'!A:AF,28,FALSE)</f>
        <v>0</v>
      </c>
      <c r="U41" s="140"/>
      <c r="W41" s="141">
        <f t="shared" si="9"/>
        <v>0</v>
      </c>
    </row>
    <row r="42" spans="1:23" ht="13.9" customHeight="1">
      <c r="A42" s="118">
        <v>42</v>
      </c>
      <c r="B42" s="49" t="s">
        <v>1677</v>
      </c>
      <c r="C42" s="49" t="s">
        <v>376</v>
      </c>
      <c r="D42" s="133" t="s">
        <v>246</v>
      </c>
      <c r="E42" s="133" t="s">
        <v>424</v>
      </c>
      <c r="F42" s="133"/>
      <c r="G42" s="142" t="s">
        <v>237</v>
      </c>
      <c r="H42" s="134" t="s">
        <v>257</v>
      </c>
      <c r="I42" s="91" t="s">
        <v>239</v>
      </c>
      <c r="J42" s="134" t="s">
        <v>231</v>
      </c>
      <c r="K42" s="134"/>
      <c r="L42" s="135">
        <v>0</v>
      </c>
      <c r="M42" s="136">
        <f t="shared" si="5"/>
        <v>0</v>
      </c>
      <c r="N42" s="2" t="s">
        <v>273</v>
      </c>
      <c r="O42" s="1"/>
      <c r="P42" s="137">
        <f t="shared" si="6"/>
        <v>0</v>
      </c>
      <c r="Q42" s="137">
        <f t="shared" si="7"/>
        <v>0</v>
      </c>
      <c r="R42" s="138">
        <f>IF(N42="nio",0,IF(N42&gt;0,VLOOKUP(I42,'3-Productie normen'!A:V,VLOOKUP(N42,'3-Productie normen'!$B$35:$C$56,2,FALSE),FALSE)))/VLOOKUP(B42,'2-Kosten per locatie'!$A$11:$C$18,3,FALSE)</f>
        <v>0</v>
      </c>
      <c r="S42" s="138">
        <f t="shared" si="8"/>
        <v>0</v>
      </c>
      <c r="T42" s="139">
        <f>VLOOKUP(I42,'3-Productie normen'!A:AF,28,FALSE)</f>
        <v>0</v>
      </c>
      <c r="U42" s="140"/>
      <c r="W42" s="141">
        <f t="shared" si="9"/>
        <v>0</v>
      </c>
    </row>
    <row r="43" spans="1:23" ht="13.9" customHeight="1">
      <c r="A43" s="132">
        <v>43</v>
      </c>
      <c r="B43" s="49" t="s">
        <v>1677</v>
      </c>
      <c r="C43" s="49" t="s">
        <v>376</v>
      </c>
      <c r="D43" s="133" t="s">
        <v>246</v>
      </c>
      <c r="E43" s="133" t="s">
        <v>425</v>
      </c>
      <c r="F43" s="133"/>
      <c r="G43" s="142" t="s">
        <v>237</v>
      </c>
      <c r="H43" s="134" t="s">
        <v>257</v>
      </c>
      <c r="I43" s="91" t="s">
        <v>239</v>
      </c>
      <c r="J43" s="134" t="s">
        <v>375</v>
      </c>
      <c r="K43" s="134"/>
      <c r="L43" s="135">
        <v>1.1499999999999999</v>
      </c>
      <c r="M43" s="136">
        <f t="shared" si="5"/>
        <v>0</v>
      </c>
      <c r="N43" s="2" t="s">
        <v>273</v>
      </c>
      <c r="O43" s="1"/>
      <c r="P43" s="137">
        <f t="shared" si="6"/>
        <v>0</v>
      </c>
      <c r="Q43" s="137">
        <f t="shared" si="7"/>
        <v>0</v>
      </c>
      <c r="R43" s="138">
        <f>IF(N43="nio",0,IF(N43&gt;0,VLOOKUP(I43,'3-Productie normen'!A:V,VLOOKUP(N43,'3-Productie normen'!$B$35:$C$56,2,FALSE),FALSE)))/VLOOKUP(B43,'2-Kosten per locatie'!$A$11:$C$18,3,FALSE)</f>
        <v>0</v>
      </c>
      <c r="S43" s="138">
        <f t="shared" si="8"/>
        <v>0</v>
      </c>
      <c r="T43" s="139">
        <f>VLOOKUP(I43,'3-Productie normen'!A:AF,28,FALSE)</f>
        <v>0</v>
      </c>
      <c r="U43" s="140"/>
      <c r="W43" s="141">
        <f t="shared" si="9"/>
        <v>0</v>
      </c>
    </row>
    <row r="44" spans="1:23" ht="13.9" customHeight="1">
      <c r="A44" s="132">
        <v>44</v>
      </c>
      <c r="B44" s="49" t="s">
        <v>1677</v>
      </c>
      <c r="C44" s="49" t="s">
        <v>376</v>
      </c>
      <c r="D44" s="133" t="s">
        <v>246</v>
      </c>
      <c r="E44" s="133" t="s">
        <v>426</v>
      </c>
      <c r="F44" s="133"/>
      <c r="G44" s="142" t="s">
        <v>237</v>
      </c>
      <c r="H44" s="134" t="s">
        <v>257</v>
      </c>
      <c r="I44" s="91" t="s">
        <v>239</v>
      </c>
      <c r="J44" s="134" t="s">
        <v>231</v>
      </c>
      <c r="K44" s="134"/>
      <c r="L44" s="135">
        <v>0</v>
      </c>
      <c r="M44" s="136">
        <f t="shared" si="5"/>
        <v>0</v>
      </c>
      <c r="N44" s="2" t="s">
        <v>273</v>
      </c>
      <c r="O44" s="1"/>
      <c r="P44" s="137">
        <f t="shared" si="6"/>
        <v>0</v>
      </c>
      <c r="Q44" s="137">
        <f t="shared" si="7"/>
        <v>0</v>
      </c>
      <c r="R44" s="138">
        <f>IF(N44="nio",0,IF(N44&gt;0,VLOOKUP(I44,'3-Productie normen'!A:V,VLOOKUP(N44,'3-Productie normen'!$B$35:$C$56,2,FALSE),FALSE)))/VLOOKUP(B44,'2-Kosten per locatie'!$A$11:$C$18,3,FALSE)</f>
        <v>0</v>
      </c>
      <c r="S44" s="138">
        <f t="shared" si="8"/>
        <v>0</v>
      </c>
      <c r="T44" s="139">
        <f>VLOOKUP(I44,'3-Productie normen'!A:AF,28,FALSE)</f>
        <v>0</v>
      </c>
      <c r="U44" s="140"/>
      <c r="W44" s="141">
        <f t="shared" si="9"/>
        <v>0</v>
      </c>
    </row>
    <row r="45" spans="1:23" ht="13.9" customHeight="1">
      <c r="A45" s="118">
        <v>45</v>
      </c>
      <c r="B45" s="49" t="s">
        <v>1677</v>
      </c>
      <c r="C45" s="49" t="s">
        <v>376</v>
      </c>
      <c r="D45" s="133" t="s">
        <v>246</v>
      </c>
      <c r="E45" s="133" t="s">
        <v>427</v>
      </c>
      <c r="F45" s="133" t="s">
        <v>428</v>
      </c>
      <c r="G45" s="134" t="s">
        <v>44</v>
      </c>
      <c r="H45" s="134" t="s">
        <v>258</v>
      </c>
      <c r="I45" s="134" t="s">
        <v>259</v>
      </c>
      <c r="J45" s="134" t="s">
        <v>375</v>
      </c>
      <c r="K45" s="134"/>
      <c r="L45" s="135">
        <v>4.3600000000000003</v>
      </c>
      <c r="M45" s="136">
        <f t="shared" si="5"/>
        <v>190</v>
      </c>
      <c r="N45" s="2">
        <v>190</v>
      </c>
      <c r="O45" s="1"/>
      <c r="P45" s="137" t="e">
        <f t="shared" si="6"/>
        <v>#DIV/0!</v>
      </c>
      <c r="Q45" s="137">
        <f t="shared" si="7"/>
        <v>0</v>
      </c>
      <c r="R45" s="138">
        <f>IF(N45="nio",0,IF(N45&gt;0,VLOOKUP(I45,'3-Productie normen'!A:V,VLOOKUP(N45,'3-Productie normen'!$B$35:$C$56,2,FALSE),FALSE)))/VLOOKUP(B45,'2-Kosten per locatie'!$A$11:$C$18,3,FALSE)</f>
        <v>0</v>
      </c>
      <c r="S45" s="138">
        <f t="shared" si="8"/>
        <v>0</v>
      </c>
      <c r="T45" s="139" t="str">
        <f>VLOOKUP(I45,'3-Productie normen'!A:AF,28,FALSE)</f>
        <v>S</v>
      </c>
      <c r="U45" s="140"/>
      <c r="W45" s="141">
        <f t="shared" si="9"/>
        <v>828.40000000000009</v>
      </c>
    </row>
    <row r="46" spans="1:23" ht="13.9" customHeight="1">
      <c r="A46" s="132">
        <v>46</v>
      </c>
      <c r="B46" s="49" t="s">
        <v>1677</v>
      </c>
      <c r="C46" s="49" t="s">
        <v>376</v>
      </c>
      <c r="D46" s="133" t="s">
        <v>246</v>
      </c>
      <c r="E46" s="133" t="s">
        <v>429</v>
      </c>
      <c r="F46" s="133"/>
      <c r="G46" s="134" t="s">
        <v>44</v>
      </c>
      <c r="H46" s="134" t="s">
        <v>260</v>
      </c>
      <c r="I46" s="134" t="s">
        <v>259</v>
      </c>
      <c r="J46" s="134" t="s">
        <v>375</v>
      </c>
      <c r="K46" s="134"/>
      <c r="L46" s="135">
        <v>1.5</v>
      </c>
      <c r="M46" s="136">
        <f t="shared" si="5"/>
        <v>190</v>
      </c>
      <c r="N46" s="2">
        <v>190</v>
      </c>
      <c r="O46" s="1"/>
      <c r="P46" s="137" t="e">
        <f t="shared" si="6"/>
        <v>#DIV/0!</v>
      </c>
      <c r="Q46" s="137">
        <f t="shared" si="7"/>
        <v>0</v>
      </c>
      <c r="R46" s="138">
        <f>IF(N46="nio",0,IF(N46&gt;0,VLOOKUP(I46,'3-Productie normen'!A:V,VLOOKUP(N46,'3-Productie normen'!$B$35:$C$56,2,FALSE),FALSE)))/VLOOKUP(B46,'2-Kosten per locatie'!$A$11:$C$18,3,FALSE)</f>
        <v>0</v>
      </c>
      <c r="S46" s="138">
        <f t="shared" si="8"/>
        <v>0</v>
      </c>
      <c r="T46" s="139" t="str">
        <f>VLOOKUP(I46,'3-Productie normen'!A:AF,28,FALSE)</f>
        <v>S</v>
      </c>
      <c r="U46" s="140"/>
      <c r="W46" s="141">
        <f t="shared" si="9"/>
        <v>285</v>
      </c>
    </row>
    <row r="47" spans="1:23" ht="13.9" customHeight="1">
      <c r="A47" s="132">
        <v>47</v>
      </c>
      <c r="B47" s="49" t="s">
        <v>1677</v>
      </c>
      <c r="C47" s="49" t="s">
        <v>376</v>
      </c>
      <c r="D47" s="133" t="s">
        <v>246</v>
      </c>
      <c r="E47" s="133" t="s">
        <v>430</v>
      </c>
      <c r="F47" s="133"/>
      <c r="G47" s="134" t="s">
        <v>44</v>
      </c>
      <c r="H47" s="134" t="s">
        <v>260</v>
      </c>
      <c r="I47" s="134" t="s">
        <v>259</v>
      </c>
      <c r="J47" s="134" t="s">
        <v>375</v>
      </c>
      <c r="K47" s="134"/>
      <c r="L47" s="135">
        <v>1.5</v>
      </c>
      <c r="M47" s="136">
        <f t="shared" si="5"/>
        <v>190</v>
      </c>
      <c r="N47" s="2">
        <v>190</v>
      </c>
      <c r="O47" s="1"/>
      <c r="P47" s="137" t="e">
        <f t="shared" si="6"/>
        <v>#DIV/0!</v>
      </c>
      <c r="Q47" s="137">
        <f t="shared" si="7"/>
        <v>0</v>
      </c>
      <c r="R47" s="138">
        <f>IF(N47="nio",0,IF(N47&gt;0,VLOOKUP(I47,'3-Productie normen'!A:V,VLOOKUP(N47,'3-Productie normen'!$B$35:$C$56,2,FALSE),FALSE)))/VLOOKUP(B47,'2-Kosten per locatie'!$A$11:$C$18,3,FALSE)</f>
        <v>0</v>
      </c>
      <c r="S47" s="138">
        <f t="shared" si="8"/>
        <v>0</v>
      </c>
      <c r="T47" s="139" t="str">
        <f>VLOOKUP(I47,'3-Productie normen'!A:AF,28,FALSE)</f>
        <v>S</v>
      </c>
      <c r="U47" s="140"/>
      <c r="W47" s="141">
        <f t="shared" si="9"/>
        <v>285</v>
      </c>
    </row>
    <row r="48" spans="1:23" ht="13.9" customHeight="1">
      <c r="A48" s="118">
        <v>48</v>
      </c>
      <c r="B48" s="49" t="s">
        <v>1677</v>
      </c>
      <c r="C48" s="49" t="s">
        <v>376</v>
      </c>
      <c r="D48" s="133" t="s">
        <v>246</v>
      </c>
      <c r="E48" s="133" t="s">
        <v>431</v>
      </c>
      <c r="F48" s="133" t="s">
        <v>432</v>
      </c>
      <c r="G48" s="134" t="s">
        <v>44</v>
      </c>
      <c r="H48" s="134" t="s">
        <v>258</v>
      </c>
      <c r="I48" s="134" t="s">
        <v>259</v>
      </c>
      <c r="J48" s="134" t="s">
        <v>375</v>
      </c>
      <c r="K48" s="134"/>
      <c r="L48" s="135">
        <v>5.89</v>
      </c>
      <c r="M48" s="136">
        <f t="shared" si="5"/>
        <v>190</v>
      </c>
      <c r="N48" s="2">
        <v>190</v>
      </c>
      <c r="O48" s="1"/>
      <c r="P48" s="137" t="e">
        <f t="shared" si="6"/>
        <v>#DIV/0!</v>
      </c>
      <c r="Q48" s="137">
        <f t="shared" si="7"/>
        <v>0</v>
      </c>
      <c r="R48" s="138">
        <f>IF(N48="nio",0,IF(N48&gt;0,VLOOKUP(I48,'3-Productie normen'!A:V,VLOOKUP(N48,'3-Productie normen'!$B$35:$C$56,2,FALSE),FALSE)))/VLOOKUP(B48,'2-Kosten per locatie'!$A$11:$C$18,3,FALSE)</f>
        <v>0</v>
      </c>
      <c r="S48" s="138">
        <f t="shared" si="8"/>
        <v>0</v>
      </c>
      <c r="T48" s="139" t="str">
        <f>VLOOKUP(I48,'3-Productie normen'!A:AF,28,FALSE)</f>
        <v>S</v>
      </c>
      <c r="U48" s="140"/>
      <c r="W48" s="141">
        <f t="shared" si="9"/>
        <v>1119.0999999999999</v>
      </c>
    </row>
    <row r="49" spans="1:23" ht="13.9" customHeight="1">
      <c r="A49" s="132">
        <v>49</v>
      </c>
      <c r="B49" s="49" t="s">
        <v>1677</v>
      </c>
      <c r="C49" s="49" t="s">
        <v>376</v>
      </c>
      <c r="D49" s="133" t="s">
        <v>246</v>
      </c>
      <c r="E49" s="133" t="s">
        <v>433</v>
      </c>
      <c r="F49" s="133"/>
      <c r="G49" s="134" t="s">
        <v>44</v>
      </c>
      <c r="H49" s="134" t="s">
        <v>260</v>
      </c>
      <c r="I49" s="134" t="s">
        <v>259</v>
      </c>
      <c r="J49" s="134" t="s">
        <v>375</v>
      </c>
      <c r="K49" s="134"/>
      <c r="L49" s="135">
        <v>1.5</v>
      </c>
      <c r="M49" s="136">
        <f t="shared" si="5"/>
        <v>190</v>
      </c>
      <c r="N49" s="2">
        <v>190</v>
      </c>
      <c r="O49" s="1"/>
      <c r="P49" s="137" t="e">
        <f t="shared" si="6"/>
        <v>#DIV/0!</v>
      </c>
      <c r="Q49" s="137">
        <f t="shared" si="7"/>
        <v>0</v>
      </c>
      <c r="R49" s="138">
        <f>IF(N49="nio",0,IF(N49&gt;0,VLOOKUP(I49,'3-Productie normen'!A:V,VLOOKUP(N49,'3-Productie normen'!$B$35:$C$56,2,FALSE),FALSE)))/VLOOKUP(B49,'2-Kosten per locatie'!$A$11:$C$18,3,FALSE)</f>
        <v>0</v>
      </c>
      <c r="S49" s="138">
        <f t="shared" si="8"/>
        <v>0</v>
      </c>
      <c r="T49" s="139" t="str">
        <f>VLOOKUP(I49,'3-Productie normen'!A:AF,28,FALSE)</f>
        <v>S</v>
      </c>
      <c r="U49" s="140"/>
      <c r="W49" s="141">
        <f t="shared" si="9"/>
        <v>285</v>
      </c>
    </row>
    <row r="50" spans="1:23" ht="13.9" customHeight="1">
      <c r="A50" s="132">
        <v>50</v>
      </c>
      <c r="B50" s="49" t="s">
        <v>1677</v>
      </c>
      <c r="C50" s="49" t="s">
        <v>376</v>
      </c>
      <c r="D50" s="133" t="s">
        <v>246</v>
      </c>
      <c r="E50" s="133" t="s">
        <v>434</v>
      </c>
      <c r="F50" s="133" t="s">
        <v>435</v>
      </c>
      <c r="G50" s="134" t="s">
        <v>44</v>
      </c>
      <c r="H50" s="134" t="s">
        <v>258</v>
      </c>
      <c r="I50" s="134" t="s">
        <v>259</v>
      </c>
      <c r="J50" s="134" t="s">
        <v>375</v>
      </c>
      <c r="K50" s="134"/>
      <c r="L50" s="135">
        <v>14.01</v>
      </c>
      <c r="M50" s="136">
        <f t="shared" si="5"/>
        <v>190</v>
      </c>
      <c r="N50" s="2">
        <v>190</v>
      </c>
      <c r="O50" s="1"/>
      <c r="P50" s="137" t="e">
        <f t="shared" si="6"/>
        <v>#DIV/0!</v>
      </c>
      <c r="Q50" s="137">
        <f t="shared" si="7"/>
        <v>0</v>
      </c>
      <c r="R50" s="138">
        <f>IF(N50="nio",0,IF(N50&gt;0,VLOOKUP(I50,'3-Productie normen'!A:V,VLOOKUP(N50,'3-Productie normen'!$B$35:$C$56,2,FALSE),FALSE)))/VLOOKUP(B50,'2-Kosten per locatie'!$A$11:$C$18,3,FALSE)</f>
        <v>0</v>
      </c>
      <c r="S50" s="138">
        <f t="shared" si="8"/>
        <v>0</v>
      </c>
      <c r="T50" s="139" t="str">
        <f>VLOOKUP(I50,'3-Productie normen'!A:AF,28,FALSE)</f>
        <v>S</v>
      </c>
      <c r="U50" s="140"/>
      <c r="W50" s="141">
        <f t="shared" si="9"/>
        <v>2661.9</v>
      </c>
    </row>
    <row r="51" spans="1:23" ht="13.9" customHeight="1">
      <c r="A51" s="118">
        <v>51</v>
      </c>
      <c r="B51" s="49" t="s">
        <v>1677</v>
      </c>
      <c r="C51" s="49" t="s">
        <v>376</v>
      </c>
      <c r="D51" s="133" t="s">
        <v>246</v>
      </c>
      <c r="E51" s="133" t="s">
        <v>436</v>
      </c>
      <c r="F51" s="133"/>
      <c r="G51" s="134" t="s">
        <v>44</v>
      </c>
      <c r="H51" s="134" t="s">
        <v>260</v>
      </c>
      <c r="I51" s="134" t="s">
        <v>259</v>
      </c>
      <c r="J51" s="134" t="s">
        <v>375</v>
      </c>
      <c r="K51" s="134"/>
      <c r="L51" s="135">
        <v>1.1399999999999999</v>
      </c>
      <c r="M51" s="136">
        <f t="shared" si="5"/>
        <v>190</v>
      </c>
      <c r="N51" s="2">
        <v>190</v>
      </c>
      <c r="O51" s="1"/>
      <c r="P51" s="137" t="e">
        <f t="shared" si="6"/>
        <v>#DIV/0!</v>
      </c>
      <c r="Q51" s="137">
        <f t="shared" si="7"/>
        <v>0</v>
      </c>
      <c r="R51" s="138">
        <f>IF(N51="nio",0,IF(N51&gt;0,VLOOKUP(I51,'3-Productie normen'!A:V,VLOOKUP(N51,'3-Productie normen'!$B$35:$C$56,2,FALSE),FALSE)))/VLOOKUP(B51,'2-Kosten per locatie'!$A$11:$C$18,3,FALSE)</f>
        <v>0</v>
      </c>
      <c r="S51" s="138">
        <f t="shared" si="8"/>
        <v>0</v>
      </c>
      <c r="T51" s="139" t="str">
        <f>VLOOKUP(I51,'3-Productie normen'!A:AF,28,FALSE)</f>
        <v>S</v>
      </c>
      <c r="U51" s="140"/>
      <c r="W51" s="141">
        <f t="shared" si="9"/>
        <v>216.6</v>
      </c>
    </row>
    <row r="52" spans="1:23" ht="13.9" customHeight="1">
      <c r="A52" s="132">
        <v>52</v>
      </c>
      <c r="B52" s="49" t="s">
        <v>1677</v>
      </c>
      <c r="C52" s="49" t="s">
        <v>376</v>
      </c>
      <c r="D52" s="133" t="s">
        <v>246</v>
      </c>
      <c r="E52" s="133" t="s">
        <v>437</v>
      </c>
      <c r="F52" s="133"/>
      <c r="G52" s="134" t="s">
        <v>44</v>
      </c>
      <c r="H52" s="134" t="s">
        <v>260</v>
      </c>
      <c r="I52" s="134" t="s">
        <v>259</v>
      </c>
      <c r="J52" s="134" t="s">
        <v>375</v>
      </c>
      <c r="K52" s="134"/>
      <c r="L52" s="135">
        <v>1.1399999999999999</v>
      </c>
      <c r="M52" s="136">
        <f t="shared" si="5"/>
        <v>190</v>
      </c>
      <c r="N52" s="2">
        <v>190</v>
      </c>
      <c r="O52" s="1"/>
      <c r="P52" s="137" t="e">
        <f t="shared" si="6"/>
        <v>#DIV/0!</v>
      </c>
      <c r="Q52" s="137">
        <f t="shared" si="7"/>
        <v>0</v>
      </c>
      <c r="R52" s="138">
        <f>IF(N52="nio",0,IF(N52&gt;0,VLOOKUP(I52,'3-Productie normen'!A:V,VLOOKUP(N52,'3-Productie normen'!$B$35:$C$56,2,FALSE),FALSE)))/VLOOKUP(B52,'2-Kosten per locatie'!$A$11:$C$18,3,FALSE)</f>
        <v>0</v>
      </c>
      <c r="S52" s="138">
        <f t="shared" si="8"/>
        <v>0</v>
      </c>
      <c r="T52" s="139" t="str">
        <f>VLOOKUP(I52,'3-Productie normen'!A:AF,28,FALSE)</f>
        <v>S</v>
      </c>
      <c r="U52" s="140"/>
      <c r="W52" s="141">
        <f t="shared" si="9"/>
        <v>216.6</v>
      </c>
    </row>
    <row r="53" spans="1:23" ht="13.9" customHeight="1">
      <c r="A53" s="132">
        <v>53</v>
      </c>
      <c r="B53" s="49" t="s">
        <v>1677</v>
      </c>
      <c r="C53" s="49" t="s">
        <v>376</v>
      </c>
      <c r="D53" s="133" t="s">
        <v>246</v>
      </c>
      <c r="E53" s="133" t="s">
        <v>438</v>
      </c>
      <c r="F53" s="133"/>
      <c r="G53" s="134" t="s">
        <v>44</v>
      </c>
      <c r="H53" s="134" t="s">
        <v>260</v>
      </c>
      <c r="I53" s="134" t="s">
        <v>259</v>
      </c>
      <c r="J53" s="134" t="s">
        <v>375</v>
      </c>
      <c r="K53" s="134"/>
      <c r="L53" s="135">
        <v>1.1499999999999999</v>
      </c>
      <c r="M53" s="136">
        <f t="shared" si="5"/>
        <v>190</v>
      </c>
      <c r="N53" s="2">
        <v>190</v>
      </c>
      <c r="O53" s="1"/>
      <c r="P53" s="137" t="e">
        <f t="shared" si="6"/>
        <v>#DIV/0!</v>
      </c>
      <c r="Q53" s="137">
        <f t="shared" si="7"/>
        <v>0</v>
      </c>
      <c r="R53" s="138">
        <f>IF(N53="nio",0,IF(N53&gt;0,VLOOKUP(I53,'3-Productie normen'!A:V,VLOOKUP(N53,'3-Productie normen'!$B$35:$C$56,2,FALSE),FALSE)))/VLOOKUP(B53,'2-Kosten per locatie'!$A$11:$C$18,3,FALSE)</f>
        <v>0</v>
      </c>
      <c r="S53" s="138">
        <f t="shared" si="8"/>
        <v>0</v>
      </c>
      <c r="T53" s="139" t="str">
        <f>VLOOKUP(I53,'3-Productie normen'!A:AF,28,FALSE)</f>
        <v>S</v>
      </c>
      <c r="U53" s="140"/>
      <c r="W53" s="141">
        <f t="shared" si="9"/>
        <v>218.49999999999997</v>
      </c>
    </row>
    <row r="54" spans="1:23" ht="13.9" customHeight="1">
      <c r="A54" s="118">
        <v>54</v>
      </c>
      <c r="B54" s="49" t="s">
        <v>1677</v>
      </c>
      <c r="C54" s="49" t="s">
        <v>376</v>
      </c>
      <c r="D54" s="133" t="s">
        <v>246</v>
      </c>
      <c r="E54" s="133" t="s">
        <v>439</v>
      </c>
      <c r="F54" s="133" t="s">
        <v>440</v>
      </c>
      <c r="G54" s="134" t="s">
        <v>44</v>
      </c>
      <c r="H54" s="134" t="s">
        <v>79</v>
      </c>
      <c r="I54" s="134" t="s">
        <v>49</v>
      </c>
      <c r="J54" s="134" t="s">
        <v>375</v>
      </c>
      <c r="K54" s="134"/>
      <c r="L54" s="135">
        <v>23.79</v>
      </c>
      <c r="M54" s="136">
        <f t="shared" si="5"/>
        <v>190</v>
      </c>
      <c r="N54" s="2">
        <v>190</v>
      </c>
      <c r="O54" s="1"/>
      <c r="P54" s="137" t="e">
        <f t="shared" si="6"/>
        <v>#DIV/0!</v>
      </c>
      <c r="Q54" s="137">
        <f t="shared" si="7"/>
        <v>0</v>
      </c>
      <c r="R54" s="138">
        <f>IF(N54="nio",0,IF(N54&gt;0,VLOOKUP(I54,'3-Productie normen'!A:V,VLOOKUP(N54,'3-Productie normen'!$B$35:$C$56,2,FALSE),FALSE)))/VLOOKUP(B54,'2-Kosten per locatie'!$A$11:$C$18,3,FALSE)</f>
        <v>0</v>
      </c>
      <c r="S54" s="138">
        <f t="shared" si="8"/>
        <v>0</v>
      </c>
      <c r="T54" s="139" t="str">
        <f>VLOOKUP(I54,'3-Productie normen'!A:AF,28,FALSE)</f>
        <v>V</v>
      </c>
      <c r="U54" s="140"/>
      <c r="W54" s="141">
        <f t="shared" si="9"/>
        <v>4520.0999999999995</v>
      </c>
    </row>
    <row r="55" spans="1:23" ht="13.9" customHeight="1">
      <c r="A55" s="132">
        <v>55</v>
      </c>
      <c r="B55" s="49" t="s">
        <v>1677</v>
      </c>
      <c r="C55" s="49" t="s">
        <v>376</v>
      </c>
      <c r="D55" s="133" t="s">
        <v>246</v>
      </c>
      <c r="E55" s="133" t="s">
        <v>441</v>
      </c>
      <c r="F55" s="133" t="s">
        <v>442</v>
      </c>
      <c r="G55" s="134" t="s">
        <v>44</v>
      </c>
      <c r="H55" s="134" t="s">
        <v>79</v>
      </c>
      <c r="I55" s="134" t="s">
        <v>49</v>
      </c>
      <c r="J55" s="134" t="s">
        <v>375</v>
      </c>
      <c r="K55" s="134"/>
      <c r="L55" s="135">
        <v>26.98</v>
      </c>
      <c r="M55" s="136">
        <f t="shared" si="5"/>
        <v>190</v>
      </c>
      <c r="N55" s="2">
        <v>190</v>
      </c>
      <c r="O55" s="1"/>
      <c r="P55" s="137" t="e">
        <f t="shared" si="6"/>
        <v>#DIV/0!</v>
      </c>
      <c r="Q55" s="137">
        <f t="shared" si="7"/>
        <v>0</v>
      </c>
      <c r="R55" s="138">
        <f>IF(N55="nio",0,IF(N55&gt;0,VLOOKUP(I55,'3-Productie normen'!A:V,VLOOKUP(N55,'3-Productie normen'!$B$35:$C$56,2,FALSE),FALSE)))/VLOOKUP(B55,'2-Kosten per locatie'!$A$11:$C$18,3,FALSE)</f>
        <v>0</v>
      </c>
      <c r="S55" s="138">
        <f t="shared" si="8"/>
        <v>0</v>
      </c>
      <c r="T55" s="139" t="str">
        <f>VLOOKUP(I55,'3-Productie normen'!A:AF,28,FALSE)</f>
        <v>V</v>
      </c>
      <c r="U55" s="140"/>
      <c r="W55" s="141">
        <f t="shared" si="9"/>
        <v>5126.2</v>
      </c>
    </row>
    <row r="56" spans="1:23" ht="13.9" customHeight="1">
      <c r="A56" s="132">
        <v>56</v>
      </c>
      <c r="B56" s="49" t="s">
        <v>1677</v>
      </c>
      <c r="C56" s="49" t="s">
        <v>376</v>
      </c>
      <c r="D56" s="133" t="s">
        <v>246</v>
      </c>
      <c r="E56" s="133" t="s">
        <v>443</v>
      </c>
      <c r="F56" s="133" t="s">
        <v>444</v>
      </c>
      <c r="G56" s="134" t="s">
        <v>44</v>
      </c>
      <c r="H56" s="134" t="s">
        <v>79</v>
      </c>
      <c r="I56" s="134" t="s">
        <v>49</v>
      </c>
      <c r="J56" s="134" t="s">
        <v>375</v>
      </c>
      <c r="K56" s="134"/>
      <c r="L56" s="135">
        <v>22.23</v>
      </c>
      <c r="M56" s="136">
        <f t="shared" si="5"/>
        <v>190</v>
      </c>
      <c r="N56" s="2">
        <v>190</v>
      </c>
      <c r="O56" s="1"/>
      <c r="P56" s="137" t="e">
        <f t="shared" si="6"/>
        <v>#DIV/0!</v>
      </c>
      <c r="Q56" s="137">
        <f t="shared" si="7"/>
        <v>0</v>
      </c>
      <c r="R56" s="138">
        <f>IF(N56="nio",0,IF(N56&gt;0,VLOOKUP(I56,'3-Productie normen'!A:V,VLOOKUP(N56,'3-Productie normen'!$B$35:$C$56,2,FALSE),FALSE)))/VLOOKUP(B56,'2-Kosten per locatie'!$A$11:$C$18,3,FALSE)</f>
        <v>0</v>
      </c>
      <c r="S56" s="138">
        <f t="shared" si="8"/>
        <v>0</v>
      </c>
      <c r="T56" s="139" t="str">
        <f>VLOOKUP(I56,'3-Productie normen'!A:AF,28,FALSE)</f>
        <v>V</v>
      </c>
      <c r="U56" s="140"/>
      <c r="W56" s="141">
        <f t="shared" si="9"/>
        <v>4223.7</v>
      </c>
    </row>
    <row r="57" spans="1:23" ht="13.9" customHeight="1">
      <c r="A57" s="118">
        <v>57</v>
      </c>
      <c r="B57" s="49" t="s">
        <v>1677</v>
      </c>
      <c r="C57" s="49" t="s">
        <v>376</v>
      </c>
      <c r="D57" s="133" t="s">
        <v>246</v>
      </c>
      <c r="E57" s="133" t="s">
        <v>445</v>
      </c>
      <c r="F57" s="133" t="s">
        <v>446</v>
      </c>
      <c r="G57" s="134" t="s">
        <v>44</v>
      </c>
      <c r="H57" s="134" t="s">
        <v>79</v>
      </c>
      <c r="I57" s="134" t="s">
        <v>49</v>
      </c>
      <c r="J57" s="134" t="s">
        <v>375</v>
      </c>
      <c r="K57" s="134"/>
      <c r="L57" s="135">
        <v>11.17</v>
      </c>
      <c r="M57" s="136">
        <f t="shared" si="5"/>
        <v>190</v>
      </c>
      <c r="N57" s="2">
        <v>190</v>
      </c>
      <c r="O57" s="1"/>
      <c r="P57" s="137" t="e">
        <f t="shared" si="6"/>
        <v>#DIV/0!</v>
      </c>
      <c r="Q57" s="137">
        <f t="shared" si="7"/>
        <v>0</v>
      </c>
      <c r="R57" s="138">
        <f>IF(N57="nio",0,IF(N57&gt;0,VLOOKUP(I57,'3-Productie normen'!A:V,VLOOKUP(N57,'3-Productie normen'!$B$35:$C$56,2,FALSE),FALSE)))/VLOOKUP(B57,'2-Kosten per locatie'!$A$11:$C$18,3,FALSE)</f>
        <v>0</v>
      </c>
      <c r="S57" s="138">
        <f t="shared" si="8"/>
        <v>0</v>
      </c>
      <c r="T57" s="139" t="str">
        <f>VLOOKUP(I57,'3-Productie normen'!A:AF,28,FALSE)</f>
        <v>V</v>
      </c>
      <c r="U57" s="140"/>
      <c r="W57" s="141">
        <f t="shared" si="9"/>
        <v>2122.3000000000002</v>
      </c>
    </row>
    <row r="58" spans="1:23" ht="13.9" customHeight="1">
      <c r="A58" s="132">
        <v>58</v>
      </c>
      <c r="B58" s="49" t="s">
        <v>1677</v>
      </c>
      <c r="C58" s="49" t="s">
        <v>376</v>
      </c>
      <c r="D58" s="133" t="s">
        <v>246</v>
      </c>
      <c r="E58" s="133" t="s">
        <v>447</v>
      </c>
      <c r="F58" s="133" t="s">
        <v>448</v>
      </c>
      <c r="G58" s="134" t="s">
        <v>44</v>
      </c>
      <c r="H58" s="134" t="s">
        <v>258</v>
      </c>
      <c r="I58" s="134" t="s">
        <v>259</v>
      </c>
      <c r="J58" s="134" t="s">
        <v>375</v>
      </c>
      <c r="K58" s="134"/>
      <c r="L58" s="135">
        <v>7.54</v>
      </c>
      <c r="M58" s="136">
        <f t="shared" si="5"/>
        <v>190</v>
      </c>
      <c r="N58" s="2">
        <v>190</v>
      </c>
      <c r="O58" s="1"/>
      <c r="P58" s="137" t="e">
        <f t="shared" si="6"/>
        <v>#DIV/0!</v>
      </c>
      <c r="Q58" s="137">
        <f t="shared" si="7"/>
        <v>0</v>
      </c>
      <c r="R58" s="138">
        <f>IF(N58="nio",0,IF(N58&gt;0,VLOOKUP(I58,'3-Productie normen'!A:V,VLOOKUP(N58,'3-Productie normen'!$B$35:$C$56,2,FALSE),FALSE)))/VLOOKUP(B58,'2-Kosten per locatie'!$A$11:$C$18,3,FALSE)</f>
        <v>0</v>
      </c>
      <c r="S58" s="138">
        <f t="shared" si="8"/>
        <v>0</v>
      </c>
      <c r="T58" s="139" t="str">
        <f>VLOOKUP(I58,'3-Productie normen'!A:AF,28,FALSE)</f>
        <v>S</v>
      </c>
      <c r="U58" s="140"/>
      <c r="W58" s="141">
        <f t="shared" si="9"/>
        <v>1432.6</v>
      </c>
    </row>
    <row r="59" spans="1:23" ht="13.9" customHeight="1">
      <c r="A59" s="132">
        <v>59</v>
      </c>
      <c r="B59" s="49" t="s">
        <v>1677</v>
      </c>
      <c r="C59" s="49" t="s">
        <v>376</v>
      </c>
      <c r="D59" s="133" t="s">
        <v>246</v>
      </c>
      <c r="E59" s="133" t="s">
        <v>449</v>
      </c>
      <c r="F59" s="133"/>
      <c r="G59" s="134" t="s">
        <v>44</v>
      </c>
      <c r="H59" s="134" t="s">
        <v>260</v>
      </c>
      <c r="I59" s="134" t="s">
        <v>259</v>
      </c>
      <c r="J59" s="134" t="s">
        <v>375</v>
      </c>
      <c r="K59" s="134"/>
      <c r="L59" s="135">
        <v>1.54</v>
      </c>
      <c r="M59" s="136">
        <f t="shared" si="5"/>
        <v>190</v>
      </c>
      <c r="N59" s="2">
        <v>190</v>
      </c>
      <c r="O59" s="1"/>
      <c r="P59" s="137" t="e">
        <f t="shared" si="6"/>
        <v>#DIV/0!</v>
      </c>
      <c r="Q59" s="137">
        <f t="shared" si="7"/>
        <v>0</v>
      </c>
      <c r="R59" s="138">
        <f>IF(N59="nio",0,IF(N59&gt;0,VLOOKUP(I59,'3-Productie normen'!A:V,VLOOKUP(N59,'3-Productie normen'!$B$35:$C$56,2,FALSE),FALSE)))/VLOOKUP(B59,'2-Kosten per locatie'!$A$11:$C$18,3,FALSE)</f>
        <v>0</v>
      </c>
      <c r="S59" s="138">
        <f t="shared" si="8"/>
        <v>0</v>
      </c>
      <c r="T59" s="139" t="str">
        <f>VLOOKUP(I59,'3-Productie normen'!A:AF,28,FALSE)</f>
        <v>S</v>
      </c>
      <c r="U59" s="140"/>
      <c r="W59" s="141">
        <f t="shared" si="9"/>
        <v>292.60000000000002</v>
      </c>
    </row>
    <row r="60" spans="1:23" ht="13.9" customHeight="1">
      <c r="A60" s="118">
        <v>60</v>
      </c>
      <c r="B60" s="49" t="s">
        <v>1677</v>
      </c>
      <c r="C60" s="49" t="s">
        <v>376</v>
      </c>
      <c r="D60" s="133" t="s">
        <v>246</v>
      </c>
      <c r="E60" s="133" t="s">
        <v>450</v>
      </c>
      <c r="F60" s="133"/>
      <c r="G60" s="134" t="s">
        <v>44</v>
      </c>
      <c r="H60" s="134" t="s">
        <v>260</v>
      </c>
      <c r="I60" s="134" t="s">
        <v>259</v>
      </c>
      <c r="J60" s="134" t="s">
        <v>375</v>
      </c>
      <c r="K60" s="134"/>
      <c r="L60" s="135">
        <v>1.54</v>
      </c>
      <c r="M60" s="136">
        <f t="shared" si="5"/>
        <v>190</v>
      </c>
      <c r="N60" s="2">
        <v>190</v>
      </c>
      <c r="O60" s="1"/>
      <c r="P60" s="137" t="e">
        <f t="shared" si="6"/>
        <v>#DIV/0!</v>
      </c>
      <c r="Q60" s="137">
        <f t="shared" si="7"/>
        <v>0</v>
      </c>
      <c r="R60" s="138">
        <f>IF(N60="nio",0,IF(N60&gt;0,VLOOKUP(I60,'3-Productie normen'!A:V,VLOOKUP(N60,'3-Productie normen'!$B$35:$C$56,2,FALSE),FALSE)))/VLOOKUP(B60,'2-Kosten per locatie'!$A$11:$C$18,3,FALSE)</f>
        <v>0</v>
      </c>
      <c r="S60" s="138">
        <f t="shared" si="8"/>
        <v>0</v>
      </c>
      <c r="T60" s="139" t="str">
        <f>VLOOKUP(I60,'3-Productie normen'!A:AF,28,FALSE)</f>
        <v>S</v>
      </c>
      <c r="U60" s="140"/>
      <c r="W60" s="141">
        <f t="shared" si="9"/>
        <v>292.60000000000002</v>
      </c>
    </row>
    <row r="61" spans="1:23" ht="13.9" customHeight="1">
      <c r="A61" s="132">
        <v>61</v>
      </c>
      <c r="B61" s="49" t="s">
        <v>1677</v>
      </c>
      <c r="C61" s="49" t="s">
        <v>376</v>
      </c>
      <c r="D61" s="133" t="s">
        <v>246</v>
      </c>
      <c r="E61" s="133" t="s">
        <v>451</v>
      </c>
      <c r="F61" s="133" t="s">
        <v>452</v>
      </c>
      <c r="G61" s="134" t="s">
        <v>44</v>
      </c>
      <c r="H61" s="134" t="s">
        <v>79</v>
      </c>
      <c r="I61" s="134" t="s">
        <v>49</v>
      </c>
      <c r="J61" s="134" t="s">
        <v>375</v>
      </c>
      <c r="K61" s="134"/>
      <c r="L61" s="135">
        <v>22.23</v>
      </c>
      <c r="M61" s="136">
        <f t="shared" si="5"/>
        <v>190</v>
      </c>
      <c r="N61" s="2">
        <v>190</v>
      </c>
      <c r="O61" s="1"/>
      <c r="P61" s="137" t="e">
        <f t="shared" si="6"/>
        <v>#DIV/0!</v>
      </c>
      <c r="Q61" s="137">
        <f t="shared" si="7"/>
        <v>0</v>
      </c>
      <c r="R61" s="138">
        <f>IF(N61="nio",0,IF(N61&gt;0,VLOOKUP(I61,'3-Productie normen'!A:V,VLOOKUP(N61,'3-Productie normen'!$B$35:$C$56,2,FALSE),FALSE)))/VLOOKUP(B61,'2-Kosten per locatie'!$A$11:$C$18,3,FALSE)</f>
        <v>0</v>
      </c>
      <c r="S61" s="138">
        <f t="shared" si="8"/>
        <v>0</v>
      </c>
      <c r="T61" s="139" t="str">
        <f>VLOOKUP(I61,'3-Productie normen'!A:AF,28,FALSE)</f>
        <v>V</v>
      </c>
      <c r="U61" s="140"/>
      <c r="W61" s="141">
        <f t="shared" si="9"/>
        <v>4223.7</v>
      </c>
    </row>
    <row r="62" spans="1:23" ht="13.9" customHeight="1">
      <c r="A62" s="132">
        <v>62</v>
      </c>
      <c r="B62" s="49" t="s">
        <v>1677</v>
      </c>
      <c r="C62" s="49" t="s">
        <v>376</v>
      </c>
      <c r="D62" s="133" t="s">
        <v>246</v>
      </c>
      <c r="E62" s="133" t="s">
        <v>453</v>
      </c>
      <c r="F62" s="133" t="s">
        <v>454</v>
      </c>
      <c r="G62" s="134" t="s">
        <v>44</v>
      </c>
      <c r="H62" s="134" t="s">
        <v>258</v>
      </c>
      <c r="I62" s="134" t="s">
        <v>259</v>
      </c>
      <c r="J62" s="134" t="s">
        <v>375</v>
      </c>
      <c r="K62" s="134"/>
      <c r="L62" s="135">
        <v>11.65</v>
      </c>
      <c r="M62" s="136">
        <f t="shared" si="5"/>
        <v>190</v>
      </c>
      <c r="N62" s="2">
        <v>190</v>
      </c>
      <c r="O62" s="1"/>
      <c r="P62" s="137" t="e">
        <f t="shared" si="6"/>
        <v>#DIV/0!</v>
      </c>
      <c r="Q62" s="137">
        <f t="shared" si="7"/>
        <v>0</v>
      </c>
      <c r="R62" s="138">
        <f>IF(N62="nio",0,IF(N62&gt;0,VLOOKUP(I62,'3-Productie normen'!A:V,VLOOKUP(N62,'3-Productie normen'!$B$35:$C$56,2,FALSE),FALSE)))/VLOOKUP(B62,'2-Kosten per locatie'!$A$11:$C$18,3,FALSE)</f>
        <v>0</v>
      </c>
      <c r="S62" s="138">
        <f t="shared" si="8"/>
        <v>0</v>
      </c>
      <c r="T62" s="139" t="str">
        <f>VLOOKUP(I62,'3-Productie normen'!A:AF,28,FALSE)</f>
        <v>S</v>
      </c>
      <c r="U62" s="140"/>
      <c r="W62" s="141">
        <f t="shared" si="9"/>
        <v>2213.5</v>
      </c>
    </row>
    <row r="63" spans="1:23" ht="13.9" customHeight="1">
      <c r="A63" s="118">
        <v>63</v>
      </c>
      <c r="B63" s="49" t="s">
        <v>1677</v>
      </c>
      <c r="C63" s="49" t="s">
        <v>376</v>
      </c>
      <c r="D63" s="133" t="s">
        <v>246</v>
      </c>
      <c r="E63" s="133" t="s">
        <v>455</v>
      </c>
      <c r="F63" s="133"/>
      <c r="G63" s="134" t="s">
        <v>44</v>
      </c>
      <c r="H63" s="134" t="s">
        <v>260</v>
      </c>
      <c r="I63" s="134" t="s">
        <v>259</v>
      </c>
      <c r="J63" s="134" t="s">
        <v>375</v>
      </c>
      <c r="K63" s="134"/>
      <c r="L63" s="135">
        <v>0.96</v>
      </c>
      <c r="M63" s="136">
        <f t="shared" si="5"/>
        <v>190</v>
      </c>
      <c r="N63" s="2">
        <v>190</v>
      </c>
      <c r="O63" s="1"/>
      <c r="P63" s="137" t="e">
        <f t="shared" si="6"/>
        <v>#DIV/0!</v>
      </c>
      <c r="Q63" s="137">
        <f t="shared" si="7"/>
        <v>0</v>
      </c>
      <c r="R63" s="138">
        <f>IF(N63="nio",0,IF(N63&gt;0,VLOOKUP(I63,'3-Productie normen'!A:V,VLOOKUP(N63,'3-Productie normen'!$B$35:$C$56,2,FALSE),FALSE)))/VLOOKUP(B63,'2-Kosten per locatie'!$A$11:$C$18,3,FALSE)</f>
        <v>0</v>
      </c>
      <c r="S63" s="138">
        <f t="shared" si="8"/>
        <v>0</v>
      </c>
      <c r="T63" s="139" t="str">
        <f>VLOOKUP(I63,'3-Productie normen'!A:AF,28,FALSE)</f>
        <v>S</v>
      </c>
      <c r="U63" s="140"/>
      <c r="W63" s="141">
        <f t="shared" si="9"/>
        <v>182.4</v>
      </c>
    </row>
    <row r="64" spans="1:23" ht="13.9" customHeight="1">
      <c r="A64" s="132">
        <v>64</v>
      </c>
      <c r="B64" s="49" t="s">
        <v>1677</v>
      </c>
      <c r="C64" s="49" t="s">
        <v>376</v>
      </c>
      <c r="D64" s="133" t="s">
        <v>246</v>
      </c>
      <c r="E64" s="133" t="s">
        <v>456</v>
      </c>
      <c r="F64" s="133"/>
      <c r="G64" s="134" t="s">
        <v>44</v>
      </c>
      <c r="H64" s="134" t="s">
        <v>260</v>
      </c>
      <c r="I64" s="134" t="s">
        <v>259</v>
      </c>
      <c r="J64" s="134" t="s">
        <v>375</v>
      </c>
      <c r="K64" s="134"/>
      <c r="L64" s="135">
        <v>0.95</v>
      </c>
      <c r="M64" s="136">
        <f t="shared" si="5"/>
        <v>190</v>
      </c>
      <c r="N64" s="2">
        <v>190</v>
      </c>
      <c r="O64" s="1"/>
      <c r="P64" s="137" t="e">
        <f t="shared" si="6"/>
        <v>#DIV/0!</v>
      </c>
      <c r="Q64" s="137">
        <f t="shared" si="7"/>
        <v>0</v>
      </c>
      <c r="R64" s="138">
        <f>IF(N64="nio",0,IF(N64&gt;0,VLOOKUP(I64,'3-Productie normen'!A:V,VLOOKUP(N64,'3-Productie normen'!$B$35:$C$56,2,FALSE),FALSE)))/VLOOKUP(B64,'2-Kosten per locatie'!$A$11:$C$18,3,FALSE)</f>
        <v>0</v>
      </c>
      <c r="S64" s="138">
        <f t="shared" si="8"/>
        <v>0</v>
      </c>
      <c r="T64" s="139" t="str">
        <f>VLOOKUP(I64,'3-Productie normen'!A:AF,28,FALSE)</f>
        <v>S</v>
      </c>
      <c r="U64" s="140"/>
      <c r="W64" s="141">
        <f t="shared" si="9"/>
        <v>180.5</v>
      </c>
    </row>
    <row r="65" spans="1:23" ht="13.9" customHeight="1">
      <c r="A65" s="132">
        <v>65</v>
      </c>
      <c r="B65" s="49" t="s">
        <v>1677</v>
      </c>
      <c r="C65" s="49" t="s">
        <v>376</v>
      </c>
      <c r="D65" s="133" t="s">
        <v>246</v>
      </c>
      <c r="E65" s="133" t="s">
        <v>457</v>
      </c>
      <c r="F65" s="133"/>
      <c r="G65" s="134" t="s">
        <v>44</v>
      </c>
      <c r="H65" s="134" t="s">
        <v>260</v>
      </c>
      <c r="I65" s="134" t="s">
        <v>259</v>
      </c>
      <c r="J65" s="134" t="s">
        <v>375</v>
      </c>
      <c r="K65" s="134"/>
      <c r="L65" s="135">
        <v>0.95</v>
      </c>
      <c r="M65" s="136">
        <f t="shared" si="5"/>
        <v>190</v>
      </c>
      <c r="N65" s="2">
        <v>190</v>
      </c>
      <c r="O65" s="1"/>
      <c r="P65" s="137" t="e">
        <f t="shared" si="6"/>
        <v>#DIV/0!</v>
      </c>
      <c r="Q65" s="137">
        <f t="shared" si="7"/>
        <v>0</v>
      </c>
      <c r="R65" s="138">
        <f>IF(N65="nio",0,IF(N65&gt;0,VLOOKUP(I65,'3-Productie normen'!A:V,VLOOKUP(N65,'3-Productie normen'!$B$35:$C$56,2,FALSE),FALSE)))/VLOOKUP(B65,'2-Kosten per locatie'!$A$11:$C$18,3,FALSE)</f>
        <v>0</v>
      </c>
      <c r="S65" s="138">
        <f t="shared" si="8"/>
        <v>0</v>
      </c>
      <c r="T65" s="139" t="str">
        <f>VLOOKUP(I65,'3-Productie normen'!A:AF,28,FALSE)</f>
        <v>S</v>
      </c>
      <c r="U65" s="140"/>
      <c r="W65" s="141">
        <f t="shared" si="9"/>
        <v>180.5</v>
      </c>
    </row>
    <row r="66" spans="1:23" ht="13.9" customHeight="1">
      <c r="A66" s="118">
        <v>66</v>
      </c>
      <c r="B66" s="49" t="s">
        <v>1677</v>
      </c>
      <c r="C66" s="49" t="s">
        <v>376</v>
      </c>
      <c r="D66" s="133" t="s">
        <v>246</v>
      </c>
      <c r="E66" s="133" t="s">
        <v>458</v>
      </c>
      <c r="F66" s="133"/>
      <c r="G66" s="134" t="s">
        <v>44</v>
      </c>
      <c r="H66" s="134" t="s">
        <v>260</v>
      </c>
      <c r="I66" s="134" t="s">
        <v>259</v>
      </c>
      <c r="J66" s="134" t="s">
        <v>375</v>
      </c>
      <c r="K66" s="134"/>
      <c r="L66" s="135">
        <v>0.95</v>
      </c>
      <c r="M66" s="136">
        <f t="shared" si="5"/>
        <v>190</v>
      </c>
      <c r="N66" s="2">
        <v>190</v>
      </c>
      <c r="O66" s="1"/>
      <c r="P66" s="137" t="e">
        <f t="shared" si="6"/>
        <v>#DIV/0!</v>
      </c>
      <c r="Q66" s="137">
        <f t="shared" si="7"/>
        <v>0</v>
      </c>
      <c r="R66" s="138">
        <f>IF(N66="nio",0,IF(N66&gt;0,VLOOKUP(I66,'3-Productie normen'!A:V,VLOOKUP(N66,'3-Productie normen'!$B$35:$C$56,2,FALSE),FALSE)))/VLOOKUP(B66,'2-Kosten per locatie'!$A$11:$C$18,3,FALSE)</f>
        <v>0</v>
      </c>
      <c r="S66" s="138">
        <f t="shared" si="8"/>
        <v>0</v>
      </c>
      <c r="T66" s="139" t="str">
        <f>VLOOKUP(I66,'3-Productie normen'!A:AF,28,FALSE)</f>
        <v>S</v>
      </c>
      <c r="U66" s="140"/>
      <c r="W66" s="141">
        <f t="shared" si="9"/>
        <v>180.5</v>
      </c>
    </row>
    <row r="67" spans="1:23" ht="13.9" customHeight="1">
      <c r="A67" s="132">
        <v>67</v>
      </c>
      <c r="B67" s="49" t="s">
        <v>1677</v>
      </c>
      <c r="C67" s="49" t="s">
        <v>376</v>
      </c>
      <c r="D67" s="133" t="s">
        <v>246</v>
      </c>
      <c r="E67" s="133" t="s">
        <v>459</v>
      </c>
      <c r="F67" s="133"/>
      <c r="G67" s="134" t="s">
        <v>44</v>
      </c>
      <c r="H67" s="134" t="s">
        <v>260</v>
      </c>
      <c r="I67" s="134" t="s">
        <v>259</v>
      </c>
      <c r="J67" s="134" t="s">
        <v>375</v>
      </c>
      <c r="K67" s="134"/>
      <c r="L67" s="135">
        <v>0.96</v>
      </c>
      <c r="M67" s="136">
        <f t="shared" si="5"/>
        <v>190</v>
      </c>
      <c r="N67" s="2">
        <v>190</v>
      </c>
      <c r="O67" s="1"/>
      <c r="P67" s="137" t="e">
        <f t="shared" si="6"/>
        <v>#DIV/0!</v>
      </c>
      <c r="Q67" s="137">
        <f t="shared" si="7"/>
        <v>0</v>
      </c>
      <c r="R67" s="138">
        <f>IF(N67="nio",0,IF(N67&gt;0,VLOOKUP(I67,'3-Productie normen'!A:V,VLOOKUP(N67,'3-Productie normen'!$B$35:$C$56,2,FALSE),FALSE)))/VLOOKUP(B67,'2-Kosten per locatie'!$A$11:$C$18,3,FALSE)</f>
        <v>0</v>
      </c>
      <c r="S67" s="138">
        <f t="shared" si="8"/>
        <v>0</v>
      </c>
      <c r="T67" s="139" t="str">
        <f>VLOOKUP(I67,'3-Productie normen'!A:AF,28,FALSE)</f>
        <v>S</v>
      </c>
      <c r="U67" s="140"/>
      <c r="W67" s="141">
        <f t="shared" si="9"/>
        <v>182.4</v>
      </c>
    </row>
    <row r="68" spans="1:23" ht="13.9" customHeight="1">
      <c r="A68" s="132">
        <v>68</v>
      </c>
      <c r="B68" s="49" t="s">
        <v>1677</v>
      </c>
      <c r="C68" s="49" t="s">
        <v>376</v>
      </c>
      <c r="D68" s="133" t="s">
        <v>246</v>
      </c>
      <c r="E68" s="133" t="s">
        <v>460</v>
      </c>
      <c r="F68" s="133" t="s">
        <v>461</v>
      </c>
      <c r="G68" s="134" t="s">
        <v>44</v>
      </c>
      <c r="H68" s="134" t="s">
        <v>260</v>
      </c>
      <c r="I68" s="134" t="s">
        <v>259</v>
      </c>
      <c r="J68" s="134" t="s">
        <v>375</v>
      </c>
      <c r="K68" s="134"/>
      <c r="L68" s="135">
        <v>7.6</v>
      </c>
      <c r="M68" s="136">
        <f t="shared" si="5"/>
        <v>190</v>
      </c>
      <c r="N68" s="2">
        <v>190</v>
      </c>
      <c r="O68" s="1"/>
      <c r="P68" s="137" t="e">
        <f t="shared" si="6"/>
        <v>#DIV/0!</v>
      </c>
      <c r="Q68" s="137">
        <f t="shared" si="7"/>
        <v>0</v>
      </c>
      <c r="R68" s="138">
        <f>IF(N68="nio",0,IF(N68&gt;0,VLOOKUP(I68,'3-Productie normen'!A:V,VLOOKUP(N68,'3-Productie normen'!$B$35:$C$56,2,FALSE),FALSE)))/VLOOKUP(B68,'2-Kosten per locatie'!$A$11:$C$18,3,FALSE)</f>
        <v>0</v>
      </c>
      <c r="S68" s="138">
        <f t="shared" si="8"/>
        <v>0</v>
      </c>
      <c r="T68" s="139" t="str">
        <f>VLOOKUP(I68,'3-Productie normen'!A:AF,28,FALSE)</f>
        <v>S</v>
      </c>
      <c r="U68" s="140"/>
      <c r="W68" s="141">
        <f t="shared" si="9"/>
        <v>1444</v>
      </c>
    </row>
    <row r="69" spans="1:23" ht="13.9" customHeight="1">
      <c r="A69" s="118">
        <v>69</v>
      </c>
      <c r="B69" s="49" t="s">
        <v>1677</v>
      </c>
      <c r="C69" s="49" t="s">
        <v>376</v>
      </c>
      <c r="D69" s="133" t="s">
        <v>246</v>
      </c>
      <c r="E69" s="133" t="s">
        <v>462</v>
      </c>
      <c r="F69" s="133" t="s">
        <v>463</v>
      </c>
      <c r="G69" s="134" t="s">
        <v>281</v>
      </c>
      <c r="H69" s="134" t="s">
        <v>282</v>
      </c>
      <c r="I69" s="1" t="s">
        <v>282</v>
      </c>
      <c r="J69" s="134" t="s">
        <v>379</v>
      </c>
      <c r="K69" s="134"/>
      <c r="L69" s="135">
        <v>74.88</v>
      </c>
      <c r="M69" s="136">
        <f t="shared" si="5"/>
        <v>38</v>
      </c>
      <c r="N69" s="143">
        <v>38</v>
      </c>
      <c r="O69" s="1"/>
      <c r="P69" s="137" t="e">
        <f t="shared" si="6"/>
        <v>#DIV/0!</v>
      </c>
      <c r="Q69" s="137">
        <f t="shared" si="7"/>
        <v>0</v>
      </c>
      <c r="R69" s="138">
        <f>IF(N69="nio",0,IF(N69&gt;0,VLOOKUP(I69,'3-Productie normen'!A:V,VLOOKUP(N69,'3-Productie normen'!$B$35:$C$56,2,FALSE),FALSE)))/VLOOKUP(B69,'2-Kosten per locatie'!$A$11:$C$18,3,FALSE)</f>
        <v>0</v>
      </c>
      <c r="S69" s="138">
        <f t="shared" si="8"/>
        <v>0</v>
      </c>
      <c r="T69" s="139" t="str">
        <f>VLOOKUP(I69,'3-Productie normen'!A:AF,28,FALSE)</f>
        <v>V</v>
      </c>
      <c r="U69" s="140"/>
      <c r="W69" s="141">
        <f t="shared" si="9"/>
        <v>2845.4399999999996</v>
      </c>
    </row>
    <row r="70" spans="1:23" ht="13.9" customHeight="1">
      <c r="A70" s="132">
        <v>70</v>
      </c>
      <c r="B70" s="49" t="s">
        <v>1677</v>
      </c>
      <c r="C70" s="49" t="s">
        <v>376</v>
      </c>
      <c r="D70" s="133" t="s">
        <v>246</v>
      </c>
      <c r="E70" s="133" t="s">
        <v>464</v>
      </c>
      <c r="F70" s="133"/>
      <c r="G70" s="134" t="s">
        <v>245</v>
      </c>
      <c r="H70" s="134" t="s">
        <v>261</v>
      </c>
      <c r="I70" s="92" t="s">
        <v>274</v>
      </c>
      <c r="J70" s="134" t="s">
        <v>78</v>
      </c>
      <c r="K70" s="1" t="s">
        <v>1522</v>
      </c>
      <c r="L70" s="135">
        <v>10.4</v>
      </c>
      <c r="M70" s="136">
        <f t="shared" si="5"/>
        <v>76</v>
      </c>
      <c r="N70" s="2">
        <v>76</v>
      </c>
      <c r="O70" s="1"/>
      <c r="P70" s="137" t="e">
        <f t="shared" si="6"/>
        <v>#DIV/0!</v>
      </c>
      <c r="Q70" s="137">
        <f t="shared" si="7"/>
        <v>0</v>
      </c>
      <c r="R70" s="138">
        <f>IF(N70="nio",0,IF(N70&gt;0,VLOOKUP(I70,'3-Productie normen'!A:V,VLOOKUP(N70,'3-Productie normen'!$B$35:$C$56,2,FALSE),FALSE)))/VLOOKUP(B70,'2-Kosten per locatie'!$A$11:$C$18,3,FALSE)</f>
        <v>0</v>
      </c>
      <c r="S70" s="138">
        <f t="shared" si="8"/>
        <v>0</v>
      </c>
      <c r="T70" s="139" t="str">
        <f>VLOOKUP(I70,'3-Productie normen'!A:AF,28,FALSE)</f>
        <v>B</v>
      </c>
      <c r="U70" s="140"/>
      <c r="W70" s="141">
        <f t="shared" si="9"/>
        <v>790.4</v>
      </c>
    </row>
    <row r="71" spans="1:23" ht="13.9" customHeight="1">
      <c r="A71" s="132">
        <v>71</v>
      </c>
      <c r="B71" s="49" t="s">
        <v>1677</v>
      </c>
      <c r="C71" s="49" t="s">
        <v>376</v>
      </c>
      <c r="D71" s="133" t="s">
        <v>246</v>
      </c>
      <c r="E71" s="133" t="s">
        <v>465</v>
      </c>
      <c r="F71" s="133" t="s">
        <v>466</v>
      </c>
      <c r="G71" s="134" t="s">
        <v>264</v>
      </c>
      <c r="H71" s="134" t="s">
        <v>1588</v>
      </c>
      <c r="I71" s="134" t="s">
        <v>1589</v>
      </c>
      <c r="J71" s="134" t="s">
        <v>375</v>
      </c>
      <c r="K71" s="134"/>
      <c r="L71" s="135">
        <v>127.7</v>
      </c>
      <c r="M71" s="136">
        <f t="shared" si="5"/>
        <v>190</v>
      </c>
      <c r="N71" s="2">
        <v>190</v>
      </c>
      <c r="O71" s="1"/>
      <c r="P71" s="137" t="e">
        <f>IF(N71="nio",0,IF(N71&gt;0,N71*L71/R71,0))</f>
        <v>#DIV/0!</v>
      </c>
      <c r="Q71" s="137">
        <f t="shared" si="7"/>
        <v>0</v>
      </c>
      <c r="R71" s="138">
        <f>IF(N71="nio",0,IF(N71&gt;0,VLOOKUP(I71,'3-Productie normen'!A:V,VLOOKUP(N71,'3-Productie normen'!$B$35:$C$56,2,FALSE),FALSE)))/VLOOKUP(B71,'2-Kosten per locatie'!$A$11:$C$18,3,FALSE)</f>
        <v>0</v>
      </c>
      <c r="S71" s="138">
        <f t="shared" si="8"/>
        <v>0</v>
      </c>
      <c r="T71" s="139" t="str">
        <f>VLOOKUP(I71,'3-Productie normen'!A:AF,28,FALSE)</f>
        <v>L</v>
      </c>
      <c r="U71" s="140"/>
      <c r="W71" s="141">
        <f>M71*L71</f>
        <v>24263</v>
      </c>
    </row>
    <row r="72" spans="1:23" ht="13.9" customHeight="1">
      <c r="A72" s="118">
        <v>72</v>
      </c>
      <c r="B72" s="49" t="s">
        <v>1677</v>
      </c>
      <c r="C72" s="49" t="s">
        <v>376</v>
      </c>
      <c r="D72" s="133" t="s">
        <v>246</v>
      </c>
      <c r="E72" s="133" t="s">
        <v>467</v>
      </c>
      <c r="F72" s="133" t="s">
        <v>468</v>
      </c>
      <c r="G72" s="134" t="s">
        <v>264</v>
      </c>
      <c r="H72" s="134" t="s">
        <v>1588</v>
      </c>
      <c r="I72" s="134" t="s">
        <v>1589</v>
      </c>
      <c r="J72" s="134" t="s">
        <v>375</v>
      </c>
      <c r="K72" s="134"/>
      <c r="L72" s="135">
        <v>154.19</v>
      </c>
      <c r="M72" s="136">
        <f t="shared" si="5"/>
        <v>190</v>
      </c>
      <c r="N72" s="2">
        <v>190</v>
      </c>
      <c r="O72" s="1"/>
      <c r="P72" s="137" t="e">
        <f t="shared" si="6"/>
        <v>#DIV/0!</v>
      </c>
      <c r="Q72" s="137">
        <f t="shared" si="7"/>
        <v>0</v>
      </c>
      <c r="R72" s="138">
        <f>IF(N72="nio",0,IF(N72&gt;0,VLOOKUP(I72,'3-Productie normen'!A:V,VLOOKUP(N72,'3-Productie normen'!$B$35:$C$56,2,FALSE),FALSE)))/VLOOKUP(B72,'2-Kosten per locatie'!$A$11:$C$18,3,FALSE)</f>
        <v>0</v>
      </c>
      <c r="S72" s="138">
        <f t="shared" si="8"/>
        <v>0</v>
      </c>
      <c r="T72" s="139" t="str">
        <f>VLOOKUP(I72,'3-Productie normen'!A:AF,28,FALSE)</f>
        <v>L</v>
      </c>
      <c r="U72" s="140"/>
      <c r="W72" s="141">
        <f t="shared" si="9"/>
        <v>29296.1</v>
      </c>
    </row>
    <row r="73" spans="1:23" ht="13.9" customHeight="1">
      <c r="A73" s="132">
        <v>73</v>
      </c>
      <c r="B73" s="49" t="s">
        <v>1677</v>
      </c>
      <c r="C73" s="49" t="s">
        <v>376</v>
      </c>
      <c r="D73" s="133" t="s">
        <v>246</v>
      </c>
      <c r="E73" s="133" t="s">
        <v>469</v>
      </c>
      <c r="F73" s="133" t="s">
        <v>470</v>
      </c>
      <c r="G73" s="134" t="s">
        <v>245</v>
      </c>
      <c r="H73" s="134" t="s">
        <v>245</v>
      </c>
      <c r="I73" s="92" t="s">
        <v>274</v>
      </c>
      <c r="J73" s="134" t="s">
        <v>78</v>
      </c>
      <c r="K73" s="1" t="s">
        <v>1522</v>
      </c>
      <c r="L73" s="135">
        <v>31.24</v>
      </c>
      <c r="M73" s="136">
        <f t="shared" si="5"/>
        <v>76</v>
      </c>
      <c r="N73" s="2">
        <v>76</v>
      </c>
      <c r="O73" s="1"/>
      <c r="P73" s="137" t="e">
        <f t="shared" si="6"/>
        <v>#DIV/0!</v>
      </c>
      <c r="Q73" s="137">
        <f t="shared" si="7"/>
        <v>0</v>
      </c>
      <c r="R73" s="138">
        <f>IF(N73="nio",0,IF(N73&gt;0,VLOOKUP(I73,'3-Productie normen'!A:V,VLOOKUP(N73,'3-Productie normen'!$B$35:$C$56,2,FALSE),FALSE)))/VLOOKUP(B73,'2-Kosten per locatie'!$A$11:$C$18,3,FALSE)</f>
        <v>0</v>
      </c>
      <c r="S73" s="138">
        <f t="shared" si="8"/>
        <v>0</v>
      </c>
      <c r="T73" s="139" t="str">
        <f>VLOOKUP(I73,'3-Productie normen'!A:AF,28,FALSE)</f>
        <v>B</v>
      </c>
      <c r="U73" s="140"/>
      <c r="W73" s="141">
        <f t="shared" si="9"/>
        <v>2374.2399999999998</v>
      </c>
    </row>
    <row r="74" spans="1:23" ht="13.9" customHeight="1">
      <c r="A74" s="132">
        <v>74</v>
      </c>
      <c r="B74" s="49" t="s">
        <v>1677</v>
      </c>
      <c r="C74" s="49" t="s">
        <v>376</v>
      </c>
      <c r="D74" s="133" t="s">
        <v>246</v>
      </c>
      <c r="E74" s="133" t="s">
        <v>471</v>
      </c>
      <c r="F74" s="133" t="s">
        <v>472</v>
      </c>
      <c r="G74" s="134" t="s">
        <v>245</v>
      </c>
      <c r="H74" s="134" t="s">
        <v>245</v>
      </c>
      <c r="I74" s="92" t="s">
        <v>274</v>
      </c>
      <c r="J74" s="134" t="s">
        <v>78</v>
      </c>
      <c r="K74" s="1" t="s">
        <v>1522</v>
      </c>
      <c r="L74" s="135">
        <v>15.4</v>
      </c>
      <c r="M74" s="136">
        <f t="shared" si="5"/>
        <v>76</v>
      </c>
      <c r="N74" s="2">
        <v>76</v>
      </c>
      <c r="O74" s="1"/>
      <c r="P74" s="137" t="e">
        <f t="shared" si="6"/>
        <v>#DIV/0!</v>
      </c>
      <c r="Q74" s="137">
        <f t="shared" si="7"/>
        <v>0</v>
      </c>
      <c r="R74" s="138">
        <f>IF(N74="nio",0,IF(N74&gt;0,VLOOKUP(I74,'3-Productie normen'!A:V,VLOOKUP(N74,'3-Productie normen'!$B$35:$C$56,2,FALSE),FALSE)))/VLOOKUP(B74,'2-Kosten per locatie'!$A$11:$C$18,3,FALSE)</f>
        <v>0</v>
      </c>
      <c r="S74" s="138">
        <f t="shared" si="8"/>
        <v>0</v>
      </c>
      <c r="T74" s="139" t="str">
        <f>VLOOKUP(I74,'3-Productie normen'!A:AF,28,FALSE)</f>
        <v>B</v>
      </c>
      <c r="U74" s="140"/>
      <c r="W74" s="141">
        <f t="shared" si="9"/>
        <v>1170.4000000000001</v>
      </c>
    </row>
    <row r="75" spans="1:23" ht="13.9" customHeight="1">
      <c r="A75" s="118">
        <v>75</v>
      </c>
      <c r="B75" s="49" t="s">
        <v>1677</v>
      </c>
      <c r="C75" s="49" t="s">
        <v>376</v>
      </c>
      <c r="D75" s="133" t="s">
        <v>246</v>
      </c>
      <c r="E75" s="133" t="s">
        <v>473</v>
      </c>
      <c r="F75" s="133" t="s">
        <v>474</v>
      </c>
      <c r="G75" s="134" t="s">
        <v>245</v>
      </c>
      <c r="H75" s="134" t="s">
        <v>245</v>
      </c>
      <c r="I75" s="92" t="s">
        <v>274</v>
      </c>
      <c r="J75" s="134" t="s">
        <v>78</v>
      </c>
      <c r="K75" s="1" t="s">
        <v>1522</v>
      </c>
      <c r="L75" s="135">
        <v>15.4</v>
      </c>
      <c r="M75" s="136">
        <f t="shared" si="5"/>
        <v>76</v>
      </c>
      <c r="N75" s="2">
        <v>76</v>
      </c>
      <c r="O75" s="1"/>
      <c r="P75" s="137" t="e">
        <f t="shared" si="6"/>
        <v>#DIV/0!</v>
      </c>
      <c r="Q75" s="137">
        <f t="shared" si="7"/>
        <v>0</v>
      </c>
      <c r="R75" s="138">
        <f>IF(N75="nio",0,IF(N75&gt;0,VLOOKUP(I75,'3-Productie normen'!A:V,VLOOKUP(N75,'3-Productie normen'!$B$35:$C$56,2,FALSE),FALSE)))/VLOOKUP(B75,'2-Kosten per locatie'!$A$11:$C$18,3,FALSE)</f>
        <v>0</v>
      </c>
      <c r="S75" s="138">
        <f t="shared" si="8"/>
        <v>0</v>
      </c>
      <c r="T75" s="139" t="str">
        <f>VLOOKUP(I75,'3-Productie normen'!A:AF,28,FALSE)</f>
        <v>B</v>
      </c>
      <c r="U75" s="140"/>
      <c r="W75" s="141">
        <f t="shared" si="9"/>
        <v>1170.4000000000001</v>
      </c>
    </row>
    <row r="76" spans="1:23" ht="13.9" customHeight="1">
      <c r="A76" s="132">
        <v>76</v>
      </c>
      <c r="B76" s="49" t="s">
        <v>1677</v>
      </c>
      <c r="C76" s="49" t="s">
        <v>376</v>
      </c>
      <c r="D76" s="133" t="s">
        <v>246</v>
      </c>
      <c r="E76" s="133" t="s">
        <v>475</v>
      </c>
      <c r="F76" s="133" t="s">
        <v>476</v>
      </c>
      <c r="G76" s="134" t="s">
        <v>264</v>
      </c>
      <c r="H76" s="134" t="s">
        <v>363</v>
      </c>
      <c r="I76" s="86" t="s">
        <v>51</v>
      </c>
      <c r="J76" s="134" t="s">
        <v>477</v>
      </c>
      <c r="K76" s="134"/>
      <c r="L76" s="135">
        <v>267.58999999999997</v>
      </c>
      <c r="M76" s="136">
        <f t="shared" si="5"/>
        <v>190</v>
      </c>
      <c r="N76" s="2">
        <v>190</v>
      </c>
      <c r="O76" s="1"/>
      <c r="P76" s="137" t="e">
        <f t="shared" si="6"/>
        <v>#DIV/0!</v>
      </c>
      <c r="Q76" s="137">
        <f t="shared" si="7"/>
        <v>0</v>
      </c>
      <c r="R76" s="138">
        <f>IF(N76="nio",0,IF(N76&gt;0,VLOOKUP(I76,'3-Productie normen'!A:V,VLOOKUP(N76,'3-Productie normen'!$B$35:$C$56,2,FALSE),FALSE)))/VLOOKUP(B76,'2-Kosten per locatie'!$A$11:$C$18,3,FALSE)</f>
        <v>0</v>
      </c>
      <c r="S76" s="138">
        <f t="shared" si="8"/>
        <v>0</v>
      </c>
      <c r="T76" s="139" t="str">
        <f>VLOOKUP(I76,'3-Productie normen'!A:AF,28,FALSE)</f>
        <v>V</v>
      </c>
      <c r="U76" s="140"/>
      <c r="W76" s="141">
        <f t="shared" si="9"/>
        <v>50842.1</v>
      </c>
    </row>
    <row r="77" spans="1:23" ht="13.9" customHeight="1">
      <c r="A77" s="132">
        <v>77</v>
      </c>
      <c r="B77" s="49" t="s">
        <v>1677</v>
      </c>
      <c r="C77" s="49" t="s">
        <v>376</v>
      </c>
      <c r="D77" s="133" t="s">
        <v>246</v>
      </c>
      <c r="E77" s="133" t="s">
        <v>478</v>
      </c>
      <c r="F77" s="133"/>
      <c r="G77" s="134" t="s">
        <v>242</v>
      </c>
      <c r="H77" s="134" t="s">
        <v>242</v>
      </c>
      <c r="I77" s="1" t="s">
        <v>242</v>
      </c>
      <c r="J77" s="134" t="s">
        <v>477</v>
      </c>
      <c r="K77" s="134"/>
      <c r="L77" s="135">
        <v>18.11</v>
      </c>
      <c r="M77" s="136">
        <f t="shared" si="5"/>
        <v>2</v>
      </c>
      <c r="N77" s="2">
        <v>2</v>
      </c>
      <c r="O77" s="1"/>
      <c r="P77" s="137" t="e">
        <f t="shared" si="6"/>
        <v>#DIV/0!</v>
      </c>
      <c r="Q77" s="137">
        <f t="shared" si="7"/>
        <v>0</v>
      </c>
      <c r="R77" s="138">
        <f>IF(N77="nio",0,IF(N77&gt;0,VLOOKUP(I77,'3-Productie normen'!A:V,VLOOKUP(N77,'3-Productie normen'!$B$35:$C$56,2,FALSE),FALSE)))/VLOOKUP(B77,'2-Kosten per locatie'!$A$11:$C$18,3,FALSE)</f>
        <v>0</v>
      </c>
      <c r="S77" s="138">
        <f t="shared" si="8"/>
        <v>0</v>
      </c>
      <c r="T77" s="139" t="str">
        <f>VLOOKUP(I77,'3-Productie normen'!A:AF,28,FALSE)</f>
        <v>V</v>
      </c>
      <c r="U77" s="140"/>
      <c r="W77" s="141">
        <f t="shared" si="9"/>
        <v>36.22</v>
      </c>
    </row>
    <row r="78" spans="1:23" ht="13.9" customHeight="1">
      <c r="A78" s="118">
        <v>78</v>
      </c>
      <c r="B78" s="49" t="s">
        <v>1677</v>
      </c>
      <c r="C78" s="49" t="s">
        <v>376</v>
      </c>
      <c r="D78" s="133" t="s">
        <v>246</v>
      </c>
      <c r="E78" s="133" t="s">
        <v>479</v>
      </c>
      <c r="F78" s="133"/>
      <c r="G78" s="134" t="s">
        <v>242</v>
      </c>
      <c r="H78" s="134" t="s">
        <v>242</v>
      </c>
      <c r="I78" s="1" t="s">
        <v>242</v>
      </c>
      <c r="J78" s="134" t="s">
        <v>477</v>
      </c>
      <c r="K78" s="134"/>
      <c r="L78" s="135">
        <v>18.11</v>
      </c>
      <c r="M78" s="136">
        <f t="shared" si="5"/>
        <v>2</v>
      </c>
      <c r="N78" s="2">
        <v>2</v>
      </c>
      <c r="O78" s="1"/>
      <c r="P78" s="137" t="e">
        <f t="shared" si="6"/>
        <v>#DIV/0!</v>
      </c>
      <c r="Q78" s="137">
        <f t="shared" si="7"/>
        <v>0</v>
      </c>
      <c r="R78" s="138">
        <f>IF(N78="nio",0,IF(N78&gt;0,VLOOKUP(I78,'3-Productie normen'!A:V,VLOOKUP(N78,'3-Productie normen'!$B$35:$C$56,2,FALSE),FALSE)))/VLOOKUP(B78,'2-Kosten per locatie'!$A$11:$C$18,3,FALSE)</f>
        <v>0</v>
      </c>
      <c r="S78" s="138">
        <f t="shared" si="8"/>
        <v>0</v>
      </c>
      <c r="T78" s="139" t="str">
        <f>VLOOKUP(I78,'3-Productie normen'!A:AF,28,FALSE)</f>
        <v>V</v>
      </c>
      <c r="U78" s="140"/>
      <c r="W78" s="141">
        <f t="shared" si="9"/>
        <v>36.22</v>
      </c>
    </row>
    <row r="79" spans="1:23" ht="13.9" customHeight="1">
      <c r="A79" s="132">
        <v>79</v>
      </c>
      <c r="B79" s="49" t="s">
        <v>1677</v>
      </c>
      <c r="C79" s="49" t="s">
        <v>376</v>
      </c>
      <c r="D79" s="133" t="s">
        <v>246</v>
      </c>
      <c r="E79" s="133" t="s">
        <v>480</v>
      </c>
      <c r="F79" s="133" t="s">
        <v>446</v>
      </c>
      <c r="G79" s="134" t="s">
        <v>245</v>
      </c>
      <c r="H79" s="134" t="s">
        <v>245</v>
      </c>
      <c r="I79" s="92" t="s">
        <v>274</v>
      </c>
      <c r="J79" s="134" t="s">
        <v>375</v>
      </c>
      <c r="K79" s="134"/>
      <c r="L79" s="135">
        <v>23.85</v>
      </c>
      <c r="M79" s="136">
        <f t="shared" si="5"/>
        <v>76</v>
      </c>
      <c r="N79" s="2">
        <v>76</v>
      </c>
      <c r="O79" s="1"/>
      <c r="P79" s="137" t="e">
        <f t="shared" si="6"/>
        <v>#DIV/0!</v>
      </c>
      <c r="Q79" s="137">
        <f t="shared" si="7"/>
        <v>0</v>
      </c>
      <c r="R79" s="138">
        <f>IF(N79="nio",0,IF(N79&gt;0,VLOOKUP(I79,'3-Productie normen'!A:V,VLOOKUP(N79,'3-Productie normen'!$B$35:$C$56,2,FALSE),FALSE)))/VLOOKUP(B79,'2-Kosten per locatie'!$A$11:$C$18,3,FALSE)</f>
        <v>0</v>
      </c>
      <c r="S79" s="138">
        <f t="shared" si="8"/>
        <v>0</v>
      </c>
      <c r="T79" s="139" t="str">
        <f>VLOOKUP(I79,'3-Productie normen'!A:AF,28,FALSE)</f>
        <v>B</v>
      </c>
      <c r="U79" s="140"/>
      <c r="W79" s="141">
        <f t="shared" si="9"/>
        <v>1812.6000000000001</v>
      </c>
    </row>
    <row r="80" spans="1:23" ht="13.9" customHeight="1">
      <c r="A80" s="132">
        <v>80</v>
      </c>
      <c r="B80" s="49" t="s">
        <v>1677</v>
      </c>
      <c r="C80" s="49" t="s">
        <v>376</v>
      </c>
      <c r="D80" s="133" t="s">
        <v>246</v>
      </c>
      <c r="E80" s="133" t="s">
        <v>481</v>
      </c>
      <c r="F80" s="133" t="s">
        <v>482</v>
      </c>
      <c r="G80" s="134" t="s">
        <v>245</v>
      </c>
      <c r="H80" s="134" t="s">
        <v>50</v>
      </c>
      <c r="I80" s="134" t="s">
        <v>270</v>
      </c>
      <c r="J80" s="134" t="s">
        <v>78</v>
      </c>
      <c r="K80" s="1" t="s">
        <v>1522</v>
      </c>
      <c r="L80" s="135">
        <v>15.14</v>
      </c>
      <c r="M80" s="136">
        <f t="shared" si="5"/>
        <v>76</v>
      </c>
      <c r="N80" s="2">
        <v>76</v>
      </c>
      <c r="O80" s="1"/>
      <c r="P80" s="137" t="e">
        <f t="shared" si="6"/>
        <v>#DIV/0!</v>
      </c>
      <c r="Q80" s="137">
        <f t="shared" si="7"/>
        <v>0</v>
      </c>
      <c r="R80" s="138">
        <f>IF(N80="nio",0,IF(N80&gt;0,VLOOKUP(I80,'3-Productie normen'!A:V,VLOOKUP(N80,'3-Productie normen'!$B$35:$C$56,2,FALSE),FALSE)))/VLOOKUP(B80,'2-Kosten per locatie'!$A$11:$C$18,3,FALSE)</f>
        <v>0</v>
      </c>
      <c r="S80" s="138">
        <f t="shared" si="8"/>
        <v>0</v>
      </c>
      <c r="T80" s="139" t="str">
        <f>VLOOKUP(I80,'3-Productie normen'!A:AF,28,FALSE)</f>
        <v>B</v>
      </c>
      <c r="U80" s="140"/>
      <c r="W80" s="141">
        <f t="shared" si="9"/>
        <v>1150.6400000000001</v>
      </c>
    </row>
    <row r="81" spans="1:23" ht="13.9" customHeight="1">
      <c r="A81" s="118">
        <v>81</v>
      </c>
      <c r="B81" s="49" t="s">
        <v>1677</v>
      </c>
      <c r="C81" s="49" t="s">
        <v>376</v>
      </c>
      <c r="D81" s="133" t="s">
        <v>246</v>
      </c>
      <c r="E81" s="133" t="s">
        <v>483</v>
      </c>
      <c r="F81" s="133" t="s">
        <v>484</v>
      </c>
      <c r="G81" s="134" t="s">
        <v>245</v>
      </c>
      <c r="H81" s="134" t="s">
        <v>245</v>
      </c>
      <c r="I81" s="92" t="s">
        <v>274</v>
      </c>
      <c r="J81" s="134" t="s">
        <v>78</v>
      </c>
      <c r="K81" s="1" t="s">
        <v>1522</v>
      </c>
      <c r="L81" s="135">
        <v>18.39</v>
      </c>
      <c r="M81" s="136">
        <f t="shared" si="5"/>
        <v>76</v>
      </c>
      <c r="N81" s="2">
        <v>76</v>
      </c>
      <c r="O81" s="1"/>
      <c r="P81" s="137" t="e">
        <f t="shared" si="6"/>
        <v>#DIV/0!</v>
      </c>
      <c r="Q81" s="137">
        <f t="shared" si="7"/>
        <v>0</v>
      </c>
      <c r="R81" s="138">
        <f>IF(N81="nio",0,IF(N81&gt;0,VLOOKUP(I81,'3-Productie normen'!A:V,VLOOKUP(N81,'3-Productie normen'!$B$35:$C$56,2,FALSE),FALSE)))/VLOOKUP(B81,'2-Kosten per locatie'!$A$11:$C$18,3,FALSE)</f>
        <v>0</v>
      </c>
      <c r="S81" s="138">
        <f t="shared" si="8"/>
        <v>0</v>
      </c>
      <c r="T81" s="139" t="str">
        <f>VLOOKUP(I81,'3-Productie normen'!A:AF,28,FALSE)</f>
        <v>B</v>
      </c>
      <c r="U81" s="140"/>
      <c r="W81" s="141">
        <f t="shared" si="9"/>
        <v>1397.64</v>
      </c>
    </row>
    <row r="82" spans="1:23" ht="13.9" customHeight="1">
      <c r="A82" s="132">
        <v>82</v>
      </c>
      <c r="B82" s="49" t="s">
        <v>1677</v>
      </c>
      <c r="C82" s="49" t="s">
        <v>376</v>
      </c>
      <c r="D82" s="133" t="s">
        <v>246</v>
      </c>
      <c r="E82" s="133" t="s">
        <v>485</v>
      </c>
      <c r="F82" s="133" t="s">
        <v>486</v>
      </c>
      <c r="G82" s="134" t="s">
        <v>264</v>
      </c>
      <c r="H82" s="134" t="s">
        <v>1590</v>
      </c>
      <c r="I82" s="134" t="s">
        <v>1589</v>
      </c>
      <c r="J82" s="134" t="s">
        <v>375</v>
      </c>
      <c r="K82" s="134"/>
      <c r="L82" s="135">
        <v>127.53</v>
      </c>
      <c r="M82" s="136">
        <f t="shared" si="5"/>
        <v>190</v>
      </c>
      <c r="N82" s="2">
        <v>190</v>
      </c>
      <c r="O82" s="1"/>
      <c r="P82" s="137" t="e">
        <f t="shared" si="6"/>
        <v>#DIV/0!</v>
      </c>
      <c r="Q82" s="137">
        <f t="shared" si="7"/>
        <v>0</v>
      </c>
      <c r="R82" s="138">
        <f>IF(N82="nio",0,IF(N82&gt;0,VLOOKUP(I82,'3-Productie normen'!A:V,VLOOKUP(N82,'3-Productie normen'!$B$35:$C$56,2,FALSE),FALSE)))/VLOOKUP(B82,'2-Kosten per locatie'!$A$11:$C$18,3,FALSE)</f>
        <v>0</v>
      </c>
      <c r="S82" s="138">
        <f t="shared" si="8"/>
        <v>0</v>
      </c>
      <c r="T82" s="139" t="str">
        <f>VLOOKUP(I82,'3-Productie normen'!A:AF,28,FALSE)</f>
        <v>L</v>
      </c>
      <c r="U82" s="140"/>
      <c r="W82" s="141">
        <f t="shared" si="9"/>
        <v>24230.7</v>
      </c>
    </row>
    <row r="83" spans="1:23" ht="13.9" customHeight="1">
      <c r="A83" s="132">
        <v>83</v>
      </c>
      <c r="B83" s="49" t="s">
        <v>1677</v>
      </c>
      <c r="C83" s="49" t="s">
        <v>376</v>
      </c>
      <c r="D83" s="133" t="s">
        <v>246</v>
      </c>
      <c r="E83" s="133" t="s">
        <v>487</v>
      </c>
      <c r="F83" s="133" t="s">
        <v>488</v>
      </c>
      <c r="G83" s="134" t="s">
        <v>264</v>
      </c>
      <c r="H83" s="134" t="s">
        <v>1590</v>
      </c>
      <c r="I83" s="134" t="s">
        <v>1589</v>
      </c>
      <c r="J83" s="134" t="s">
        <v>78</v>
      </c>
      <c r="K83" s="1" t="s">
        <v>1522</v>
      </c>
      <c r="L83" s="135">
        <v>126.85</v>
      </c>
      <c r="M83" s="136">
        <f t="shared" si="5"/>
        <v>190</v>
      </c>
      <c r="N83" s="2">
        <v>190</v>
      </c>
      <c r="O83" s="1"/>
      <c r="P83" s="137" t="e">
        <f t="shared" si="6"/>
        <v>#DIV/0!</v>
      </c>
      <c r="Q83" s="137">
        <f t="shared" si="7"/>
        <v>0</v>
      </c>
      <c r="R83" s="138">
        <f>IF(N83="nio",0,IF(N83&gt;0,VLOOKUP(I83,'3-Productie normen'!A:V,VLOOKUP(N83,'3-Productie normen'!$B$35:$C$56,2,FALSE),FALSE)))/VLOOKUP(B83,'2-Kosten per locatie'!$A$11:$C$18,3,FALSE)</f>
        <v>0</v>
      </c>
      <c r="S83" s="138">
        <f t="shared" si="8"/>
        <v>0</v>
      </c>
      <c r="T83" s="139" t="str">
        <f>VLOOKUP(I83,'3-Productie normen'!A:AF,28,FALSE)</f>
        <v>L</v>
      </c>
      <c r="U83" s="140"/>
      <c r="W83" s="141">
        <f t="shared" si="9"/>
        <v>24101.5</v>
      </c>
    </row>
    <row r="84" spans="1:23" ht="13.9" customHeight="1">
      <c r="A84" s="118">
        <v>84</v>
      </c>
      <c r="B84" s="49" t="s">
        <v>1677</v>
      </c>
      <c r="C84" s="49" t="s">
        <v>376</v>
      </c>
      <c r="D84" s="133" t="s">
        <v>246</v>
      </c>
      <c r="E84" s="133" t="s">
        <v>489</v>
      </c>
      <c r="F84" s="133"/>
      <c r="G84" s="142" t="s">
        <v>237</v>
      </c>
      <c r="H84" s="134" t="s">
        <v>278</v>
      </c>
      <c r="I84" s="91" t="s">
        <v>239</v>
      </c>
      <c r="J84" s="134" t="s">
        <v>379</v>
      </c>
      <c r="K84" s="134"/>
      <c r="L84" s="135">
        <v>1.39</v>
      </c>
      <c r="M84" s="136">
        <f t="shared" si="5"/>
        <v>0</v>
      </c>
      <c r="N84" s="2" t="s">
        <v>273</v>
      </c>
      <c r="O84" s="1"/>
      <c r="P84" s="137">
        <f t="shared" si="6"/>
        <v>0</v>
      </c>
      <c r="Q84" s="137">
        <f t="shared" si="7"/>
        <v>0</v>
      </c>
      <c r="R84" s="138">
        <f>IF(N84="nio",0,IF(N84&gt;0,VLOOKUP(I84,'3-Productie normen'!A:V,VLOOKUP(N84,'3-Productie normen'!$B$35:$C$56,2,FALSE),FALSE)))/VLOOKUP(B84,'2-Kosten per locatie'!$A$11:$C$18,3,FALSE)</f>
        <v>0</v>
      </c>
      <c r="S84" s="138">
        <f t="shared" si="8"/>
        <v>0</v>
      </c>
      <c r="T84" s="139">
        <f>VLOOKUP(I84,'3-Productie normen'!A:AF,28,FALSE)</f>
        <v>0</v>
      </c>
      <c r="U84" s="140"/>
      <c r="W84" s="141">
        <f t="shared" si="9"/>
        <v>0</v>
      </c>
    </row>
    <row r="85" spans="1:23" ht="13.9" customHeight="1">
      <c r="A85" s="132">
        <v>85</v>
      </c>
      <c r="B85" s="49" t="s">
        <v>1677</v>
      </c>
      <c r="C85" s="49" t="s">
        <v>376</v>
      </c>
      <c r="D85" s="133" t="s">
        <v>268</v>
      </c>
      <c r="E85" s="133" t="s">
        <v>490</v>
      </c>
      <c r="F85" s="133"/>
      <c r="G85" s="134" t="s">
        <v>232</v>
      </c>
      <c r="H85" s="134" t="s">
        <v>53</v>
      </c>
      <c r="I85" s="1" t="s">
        <v>233</v>
      </c>
      <c r="J85" s="134" t="s">
        <v>379</v>
      </c>
      <c r="K85" s="134"/>
      <c r="L85" s="135">
        <v>21.7</v>
      </c>
      <c r="M85" s="136">
        <f t="shared" si="5"/>
        <v>190</v>
      </c>
      <c r="N85" s="2">
        <v>190</v>
      </c>
      <c r="O85" s="1"/>
      <c r="P85" s="137" t="e">
        <f t="shared" si="6"/>
        <v>#DIV/0!</v>
      </c>
      <c r="Q85" s="137">
        <f t="shared" si="7"/>
        <v>0</v>
      </c>
      <c r="R85" s="138">
        <f>IF(N85="nio",0,IF(N85&gt;0,VLOOKUP(I85,'3-Productie normen'!A:V,VLOOKUP(N85,'3-Productie normen'!$B$35:$C$56,2,FALSE),FALSE)))/VLOOKUP(B85,'2-Kosten per locatie'!$A$11:$C$18,3,FALSE)</f>
        <v>0</v>
      </c>
      <c r="S85" s="138">
        <f t="shared" si="8"/>
        <v>0</v>
      </c>
      <c r="T85" s="139" t="str">
        <f>VLOOKUP(I85,'3-Productie normen'!A:AF,28,FALSE)</f>
        <v>V</v>
      </c>
      <c r="U85" s="140"/>
      <c r="W85" s="141">
        <f t="shared" si="9"/>
        <v>4123</v>
      </c>
    </row>
    <row r="86" spans="1:23" ht="13.9" customHeight="1">
      <c r="A86" s="132">
        <v>86</v>
      </c>
      <c r="B86" s="49" t="s">
        <v>1677</v>
      </c>
      <c r="C86" s="49" t="s">
        <v>376</v>
      </c>
      <c r="D86" s="133" t="s">
        <v>268</v>
      </c>
      <c r="E86" s="133" t="s">
        <v>491</v>
      </c>
      <c r="F86" s="133"/>
      <c r="G86" s="134" t="s">
        <v>232</v>
      </c>
      <c r="H86" s="134" t="s">
        <v>53</v>
      </c>
      <c r="I86" s="1" t="s">
        <v>233</v>
      </c>
      <c r="J86" s="134" t="s">
        <v>379</v>
      </c>
      <c r="K86" s="134"/>
      <c r="L86" s="135">
        <v>21.7</v>
      </c>
      <c r="M86" s="136">
        <f t="shared" si="5"/>
        <v>190</v>
      </c>
      <c r="N86" s="2">
        <v>190</v>
      </c>
      <c r="O86" s="1"/>
      <c r="P86" s="137" t="e">
        <f t="shared" si="6"/>
        <v>#DIV/0!</v>
      </c>
      <c r="Q86" s="137">
        <f t="shared" si="7"/>
        <v>0</v>
      </c>
      <c r="R86" s="138">
        <f>IF(N86="nio",0,IF(N86&gt;0,VLOOKUP(I86,'3-Productie normen'!A:V,VLOOKUP(N86,'3-Productie normen'!$B$35:$C$56,2,FALSE),FALSE)))/VLOOKUP(B86,'2-Kosten per locatie'!$A$11:$C$18,3,FALSE)</f>
        <v>0</v>
      </c>
      <c r="S86" s="138">
        <f t="shared" si="8"/>
        <v>0</v>
      </c>
      <c r="T86" s="139" t="str">
        <f>VLOOKUP(I86,'3-Productie normen'!A:AF,28,FALSE)</f>
        <v>V</v>
      </c>
      <c r="U86" s="140"/>
      <c r="W86" s="141">
        <f t="shared" si="9"/>
        <v>4123</v>
      </c>
    </row>
    <row r="87" spans="1:23" ht="13.9" customHeight="1">
      <c r="A87" s="118">
        <v>87</v>
      </c>
      <c r="B87" s="49" t="s">
        <v>1677</v>
      </c>
      <c r="C87" s="49" t="s">
        <v>376</v>
      </c>
      <c r="D87" s="133" t="s">
        <v>268</v>
      </c>
      <c r="E87" s="133" t="s">
        <v>492</v>
      </c>
      <c r="F87" s="133"/>
      <c r="G87" s="142" t="s">
        <v>232</v>
      </c>
      <c r="H87" s="134" t="s">
        <v>54</v>
      </c>
      <c r="I87" s="134" t="s">
        <v>239</v>
      </c>
      <c r="J87" s="134" t="s">
        <v>231</v>
      </c>
      <c r="K87" s="134"/>
      <c r="L87" s="135">
        <v>0</v>
      </c>
      <c r="M87" s="136">
        <f t="shared" ref="M87:M150" si="10">SUM(N87:O87)</f>
        <v>0</v>
      </c>
      <c r="N87" s="2" t="s">
        <v>273</v>
      </c>
      <c r="O87" s="1"/>
      <c r="P87" s="137">
        <f t="shared" ref="P87:P150" si="11">IF(N87="nio",0,IF(N87&gt;0,N87*L87/R87,0))</f>
        <v>0</v>
      </c>
      <c r="Q87" s="137">
        <f t="shared" ref="Q87:Q150" si="12">IF(O87&gt;0,O87*L87/S87,0)</f>
        <v>0</v>
      </c>
      <c r="R87" s="138">
        <f>IF(N87="nio",0,IF(N87&gt;0,VLOOKUP(I87,'3-Productie normen'!A:V,VLOOKUP(N87,'3-Productie normen'!$B$35:$C$56,2,FALSE),FALSE)))/VLOOKUP(B87,'2-Kosten per locatie'!$A$11:$C$18,3,FALSE)</f>
        <v>0</v>
      </c>
      <c r="S87" s="138">
        <f t="shared" ref="S87:S150" si="13">IF(O87&gt;0,R87*$S$8,0)</f>
        <v>0</v>
      </c>
      <c r="T87" s="139">
        <f>VLOOKUP(I87,'3-Productie normen'!A:AF,28,FALSE)</f>
        <v>0</v>
      </c>
      <c r="U87" s="140"/>
      <c r="W87" s="141">
        <f t="shared" ref="W87:W150" si="14">M87*L87</f>
        <v>0</v>
      </c>
    </row>
    <row r="88" spans="1:23" ht="13.9" customHeight="1">
      <c r="A88" s="132">
        <v>88</v>
      </c>
      <c r="B88" s="49" t="s">
        <v>1677</v>
      </c>
      <c r="C88" s="49" t="s">
        <v>376</v>
      </c>
      <c r="D88" s="133" t="s">
        <v>268</v>
      </c>
      <c r="E88" s="133" t="s">
        <v>493</v>
      </c>
      <c r="F88" s="133"/>
      <c r="G88" s="134" t="s">
        <v>235</v>
      </c>
      <c r="H88" s="134" t="s">
        <v>236</v>
      </c>
      <c r="I88" s="49" t="s">
        <v>1486</v>
      </c>
      <c r="J88" s="134" t="s">
        <v>375</v>
      </c>
      <c r="K88" s="134"/>
      <c r="L88" s="135">
        <v>39.909999999999997</v>
      </c>
      <c r="M88" s="136">
        <f t="shared" si="10"/>
        <v>190</v>
      </c>
      <c r="N88" s="2">
        <v>190</v>
      </c>
      <c r="O88" s="1"/>
      <c r="P88" s="137" t="e">
        <f t="shared" si="11"/>
        <v>#DIV/0!</v>
      </c>
      <c r="Q88" s="137">
        <f t="shared" si="12"/>
        <v>0</v>
      </c>
      <c r="R88" s="138">
        <f>IF(N88="nio",0,IF(N88&gt;0,VLOOKUP(I88,'3-Productie normen'!A:V,VLOOKUP(N88,'3-Productie normen'!$B$35:$C$56,2,FALSE),FALSE)))/VLOOKUP(B88,'2-Kosten per locatie'!$A$11:$C$18,3,FALSE)</f>
        <v>0</v>
      </c>
      <c r="S88" s="138">
        <f t="shared" si="13"/>
        <v>0</v>
      </c>
      <c r="T88" s="139" t="str">
        <f>VLOOKUP(I88,'3-Productie normen'!A:AF,28,FALSE)</f>
        <v>V</v>
      </c>
      <c r="U88" s="140"/>
      <c r="W88" s="141">
        <f t="shared" si="14"/>
        <v>7582.9</v>
      </c>
    </row>
    <row r="89" spans="1:23" ht="13.9" customHeight="1">
      <c r="A89" s="132">
        <v>89</v>
      </c>
      <c r="B89" s="49" t="s">
        <v>1677</v>
      </c>
      <c r="C89" s="49" t="s">
        <v>376</v>
      </c>
      <c r="D89" s="133" t="s">
        <v>268</v>
      </c>
      <c r="E89" s="133" t="s">
        <v>494</v>
      </c>
      <c r="F89" s="133"/>
      <c r="G89" s="134" t="s">
        <v>235</v>
      </c>
      <c r="H89" s="134" t="s">
        <v>236</v>
      </c>
      <c r="I89" s="49" t="s">
        <v>1486</v>
      </c>
      <c r="J89" s="134" t="s">
        <v>375</v>
      </c>
      <c r="K89" s="134"/>
      <c r="L89" s="135">
        <v>80.069999999999993</v>
      </c>
      <c r="M89" s="136">
        <f t="shared" si="10"/>
        <v>190</v>
      </c>
      <c r="N89" s="2">
        <v>190</v>
      </c>
      <c r="O89" s="1"/>
      <c r="P89" s="137" t="e">
        <f t="shared" si="11"/>
        <v>#DIV/0!</v>
      </c>
      <c r="Q89" s="137">
        <f t="shared" si="12"/>
        <v>0</v>
      </c>
      <c r="R89" s="138">
        <f>IF(N89="nio",0,IF(N89&gt;0,VLOOKUP(I89,'3-Productie normen'!A:V,VLOOKUP(N89,'3-Productie normen'!$B$35:$C$56,2,FALSE),FALSE)))/VLOOKUP(B89,'2-Kosten per locatie'!$A$11:$C$18,3,FALSE)</f>
        <v>0</v>
      </c>
      <c r="S89" s="138">
        <f t="shared" si="13"/>
        <v>0</v>
      </c>
      <c r="T89" s="139" t="str">
        <f>VLOOKUP(I89,'3-Productie normen'!A:AF,28,FALSE)</f>
        <v>V</v>
      </c>
      <c r="U89" s="140"/>
      <c r="W89" s="141">
        <f t="shared" si="14"/>
        <v>15213.3</v>
      </c>
    </row>
    <row r="90" spans="1:23" ht="13.9" customHeight="1">
      <c r="A90" s="118">
        <v>90</v>
      </c>
      <c r="B90" s="49" t="s">
        <v>1677</v>
      </c>
      <c r="C90" s="49" t="s">
        <v>376</v>
      </c>
      <c r="D90" s="133" t="s">
        <v>268</v>
      </c>
      <c r="E90" s="133" t="s">
        <v>495</v>
      </c>
      <c r="F90" s="133"/>
      <c r="G90" s="134" t="s">
        <v>235</v>
      </c>
      <c r="H90" s="134" t="s">
        <v>236</v>
      </c>
      <c r="I90" s="49" t="s">
        <v>1486</v>
      </c>
      <c r="J90" s="134" t="s">
        <v>375</v>
      </c>
      <c r="K90" s="134"/>
      <c r="L90" s="135">
        <v>5.9</v>
      </c>
      <c r="M90" s="136">
        <f t="shared" si="10"/>
        <v>190</v>
      </c>
      <c r="N90" s="2">
        <v>190</v>
      </c>
      <c r="O90" s="1"/>
      <c r="P90" s="137" t="e">
        <f t="shared" si="11"/>
        <v>#DIV/0!</v>
      </c>
      <c r="Q90" s="137">
        <f t="shared" si="12"/>
        <v>0</v>
      </c>
      <c r="R90" s="138">
        <f>IF(N90="nio",0,IF(N90&gt;0,VLOOKUP(I90,'3-Productie normen'!A:V,VLOOKUP(N90,'3-Productie normen'!$B$35:$C$56,2,FALSE),FALSE)))/VLOOKUP(B90,'2-Kosten per locatie'!$A$11:$C$18,3,FALSE)</f>
        <v>0</v>
      </c>
      <c r="S90" s="138">
        <f t="shared" si="13"/>
        <v>0</v>
      </c>
      <c r="T90" s="139" t="str">
        <f>VLOOKUP(I90,'3-Productie normen'!A:AF,28,FALSE)</f>
        <v>V</v>
      </c>
      <c r="U90" s="140"/>
      <c r="W90" s="141">
        <f t="shared" si="14"/>
        <v>1121</v>
      </c>
    </row>
    <row r="91" spans="1:23" ht="13.9" customHeight="1">
      <c r="A91" s="132">
        <v>91</v>
      </c>
      <c r="B91" s="49" t="s">
        <v>1677</v>
      </c>
      <c r="C91" s="49" t="s">
        <v>376</v>
      </c>
      <c r="D91" s="133" t="s">
        <v>268</v>
      </c>
      <c r="E91" s="133" t="s">
        <v>496</v>
      </c>
      <c r="F91" s="133"/>
      <c r="G91" s="134" t="s">
        <v>235</v>
      </c>
      <c r="H91" s="134" t="s">
        <v>249</v>
      </c>
      <c r="I91" s="49" t="s">
        <v>1486</v>
      </c>
      <c r="J91" s="134" t="s">
        <v>375</v>
      </c>
      <c r="K91" s="134"/>
      <c r="L91" s="135">
        <v>166.88</v>
      </c>
      <c r="M91" s="136">
        <f t="shared" si="10"/>
        <v>190</v>
      </c>
      <c r="N91" s="2">
        <v>190</v>
      </c>
      <c r="O91" s="1"/>
      <c r="P91" s="137" t="e">
        <f t="shared" si="11"/>
        <v>#DIV/0!</v>
      </c>
      <c r="Q91" s="137">
        <f t="shared" si="12"/>
        <v>0</v>
      </c>
      <c r="R91" s="138">
        <f>IF(N91="nio",0,IF(N91&gt;0,VLOOKUP(I91,'3-Productie normen'!A:V,VLOOKUP(N91,'3-Productie normen'!$B$35:$C$56,2,FALSE),FALSE)))/VLOOKUP(B91,'2-Kosten per locatie'!$A$11:$C$18,3,FALSE)</f>
        <v>0</v>
      </c>
      <c r="S91" s="138">
        <f t="shared" si="13"/>
        <v>0</v>
      </c>
      <c r="T91" s="139" t="str">
        <f>VLOOKUP(I91,'3-Productie normen'!A:AF,28,FALSE)</f>
        <v>V</v>
      </c>
      <c r="U91" s="140"/>
      <c r="W91" s="141">
        <f t="shared" si="14"/>
        <v>31707.200000000001</v>
      </c>
    </row>
    <row r="92" spans="1:23" ht="13.9" customHeight="1">
      <c r="A92" s="132">
        <v>92</v>
      </c>
      <c r="B92" s="49" t="s">
        <v>1677</v>
      </c>
      <c r="C92" s="49" t="s">
        <v>376</v>
      </c>
      <c r="D92" s="133" t="s">
        <v>268</v>
      </c>
      <c r="E92" s="133" t="s">
        <v>497</v>
      </c>
      <c r="F92" s="133"/>
      <c r="G92" s="134" t="s">
        <v>235</v>
      </c>
      <c r="H92" s="134" t="s">
        <v>236</v>
      </c>
      <c r="I92" s="49" t="s">
        <v>1486</v>
      </c>
      <c r="J92" s="134" t="s">
        <v>375</v>
      </c>
      <c r="K92" s="134"/>
      <c r="L92" s="135">
        <v>94</v>
      </c>
      <c r="M92" s="136">
        <f t="shared" si="10"/>
        <v>190</v>
      </c>
      <c r="N92" s="2">
        <v>190</v>
      </c>
      <c r="O92" s="1"/>
      <c r="P92" s="137" t="e">
        <f t="shared" si="11"/>
        <v>#DIV/0!</v>
      </c>
      <c r="Q92" s="137">
        <f t="shared" si="12"/>
        <v>0</v>
      </c>
      <c r="R92" s="138">
        <f>IF(N92="nio",0,IF(N92&gt;0,VLOOKUP(I92,'3-Productie normen'!A:V,VLOOKUP(N92,'3-Productie normen'!$B$35:$C$56,2,FALSE),FALSE)))/VLOOKUP(B92,'2-Kosten per locatie'!$A$11:$C$18,3,FALSE)</f>
        <v>0</v>
      </c>
      <c r="S92" s="138">
        <f t="shared" si="13"/>
        <v>0</v>
      </c>
      <c r="T92" s="139" t="str">
        <f>VLOOKUP(I92,'3-Productie normen'!A:AF,28,FALSE)</f>
        <v>V</v>
      </c>
      <c r="U92" s="140"/>
      <c r="W92" s="141">
        <f t="shared" si="14"/>
        <v>17860</v>
      </c>
    </row>
    <row r="93" spans="1:23" ht="13.9" customHeight="1">
      <c r="A93" s="118">
        <v>93</v>
      </c>
      <c r="B93" s="49" t="s">
        <v>1677</v>
      </c>
      <c r="C93" s="49" t="s">
        <v>376</v>
      </c>
      <c r="D93" s="133" t="s">
        <v>268</v>
      </c>
      <c r="E93" s="133" t="s">
        <v>498</v>
      </c>
      <c r="F93" s="133"/>
      <c r="G93" s="134" t="s">
        <v>235</v>
      </c>
      <c r="H93" s="134" t="s">
        <v>236</v>
      </c>
      <c r="I93" s="49" t="s">
        <v>1486</v>
      </c>
      <c r="J93" s="134" t="s">
        <v>375</v>
      </c>
      <c r="K93" s="134"/>
      <c r="L93" s="135">
        <v>78.61</v>
      </c>
      <c r="M93" s="136">
        <f t="shared" si="10"/>
        <v>190</v>
      </c>
      <c r="N93" s="2">
        <v>190</v>
      </c>
      <c r="O93" s="1"/>
      <c r="P93" s="137" t="e">
        <f t="shared" si="11"/>
        <v>#DIV/0!</v>
      </c>
      <c r="Q93" s="137">
        <f t="shared" si="12"/>
        <v>0</v>
      </c>
      <c r="R93" s="138">
        <f>IF(N93="nio",0,IF(N93&gt;0,VLOOKUP(I93,'3-Productie normen'!A:V,VLOOKUP(N93,'3-Productie normen'!$B$35:$C$56,2,FALSE),FALSE)))/VLOOKUP(B93,'2-Kosten per locatie'!$A$11:$C$18,3,FALSE)</f>
        <v>0</v>
      </c>
      <c r="S93" s="138">
        <f t="shared" si="13"/>
        <v>0</v>
      </c>
      <c r="T93" s="139" t="str">
        <f>VLOOKUP(I93,'3-Productie normen'!A:AF,28,FALSE)</f>
        <v>V</v>
      </c>
      <c r="U93" s="140"/>
      <c r="W93" s="141">
        <f t="shared" si="14"/>
        <v>14935.9</v>
      </c>
    </row>
    <row r="94" spans="1:23" ht="13.9" customHeight="1">
      <c r="A94" s="132">
        <v>94</v>
      </c>
      <c r="B94" s="49" t="s">
        <v>1677</v>
      </c>
      <c r="C94" s="49" t="s">
        <v>376</v>
      </c>
      <c r="D94" s="133" t="s">
        <v>268</v>
      </c>
      <c r="E94" s="133" t="s">
        <v>499</v>
      </c>
      <c r="F94" s="133"/>
      <c r="G94" s="134" t="s">
        <v>235</v>
      </c>
      <c r="H94" s="134" t="s">
        <v>236</v>
      </c>
      <c r="I94" s="49" t="s">
        <v>1486</v>
      </c>
      <c r="J94" s="134" t="s">
        <v>375</v>
      </c>
      <c r="K94" s="134"/>
      <c r="L94" s="135">
        <v>5.9</v>
      </c>
      <c r="M94" s="136">
        <f t="shared" si="10"/>
        <v>190</v>
      </c>
      <c r="N94" s="2">
        <v>190</v>
      </c>
      <c r="O94" s="1"/>
      <c r="P94" s="137" t="e">
        <f t="shared" si="11"/>
        <v>#DIV/0!</v>
      </c>
      <c r="Q94" s="137">
        <f t="shared" si="12"/>
        <v>0</v>
      </c>
      <c r="R94" s="138">
        <f>IF(N94="nio",0,IF(N94&gt;0,VLOOKUP(I94,'3-Productie normen'!A:V,VLOOKUP(N94,'3-Productie normen'!$B$35:$C$56,2,FALSE),FALSE)))/VLOOKUP(B94,'2-Kosten per locatie'!$A$11:$C$18,3,FALSE)</f>
        <v>0</v>
      </c>
      <c r="S94" s="138">
        <f t="shared" si="13"/>
        <v>0</v>
      </c>
      <c r="T94" s="139" t="str">
        <f>VLOOKUP(I94,'3-Productie normen'!A:AF,28,FALSE)</f>
        <v>V</v>
      </c>
      <c r="U94" s="140"/>
      <c r="W94" s="141">
        <f t="shared" si="14"/>
        <v>1121</v>
      </c>
    </row>
    <row r="95" spans="1:23" ht="13.9" customHeight="1">
      <c r="A95" s="132">
        <v>95</v>
      </c>
      <c r="B95" s="49" t="s">
        <v>1677</v>
      </c>
      <c r="C95" s="49" t="s">
        <v>376</v>
      </c>
      <c r="D95" s="133" t="s">
        <v>268</v>
      </c>
      <c r="E95" s="133" t="s">
        <v>500</v>
      </c>
      <c r="F95" s="133" t="s">
        <v>501</v>
      </c>
      <c r="G95" s="142" t="s">
        <v>237</v>
      </c>
      <c r="H95" s="134" t="s">
        <v>269</v>
      </c>
      <c r="I95" s="91" t="s">
        <v>239</v>
      </c>
      <c r="J95" s="134" t="s">
        <v>375</v>
      </c>
      <c r="K95" s="134"/>
      <c r="L95" s="135">
        <v>12.06</v>
      </c>
      <c r="M95" s="136">
        <f t="shared" si="10"/>
        <v>0</v>
      </c>
      <c r="N95" s="2" t="s">
        <v>273</v>
      </c>
      <c r="O95" s="1"/>
      <c r="P95" s="137">
        <f t="shared" si="11"/>
        <v>0</v>
      </c>
      <c r="Q95" s="137">
        <f t="shared" si="12"/>
        <v>0</v>
      </c>
      <c r="R95" s="138">
        <f>IF(N95="nio",0,IF(N95&gt;0,VLOOKUP(I95,'3-Productie normen'!A:V,VLOOKUP(N95,'3-Productie normen'!$B$35:$C$56,2,FALSE),FALSE)))/VLOOKUP(B95,'2-Kosten per locatie'!$A$11:$C$18,3,FALSE)</f>
        <v>0</v>
      </c>
      <c r="S95" s="138">
        <f t="shared" si="13"/>
        <v>0</v>
      </c>
      <c r="T95" s="139">
        <f>VLOOKUP(I95,'3-Productie normen'!A:AF,28,FALSE)</f>
        <v>0</v>
      </c>
      <c r="U95" s="140"/>
      <c r="W95" s="141">
        <f t="shared" si="14"/>
        <v>0</v>
      </c>
    </row>
    <row r="96" spans="1:23" ht="13.9" customHeight="1">
      <c r="A96" s="118">
        <v>96</v>
      </c>
      <c r="B96" s="49" t="s">
        <v>1677</v>
      </c>
      <c r="C96" s="49" t="s">
        <v>376</v>
      </c>
      <c r="D96" s="133" t="s">
        <v>268</v>
      </c>
      <c r="E96" s="133" t="s">
        <v>502</v>
      </c>
      <c r="F96" s="133"/>
      <c r="G96" s="134" t="s">
        <v>243</v>
      </c>
      <c r="H96" s="134" t="s">
        <v>252</v>
      </c>
      <c r="I96" s="1" t="s">
        <v>48</v>
      </c>
      <c r="J96" s="134" t="s">
        <v>78</v>
      </c>
      <c r="K96" s="1" t="s">
        <v>1522</v>
      </c>
      <c r="L96" s="135">
        <v>7.82</v>
      </c>
      <c r="M96" s="136">
        <f t="shared" si="10"/>
        <v>190</v>
      </c>
      <c r="N96" s="2">
        <v>190</v>
      </c>
      <c r="O96" s="1"/>
      <c r="P96" s="137" t="e">
        <f t="shared" si="11"/>
        <v>#DIV/0!</v>
      </c>
      <c r="Q96" s="137">
        <f t="shared" si="12"/>
        <v>0</v>
      </c>
      <c r="R96" s="138">
        <f>IF(N96="nio",0,IF(N96&gt;0,VLOOKUP(I96,'3-Productie normen'!A:V,VLOOKUP(N96,'3-Productie normen'!$B$35:$C$56,2,FALSE),FALSE)))/VLOOKUP(B96,'2-Kosten per locatie'!$A$11:$C$18,3,FALSE)</f>
        <v>0</v>
      </c>
      <c r="S96" s="138">
        <f t="shared" si="13"/>
        <v>0</v>
      </c>
      <c r="T96" s="139" t="str">
        <f>VLOOKUP(I96,'3-Productie normen'!A:AF,28,FALSE)</f>
        <v>V</v>
      </c>
      <c r="U96" s="140"/>
      <c r="W96" s="141">
        <f t="shared" si="14"/>
        <v>1485.8</v>
      </c>
    </row>
    <row r="97" spans="1:23" ht="13.9" customHeight="1">
      <c r="A97" s="132">
        <v>97</v>
      </c>
      <c r="B97" s="49" t="s">
        <v>1677</v>
      </c>
      <c r="C97" s="49" t="s">
        <v>376</v>
      </c>
      <c r="D97" s="133" t="s">
        <v>268</v>
      </c>
      <c r="E97" s="133" t="s">
        <v>503</v>
      </c>
      <c r="F97" s="133" t="s">
        <v>298</v>
      </c>
      <c r="G97" s="134" t="s">
        <v>243</v>
      </c>
      <c r="H97" s="134" t="s">
        <v>254</v>
      </c>
      <c r="I97" s="86" t="s">
        <v>47</v>
      </c>
      <c r="J97" s="134" t="s">
        <v>375</v>
      </c>
      <c r="K97" s="134"/>
      <c r="L97" s="135">
        <v>127.53</v>
      </c>
      <c r="M97" s="136">
        <f t="shared" si="10"/>
        <v>190</v>
      </c>
      <c r="N97" s="2">
        <v>190</v>
      </c>
      <c r="O97" s="1"/>
      <c r="P97" s="137" t="e">
        <f t="shared" si="11"/>
        <v>#DIV/0!</v>
      </c>
      <c r="Q97" s="137">
        <f t="shared" si="12"/>
        <v>0</v>
      </c>
      <c r="R97" s="138">
        <f>IF(N97="nio",0,IF(N97&gt;0,VLOOKUP(I97,'3-Productie normen'!A:V,VLOOKUP(N97,'3-Productie normen'!$B$35:$C$56,2,FALSE),FALSE)))/VLOOKUP(B97,'2-Kosten per locatie'!$A$11:$C$18,3,FALSE)</f>
        <v>0</v>
      </c>
      <c r="S97" s="138">
        <f t="shared" si="13"/>
        <v>0</v>
      </c>
      <c r="T97" s="139" t="str">
        <f>VLOOKUP(I97,'3-Productie normen'!A:AF,28,FALSE)</f>
        <v>V</v>
      </c>
      <c r="U97" s="140"/>
      <c r="W97" s="141">
        <f t="shared" si="14"/>
        <v>24230.7</v>
      </c>
    </row>
    <row r="98" spans="1:23" ht="13.9" customHeight="1">
      <c r="A98" s="132">
        <v>98</v>
      </c>
      <c r="B98" s="49" t="s">
        <v>1677</v>
      </c>
      <c r="C98" s="49" t="s">
        <v>376</v>
      </c>
      <c r="D98" s="133" t="s">
        <v>268</v>
      </c>
      <c r="E98" s="133" t="s">
        <v>504</v>
      </c>
      <c r="F98" s="133" t="s">
        <v>505</v>
      </c>
      <c r="G98" s="142" t="s">
        <v>44</v>
      </c>
      <c r="H98" s="134" t="s">
        <v>255</v>
      </c>
      <c r="I98" s="134" t="s">
        <v>239</v>
      </c>
      <c r="J98" s="134" t="s">
        <v>375</v>
      </c>
      <c r="K98" s="134"/>
      <c r="L98" s="135">
        <v>8.3699999999999992</v>
      </c>
      <c r="M98" s="136">
        <f t="shared" si="10"/>
        <v>0</v>
      </c>
      <c r="N98" s="2" t="s">
        <v>273</v>
      </c>
      <c r="O98" s="1"/>
      <c r="P98" s="137">
        <f t="shared" si="11"/>
        <v>0</v>
      </c>
      <c r="Q98" s="137">
        <f t="shared" si="12"/>
        <v>0</v>
      </c>
      <c r="R98" s="138">
        <f>IF(N98="nio",0,IF(N98&gt;0,VLOOKUP(I98,'3-Productie normen'!A:V,VLOOKUP(N98,'3-Productie normen'!$B$35:$C$56,2,FALSE),FALSE)))/VLOOKUP(B98,'2-Kosten per locatie'!$A$11:$C$18,3,FALSE)</f>
        <v>0</v>
      </c>
      <c r="S98" s="138">
        <f t="shared" si="13"/>
        <v>0</v>
      </c>
      <c r="T98" s="139">
        <f>VLOOKUP(I98,'3-Productie normen'!A:AF,28,FALSE)</f>
        <v>0</v>
      </c>
      <c r="U98" s="140"/>
      <c r="W98" s="141">
        <f t="shared" si="14"/>
        <v>0</v>
      </c>
    </row>
    <row r="99" spans="1:23" ht="13.9" customHeight="1">
      <c r="A99" s="118">
        <v>99</v>
      </c>
      <c r="B99" s="49" t="s">
        <v>1677</v>
      </c>
      <c r="C99" s="49" t="s">
        <v>376</v>
      </c>
      <c r="D99" s="133" t="s">
        <v>268</v>
      </c>
      <c r="E99" s="133" t="s">
        <v>506</v>
      </c>
      <c r="F99" s="133" t="s">
        <v>507</v>
      </c>
      <c r="G99" s="134" t="s">
        <v>243</v>
      </c>
      <c r="H99" s="134" t="s">
        <v>266</v>
      </c>
      <c r="I99" s="134" t="s">
        <v>253</v>
      </c>
      <c r="J99" s="134" t="s">
        <v>78</v>
      </c>
      <c r="K99" s="1" t="s">
        <v>1522</v>
      </c>
      <c r="L99" s="135">
        <v>130.43</v>
      </c>
      <c r="M99" s="136">
        <f t="shared" si="10"/>
        <v>190</v>
      </c>
      <c r="N99" s="2">
        <v>190</v>
      </c>
      <c r="O99" s="1"/>
      <c r="P99" s="137" t="e">
        <f t="shared" si="11"/>
        <v>#DIV/0!</v>
      </c>
      <c r="Q99" s="137">
        <f t="shared" si="12"/>
        <v>0</v>
      </c>
      <c r="R99" s="138">
        <f>IF(N99="nio",0,IF(N99&gt;0,VLOOKUP(I99,'3-Productie normen'!A:V,VLOOKUP(N99,'3-Productie normen'!$B$35:$C$56,2,FALSE),FALSE)))/VLOOKUP(B99,'2-Kosten per locatie'!$A$11:$C$18,3,FALSE)</f>
        <v>0</v>
      </c>
      <c r="S99" s="138">
        <f t="shared" si="13"/>
        <v>0</v>
      </c>
      <c r="T99" s="139" t="str">
        <f>VLOOKUP(I99,'3-Productie normen'!A:AF,28,FALSE)</f>
        <v>V</v>
      </c>
      <c r="U99" s="140"/>
      <c r="W99" s="141">
        <f t="shared" si="14"/>
        <v>24781.7</v>
      </c>
    </row>
    <row r="100" spans="1:23" ht="13.9" customHeight="1">
      <c r="A100" s="132">
        <v>100</v>
      </c>
      <c r="B100" s="49" t="s">
        <v>1677</v>
      </c>
      <c r="C100" s="49" t="s">
        <v>376</v>
      </c>
      <c r="D100" s="133" t="s">
        <v>268</v>
      </c>
      <c r="E100" s="133" t="s">
        <v>508</v>
      </c>
      <c r="F100" s="133"/>
      <c r="G100" s="142" t="s">
        <v>237</v>
      </c>
      <c r="H100" s="134" t="s">
        <v>257</v>
      </c>
      <c r="I100" s="91" t="s">
        <v>239</v>
      </c>
      <c r="J100" s="134" t="s">
        <v>231</v>
      </c>
      <c r="K100" s="134"/>
      <c r="L100" s="135">
        <v>0</v>
      </c>
      <c r="M100" s="136">
        <f t="shared" si="10"/>
        <v>0</v>
      </c>
      <c r="N100" s="2" t="s">
        <v>273</v>
      </c>
      <c r="O100" s="1"/>
      <c r="P100" s="137">
        <f t="shared" si="11"/>
        <v>0</v>
      </c>
      <c r="Q100" s="137">
        <f t="shared" si="12"/>
        <v>0</v>
      </c>
      <c r="R100" s="138">
        <f>IF(N100="nio",0,IF(N100&gt;0,VLOOKUP(I100,'3-Productie normen'!A:V,VLOOKUP(N100,'3-Productie normen'!$B$35:$C$56,2,FALSE),FALSE)))/VLOOKUP(B100,'2-Kosten per locatie'!$A$11:$C$18,3,FALSE)</f>
        <v>0</v>
      </c>
      <c r="S100" s="138">
        <f t="shared" si="13"/>
        <v>0</v>
      </c>
      <c r="T100" s="139">
        <f>VLOOKUP(I100,'3-Productie normen'!A:AF,28,FALSE)</f>
        <v>0</v>
      </c>
      <c r="U100" s="140"/>
      <c r="W100" s="141">
        <f t="shared" si="14"/>
        <v>0</v>
      </c>
    </row>
    <row r="101" spans="1:23" ht="13.9" customHeight="1">
      <c r="A101" s="132">
        <v>101</v>
      </c>
      <c r="B101" s="49" t="s">
        <v>1677</v>
      </c>
      <c r="C101" s="49" t="s">
        <v>376</v>
      </c>
      <c r="D101" s="133" t="s">
        <v>268</v>
      </c>
      <c r="E101" s="133" t="s">
        <v>509</v>
      </c>
      <c r="F101" s="133"/>
      <c r="G101" s="142" t="s">
        <v>237</v>
      </c>
      <c r="H101" s="134" t="s">
        <v>257</v>
      </c>
      <c r="I101" s="91" t="s">
        <v>239</v>
      </c>
      <c r="J101" s="134" t="s">
        <v>231</v>
      </c>
      <c r="K101" s="134"/>
      <c r="L101" s="135">
        <v>0</v>
      </c>
      <c r="M101" s="136">
        <f t="shared" si="10"/>
        <v>0</v>
      </c>
      <c r="N101" s="2" t="s">
        <v>273</v>
      </c>
      <c r="O101" s="1"/>
      <c r="P101" s="137">
        <f t="shared" si="11"/>
        <v>0</v>
      </c>
      <c r="Q101" s="137">
        <f t="shared" si="12"/>
        <v>0</v>
      </c>
      <c r="R101" s="138">
        <f>IF(N101="nio",0,IF(N101&gt;0,VLOOKUP(I101,'3-Productie normen'!A:V,VLOOKUP(N101,'3-Productie normen'!$B$35:$C$56,2,FALSE),FALSE)))/VLOOKUP(B101,'2-Kosten per locatie'!$A$11:$C$18,3,FALSE)</f>
        <v>0</v>
      </c>
      <c r="S101" s="138">
        <f t="shared" si="13"/>
        <v>0</v>
      </c>
      <c r="T101" s="139">
        <f>VLOOKUP(I101,'3-Productie normen'!A:AF,28,FALSE)</f>
        <v>0</v>
      </c>
      <c r="U101" s="140"/>
      <c r="W101" s="141">
        <f t="shared" si="14"/>
        <v>0</v>
      </c>
    </row>
    <row r="102" spans="1:23" ht="13.9" customHeight="1">
      <c r="A102" s="118">
        <v>102</v>
      </c>
      <c r="B102" s="49" t="s">
        <v>1677</v>
      </c>
      <c r="C102" s="49" t="s">
        <v>376</v>
      </c>
      <c r="D102" s="133" t="s">
        <v>268</v>
      </c>
      <c r="E102" s="133" t="s">
        <v>510</v>
      </c>
      <c r="F102" s="133"/>
      <c r="G102" s="142" t="s">
        <v>237</v>
      </c>
      <c r="H102" s="134" t="s">
        <v>257</v>
      </c>
      <c r="I102" s="91" t="s">
        <v>239</v>
      </c>
      <c r="J102" s="134" t="s">
        <v>231</v>
      </c>
      <c r="K102" s="134"/>
      <c r="L102" s="135">
        <v>0</v>
      </c>
      <c r="M102" s="136">
        <f t="shared" si="10"/>
        <v>0</v>
      </c>
      <c r="N102" s="2" t="s">
        <v>273</v>
      </c>
      <c r="O102" s="1"/>
      <c r="P102" s="137">
        <f t="shared" si="11"/>
        <v>0</v>
      </c>
      <c r="Q102" s="137">
        <f t="shared" si="12"/>
        <v>0</v>
      </c>
      <c r="R102" s="138">
        <f>IF(N102="nio",0,IF(N102&gt;0,VLOOKUP(I102,'3-Productie normen'!A:V,VLOOKUP(N102,'3-Productie normen'!$B$35:$C$56,2,FALSE),FALSE)))/VLOOKUP(B102,'2-Kosten per locatie'!$A$11:$C$18,3,FALSE)</f>
        <v>0</v>
      </c>
      <c r="S102" s="138">
        <f t="shared" si="13"/>
        <v>0</v>
      </c>
      <c r="T102" s="139">
        <f>VLOOKUP(I102,'3-Productie normen'!A:AF,28,FALSE)</f>
        <v>0</v>
      </c>
      <c r="U102" s="140"/>
      <c r="W102" s="141">
        <f t="shared" si="14"/>
        <v>0</v>
      </c>
    </row>
    <row r="103" spans="1:23" ht="13.9" customHeight="1">
      <c r="A103" s="132">
        <v>103</v>
      </c>
      <c r="B103" s="49" t="s">
        <v>1677</v>
      </c>
      <c r="C103" s="49" t="s">
        <v>376</v>
      </c>
      <c r="D103" s="133" t="s">
        <v>268</v>
      </c>
      <c r="E103" s="133" t="s">
        <v>511</v>
      </c>
      <c r="F103" s="133"/>
      <c r="G103" s="142" t="s">
        <v>237</v>
      </c>
      <c r="H103" s="134" t="s">
        <v>257</v>
      </c>
      <c r="I103" s="91" t="s">
        <v>239</v>
      </c>
      <c r="J103" s="134" t="s">
        <v>231</v>
      </c>
      <c r="K103" s="134"/>
      <c r="L103" s="135">
        <v>0</v>
      </c>
      <c r="M103" s="136">
        <f t="shared" si="10"/>
        <v>0</v>
      </c>
      <c r="N103" s="2" t="s">
        <v>273</v>
      </c>
      <c r="O103" s="1"/>
      <c r="P103" s="137">
        <f t="shared" si="11"/>
        <v>0</v>
      </c>
      <c r="Q103" s="137">
        <f t="shared" si="12"/>
        <v>0</v>
      </c>
      <c r="R103" s="138">
        <f>IF(N103="nio",0,IF(N103&gt;0,VLOOKUP(I103,'3-Productie normen'!A:V,VLOOKUP(N103,'3-Productie normen'!$B$35:$C$56,2,FALSE),FALSE)))/VLOOKUP(B103,'2-Kosten per locatie'!$A$11:$C$18,3,FALSE)</f>
        <v>0</v>
      </c>
      <c r="S103" s="138">
        <f t="shared" si="13"/>
        <v>0</v>
      </c>
      <c r="T103" s="139">
        <f>VLOOKUP(I103,'3-Productie normen'!A:AF,28,FALSE)</f>
        <v>0</v>
      </c>
      <c r="U103" s="140"/>
      <c r="W103" s="141">
        <f t="shared" si="14"/>
        <v>0</v>
      </c>
    </row>
    <row r="104" spans="1:23" ht="13.9" customHeight="1">
      <c r="A104" s="132">
        <v>104</v>
      </c>
      <c r="B104" s="49" t="s">
        <v>1677</v>
      </c>
      <c r="C104" s="49" t="s">
        <v>376</v>
      </c>
      <c r="D104" s="133" t="s">
        <v>268</v>
      </c>
      <c r="E104" s="133" t="s">
        <v>512</v>
      </c>
      <c r="F104" s="133"/>
      <c r="G104" s="142" t="s">
        <v>237</v>
      </c>
      <c r="H104" s="134" t="s">
        <v>257</v>
      </c>
      <c r="I104" s="91" t="s">
        <v>239</v>
      </c>
      <c r="J104" s="134" t="s">
        <v>231</v>
      </c>
      <c r="K104" s="134"/>
      <c r="L104" s="135">
        <v>0</v>
      </c>
      <c r="M104" s="136">
        <f t="shared" si="10"/>
        <v>0</v>
      </c>
      <c r="N104" s="2" t="s">
        <v>273</v>
      </c>
      <c r="O104" s="1"/>
      <c r="P104" s="137">
        <f t="shared" si="11"/>
        <v>0</v>
      </c>
      <c r="Q104" s="137">
        <f t="shared" si="12"/>
        <v>0</v>
      </c>
      <c r="R104" s="138">
        <f>IF(N104="nio",0,IF(N104&gt;0,VLOOKUP(I104,'3-Productie normen'!A:V,VLOOKUP(N104,'3-Productie normen'!$B$35:$C$56,2,FALSE),FALSE)))/VLOOKUP(B104,'2-Kosten per locatie'!$A$11:$C$18,3,FALSE)</f>
        <v>0</v>
      </c>
      <c r="S104" s="138">
        <f t="shared" si="13"/>
        <v>0</v>
      </c>
      <c r="T104" s="139">
        <f>VLOOKUP(I104,'3-Productie normen'!A:AF,28,FALSE)</f>
        <v>0</v>
      </c>
      <c r="U104" s="140"/>
      <c r="W104" s="141">
        <f t="shared" si="14"/>
        <v>0</v>
      </c>
    </row>
    <row r="105" spans="1:23" ht="13.9" customHeight="1">
      <c r="A105" s="118">
        <v>105</v>
      </c>
      <c r="B105" s="49" t="s">
        <v>1677</v>
      </c>
      <c r="C105" s="49" t="s">
        <v>376</v>
      </c>
      <c r="D105" s="133" t="s">
        <v>268</v>
      </c>
      <c r="E105" s="133" t="s">
        <v>513</v>
      </c>
      <c r="F105" s="133"/>
      <c r="G105" s="142" t="s">
        <v>237</v>
      </c>
      <c r="H105" s="134" t="s">
        <v>257</v>
      </c>
      <c r="I105" s="91" t="s">
        <v>239</v>
      </c>
      <c r="J105" s="134" t="s">
        <v>231</v>
      </c>
      <c r="K105" s="134"/>
      <c r="L105" s="135">
        <v>0</v>
      </c>
      <c r="M105" s="136">
        <f t="shared" si="10"/>
        <v>0</v>
      </c>
      <c r="N105" s="2" t="s">
        <v>273</v>
      </c>
      <c r="O105" s="1"/>
      <c r="P105" s="137">
        <f t="shared" si="11"/>
        <v>0</v>
      </c>
      <c r="Q105" s="137">
        <f t="shared" si="12"/>
        <v>0</v>
      </c>
      <c r="R105" s="138">
        <f>IF(N105="nio",0,IF(N105&gt;0,VLOOKUP(I105,'3-Productie normen'!A:V,VLOOKUP(N105,'3-Productie normen'!$B$35:$C$56,2,FALSE),FALSE)))/VLOOKUP(B105,'2-Kosten per locatie'!$A$11:$C$18,3,FALSE)</f>
        <v>0</v>
      </c>
      <c r="S105" s="138">
        <f t="shared" si="13"/>
        <v>0</v>
      </c>
      <c r="T105" s="139">
        <f>VLOOKUP(I105,'3-Productie normen'!A:AF,28,FALSE)</f>
        <v>0</v>
      </c>
      <c r="U105" s="140"/>
      <c r="W105" s="141">
        <f t="shared" si="14"/>
        <v>0</v>
      </c>
    </row>
    <row r="106" spans="1:23" ht="13.9" customHeight="1">
      <c r="A106" s="132">
        <v>106</v>
      </c>
      <c r="B106" s="49" t="s">
        <v>1677</v>
      </c>
      <c r="C106" s="49" t="s">
        <v>376</v>
      </c>
      <c r="D106" s="133" t="s">
        <v>268</v>
      </c>
      <c r="E106" s="133" t="s">
        <v>514</v>
      </c>
      <c r="F106" s="133"/>
      <c r="G106" s="142" t="s">
        <v>237</v>
      </c>
      <c r="H106" s="134" t="s">
        <v>257</v>
      </c>
      <c r="I106" s="91" t="s">
        <v>239</v>
      </c>
      <c r="J106" s="134" t="s">
        <v>231</v>
      </c>
      <c r="K106" s="134"/>
      <c r="L106" s="135">
        <v>0</v>
      </c>
      <c r="M106" s="136">
        <f t="shared" si="10"/>
        <v>0</v>
      </c>
      <c r="N106" s="2" t="s">
        <v>273</v>
      </c>
      <c r="O106" s="1"/>
      <c r="P106" s="137">
        <f t="shared" si="11"/>
        <v>0</v>
      </c>
      <c r="Q106" s="137">
        <f t="shared" si="12"/>
        <v>0</v>
      </c>
      <c r="R106" s="138">
        <f>IF(N106="nio",0,IF(N106&gt;0,VLOOKUP(I106,'3-Productie normen'!A:V,VLOOKUP(N106,'3-Productie normen'!$B$35:$C$56,2,FALSE),FALSE)))/VLOOKUP(B106,'2-Kosten per locatie'!$A$11:$C$18,3,FALSE)</f>
        <v>0</v>
      </c>
      <c r="S106" s="138">
        <f t="shared" si="13"/>
        <v>0</v>
      </c>
      <c r="T106" s="139">
        <f>VLOOKUP(I106,'3-Productie normen'!A:AF,28,FALSE)</f>
        <v>0</v>
      </c>
      <c r="U106" s="140"/>
      <c r="W106" s="141">
        <f t="shared" si="14"/>
        <v>0</v>
      </c>
    </row>
    <row r="107" spans="1:23" ht="13.9" customHeight="1">
      <c r="A107" s="132">
        <v>107</v>
      </c>
      <c r="B107" s="49" t="s">
        <v>1677</v>
      </c>
      <c r="C107" s="49" t="s">
        <v>376</v>
      </c>
      <c r="D107" s="133" t="s">
        <v>268</v>
      </c>
      <c r="E107" s="133" t="s">
        <v>515</v>
      </c>
      <c r="F107" s="133"/>
      <c r="G107" s="142" t="s">
        <v>237</v>
      </c>
      <c r="H107" s="134" t="s">
        <v>257</v>
      </c>
      <c r="I107" s="91" t="s">
        <v>239</v>
      </c>
      <c r="J107" s="134" t="s">
        <v>231</v>
      </c>
      <c r="K107" s="134"/>
      <c r="L107" s="135">
        <v>0</v>
      </c>
      <c r="M107" s="136">
        <f t="shared" si="10"/>
        <v>0</v>
      </c>
      <c r="N107" s="2" t="s">
        <v>273</v>
      </c>
      <c r="O107" s="1"/>
      <c r="P107" s="137">
        <f t="shared" si="11"/>
        <v>0</v>
      </c>
      <c r="Q107" s="137">
        <f t="shared" si="12"/>
        <v>0</v>
      </c>
      <c r="R107" s="138">
        <f>IF(N107="nio",0,IF(N107&gt;0,VLOOKUP(I107,'3-Productie normen'!A:V,VLOOKUP(N107,'3-Productie normen'!$B$35:$C$56,2,FALSE),FALSE)))/VLOOKUP(B107,'2-Kosten per locatie'!$A$11:$C$18,3,FALSE)</f>
        <v>0</v>
      </c>
      <c r="S107" s="138">
        <f t="shared" si="13"/>
        <v>0</v>
      </c>
      <c r="T107" s="139">
        <f>VLOOKUP(I107,'3-Productie normen'!A:AF,28,FALSE)</f>
        <v>0</v>
      </c>
      <c r="U107" s="140"/>
      <c r="W107" s="141">
        <f t="shared" si="14"/>
        <v>0</v>
      </c>
    </row>
    <row r="108" spans="1:23" ht="13.9" customHeight="1">
      <c r="A108" s="118">
        <v>108</v>
      </c>
      <c r="B108" s="49" t="s">
        <v>1677</v>
      </c>
      <c r="C108" s="49" t="s">
        <v>376</v>
      </c>
      <c r="D108" s="133" t="s">
        <v>268</v>
      </c>
      <c r="E108" s="133" t="s">
        <v>516</v>
      </c>
      <c r="F108" s="133"/>
      <c r="G108" s="142" t="s">
        <v>237</v>
      </c>
      <c r="H108" s="134" t="s">
        <v>257</v>
      </c>
      <c r="I108" s="91" t="s">
        <v>239</v>
      </c>
      <c r="J108" s="134" t="s">
        <v>231</v>
      </c>
      <c r="K108" s="134"/>
      <c r="L108" s="135">
        <v>0</v>
      </c>
      <c r="M108" s="136">
        <f t="shared" si="10"/>
        <v>0</v>
      </c>
      <c r="N108" s="2" t="s">
        <v>273</v>
      </c>
      <c r="O108" s="1"/>
      <c r="P108" s="137">
        <f t="shared" si="11"/>
        <v>0</v>
      </c>
      <c r="Q108" s="137">
        <f t="shared" si="12"/>
        <v>0</v>
      </c>
      <c r="R108" s="138">
        <f>IF(N108="nio",0,IF(N108&gt;0,VLOOKUP(I108,'3-Productie normen'!A:V,VLOOKUP(N108,'3-Productie normen'!$B$35:$C$56,2,FALSE),FALSE)))/VLOOKUP(B108,'2-Kosten per locatie'!$A$11:$C$18,3,FALSE)</f>
        <v>0</v>
      </c>
      <c r="S108" s="138">
        <f t="shared" si="13"/>
        <v>0</v>
      </c>
      <c r="T108" s="139">
        <f>VLOOKUP(I108,'3-Productie normen'!A:AF,28,FALSE)</f>
        <v>0</v>
      </c>
      <c r="U108" s="140"/>
      <c r="W108" s="141">
        <f t="shared" si="14"/>
        <v>0</v>
      </c>
    </row>
    <row r="109" spans="1:23" ht="13.9" customHeight="1">
      <c r="A109" s="132">
        <v>109</v>
      </c>
      <c r="B109" s="49" t="s">
        <v>1677</v>
      </c>
      <c r="C109" s="49" t="s">
        <v>376</v>
      </c>
      <c r="D109" s="133" t="s">
        <v>268</v>
      </c>
      <c r="E109" s="133" t="s">
        <v>517</v>
      </c>
      <c r="F109" s="133"/>
      <c r="G109" s="142" t="s">
        <v>237</v>
      </c>
      <c r="H109" s="134" t="s">
        <v>257</v>
      </c>
      <c r="I109" s="91" t="s">
        <v>239</v>
      </c>
      <c r="J109" s="134" t="s">
        <v>231</v>
      </c>
      <c r="K109" s="134"/>
      <c r="L109" s="135">
        <v>0</v>
      </c>
      <c r="M109" s="136">
        <f t="shared" si="10"/>
        <v>0</v>
      </c>
      <c r="N109" s="2" t="s">
        <v>273</v>
      </c>
      <c r="O109" s="1"/>
      <c r="P109" s="137">
        <f t="shared" si="11"/>
        <v>0</v>
      </c>
      <c r="Q109" s="137">
        <f t="shared" si="12"/>
        <v>0</v>
      </c>
      <c r="R109" s="138">
        <f>IF(N109="nio",0,IF(N109&gt;0,VLOOKUP(I109,'3-Productie normen'!A:V,VLOOKUP(N109,'3-Productie normen'!$B$35:$C$56,2,FALSE),FALSE)))/VLOOKUP(B109,'2-Kosten per locatie'!$A$11:$C$18,3,FALSE)</f>
        <v>0</v>
      </c>
      <c r="S109" s="138">
        <f t="shared" si="13"/>
        <v>0</v>
      </c>
      <c r="T109" s="139">
        <f>VLOOKUP(I109,'3-Productie normen'!A:AF,28,FALSE)</f>
        <v>0</v>
      </c>
      <c r="U109" s="140"/>
      <c r="W109" s="141">
        <f t="shared" si="14"/>
        <v>0</v>
      </c>
    </row>
    <row r="110" spans="1:23" ht="13.9" customHeight="1">
      <c r="A110" s="132">
        <v>110</v>
      </c>
      <c r="B110" s="49" t="s">
        <v>1677</v>
      </c>
      <c r="C110" s="49" t="s">
        <v>376</v>
      </c>
      <c r="D110" s="133" t="s">
        <v>268</v>
      </c>
      <c r="E110" s="133" t="s">
        <v>518</v>
      </c>
      <c r="F110" s="133"/>
      <c r="G110" s="142" t="s">
        <v>237</v>
      </c>
      <c r="H110" s="134" t="s">
        <v>257</v>
      </c>
      <c r="I110" s="91" t="s">
        <v>239</v>
      </c>
      <c r="J110" s="134" t="s">
        <v>231</v>
      </c>
      <c r="K110" s="134"/>
      <c r="L110" s="135">
        <v>0</v>
      </c>
      <c r="M110" s="136">
        <f t="shared" si="10"/>
        <v>0</v>
      </c>
      <c r="N110" s="2" t="s">
        <v>273</v>
      </c>
      <c r="O110" s="1"/>
      <c r="P110" s="137">
        <f t="shared" si="11"/>
        <v>0</v>
      </c>
      <c r="Q110" s="137">
        <f t="shared" si="12"/>
        <v>0</v>
      </c>
      <c r="R110" s="138">
        <f>IF(N110="nio",0,IF(N110&gt;0,VLOOKUP(I110,'3-Productie normen'!A:V,VLOOKUP(N110,'3-Productie normen'!$B$35:$C$56,2,FALSE),FALSE)))/VLOOKUP(B110,'2-Kosten per locatie'!$A$11:$C$18,3,FALSE)</f>
        <v>0</v>
      </c>
      <c r="S110" s="138">
        <f t="shared" si="13"/>
        <v>0</v>
      </c>
      <c r="T110" s="139">
        <f>VLOOKUP(I110,'3-Productie normen'!A:AF,28,FALSE)</f>
        <v>0</v>
      </c>
      <c r="U110" s="140"/>
      <c r="W110" s="141">
        <f t="shared" si="14"/>
        <v>0</v>
      </c>
    </row>
    <row r="111" spans="1:23" ht="13.9" customHeight="1">
      <c r="A111" s="118">
        <v>111</v>
      </c>
      <c r="B111" s="49" t="s">
        <v>1677</v>
      </c>
      <c r="C111" s="49" t="s">
        <v>376</v>
      </c>
      <c r="D111" s="133" t="s">
        <v>268</v>
      </c>
      <c r="E111" s="133" t="s">
        <v>519</v>
      </c>
      <c r="F111" s="133"/>
      <c r="G111" s="142" t="s">
        <v>237</v>
      </c>
      <c r="H111" s="134" t="s">
        <v>257</v>
      </c>
      <c r="I111" s="91" t="s">
        <v>239</v>
      </c>
      <c r="J111" s="134" t="s">
        <v>231</v>
      </c>
      <c r="K111" s="134"/>
      <c r="L111" s="135">
        <v>0</v>
      </c>
      <c r="M111" s="136">
        <f t="shared" si="10"/>
        <v>0</v>
      </c>
      <c r="N111" s="2" t="s">
        <v>273</v>
      </c>
      <c r="O111" s="1"/>
      <c r="P111" s="137">
        <f t="shared" si="11"/>
        <v>0</v>
      </c>
      <c r="Q111" s="137">
        <f t="shared" si="12"/>
        <v>0</v>
      </c>
      <c r="R111" s="138">
        <f>IF(N111="nio",0,IF(N111&gt;0,VLOOKUP(I111,'3-Productie normen'!A:V,VLOOKUP(N111,'3-Productie normen'!$B$35:$C$56,2,FALSE),FALSE)))/VLOOKUP(B111,'2-Kosten per locatie'!$A$11:$C$18,3,FALSE)</f>
        <v>0</v>
      </c>
      <c r="S111" s="138">
        <f t="shared" si="13"/>
        <v>0</v>
      </c>
      <c r="T111" s="139">
        <f>VLOOKUP(I111,'3-Productie normen'!A:AF,28,FALSE)</f>
        <v>0</v>
      </c>
      <c r="U111" s="140"/>
      <c r="W111" s="141">
        <f t="shared" si="14"/>
        <v>0</v>
      </c>
    </row>
    <row r="112" spans="1:23" ht="13.9" customHeight="1">
      <c r="A112" s="132">
        <v>112</v>
      </c>
      <c r="B112" s="49" t="s">
        <v>1677</v>
      </c>
      <c r="C112" s="49" t="s">
        <v>376</v>
      </c>
      <c r="D112" s="133" t="s">
        <v>268</v>
      </c>
      <c r="E112" s="133" t="s">
        <v>520</v>
      </c>
      <c r="F112" s="133"/>
      <c r="G112" s="142" t="s">
        <v>237</v>
      </c>
      <c r="H112" s="134" t="s">
        <v>257</v>
      </c>
      <c r="I112" s="91" t="s">
        <v>239</v>
      </c>
      <c r="J112" s="134" t="s">
        <v>231</v>
      </c>
      <c r="K112" s="134"/>
      <c r="L112" s="135">
        <v>0</v>
      </c>
      <c r="M112" s="136">
        <f t="shared" si="10"/>
        <v>0</v>
      </c>
      <c r="N112" s="2" t="s">
        <v>273</v>
      </c>
      <c r="O112" s="1"/>
      <c r="P112" s="137">
        <f t="shared" si="11"/>
        <v>0</v>
      </c>
      <c r="Q112" s="137">
        <f t="shared" si="12"/>
        <v>0</v>
      </c>
      <c r="R112" s="138">
        <f>IF(N112="nio",0,IF(N112&gt;0,VLOOKUP(I112,'3-Productie normen'!A:V,VLOOKUP(N112,'3-Productie normen'!$B$35:$C$56,2,FALSE),FALSE)))/VLOOKUP(B112,'2-Kosten per locatie'!$A$11:$C$18,3,FALSE)</f>
        <v>0</v>
      </c>
      <c r="S112" s="138">
        <f t="shared" si="13"/>
        <v>0</v>
      </c>
      <c r="T112" s="139">
        <f>VLOOKUP(I112,'3-Productie normen'!A:AF,28,FALSE)</f>
        <v>0</v>
      </c>
      <c r="U112" s="140"/>
      <c r="W112" s="141">
        <f t="shared" si="14"/>
        <v>0</v>
      </c>
    </row>
    <row r="113" spans="1:23" ht="13.9" customHeight="1">
      <c r="A113" s="132">
        <v>113</v>
      </c>
      <c r="B113" s="49" t="s">
        <v>1677</v>
      </c>
      <c r="C113" s="49" t="s">
        <v>376</v>
      </c>
      <c r="D113" s="133" t="s">
        <v>268</v>
      </c>
      <c r="E113" s="133" t="s">
        <v>521</v>
      </c>
      <c r="F113" s="133"/>
      <c r="G113" s="142" t="s">
        <v>237</v>
      </c>
      <c r="H113" s="134" t="s">
        <v>257</v>
      </c>
      <c r="I113" s="91" t="s">
        <v>239</v>
      </c>
      <c r="J113" s="134" t="s">
        <v>231</v>
      </c>
      <c r="K113" s="134"/>
      <c r="L113" s="135">
        <v>0</v>
      </c>
      <c r="M113" s="136">
        <f t="shared" si="10"/>
        <v>0</v>
      </c>
      <c r="N113" s="2" t="s">
        <v>273</v>
      </c>
      <c r="O113" s="1"/>
      <c r="P113" s="137">
        <f t="shared" si="11"/>
        <v>0</v>
      </c>
      <c r="Q113" s="137">
        <f t="shared" si="12"/>
        <v>0</v>
      </c>
      <c r="R113" s="138">
        <f>IF(N113="nio",0,IF(N113&gt;0,VLOOKUP(I113,'3-Productie normen'!A:V,VLOOKUP(N113,'3-Productie normen'!$B$35:$C$56,2,FALSE),FALSE)))/VLOOKUP(B113,'2-Kosten per locatie'!$A$11:$C$18,3,FALSE)</f>
        <v>0</v>
      </c>
      <c r="S113" s="138">
        <f t="shared" si="13"/>
        <v>0</v>
      </c>
      <c r="T113" s="139">
        <f>VLOOKUP(I113,'3-Productie normen'!A:AF,28,FALSE)</f>
        <v>0</v>
      </c>
      <c r="U113" s="140"/>
      <c r="W113" s="141">
        <f t="shared" si="14"/>
        <v>0</v>
      </c>
    </row>
    <row r="114" spans="1:23" ht="13.9" customHeight="1">
      <c r="A114" s="118">
        <v>114</v>
      </c>
      <c r="B114" s="49" t="s">
        <v>1677</v>
      </c>
      <c r="C114" s="49" t="s">
        <v>376</v>
      </c>
      <c r="D114" s="133" t="s">
        <v>268</v>
      </c>
      <c r="E114" s="133" t="s">
        <v>522</v>
      </c>
      <c r="F114" s="133" t="s">
        <v>523</v>
      </c>
      <c r="G114" s="134" t="s">
        <v>44</v>
      </c>
      <c r="H114" s="134" t="s">
        <v>258</v>
      </c>
      <c r="I114" s="134" t="s">
        <v>259</v>
      </c>
      <c r="J114" s="134" t="s">
        <v>375</v>
      </c>
      <c r="K114" s="134"/>
      <c r="L114" s="135">
        <v>10.98</v>
      </c>
      <c r="M114" s="136">
        <f t="shared" si="10"/>
        <v>190</v>
      </c>
      <c r="N114" s="2">
        <v>190</v>
      </c>
      <c r="O114" s="1"/>
      <c r="P114" s="137" t="e">
        <f t="shared" si="11"/>
        <v>#DIV/0!</v>
      </c>
      <c r="Q114" s="137">
        <f t="shared" si="12"/>
        <v>0</v>
      </c>
      <c r="R114" s="138">
        <f>IF(N114="nio",0,IF(N114&gt;0,VLOOKUP(I114,'3-Productie normen'!A:V,VLOOKUP(N114,'3-Productie normen'!$B$35:$C$56,2,FALSE),FALSE)))/VLOOKUP(B114,'2-Kosten per locatie'!$A$11:$C$18,3,FALSE)</f>
        <v>0</v>
      </c>
      <c r="S114" s="138">
        <f t="shared" si="13"/>
        <v>0</v>
      </c>
      <c r="T114" s="139" t="str">
        <f>VLOOKUP(I114,'3-Productie normen'!A:AF,28,FALSE)</f>
        <v>S</v>
      </c>
      <c r="U114" s="140"/>
      <c r="W114" s="141">
        <f t="shared" si="14"/>
        <v>2086.2000000000003</v>
      </c>
    </row>
    <row r="115" spans="1:23" ht="13.9" customHeight="1">
      <c r="A115" s="132">
        <v>115</v>
      </c>
      <c r="B115" s="49" t="s">
        <v>1677</v>
      </c>
      <c r="C115" s="49" t="s">
        <v>376</v>
      </c>
      <c r="D115" s="133" t="s">
        <v>268</v>
      </c>
      <c r="E115" s="133" t="s">
        <v>524</v>
      </c>
      <c r="F115" s="133"/>
      <c r="G115" s="134" t="s">
        <v>44</v>
      </c>
      <c r="H115" s="134" t="s">
        <v>260</v>
      </c>
      <c r="I115" s="134" t="s">
        <v>259</v>
      </c>
      <c r="J115" s="134" t="s">
        <v>375</v>
      </c>
      <c r="K115" s="134"/>
      <c r="L115" s="135">
        <v>1.1399999999999999</v>
      </c>
      <c r="M115" s="136">
        <f t="shared" si="10"/>
        <v>190</v>
      </c>
      <c r="N115" s="2">
        <v>190</v>
      </c>
      <c r="O115" s="1"/>
      <c r="P115" s="137" t="e">
        <f t="shared" si="11"/>
        <v>#DIV/0!</v>
      </c>
      <c r="Q115" s="137">
        <f t="shared" si="12"/>
        <v>0</v>
      </c>
      <c r="R115" s="138">
        <f>IF(N115="nio",0,IF(N115&gt;0,VLOOKUP(I115,'3-Productie normen'!A:V,VLOOKUP(N115,'3-Productie normen'!$B$35:$C$56,2,FALSE),FALSE)))/VLOOKUP(B115,'2-Kosten per locatie'!$A$11:$C$18,3,FALSE)</f>
        <v>0</v>
      </c>
      <c r="S115" s="138">
        <f t="shared" si="13"/>
        <v>0</v>
      </c>
      <c r="T115" s="139" t="str">
        <f>VLOOKUP(I115,'3-Productie normen'!A:AF,28,FALSE)</f>
        <v>S</v>
      </c>
      <c r="U115" s="140"/>
      <c r="W115" s="141">
        <f t="shared" si="14"/>
        <v>216.6</v>
      </c>
    </row>
    <row r="116" spans="1:23" ht="13.9" customHeight="1">
      <c r="A116" s="132">
        <v>116</v>
      </c>
      <c r="B116" s="49" t="s">
        <v>1677</v>
      </c>
      <c r="C116" s="49" t="s">
        <v>376</v>
      </c>
      <c r="D116" s="133" t="s">
        <v>268</v>
      </c>
      <c r="E116" s="133" t="s">
        <v>525</v>
      </c>
      <c r="F116" s="133"/>
      <c r="G116" s="134" t="s">
        <v>44</v>
      </c>
      <c r="H116" s="134" t="s">
        <v>260</v>
      </c>
      <c r="I116" s="134" t="s">
        <v>259</v>
      </c>
      <c r="J116" s="134" t="s">
        <v>375</v>
      </c>
      <c r="K116" s="134"/>
      <c r="L116" s="135">
        <v>1.17</v>
      </c>
      <c r="M116" s="136">
        <f t="shared" si="10"/>
        <v>190</v>
      </c>
      <c r="N116" s="2">
        <v>190</v>
      </c>
      <c r="O116" s="1"/>
      <c r="P116" s="137" t="e">
        <f t="shared" si="11"/>
        <v>#DIV/0!</v>
      </c>
      <c r="Q116" s="137">
        <f t="shared" si="12"/>
        <v>0</v>
      </c>
      <c r="R116" s="138">
        <f>IF(N116="nio",0,IF(N116&gt;0,VLOOKUP(I116,'3-Productie normen'!A:V,VLOOKUP(N116,'3-Productie normen'!$B$35:$C$56,2,FALSE),FALSE)))/VLOOKUP(B116,'2-Kosten per locatie'!$A$11:$C$18,3,FALSE)</f>
        <v>0</v>
      </c>
      <c r="S116" s="138">
        <f t="shared" si="13"/>
        <v>0</v>
      </c>
      <c r="T116" s="139" t="str">
        <f>VLOOKUP(I116,'3-Productie normen'!A:AF,28,FALSE)</f>
        <v>S</v>
      </c>
      <c r="U116" s="140"/>
      <c r="W116" s="141">
        <f t="shared" si="14"/>
        <v>222.29999999999998</v>
      </c>
    </row>
    <row r="117" spans="1:23" ht="13.9" customHeight="1">
      <c r="A117" s="118">
        <v>117</v>
      </c>
      <c r="B117" s="49" t="s">
        <v>1677</v>
      </c>
      <c r="C117" s="49" t="s">
        <v>376</v>
      </c>
      <c r="D117" s="133" t="s">
        <v>268</v>
      </c>
      <c r="E117" s="133" t="s">
        <v>526</v>
      </c>
      <c r="F117" s="133" t="s">
        <v>527</v>
      </c>
      <c r="G117" s="134" t="s">
        <v>44</v>
      </c>
      <c r="H117" s="134" t="s">
        <v>79</v>
      </c>
      <c r="I117" s="134" t="s">
        <v>49</v>
      </c>
      <c r="J117" s="134" t="s">
        <v>375</v>
      </c>
      <c r="K117" s="134"/>
      <c r="L117" s="135">
        <v>22.11</v>
      </c>
      <c r="M117" s="136">
        <f t="shared" si="10"/>
        <v>190</v>
      </c>
      <c r="N117" s="2">
        <v>190</v>
      </c>
      <c r="O117" s="1"/>
      <c r="P117" s="137" t="e">
        <f t="shared" si="11"/>
        <v>#DIV/0!</v>
      </c>
      <c r="Q117" s="137">
        <f t="shared" si="12"/>
        <v>0</v>
      </c>
      <c r="R117" s="138">
        <f>IF(N117="nio",0,IF(N117&gt;0,VLOOKUP(I117,'3-Productie normen'!A:V,VLOOKUP(N117,'3-Productie normen'!$B$35:$C$56,2,FALSE),FALSE)))/VLOOKUP(B117,'2-Kosten per locatie'!$A$11:$C$18,3,FALSE)</f>
        <v>0</v>
      </c>
      <c r="S117" s="138">
        <f t="shared" si="13"/>
        <v>0</v>
      </c>
      <c r="T117" s="139" t="str">
        <f>VLOOKUP(I117,'3-Productie normen'!A:AF,28,FALSE)</f>
        <v>V</v>
      </c>
      <c r="U117" s="140"/>
      <c r="W117" s="141">
        <f t="shared" si="14"/>
        <v>4200.8999999999996</v>
      </c>
    </row>
    <row r="118" spans="1:23" ht="13.9" customHeight="1">
      <c r="A118" s="132">
        <v>118</v>
      </c>
      <c r="B118" s="49" t="s">
        <v>1677</v>
      </c>
      <c r="C118" s="49" t="s">
        <v>376</v>
      </c>
      <c r="D118" s="133" t="s">
        <v>268</v>
      </c>
      <c r="E118" s="133" t="s">
        <v>528</v>
      </c>
      <c r="F118" s="133" t="s">
        <v>529</v>
      </c>
      <c r="G118" s="134" t="s">
        <v>44</v>
      </c>
      <c r="H118" s="134" t="s">
        <v>258</v>
      </c>
      <c r="I118" s="134" t="s">
        <v>259</v>
      </c>
      <c r="J118" s="134" t="s">
        <v>375</v>
      </c>
      <c r="K118" s="134"/>
      <c r="L118" s="135">
        <v>7.54</v>
      </c>
      <c r="M118" s="136">
        <f t="shared" si="10"/>
        <v>190</v>
      </c>
      <c r="N118" s="2">
        <v>190</v>
      </c>
      <c r="O118" s="1"/>
      <c r="P118" s="137" t="e">
        <f t="shared" si="11"/>
        <v>#DIV/0!</v>
      </c>
      <c r="Q118" s="137">
        <f t="shared" si="12"/>
        <v>0</v>
      </c>
      <c r="R118" s="138">
        <f>IF(N118="nio",0,IF(N118&gt;0,VLOOKUP(I118,'3-Productie normen'!A:V,VLOOKUP(N118,'3-Productie normen'!$B$35:$C$56,2,FALSE),FALSE)))/VLOOKUP(B118,'2-Kosten per locatie'!$A$11:$C$18,3,FALSE)</f>
        <v>0</v>
      </c>
      <c r="S118" s="138">
        <f t="shared" si="13"/>
        <v>0</v>
      </c>
      <c r="T118" s="139" t="str">
        <f>VLOOKUP(I118,'3-Productie normen'!A:AF,28,FALSE)</f>
        <v>S</v>
      </c>
      <c r="U118" s="140"/>
      <c r="W118" s="141">
        <f t="shared" si="14"/>
        <v>1432.6</v>
      </c>
    </row>
    <row r="119" spans="1:23" ht="13.9" customHeight="1">
      <c r="A119" s="132">
        <v>119</v>
      </c>
      <c r="B119" s="49" t="s">
        <v>1677</v>
      </c>
      <c r="C119" s="49" t="s">
        <v>376</v>
      </c>
      <c r="D119" s="133" t="s">
        <v>268</v>
      </c>
      <c r="E119" s="133" t="s">
        <v>530</v>
      </c>
      <c r="F119" s="133"/>
      <c r="G119" s="134" t="s">
        <v>44</v>
      </c>
      <c r="H119" s="134" t="s">
        <v>260</v>
      </c>
      <c r="I119" s="134" t="s">
        <v>259</v>
      </c>
      <c r="J119" s="134" t="s">
        <v>375</v>
      </c>
      <c r="K119" s="134"/>
      <c r="L119" s="135">
        <v>1.54</v>
      </c>
      <c r="M119" s="136">
        <f t="shared" si="10"/>
        <v>190</v>
      </c>
      <c r="N119" s="2">
        <v>190</v>
      </c>
      <c r="O119" s="1"/>
      <c r="P119" s="137" t="e">
        <f t="shared" si="11"/>
        <v>#DIV/0!</v>
      </c>
      <c r="Q119" s="137">
        <f t="shared" si="12"/>
        <v>0</v>
      </c>
      <c r="R119" s="138">
        <f>IF(N119="nio",0,IF(N119&gt;0,VLOOKUP(I119,'3-Productie normen'!A:V,VLOOKUP(N119,'3-Productie normen'!$B$35:$C$56,2,FALSE),FALSE)))/VLOOKUP(B119,'2-Kosten per locatie'!$A$11:$C$18,3,FALSE)</f>
        <v>0</v>
      </c>
      <c r="S119" s="138">
        <f t="shared" si="13"/>
        <v>0</v>
      </c>
      <c r="T119" s="139" t="str">
        <f>VLOOKUP(I119,'3-Productie normen'!A:AF,28,FALSE)</f>
        <v>S</v>
      </c>
      <c r="U119" s="140"/>
      <c r="W119" s="141">
        <f t="shared" si="14"/>
        <v>292.60000000000002</v>
      </c>
    </row>
    <row r="120" spans="1:23" ht="13.9" customHeight="1">
      <c r="A120" s="118">
        <v>120</v>
      </c>
      <c r="B120" s="49" t="s">
        <v>1677</v>
      </c>
      <c r="C120" s="49" t="s">
        <v>376</v>
      </c>
      <c r="D120" s="133" t="s">
        <v>268</v>
      </c>
      <c r="E120" s="133" t="s">
        <v>531</v>
      </c>
      <c r="F120" s="133"/>
      <c r="G120" s="134" t="s">
        <v>44</v>
      </c>
      <c r="H120" s="134" t="s">
        <v>260</v>
      </c>
      <c r="I120" s="134" t="s">
        <v>259</v>
      </c>
      <c r="J120" s="134" t="s">
        <v>375</v>
      </c>
      <c r="K120" s="134"/>
      <c r="L120" s="135">
        <v>1.54</v>
      </c>
      <c r="M120" s="136">
        <f t="shared" si="10"/>
        <v>190</v>
      </c>
      <c r="N120" s="2">
        <v>190</v>
      </c>
      <c r="O120" s="1"/>
      <c r="P120" s="137" t="e">
        <f t="shared" si="11"/>
        <v>#DIV/0!</v>
      </c>
      <c r="Q120" s="137">
        <f t="shared" si="12"/>
        <v>0</v>
      </c>
      <c r="R120" s="138">
        <f>IF(N120="nio",0,IF(N120&gt;0,VLOOKUP(I120,'3-Productie normen'!A:V,VLOOKUP(N120,'3-Productie normen'!$B$35:$C$56,2,FALSE),FALSE)))/VLOOKUP(B120,'2-Kosten per locatie'!$A$11:$C$18,3,FALSE)</f>
        <v>0</v>
      </c>
      <c r="S120" s="138">
        <f t="shared" si="13"/>
        <v>0</v>
      </c>
      <c r="T120" s="139" t="str">
        <f>VLOOKUP(I120,'3-Productie normen'!A:AF,28,FALSE)</f>
        <v>S</v>
      </c>
      <c r="U120" s="140"/>
      <c r="W120" s="141">
        <f t="shared" si="14"/>
        <v>292.60000000000002</v>
      </c>
    </row>
    <row r="121" spans="1:23" ht="13.9" customHeight="1">
      <c r="A121" s="132">
        <v>121</v>
      </c>
      <c r="B121" s="49" t="s">
        <v>1677</v>
      </c>
      <c r="C121" s="49" t="s">
        <v>376</v>
      </c>
      <c r="D121" s="133" t="s">
        <v>268</v>
      </c>
      <c r="E121" s="133" t="s">
        <v>532</v>
      </c>
      <c r="F121" s="133" t="s">
        <v>533</v>
      </c>
      <c r="G121" s="134" t="s">
        <v>44</v>
      </c>
      <c r="H121" s="134" t="s">
        <v>79</v>
      </c>
      <c r="I121" s="134" t="s">
        <v>49</v>
      </c>
      <c r="J121" s="134" t="s">
        <v>375</v>
      </c>
      <c r="K121" s="134"/>
      <c r="L121" s="135">
        <v>22.11</v>
      </c>
      <c r="M121" s="136">
        <f t="shared" si="10"/>
        <v>190</v>
      </c>
      <c r="N121" s="2">
        <v>190</v>
      </c>
      <c r="O121" s="1"/>
      <c r="P121" s="137" t="e">
        <f t="shared" si="11"/>
        <v>#DIV/0!</v>
      </c>
      <c r="Q121" s="137">
        <f t="shared" si="12"/>
        <v>0</v>
      </c>
      <c r="R121" s="138">
        <f>IF(N121="nio",0,IF(N121&gt;0,VLOOKUP(I121,'3-Productie normen'!A:V,VLOOKUP(N121,'3-Productie normen'!$B$35:$C$56,2,FALSE),FALSE)))/VLOOKUP(B121,'2-Kosten per locatie'!$A$11:$C$18,3,FALSE)</f>
        <v>0</v>
      </c>
      <c r="S121" s="138">
        <f t="shared" si="13"/>
        <v>0</v>
      </c>
      <c r="T121" s="139" t="str">
        <f>VLOOKUP(I121,'3-Productie normen'!A:AF,28,FALSE)</f>
        <v>V</v>
      </c>
      <c r="U121" s="140"/>
      <c r="W121" s="141">
        <f t="shared" si="14"/>
        <v>4200.8999999999996</v>
      </c>
    </row>
    <row r="122" spans="1:23" ht="13.9" customHeight="1">
      <c r="A122" s="132">
        <v>122</v>
      </c>
      <c r="B122" s="49" t="s">
        <v>1677</v>
      </c>
      <c r="C122" s="49" t="s">
        <v>376</v>
      </c>
      <c r="D122" s="133" t="s">
        <v>268</v>
      </c>
      <c r="E122" s="133" t="s">
        <v>534</v>
      </c>
      <c r="F122" s="133" t="s">
        <v>535</v>
      </c>
      <c r="G122" s="134" t="s">
        <v>44</v>
      </c>
      <c r="H122" s="134" t="s">
        <v>258</v>
      </c>
      <c r="I122" s="134" t="s">
        <v>259</v>
      </c>
      <c r="J122" s="134" t="s">
        <v>375</v>
      </c>
      <c r="K122" s="134"/>
      <c r="L122" s="135">
        <v>8.6</v>
      </c>
      <c r="M122" s="136">
        <f t="shared" si="10"/>
        <v>190</v>
      </c>
      <c r="N122" s="2">
        <v>190</v>
      </c>
      <c r="O122" s="1"/>
      <c r="P122" s="137" t="e">
        <f t="shared" si="11"/>
        <v>#DIV/0!</v>
      </c>
      <c r="Q122" s="137">
        <f t="shared" si="12"/>
        <v>0</v>
      </c>
      <c r="R122" s="138">
        <f>IF(N122="nio",0,IF(N122&gt;0,VLOOKUP(I122,'3-Productie normen'!A:V,VLOOKUP(N122,'3-Productie normen'!$B$35:$C$56,2,FALSE),FALSE)))/VLOOKUP(B122,'2-Kosten per locatie'!$A$11:$C$18,3,FALSE)</f>
        <v>0</v>
      </c>
      <c r="S122" s="138">
        <f t="shared" si="13"/>
        <v>0</v>
      </c>
      <c r="T122" s="139" t="str">
        <f>VLOOKUP(I122,'3-Productie normen'!A:AF,28,FALSE)</f>
        <v>S</v>
      </c>
      <c r="U122" s="140"/>
      <c r="W122" s="141">
        <f t="shared" si="14"/>
        <v>1634</v>
      </c>
    </row>
    <row r="123" spans="1:23" ht="13.9" customHeight="1">
      <c r="A123" s="118">
        <v>123</v>
      </c>
      <c r="B123" s="49" t="s">
        <v>1677</v>
      </c>
      <c r="C123" s="49" t="s">
        <v>376</v>
      </c>
      <c r="D123" s="133" t="s">
        <v>268</v>
      </c>
      <c r="E123" s="133" t="s">
        <v>536</v>
      </c>
      <c r="F123" s="133"/>
      <c r="G123" s="134" t="s">
        <v>44</v>
      </c>
      <c r="H123" s="134" t="s">
        <v>260</v>
      </c>
      <c r="I123" s="134" t="s">
        <v>259</v>
      </c>
      <c r="J123" s="134" t="s">
        <v>375</v>
      </c>
      <c r="K123" s="134"/>
      <c r="L123" s="135">
        <v>1.17</v>
      </c>
      <c r="M123" s="136">
        <f t="shared" si="10"/>
        <v>190</v>
      </c>
      <c r="N123" s="2">
        <v>190</v>
      </c>
      <c r="O123" s="1"/>
      <c r="P123" s="137" t="e">
        <f t="shared" si="11"/>
        <v>#DIV/0!</v>
      </c>
      <c r="Q123" s="137">
        <f t="shared" si="12"/>
        <v>0</v>
      </c>
      <c r="R123" s="138">
        <f>IF(N123="nio",0,IF(N123&gt;0,VLOOKUP(I123,'3-Productie normen'!A:V,VLOOKUP(N123,'3-Productie normen'!$B$35:$C$56,2,FALSE),FALSE)))/VLOOKUP(B123,'2-Kosten per locatie'!$A$11:$C$18,3,FALSE)</f>
        <v>0</v>
      </c>
      <c r="S123" s="138">
        <f t="shared" si="13"/>
        <v>0</v>
      </c>
      <c r="T123" s="139" t="str">
        <f>VLOOKUP(I123,'3-Productie normen'!A:AF,28,FALSE)</f>
        <v>S</v>
      </c>
      <c r="U123" s="140"/>
      <c r="W123" s="141">
        <f t="shared" si="14"/>
        <v>222.29999999999998</v>
      </c>
    </row>
    <row r="124" spans="1:23" ht="13.9" customHeight="1">
      <c r="A124" s="132">
        <v>124</v>
      </c>
      <c r="B124" s="49" t="s">
        <v>1677</v>
      </c>
      <c r="C124" s="49" t="s">
        <v>376</v>
      </c>
      <c r="D124" s="133" t="s">
        <v>268</v>
      </c>
      <c r="E124" s="133" t="s">
        <v>537</v>
      </c>
      <c r="F124" s="133"/>
      <c r="G124" s="134" t="s">
        <v>44</v>
      </c>
      <c r="H124" s="134" t="s">
        <v>260</v>
      </c>
      <c r="I124" s="134" t="s">
        <v>259</v>
      </c>
      <c r="J124" s="134" t="s">
        <v>375</v>
      </c>
      <c r="K124" s="134"/>
      <c r="L124" s="135">
        <v>1.1399999999999999</v>
      </c>
      <c r="M124" s="136">
        <f t="shared" si="10"/>
        <v>190</v>
      </c>
      <c r="N124" s="2">
        <v>190</v>
      </c>
      <c r="O124" s="1"/>
      <c r="P124" s="137" t="e">
        <f t="shared" si="11"/>
        <v>#DIV/0!</v>
      </c>
      <c r="Q124" s="137">
        <f t="shared" si="12"/>
        <v>0</v>
      </c>
      <c r="R124" s="138">
        <f>IF(N124="nio",0,IF(N124&gt;0,VLOOKUP(I124,'3-Productie normen'!A:V,VLOOKUP(N124,'3-Productie normen'!$B$35:$C$56,2,FALSE),FALSE)))/VLOOKUP(B124,'2-Kosten per locatie'!$A$11:$C$18,3,FALSE)</f>
        <v>0</v>
      </c>
      <c r="S124" s="138">
        <f t="shared" si="13"/>
        <v>0</v>
      </c>
      <c r="T124" s="139" t="str">
        <f>VLOOKUP(I124,'3-Productie normen'!A:AF,28,FALSE)</f>
        <v>S</v>
      </c>
      <c r="U124" s="140"/>
      <c r="W124" s="141">
        <f t="shared" si="14"/>
        <v>216.6</v>
      </c>
    </row>
    <row r="125" spans="1:23" ht="13.9" customHeight="1">
      <c r="A125" s="132">
        <v>125</v>
      </c>
      <c r="B125" s="49" t="s">
        <v>1677</v>
      </c>
      <c r="C125" s="49" t="s">
        <v>376</v>
      </c>
      <c r="D125" s="133" t="s">
        <v>268</v>
      </c>
      <c r="E125" s="133" t="s">
        <v>538</v>
      </c>
      <c r="F125" s="133"/>
      <c r="G125" s="134" t="s">
        <v>44</v>
      </c>
      <c r="H125" s="134" t="s">
        <v>260</v>
      </c>
      <c r="I125" s="134" t="s">
        <v>259</v>
      </c>
      <c r="J125" s="134" t="s">
        <v>375</v>
      </c>
      <c r="K125" s="134"/>
      <c r="L125" s="135">
        <v>1.1399999999999999</v>
      </c>
      <c r="M125" s="136">
        <f t="shared" si="10"/>
        <v>190</v>
      </c>
      <c r="N125" s="2">
        <v>190</v>
      </c>
      <c r="O125" s="1"/>
      <c r="P125" s="137" t="e">
        <f t="shared" si="11"/>
        <v>#DIV/0!</v>
      </c>
      <c r="Q125" s="137">
        <f t="shared" si="12"/>
        <v>0</v>
      </c>
      <c r="R125" s="138">
        <f>IF(N125="nio",0,IF(N125&gt;0,VLOOKUP(I125,'3-Productie normen'!A:V,VLOOKUP(N125,'3-Productie normen'!$B$35:$C$56,2,FALSE),FALSE)))/VLOOKUP(B125,'2-Kosten per locatie'!$A$11:$C$18,3,FALSE)</f>
        <v>0</v>
      </c>
      <c r="S125" s="138">
        <f t="shared" si="13"/>
        <v>0</v>
      </c>
      <c r="T125" s="139" t="str">
        <f>VLOOKUP(I125,'3-Productie normen'!A:AF,28,FALSE)</f>
        <v>S</v>
      </c>
      <c r="U125" s="140"/>
      <c r="W125" s="141">
        <f t="shared" si="14"/>
        <v>216.6</v>
      </c>
    </row>
    <row r="126" spans="1:23" ht="13.9" customHeight="1">
      <c r="A126" s="118">
        <v>126</v>
      </c>
      <c r="B126" s="49" t="s">
        <v>1677</v>
      </c>
      <c r="C126" s="49" t="s">
        <v>376</v>
      </c>
      <c r="D126" s="133" t="s">
        <v>268</v>
      </c>
      <c r="E126" s="133" t="s">
        <v>539</v>
      </c>
      <c r="F126" s="133"/>
      <c r="G126" s="134" t="s">
        <v>44</v>
      </c>
      <c r="H126" s="134" t="s">
        <v>260</v>
      </c>
      <c r="I126" s="134" t="s">
        <v>259</v>
      </c>
      <c r="J126" s="134" t="s">
        <v>375</v>
      </c>
      <c r="K126" s="134"/>
      <c r="L126" s="135">
        <v>1.17</v>
      </c>
      <c r="M126" s="136">
        <f t="shared" si="10"/>
        <v>190</v>
      </c>
      <c r="N126" s="2">
        <v>190</v>
      </c>
      <c r="O126" s="1"/>
      <c r="P126" s="137" t="e">
        <f t="shared" si="11"/>
        <v>#DIV/0!</v>
      </c>
      <c r="Q126" s="137">
        <f t="shared" si="12"/>
        <v>0</v>
      </c>
      <c r="R126" s="138">
        <f>IF(N126="nio",0,IF(N126&gt;0,VLOOKUP(I126,'3-Productie normen'!A:V,VLOOKUP(N126,'3-Productie normen'!$B$35:$C$56,2,FALSE),FALSE)))/VLOOKUP(B126,'2-Kosten per locatie'!$A$11:$C$18,3,FALSE)</f>
        <v>0</v>
      </c>
      <c r="S126" s="138">
        <f t="shared" si="13"/>
        <v>0</v>
      </c>
      <c r="T126" s="139" t="str">
        <f>VLOOKUP(I126,'3-Productie normen'!A:AF,28,FALSE)</f>
        <v>S</v>
      </c>
      <c r="U126" s="140"/>
      <c r="W126" s="141">
        <f t="shared" si="14"/>
        <v>222.29999999999998</v>
      </c>
    </row>
    <row r="127" spans="1:23" ht="13.9" customHeight="1">
      <c r="A127" s="132">
        <v>127</v>
      </c>
      <c r="B127" s="49" t="s">
        <v>1677</v>
      </c>
      <c r="C127" s="49" t="s">
        <v>376</v>
      </c>
      <c r="D127" s="133" t="s">
        <v>268</v>
      </c>
      <c r="E127" s="133" t="s">
        <v>540</v>
      </c>
      <c r="F127" s="133" t="s">
        <v>541</v>
      </c>
      <c r="G127" s="134" t="s">
        <v>44</v>
      </c>
      <c r="H127" s="134" t="s">
        <v>260</v>
      </c>
      <c r="I127" s="134" t="s">
        <v>259</v>
      </c>
      <c r="J127" s="134" t="s">
        <v>375</v>
      </c>
      <c r="K127" s="134"/>
      <c r="L127" s="135">
        <v>5.01</v>
      </c>
      <c r="M127" s="136">
        <f t="shared" si="10"/>
        <v>190</v>
      </c>
      <c r="N127" s="2">
        <v>190</v>
      </c>
      <c r="O127" s="1"/>
      <c r="P127" s="137" t="e">
        <f t="shared" si="11"/>
        <v>#DIV/0!</v>
      </c>
      <c r="Q127" s="137">
        <f t="shared" si="12"/>
        <v>0</v>
      </c>
      <c r="R127" s="138">
        <f>IF(N127="nio",0,IF(N127&gt;0,VLOOKUP(I127,'3-Productie normen'!A:V,VLOOKUP(N127,'3-Productie normen'!$B$35:$C$56,2,FALSE),FALSE)))/VLOOKUP(B127,'2-Kosten per locatie'!$A$11:$C$18,3,FALSE)</f>
        <v>0</v>
      </c>
      <c r="S127" s="138">
        <f t="shared" si="13"/>
        <v>0</v>
      </c>
      <c r="T127" s="139" t="str">
        <f>VLOOKUP(I127,'3-Productie normen'!A:AF,28,FALSE)</f>
        <v>S</v>
      </c>
      <c r="U127" s="140"/>
      <c r="W127" s="141">
        <f t="shared" si="14"/>
        <v>951.9</v>
      </c>
    </row>
    <row r="128" spans="1:23" ht="13.9" customHeight="1">
      <c r="A128" s="132">
        <v>128</v>
      </c>
      <c r="B128" s="49" t="s">
        <v>1677</v>
      </c>
      <c r="C128" s="49" t="s">
        <v>376</v>
      </c>
      <c r="D128" s="133" t="s">
        <v>268</v>
      </c>
      <c r="E128" s="133" t="s">
        <v>542</v>
      </c>
      <c r="F128" s="133" t="s">
        <v>543</v>
      </c>
      <c r="G128" s="134" t="s">
        <v>264</v>
      </c>
      <c r="H128" s="134" t="s">
        <v>265</v>
      </c>
      <c r="I128" s="134" t="s">
        <v>284</v>
      </c>
      <c r="J128" s="134" t="s">
        <v>78</v>
      </c>
      <c r="K128" s="1" t="s">
        <v>1522</v>
      </c>
      <c r="L128" s="135">
        <v>54.32</v>
      </c>
      <c r="M128" s="136">
        <f t="shared" si="10"/>
        <v>76</v>
      </c>
      <c r="N128" s="2">
        <v>76</v>
      </c>
      <c r="O128" s="1"/>
      <c r="P128" s="137" t="e">
        <f t="shared" si="11"/>
        <v>#DIV/0!</v>
      </c>
      <c r="Q128" s="137">
        <f t="shared" si="12"/>
        <v>0</v>
      </c>
      <c r="R128" s="138">
        <f>IF(N128="nio",0,IF(N128&gt;0,VLOOKUP(I128,'3-Productie normen'!A:V,VLOOKUP(N128,'3-Productie normen'!$B$35:$C$56,2,FALSE),FALSE)))/VLOOKUP(B128,'2-Kosten per locatie'!$A$11:$C$18,3,FALSE)</f>
        <v>0</v>
      </c>
      <c r="S128" s="138">
        <f t="shared" si="13"/>
        <v>0</v>
      </c>
      <c r="T128" s="139" t="str">
        <f>VLOOKUP(I128,'3-Productie normen'!A:AF,28,FALSE)</f>
        <v>L</v>
      </c>
      <c r="U128" s="140"/>
      <c r="W128" s="141">
        <f t="shared" si="14"/>
        <v>4128.32</v>
      </c>
    </row>
    <row r="129" spans="1:23" ht="13.9" customHeight="1">
      <c r="A129" s="118">
        <v>129</v>
      </c>
      <c r="B129" s="49" t="s">
        <v>1677</v>
      </c>
      <c r="C129" s="49" t="s">
        <v>376</v>
      </c>
      <c r="D129" s="133" t="s">
        <v>268</v>
      </c>
      <c r="E129" s="133" t="s">
        <v>544</v>
      </c>
      <c r="F129" s="133" t="s">
        <v>545</v>
      </c>
      <c r="G129" s="134" t="s">
        <v>264</v>
      </c>
      <c r="H129" s="134" t="s">
        <v>265</v>
      </c>
      <c r="I129" s="134" t="s">
        <v>284</v>
      </c>
      <c r="J129" s="134" t="s">
        <v>78</v>
      </c>
      <c r="K129" s="1" t="s">
        <v>1522</v>
      </c>
      <c r="L129" s="135">
        <v>54.32</v>
      </c>
      <c r="M129" s="136">
        <f t="shared" si="10"/>
        <v>76</v>
      </c>
      <c r="N129" s="2">
        <v>76</v>
      </c>
      <c r="O129" s="1"/>
      <c r="P129" s="137" t="e">
        <f t="shared" si="11"/>
        <v>#DIV/0!</v>
      </c>
      <c r="Q129" s="137">
        <f t="shared" si="12"/>
        <v>0</v>
      </c>
      <c r="R129" s="138">
        <f>IF(N129="nio",0,IF(N129&gt;0,VLOOKUP(I129,'3-Productie normen'!A:V,VLOOKUP(N129,'3-Productie normen'!$B$35:$C$56,2,FALSE),FALSE)))/VLOOKUP(B129,'2-Kosten per locatie'!$A$11:$C$18,3,FALSE)</f>
        <v>0</v>
      </c>
      <c r="S129" s="138">
        <f t="shared" si="13"/>
        <v>0</v>
      </c>
      <c r="T129" s="139" t="str">
        <f>VLOOKUP(I129,'3-Productie normen'!A:AF,28,FALSE)</f>
        <v>L</v>
      </c>
      <c r="U129" s="140"/>
      <c r="W129" s="141">
        <f t="shared" si="14"/>
        <v>4128.32</v>
      </c>
    </row>
    <row r="130" spans="1:23" ht="13.9" customHeight="1">
      <c r="A130" s="132">
        <v>130</v>
      </c>
      <c r="B130" s="49" t="s">
        <v>1677</v>
      </c>
      <c r="C130" s="49" t="s">
        <v>376</v>
      </c>
      <c r="D130" s="133" t="s">
        <v>268</v>
      </c>
      <c r="E130" s="133" t="s">
        <v>546</v>
      </c>
      <c r="F130" s="133" t="s">
        <v>547</v>
      </c>
      <c r="G130" s="134" t="s">
        <v>264</v>
      </c>
      <c r="H130" s="134" t="s">
        <v>290</v>
      </c>
      <c r="I130" s="134" t="s">
        <v>284</v>
      </c>
      <c r="J130" s="134" t="s">
        <v>78</v>
      </c>
      <c r="K130" s="1" t="s">
        <v>1522</v>
      </c>
      <c r="L130" s="135">
        <v>89.12</v>
      </c>
      <c r="M130" s="136">
        <f t="shared" si="10"/>
        <v>76</v>
      </c>
      <c r="N130" s="2">
        <v>76</v>
      </c>
      <c r="O130" s="1"/>
      <c r="P130" s="137" t="e">
        <f t="shared" si="11"/>
        <v>#DIV/0!</v>
      </c>
      <c r="Q130" s="137">
        <f t="shared" si="12"/>
        <v>0</v>
      </c>
      <c r="R130" s="138">
        <f>IF(N130="nio",0,IF(N130&gt;0,VLOOKUP(I130,'3-Productie normen'!A:V,VLOOKUP(N130,'3-Productie normen'!$B$35:$C$56,2,FALSE),FALSE)))/VLOOKUP(B130,'2-Kosten per locatie'!$A$11:$C$18,3,FALSE)</f>
        <v>0</v>
      </c>
      <c r="S130" s="138">
        <f t="shared" si="13"/>
        <v>0</v>
      </c>
      <c r="T130" s="139" t="str">
        <f>VLOOKUP(I130,'3-Productie normen'!A:AF,28,FALSE)</f>
        <v>L</v>
      </c>
      <c r="U130" s="140"/>
      <c r="W130" s="141">
        <f t="shared" si="14"/>
        <v>6773.1200000000008</v>
      </c>
    </row>
    <row r="131" spans="1:23" ht="13.9" customHeight="1">
      <c r="A131" s="132">
        <v>131</v>
      </c>
      <c r="B131" s="49" t="s">
        <v>1677</v>
      </c>
      <c r="C131" s="49" t="s">
        <v>376</v>
      </c>
      <c r="D131" s="133" t="s">
        <v>268</v>
      </c>
      <c r="E131" s="133" t="s">
        <v>548</v>
      </c>
      <c r="F131" s="133" t="s">
        <v>549</v>
      </c>
      <c r="G131" s="134" t="s">
        <v>245</v>
      </c>
      <c r="H131" s="134" t="s">
        <v>50</v>
      </c>
      <c r="I131" s="134" t="s">
        <v>270</v>
      </c>
      <c r="J131" s="134" t="s">
        <v>78</v>
      </c>
      <c r="K131" s="1" t="s">
        <v>1522</v>
      </c>
      <c r="L131" s="135">
        <v>127.45</v>
      </c>
      <c r="M131" s="136">
        <f t="shared" si="10"/>
        <v>76</v>
      </c>
      <c r="N131" s="2">
        <v>76</v>
      </c>
      <c r="O131" s="1"/>
      <c r="P131" s="137" t="e">
        <f t="shared" si="11"/>
        <v>#DIV/0!</v>
      </c>
      <c r="Q131" s="137">
        <f t="shared" si="12"/>
        <v>0</v>
      </c>
      <c r="R131" s="138">
        <f>IF(N131="nio",0,IF(N131&gt;0,VLOOKUP(I131,'3-Productie normen'!A:V,VLOOKUP(N131,'3-Productie normen'!$B$35:$C$56,2,FALSE),FALSE)))/VLOOKUP(B131,'2-Kosten per locatie'!$A$11:$C$18,3,FALSE)</f>
        <v>0</v>
      </c>
      <c r="S131" s="138">
        <f t="shared" si="13"/>
        <v>0</v>
      </c>
      <c r="T131" s="139" t="str">
        <f>VLOOKUP(I131,'3-Productie normen'!A:AF,28,FALSE)</f>
        <v>B</v>
      </c>
      <c r="U131" s="140"/>
      <c r="W131" s="141">
        <f t="shared" si="14"/>
        <v>9686.2000000000007</v>
      </c>
    </row>
    <row r="132" spans="1:23" ht="13.9" customHeight="1">
      <c r="A132" s="118">
        <v>132</v>
      </c>
      <c r="B132" s="49" t="s">
        <v>1677</v>
      </c>
      <c r="C132" s="49" t="s">
        <v>376</v>
      </c>
      <c r="D132" s="133" t="s">
        <v>268</v>
      </c>
      <c r="E132" s="133" t="s">
        <v>548</v>
      </c>
      <c r="F132" s="133" t="s">
        <v>550</v>
      </c>
      <c r="G132" s="134" t="s">
        <v>264</v>
      </c>
      <c r="H132" s="134" t="s">
        <v>1588</v>
      </c>
      <c r="I132" s="134" t="s">
        <v>1589</v>
      </c>
      <c r="J132" s="134" t="s">
        <v>375</v>
      </c>
      <c r="K132" s="134"/>
      <c r="L132" s="135">
        <v>20.420000000000002</v>
      </c>
      <c r="M132" s="136">
        <f t="shared" si="10"/>
        <v>190</v>
      </c>
      <c r="N132" s="2">
        <v>190</v>
      </c>
      <c r="O132" s="1"/>
      <c r="P132" s="137" t="e">
        <f t="shared" si="11"/>
        <v>#DIV/0!</v>
      </c>
      <c r="Q132" s="137">
        <f t="shared" si="12"/>
        <v>0</v>
      </c>
      <c r="R132" s="138">
        <f>IF(N132="nio",0,IF(N132&gt;0,VLOOKUP(I132,'3-Productie normen'!A:V,VLOOKUP(N132,'3-Productie normen'!$B$35:$C$56,2,FALSE),FALSE)))/VLOOKUP(B132,'2-Kosten per locatie'!$A$11:$C$18,3,FALSE)</f>
        <v>0</v>
      </c>
      <c r="S132" s="138">
        <f t="shared" si="13"/>
        <v>0</v>
      </c>
      <c r="T132" s="139" t="str">
        <f>VLOOKUP(I132,'3-Productie normen'!A:AF,28,FALSE)</f>
        <v>L</v>
      </c>
      <c r="U132" s="140"/>
      <c r="W132" s="141">
        <f t="shared" si="14"/>
        <v>3879.8</v>
      </c>
    </row>
    <row r="133" spans="1:23" ht="13.9" customHeight="1">
      <c r="A133" s="132">
        <v>133</v>
      </c>
      <c r="B133" s="49" t="s">
        <v>1677</v>
      </c>
      <c r="C133" s="49" t="s">
        <v>376</v>
      </c>
      <c r="D133" s="133" t="s">
        <v>268</v>
      </c>
      <c r="E133" s="133" t="s">
        <v>551</v>
      </c>
      <c r="F133" s="133" t="s">
        <v>552</v>
      </c>
      <c r="G133" s="134" t="s">
        <v>264</v>
      </c>
      <c r="H133" s="134" t="s">
        <v>265</v>
      </c>
      <c r="I133" s="134" t="s">
        <v>284</v>
      </c>
      <c r="J133" s="134" t="s">
        <v>78</v>
      </c>
      <c r="K133" s="1" t="s">
        <v>1522</v>
      </c>
      <c r="L133" s="135">
        <v>51.12</v>
      </c>
      <c r="M133" s="136">
        <f t="shared" si="10"/>
        <v>76</v>
      </c>
      <c r="N133" s="2">
        <v>76</v>
      </c>
      <c r="O133" s="1"/>
      <c r="P133" s="137" t="e">
        <f t="shared" si="11"/>
        <v>#DIV/0!</v>
      </c>
      <c r="Q133" s="137">
        <f t="shared" si="12"/>
        <v>0</v>
      </c>
      <c r="R133" s="138">
        <f>IF(N133="nio",0,IF(N133&gt;0,VLOOKUP(I133,'3-Productie normen'!A:V,VLOOKUP(N133,'3-Productie normen'!$B$35:$C$56,2,FALSE),FALSE)))/VLOOKUP(B133,'2-Kosten per locatie'!$A$11:$C$18,3,FALSE)</f>
        <v>0</v>
      </c>
      <c r="S133" s="138">
        <f t="shared" si="13"/>
        <v>0</v>
      </c>
      <c r="T133" s="139" t="str">
        <f>VLOOKUP(I133,'3-Productie normen'!A:AF,28,FALSE)</f>
        <v>L</v>
      </c>
      <c r="U133" s="140"/>
      <c r="W133" s="141">
        <f t="shared" si="14"/>
        <v>3885.12</v>
      </c>
    </row>
    <row r="134" spans="1:23" ht="13.9" customHeight="1">
      <c r="A134" s="132">
        <v>134</v>
      </c>
      <c r="B134" s="49" t="s">
        <v>1677</v>
      </c>
      <c r="C134" s="49" t="s">
        <v>376</v>
      </c>
      <c r="D134" s="133" t="s">
        <v>268</v>
      </c>
      <c r="E134" s="133" t="s">
        <v>553</v>
      </c>
      <c r="F134" s="133" t="s">
        <v>554</v>
      </c>
      <c r="G134" s="134" t="s">
        <v>264</v>
      </c>
      <c r="H134" s="134" t="s">
        <v>265</v>
      </c>
      <c r="I134" s="134" t="s">
        <v>284</v>
      </c>
      <c r="J134" s="134" t="s">
        <v>78</v>
      </c>
      <c r="K134" s="1" t="s">
        <v>1522</v>
      </c>
      <c r="L134" s="135">
        <v>50.76</v>
      </c>
      <c r="M134" s="136">
        <f t="shared" si="10"/>
        <v>76</v>
      </c>
      <c r="N134" s="2">
        <v>76</v>
      </c>
      <c r="O134" s="1"/>
      <c r="P134" s="137" t="e">
        <f t="shared" si="11"/>
        <v>#DIV/0!</v>
      </c>
      <c r="Q134" s="137">
        <f t="shared" si="12"/>
        <v>0</v>
      </c>
      <c r="R134" s="138">
        <f>IF(N134="nio",0,IF(N134&gt;0,VLOOKUP(I134,'3-Productie normen'!A:V,VLOOKUP(N134,'3-Productie normen'!$B$35:$C$56,2,FALSE),FALSE)))/VLOOKUP(B134,'2-Kosten per locatie'!$A$11:$C$18,3,FALSE)</f>
        <v>0</v>
      </c>
      <c r="S134" s="138">
        <f t="shared" si="13"/>
        <v>0</v>
      </c>
      <c r="T134" s="139" t="str">
        <f>VLOOKUP(I134,'3-Productie normen'!A:AF,28,FALSE)</f>
        <v>L</v>
      </c>
      <c r="U134" s="140"/>
      <c r="W134" s="141">
        <f t="shared" si="14"/>
        <v>3857.7599999999998</v>
      </c>
    </row>
    <row r="135" spans="1:23" ht="13.9" customHeight="1">
      <c r="A135" s="118">
        <v>135</v>
      </c>
      <c r="B135" s="49" t="s">
        <v>1677</v>
      </c>
      <c r="C135" s="49" t="s">
        <v>376</v>
      </c>
      <c r="D135" s="133" t="s">
        <v>268</v>
      </c>
      <c r="E135" s="133" t="s">
        <v>555</v>
      </c>
      <c r="F135" s="133"/>
      <c r="G135" s="134" t="s">
        <v>264</v>
      </c>
      <c r="H135" s="134" t="s">
        <v>283</v>
      </c>
      <c r="I135" s="134" t="s">
        <v>284</v>
      </c>
      <c r="J135" s="134" t="s">
        <v>375</v>
      </c>
      <c r="K135" s="134"/>
      <c r="L135" s="135">
        <v>17.920000000000002</v>
      </c>
      <c r="M135" s="136">
        <f t="shared" si="10"/>
        <v>76</v>
      </c>
      <c r="N135" s="2">
        <v>76</v>
      </c>
      <c r="O135" s="1"/>
      <c r="P135" s="137" t="e">
        <f t="shared" si="11"/>
        <v>#DIV/0!</v>
      </c>
      <c r="Q135" s="137">
        <f t="shared" si="12"/>
        <v>0</v>
      </c>
      <c r="R135" s="138">
        <f>IF(N135="nio",0,IF(N135&gt;0,VLOOKUP(I135,'3-Productie normen'!A:V,VLOOKUP(N135,'3-Productie normen'!$B$35:$C$56,2,FALSE),FALSE)))/VLOOKUP(B135,'2-Kosten per locatie'!$A$11:$C$18,3,FALSE)</f>
        <v>0</v>
      </c>
      <c r="S135" s="138">
        <f t="shared" si="13"/>
        <v>0</v>
      </c>
      <c r="T135" s="139" t="str">
        <f>VLOOKUP(I135,'3-Productie normen'!A:AF,28,FALSE)</f>
        <v>L</v>
      </c>
      <c r="U135" s="140"/>
      <c r="W135" s="141">
        <f t="shared" si="14"/>
        <v>1361.92</v>
      </c>
    </row>
    <row r="136" spans="1:23" ht="13.9" customHeight="1">
      <c r="A136" s="132">
        <v>136</v>
      </c>
      <c r="B136" s="49" t="s">
        <v>1677</v>
      </c>
      <c r="C136" s="49" t="s">
        <v>376</v>
      </c>
      <c r="D136" s="133" t="s">
        <v>268</v>
      </c>
      <c r="E136" s="133" t="s">
        <v>556</v>
      </c>
      <c r="F136" s="133" t="s">
        <v>557</v>
      </c>
      <c r="G136" s="134" t="s">
        <v>245</v>
      </c>
      <c r="H136" s="134" t="s">
        <v>371</v>
      </c>
      <c r="I136" s="92" t="s">
        <v>274</v>
      </c>
      <c r="J136" s="134" t="s">
        <v>558</v>
      </c>
      <c r="K136" s="134"/>
      <c r="L136" s="135">
        <v>15.33</v>
      </c>
      <c r="M136" s="136">
        <f t="shared" si="10"/>
        <v>76</v>
      </c>
      <c r="N136" s="2">
        <v>76</v>
      </c>
      <c r="O136" s="1"/>
      <c r="P136" s="137" t="e">
        <f t="shared" si="11"/>
        <v>#DIV/0!</v>
      </c>
      <c r="Q136" s="137">
        <f t="shared" si="12"/>
        <v>0</v>
      </c>
      <c r="R136" s="138">
        <f>IF(N136="nio",0,IF(N136&gt;0,VLOOKUP(I136,'3-Productie normen'!A:V,VLOOKUP(N136,'3-Productie normen'!$B$35:$C$56,2,FALSE),FALSE)))/VLOOKUP(B136,'2-Kosten per locatie'!$A$11:$C$18,3,FALSE)</f>
        <v>0</v>
      </c>
      <c r="S136" s="138">
        <f t="shared" si="13"/>
        <v>0</v>
      </c>
      <c r="T136" s="139" t="str">
        <f>VLOOKUP(I136,'3-Productie normen'!A:AF,28,FALSE)</f>
        <v>B</v>
      </c>
      <c r="U136" s="140"/>
      <c r="W136" s="141">
        <f t="shared" si="14"/>
        <v>1165.08</v>
      </c>
    </row>
    <row r="137" spans="1:23" ht="13.9" customHeight="1">
      <c r="A137" s="132">
        <v>137</v>
      </c>
      <c r="B137" s="49" t="s">
        <v>1677</v>
      </c>
      <c r="C137" s="49" t="s">
        <v>376</v>
      </c>
      <c r="D137" s="133" t="s">
        <v>268</v>
      </c>
      <c r="E137" s="133" t="s">
        <v>559</v>
      </c>
      <c r="F137" s="133" t="s">
        <v>560</v>
      </c>
      <c r="G137" s="134" t="s">
        <v>245</v>
      </c>
      <c r="H137" s="134" t="s">
        <v>245</v>
      </c>
      <c r="I137" s="92" t="s">
        <v>274</v>
      </c>
      <c r="J137" s="134" t="s">
        <v>558</v>
      </c>
      <c r="K137" s="134"/>
      <c r="L137" s="135">
        <v>23.8</v>
      </c>
      <c r="M137" s="136">
        <f t="shared" si="10"/>
        <v>76</v>
      </c>
      <c r="N137" s="2">
        <v>76</v>
      </c>
      <c r="O137" s="1"/>
      <c r="P137" s="137" t="e">
        <f t="shared" si="11"/>
        <v>#DIV/0!</v>
      </c>
      <c r="Q137" s="137">
        <f t="shared" si="12"/>
        <v>0</v>
      </c>
      <c r="R137" s="138">
        <f>IF(N137="nio",0,IF(N137&gt;0,VLOOKUP(I137,'3-Productie normen'!A:V,VLOOKUP(N137,'3-Productie normen'!$B$35:$C$56,2,FALSE),FALSE)))/VLOOKUP(B137,'2-Kosten per locatie'!$A$11:$C$18,3,FALSE)</f>
        <v>0</v>
      </c>
      <c r="S137" s="138">
        <f t="shared" si="13"/>
        <v>0</v>
      </c>
      <c r="T137" s="139" t="str">
        <f>VLOOKUP(I137,'3-Productie normen'!A:AF,28,FALSE)</f>
        <v>B</v>
      </c>
      <c r="U137" s="140"/>
      <c r="W137" s="141">
        <f t="shared" si="14"/>
        <v>1808.8</v>
      </c>
    </row>
    <row r="138" spans="1:23" ht="13.9" customHeight="1">
      <c r="A138" s="118">
        <v>138</v>
      </c>
      <c r="B138" s="49" t="s">
        <v>1677</v>
      </c>
      <c r="C138" s="49" t="s">
        <v>376</v>
      </c>
      <c r="D138" s="133" t="s">
        <v>268</v>
      </c>
      <c r="E138" s="133" t="s">
        <v>561</v>
      </c>
      <c r="F138" s="133" t="s">
        <v>562</v>
      </c>
      <c r="G138" s="134" t="s">
        <v>245</v>
      </c>
      <c r="H138" s="134" t="s">
        <v>371</v>
      </c>
      <c r="I138" s="92" t="s">
        <v>274</v>
      </c>
      <c r="J138" s="134" t="s">
        <v>558</v>
      </c>
      <c r="K138" s="134"/>
      <c r="L138" s="135">
        <v>15.4</v>
      </c>
      <c r="M138" s="136">
        <f t="shared" si="10"/>
        <v>76</v>
      </c>
      <c r="N138" s="2">
        <v>76</v>
      </c>
      <c r="O138" s="1"/>
      <c r="P138" s="137" t="e">
        <f t="shared" si="11"/>
        <v>#DIV/0!</v>
      </c>
      <c r="Q138" s="137">
        <f t="shared" si="12"/>
        <v>0</v>
      </c>
      <c r="R138" s="138">
        <f>IF(N138="nio",0,IF(N138&gt;0,VLOOKUP(I138,'3-Productie normen'!A:V,VLOOKUP(N138,'3-Productie normen'!$B$35:$C$56,2,FALSE),FALSE)))/VLOOKUP(B138,'2-Kosten per locatie'!$A$11:$C$18,3,FALSE)</f>
        <v>0</v>
      </c>
      <c r="S138" s="138">
        <f t="shared" si="13"/>
        <v>0</v>
      </c>
      <c r="T138" s="139" t="str">
        <f>VLOOKUP(I138,'3-Productie normen'!A:AF,28,FALSE)</f>
        <v>B</v>
      </c>
      <c r="U138" s="140"/>
      <c r="W138" s="141">
        <f t="shared" si="14"/>
        <v>1170.4000000000001</v>
      </c>
    </row>
    <row r="139" spans="1:23" ht="13.9" customHeight="1">
      <c r="A139" s="132">
        <v>139</v>
      </c>
      <c r="B139" s="49" t="s">
        <v>1677</v>
      </c>
      <c r="C139" s="49" t="s">
        <v>376</v>
      </c>
      <c r="D139" s="133" t="s">
        <v>268</v>
      </c>
      <c r="E139" s="133" t="s">
        <v>563</v>
      </c>
      <c r="F139" s="133" t="s">
        <v>564</v>
      </c>
      <c r="G139" s="134" t="s">
        <v>245</v>
      </c>
      <c r="H139" s="134" t="s">
        <v>245</v>
      </c>
      <c r="I139" s="92" t="s">
        <v>274</v>
      </c>
      <c r="J139" s="134" t="s">
        <v>558</v>
      </c>
      <c r="K139" s="134"/>
      <c r="L139" s="135">
        <v>15.4</v>
      </c>
      <c r="M139" s="136">
        <f t="shared" si="10"/>
        <v>76</v>
      </c>
      <c r="N139" s="2">
        <v>76</v>
      </c>
      <c r="O139" s="1"/>
      <c r="P139" s="137" t="e">
        <f t="shared" si="11"/>
        <v>#DIV/0!</v>
      </c>
      <c r="Q139" s="137">
        <f t="shared" si="12"/>
        <v>0</v>
      </c>
      <c r="R139" s="138">
        <f>IF(N139="nio",0,IF(N139&gt;0,VLOOKUP(I139,'3-Productie normen'!A:V,VLOOKUP(N139,'3-Productie normen'!$B$35:$C$56,2,FALSE),FALSE)))/VLOOKUP(B139,'2-Kosten per locatie'!$A$11:$C$18,3,FALSE)</f>
        <v>0</v>
      </c>
      <c r="S139" s="138">
        <f t="shared" si="13"/>
        <v>0</v>
      </c>
      <c r="T139" s="139" t="str">
        <f>VLOOKUP(I139,'3-Productie normen'!A:AF,28,FALSE)</f>
        <v>B</v>
      </c>
      <c r="U139" s="140"/>
      <c r="W139" s="141">
        <f t="shared" si="14"/>
        <v>1170.4000000000001</v>
      </c>
    </row>
    <row r="140" spans="1:23" ht="13.9" customHeight="1">
      <c r="A140" s="132">
        <v>140</v>
      </c>
      <c r="B140" s="49" t="s">
        <v>1677</v>
      </c>
      <c r="C140" s="49" t="s">
        <v>376</v>
      </c>
      <c r="D140" s="133" t="s">
        <v>268</v>
      </c>
      <c r="E140" s="133" t="s">
        <v>565</v>
      </c>
      <c r="F140" s="133" t="s">
        <v>566</v>
      </c>
      <c r="G140" s="134" t="s">
        <v>245</v>
      </c>
      <c r="H140" s="134" t="s">
        <v>245</v>
      </c>
      <c r="I140" s="92" t="s">
        <v>274</v>
      </c>
      <c r="J140" s="134" t="s">
        <v>558</v>
      </c>
      <c r="K140" s="134"/>
      <c r="L140" s="135">
        <v>15.4</v>
      </c>
      <c r="M140" s="136">
        <f t="shared" si="10"/>
        <v>76</v>
      </c>
      <c r="N140" s="2">
        <v>76</v>
      </c>
      <c r="O140" s="1"/>
      <c r="P140" s="137" t="e">
        <f t="shared" si="11"/>
        <v>#DIV/0!</v>
      </c>
      <c r="Q140" s="137">
        <f t="shared" si="12"/>
        <v>0</v>
      </c>
      <c r="R140" s="138">
        <f>IF(N140="nio",0,IF(N140&gt;0,VLOOKUP(I140,'3-Productie normen'!A:V,VLOOKUP(N140,'3-Productie normen'!$B$35:$C$56,2,FALSE),FALSE)))/VLOOKUP(B140,'2-Kosten per locatie'!$A$11:$C$18,3,FALSE)</f>
        <v>0</v>
      </c>
      <c r="S140" s="138">
        <f t="shared" si="13"/>
        <v>0</v>
      </c>
      <c r="T140" s="139" t="str">
        <f>VLOOKUP(I140,'3-Productie normen'!A:AF,28,FALSE)</f>
        <v>B</v>
      </c>
      <c r="U140" s="140"/>
      <c r="W140" s="141">
        <f t="shared" si="14"/>
        <v>1170.4000000000001</v>
      </c>
    </row>
    <row r="141" spans="1:23" ht="13.9" customHeight="1">
      <c r="A141" s="118">
        <v>141</v>
      </c>
      <c r="B141" s="49" t="s">
        <v>1677</v>
      </c>
      <c r="C141" s="49" t="s">
        <v>376</v>
      </c>
      <c r="D141" s="133" t="s">
        <v>268</v>
      </c>
      <c r="E141" s="133" t="s">
        <v>567</v>
      </c>
      <c r="F141" s="133" t="s">
        <v>568</v>
      </c>
      <c r="G141" s="134" t="s">
        <v>245</v>
      </c>
      <c r="H141" s="134" t="s">
        <v>245</v>
      </c>
      <c r="I141" s="92" t="s">
        <v>274</v>
      </c>
      <c r="J141" s="134" t="s">
        <v>558</v>
      </c>
      <c r="K141" s="134"/>
      <c r="L141" s="135">
        <v>15.4</v>
      </c>
      <c r="M141" s="136">
        <f t="shared" si="10"/>
        <v>76</v>
      </c>
      <c r="N141" s="2">
        <v>76</v>
      </c>
      <c r="O141" s="1"/>
      <c r="P141" s="137" t="e">
        <f t="shared" si="11"/>
        <v>#DIV/0!</v>
      </c>
      <c r="Q141" s="137">
        <f t="shared" si="12"/>
        <v>0</v>
      </c>
      <c r="R141" s="138">
        <f>IF(N141="nio",0,IF(N141&gt;0,VLOOKUP(I141,'3-Productie normen'!A:V,VLOOKUP(N141,'3-Productie normen'!$B$35:$C$56,2,FALSE),FALSE)))/VLOOKUP(B141,'2-Kosten per locatie'!$A$11:$C$18,3,FALSE)</f>
        <v>0</v>
      </c>
      <c r="S141" s="138">
        <f t="shared" si="13"/>
        <v>0</v>
      </c>
      <c r="T141" s="139" t="str">
        <f>VLOOKUP(I141,'3-Productie normen'!A:AF,28,FALSE)</f>
        <v>B</v>
      </c>
      <c r="U141" s="140"/>
      <c r="W141" s="141">
        <f t="shared" si="14"/>
        <v>1170.4000000000001</v>
      </c>
    </row>
    <row r="142" spans="1:23" ht="13.9" customHeight="1">
      <c r="A142" s="132">
        <v>142</v>
      </c>
      <c r="B142" s="49" t="s">
        <v>1677</v>
      </c>
      <c r="C142" s="49" t="s">
        <v>376</v>
      </c>
      <c r="D142" s="133" t="s">
        <v>268</v>
      </c>
      <c r="E142" s="133" t="s">
        <v>569</v>
      </c>
      <c r="F142" s="133"/>
      <c r="G142" s="134" t="s">
        <v>245</v>
      </c>
      <c r="H142" s="134" t="s">
        <v>50</v>
      </c>
      <c r="I142" s="134" t="s">
        <v>270</v>
      </c>
      <c r="J142" s="134" t="s">
        <v>558</v>
      </c>
      <c r="K142" s="134"/>
      <c r="L142" s="135">
        <v>40.659999999999997</v>
      </c>
      <c r="M142" s="136">
        <f t="shared" si="10"/>
        <v>76</v>
      </c>
      <c r="N142" s="2">
        <v>76</v>
      </c>
      <c r="O142" s="1"/>
      <c r="P142" s="137" t="e">
        <f t="shared" si="11"/>
        <v>#DIV/0!</v>
      </c>
      <c r="Q142" s="137">
        <f t="shared" si="12"/>
        <v>0</v>
      </c>
      <c r="R142" s="138">
        <f>IF(N142="nio",0,IF(N142&gt;0,VLOOKUP(I142,'3-Productie normen'!A:V,VLOOKUP(N142,'3-Productie normen'!$B$35:$C$56,2,FALSE),FALSE)))/VLOOKUP(B142,'2-Kosten per locatie'!$A$11:$C$18,3,FALSE)</f>
        <v>0</v>
      </c>
      <c r="S142" s="138">
        <f t="shared" si="13"/>
        <v>0</v>
      </c>
      <c r="T142" s="139" t="str">
        <f>VLOOKUP(I142,'3-Productie normen'!A:AF,28,FALSE)</f>
        <v>B</v>
      </c>
      <c r="U142" s="140"/>
      <c r="W142" s="141">
        <f t="shared" si="14"/>
        <v>3090.16</v>
      </c>
    </row>
    <row r="143" spans="1:23" ht="13.9" customHeight="1">
      <c r="A143" s="132">
        <v>143</v>
      </c>
      <c r="B143" s="49" t="s">
        <v>1677</v>
      </c>
      <c r="C143" s="49" t="s">
        <v>376</v>
      </c>
      <c r="D143" s="133" t="s">
        <v>268</v>
      </c>
      <c r="E143" s="133" t="s">
        <v>570</v>
      </c>
      <c r="F143" s="133"/>
      <c r="G143" s="134" t="s">
        <v>245</v>
      </c>
      <c r="H143" s="134" t="s">
        <v>50</v>
      </c>
      <c r="I143" s="134" t="s">
        <v>270</v>
      </c>
      <c r="J143" s="134" t="s">
        <v>78</v>
      </c>
      <c r="K143" s="1" t="s">
        <v>1522</v>
      </c>
      <c r="L143" s="135">
        <v>20.5</v>
      </c>
      <c r="M143" s="136">
        <f t="shared" si="10"/>
        <v>76</v>
      </c>
      <c r="N143" s="2">
        <v>76</v>
      </c>
      <c r="O143" s="1"/>
      <c r="P143" s="137" t="e">
        <f t="shared" si="11"/>
        <v>#DIV/0!</v>
      </c>
      <c r="Q143" s="137">
        <f t="shared" si="12"/>
        <v>0</v>
      </c>
      <c r="R143" s="138">
        <f>IF(N143="nio",0,IF(N143&gt;0,VLOOKUP(I143,'3-Productie normen'!A:V,VLOOKUP(N143,'3-Productie normen'!$B$35:$C$56,2,FALSE),FALSE)))/VLOOKUP(B143,'2-Kosten per locatie'!$A$11:$C$18,3,FALSE)</f>
        <v>0</v>
      </c>
      <c r="S143" s="138">
        <f t="shared" si="13"/>
        <v>0</v>
      </c>
      <c r="T143" s="139" t="str">
        <f>VLOOKUP(I143,'3-Productie normen'!A:AF,28,FALSE)</f>
        <v>B</v>
      </c>
      <c r="U143" s="140"/>
      <c r="W143" s="141">
        <f t="shared" si="14"/>
        <v>1558</v>
      </c>
    </row>
    <row r="144" spans="1:23" ht="13.9" customHeight="1">
      <c r="A144" s="118">
        <v>144</v>
      </c>
      <c r="B144" s="49" t="s">
        <v>1677</v>
      </c>
      <c r="C144" s="49" t="s">
        <v>376</v>
      </c>
      <c r="D144" s="133" t="s">
        <v>268</v>
      </c>
      <c r="E144" s="133" t="s">
        <v>571</v>
      </c>
      <c r="F144" s="133" t="s">
        <v>572</v>
      </c>
      <c r="G144" s="134" t="s">
        <v>245</v>
      </c>
      <c r="H144" s="134" t="s">
        <v>245</v>
      </c>
      <c r="I144" s="92" t="s">
        <v>274</v>
      </c>
      <c r="J144" s="134" t="s">
        <v>558</v>
      </c>
      <c r="K144" s="134"/>
      <c r="L144" s="135">
        <v>15.4</v>
      </c>
      <c r="M144" s="136">
        <f t="shared" si="10"/>
        <v>76</v>
      </c>
      <c r="N144" s="2">
        <v>76</v>
      </c>
      <c r="O144" s="1"/>
      <c r="P144" s="137" t="e">
        <f t="shared" si="11"/>
        <v>#DIV/0!</v>
      </c>
      <c r="Q144" s="137">
        <f t="shared" si="12"/>
        <v>0</v>
      </c>
      <c r="R144" s="138">
        <f>IF(N144="nio",0,IF(N144&gt;0,VLOOKUP(I144,'3-Productie normen'!A:V,VLOOKUP(N144,'3-Productie normen'!$B$35:$C$56,2,FALSE),FALSE)))/VLOOKUP(B144,'2-Kosten per locatie'!$A$11:$C$18,3,FALSE)</f>
        <v>0</v>
      </c>
      <c r="S144" s="138">
        <f t="shared" si="13"/>
        <v>0</v>
      </c>
      <c r="T144" s="139" t="str">
        <f>VLOOKUP(I144,'3-Productie normen'!A:AF,28,FALSE)</f>
        <v>B</v>
      </c>
      <c r="U144" s="140"/>
      <c r="W144" s="141">
        <f t="shared" si="14"/>
        <v>1170.4000000000001</v>
      </c>
    </row>
    <row r="145" spans="1:23" ht="13.9" customHeight="1">
      <c r="A145" s="132">
        <v>145</v>
      </c>
      <c r="B145" s="49" t="s">
        <v>1677</v>
      </c>
      <c r="C145" s="49" t="s">
        <v>376</v>
      </c>
      <c r="D145" s="133" t="s">
        <v>268</v>
      </c>
      <c r="E145" s="133" t="s">
        <v>573</v>
      </c>
      <c r="F145" s="133" t="s">
        <v>574</v>
      </c>
      <c r="G145" s="134" t="s">
        <v>245</v>
      </c>
      <c r="H145" s="134" t="s">
        <v>245</v>
      </c>
      <c r="I145" s="92" t="s">
        <v>274</v>
      </c>
      <c r="J145" s="134" t="s">
        <v>558</v>
      </c>
      <c r="K145" s="134"/>
      <c r="L145" s="135">
        <v>15.4</v>
      </c>
      <c r="M145" s="136">
        <f t="shared" si="10"/>
        <v>76</v>
      </c>
      <c r="N145" s="2">
        <v>76</v>
      </c>
      <c r="O145" s="1"/>
      <c r="P145" s="137" t="e">
        <f t="shared" si="11"/>
        <v>#DIV/0!</v>
      </c>
      <c r="Q145" s="137">
        <f t="shared" si="12"/>
        <v>0</v>
      </c>
      <c r="R145" s="138">
        <f>IF(N145="nio",0,IF(N145&gt;0,VLOOKUP(I145,'3-Productie normen'!A:V,VLOOKUP(N145,'3-Productie normen'!$B$35:$C$56,2,FALSE),FALSE)))/VLOOKUP(B145,'2-Kosten per locatie'!$A$11:$C$18,3,FALSE)</f>
        <v>0</v>
      </c>
      <c r="S145" s="138">
        <f t="shared" si="13"/>
        <v>0</v>
      </c>
      <c r="T145" s="139" t="str">
        <f>VLOOKUP(I145,'3-Productie normen'!A:AF,28,FALSE)</f>
        <v>B</v>
      </c>
      <c r="U145" s="140"/>
      <c r="W145" s="141">
        <f t="shared" si="14"/>
        <v>1170.4000000000001</v>
      </c>
    </row>
    <row r="146" spans="1:23" ht="13.9" customHeight="1">
      <c r="A146" s="132">
        <v>146</v>
      </c>
      <c r="B146" s="49" t="s">
        <v>1677</v>
      </c>
      <c r="C146" s="49" t="s">
        <v>376</v>
      </c>
      <c r="D146" s="133" t="s">
        <v>268</v>
      </c>
      <c r="E146" s="133" t="s">
        <v>575</v>
      </c>
      <c r="F146" s="133" t="s">
        <v>576</v>
      </c>
      <c r="G146" s="134" t="s">
        <v>245</v>
      </c>
      <c r="H146" s="134" t="s">
        <v>245</v>
      </c>
      <c r="I146" s="92" t="s">
        <v>274</v>
      </c>
      <c r="J146" s="134" t="s">
        <v>558</v>
      </c>
      <c r="K146" s="134"/>
      <c r="L146" s="135">
        <v>23.32</v>
      </c>
      <c r="M146" s="136">
        <f t="shared" si="10"/>
        <v>76</v>
      </c>
      <c r="N146" s="2">
        <v>76</v>
      </c>
      <c r="O146" s="1"/>
      <c r="P146" s="137" t="e">
        <f t="shared" si="11"/>
        <v>#DIV/0!</v>
      </c>
      <c r="Q146" s="137">
        <f t="shared" si="12"/>
        <v>0</v>
      </c>
      <c r="R146" s="138">
        <f>IF(N146="nio",0,IF(N146&gt;0,VLOOKUP(I146,'3-Productie normen'!A:V,VLOOKUP(N146,'3-Productie normen'!$B$35:$C$56,2,FALSE),FALSE)))/VLOOKUP(B146,'2-Kosten per locatie'!$A$11:$C$18,3,FALSE)</f>
        <v>0</v>
      </c>
      <c r="S146" s="138">
        <f t="shared" si="13"/>
        <v>0</v>
      </c>
      <c r="T146" s="139" t="str">
        <f>VLOOKUP(I146,'3-Productie normen'!A:AF,28,FALSE)</f>
        <v>B</v>
      </c>
      <c r="U146" s="140"/>
      <c r="W146" s="141">
        <f t="shared" si="14"/>
        <v>1772.32</v>
      </c>
    </row>
    <row r="147" spans="1:23" ht="13.9" customHeight="1">
      <c r="A147" s="118">
        <v>147</v>
      </c>
      <c r="B147" s="49" t="s">
        <v>1677</v>
      </c>
      <c r="C147" s="49" t="s">
        <v>376</v>
      </c>
      <c r="D147" s="133" t="s">
        <v>268</v>
      </c>
      <c r="E147" s="133" t="s">
        <v>577</v>
      </c>
      <c r="F147" s="133" t="s">
        <v>578</v>
      </c>
      <c r="G147" s="134" t="s">
        <v>245</v>
      </c>
      <c r="H147" s="134" t="s">
        <v>245</v>
      </c>
      <c r="I147" s="92" t="s">
        <v>274</v>
      </c>
      <c r="J147" s="134" t="s">
        <v>558</v>
      </c>
      <c r="K147" s="134"/>
      <c r="L147" s="135">
        <v>31.24</v>
      </c>
      <c r="M147" s="136">
        <f t="shared" si="10"/>
        <v>76</v>
      </c>
      <c r="N147" s="2">
        <v>76</v>
      </c>
      <c r="O147" s="1"/>
      <c r="P147" s="137" t="e">
        <f t="shared" si="11"/>
        <v>#DIV/0!</v>
      </c>
      <c r="Q147" s="137">
        <f t="shared" si="12"/>
        <v>0</v>
      </c>
      <c r="R147" s="138">
        <f>IF(N147="nio",0,IF(N147&gt;0,VLOOKUP(I147,'3-Productie normen'!A:V,VLOOKUP(N147,'3-Productie normen'!$B$35:$C$56,2,FALSE),FALSE)))/VLOOKUP(B147,'2-Kosten per locatie'!$A$11:$C$18,3,FALSE)</f>
        <v>0</v>
      </c>
      <c r="S147" s="138">
        <f t="shared" si="13"/>
        <v>0</v>
      </c>
      <c r="T147" s="139" t="str">
        <f>VLOOKUP(I147,'3-Productie normen'!A:AF,28,FALSE)</f>
        <v>B</v>
      </c>
      <c r="U147" s="140"/>
      <c r="W147" s="141">
        <f t="shared" si="14"/>
        <v>2374.2399999999998</v>
      </c>
    </row>
    <row r="148" spans="1:23" ht="13.9" customHeight="1">
      <c r="A148" s="132">
        <v>148</v>
      </c>
      <c r="B148" s="49" t="s">
        <v>1677</v>
      </c>
      <c r="C148" s="49" t="s">
        <v>376</v>
      </c>
      <c r="D148" s="133" t="s">
        <v>268</v>
      </c>
      <c r="E148" s="133" t="s">
        <v>579</v>
      </c>
      <c r="F148" s="133" t="s">
        <v>580</v>
      </c>
      <c r="G148" s="134" t="s">
        <v>245</v>
      </c>
      <c r="H148" s="134" t="s">
        <v>245</v>
      </c>
      <c r="I148" s="92" t="s">
        <v>274</v>
      </c>
      <c r="J148" s="134" t="s">
        <v>558</v>
      </c>
      <c r="K148" s="134"/>
      <c r="L148" s="135">
        <v>18.600000000000001</v>
      </c>
      <c r="M148" s="136">
        <f t="shared" si="10"/>
        <v>76</v>
      </c>
      <c r="N148" s="2">
        <v>76</v>
      </c>
      <c r="O148" s="1"/>
      <c r="P148" s="137" t="e">
        <f t="shared" si="11"/>
        <v>#DIV/0!</v>
      </c>
      <c r="Q148" s="137">
        <f t="shared" si="12"/>
        <v>0</v>
      </c>
      <c r="R148" s="138">
        <f>IF(N148="nio",0,IF(N148&gt;0,VLOOKUP(I148,'3-Productie normen'!A:V,VLOOKUP(N148,'3-Productie normen'!$B$35:$C$56,2,FALSE),FALSE)))/VLOOKUP(B148,'2-Kosten per locatie'!$A$11:$C$18,3,FALSE)</f>
        <v>0</v>
      </c>
      <c r="S148" s="138">
        <f t="shared" si="13"/>
        <v>0</v>
      </c>
      <c r="T148" s="139" t="str">
        <f>VLOOKUP(I148,'3-Productie normen'!A:AF,28,FALSE)</f>
        <v>B</v>
      </c>
      <c r="U148" s="140"/>
      <c r="W148" s="141">
        <f t="shared" si="14"/>
        <v>1413.6000000000001</v>
      </c>
    </row>
    <row r="149" spans="1:23" ht="13.9" customHeight="1">
      <c r="A149" s="132">
        <v>149</v>
      </c>
      <c r="B149" s="49" t="s">
        <v>1677</v>
      </c>
      <c r="C149" s="49" t="s">
        <v>376</v>
      </c>
      <c r="D149" s="133" t="s">
        <v>268</v>
      </c>
      <c r="E149" s="133" t="s">
        <v>581</v>
      </c>
      <c r="F149" s="133" t="s">
        <v>582</v>
      </c>
      <c r="G149" s="134" t="s">
        <v>245</v>
      </c>
      <c r="H149" s="134" t="s">
        <v>245</v>
      </c>
      <c r="I149" s="92" t="s">
        <v>274</v>
      </c>
      <c r="J149" s="134" t="s">
        <v>300</v>
      </c>
      <c r="K149" s="134"/>
      <c r="L149" s="135">
        <v>39.6</v>
      </c>
      <c r="M149" s="136">
        <f t="shared" si="10"/>
        <v>76</v>
      </c>
      <c r="N149" s="2">
        <v>76</v>
      </c>
      <c r="O149" s="1"/>
      <c r="P149" s="137" t="e">
        <f t="shared" si="11"/>
        <v>#DIV/0!</v>
      </c>
      <c r="Q149" s="137">
        <f t="shared" si="12"/>
        <v>0</v>
      </c>
      <c r="R149" s="138">
        <f>IF(N149="nio",0,IF(N149&gt;0,VLOOKUP(I149,'3-Productie normen'!A:V,VLOOKUP(N149,'3-Productie normen'!$B$35:$C$56,2,FALSE),FALSE)))/VLOOKUP(B149,'2-Kosten per locatie'!$A$11:$C$18,3,FALSE)</f>
        <v>0</v>
      </c>
      <c r="S149" s="138">
        <f t="shared" si="13"/>
        <v>0</v>
      </c>
      <c r="T149" s="139" t="str">
        <f>VLOOKUP(I149,'3-Productie normen'!A:AF,28,FALSE)</f>
        <v>B</v>
      </c>
      <c r="U149" s="140"/>
      <c r="W149" s="141">
        <f t="shared" si="14"/>
        <v>3009.6</v>
      </c>
    </row>
    <row r="150" spans="1:23" ht="13.9" customHeight="1">
      <c r="A150" s="118">
        <v>150</v>
      </c>
      <c r="B150" s="49" t="s">
        <v>1677</v>
      </c>
      <c r="C150" s="49" t="s">
        <v>376</v>
      </c>
      <c r="D150" s="133" t="s">
        <v>268</v>
      </c>
      <c r="E150" s="133" t="s">
        <v>583</v>
      </c>
      <c r="F150" s="133" t="s">
        <v>584</v>
      </c>
      <c r="G150" s="134" t="s">
        <v>264</v>
      </c>
      <c r="H150" s="134" t="s">
        <v>265</v>
      </c>
      <c r="I150" s="134" t="s">
        <v>284</v>
      </c>
      <c r="J150" s="134" t="s">
        <v>78</v>
      </c>
      <c r="K150" s="1" t="s">
        <v>1522</v>
      </c>
      <c r="L150" s="135">
        <v>50.76</v>
      </c>
      <c r="M150" s="136">
        <f t="shared" si="10"/>
        <v>76</v>
      </c>
      <c r="N150" s="2">
        <v>76</v>
      </c>
      <c r="O150" s="1"/>
      <c r="P150" s="137" t="e">
        <f t="shared" si="11"/>
        <v>#DIV/0!</v>
      </c>
      <c r="Q150" s="137">
        <f t="shared" si="12"/>
        <v>0</v>
      </c>
      <c r="R150" s="138">
        <f>IF(N150="nio",0,IF(N150&gt;0,VLOOKUP(I150,'3-Productie normen'!A:V,VLOOKUP(N150,'3-Productie normen'!$B$35:$C$56,2,FALSE),FALSE)))/VLOOKUP(B150,'2-Kosten per locatie'!$A$11:$C$18,3,FALSE)</f>
        <v>0</v>
      </c>
      <c r="S150" s="138">
        <f t="shared" si="13"/>
        <v>0</v>
      </c>
      <c r="T150" s="139" t="str">
        <f>VLOOKUP(I150,'3-Productie normen'!A:AF,28,FALSE)</f>
        <v>L</v>
      </c>
      <c r="U150" s="140"/>
      <c r="W150" s="141">
        <f t="shared" si="14"/>
        <v>3857.7599999999998</v>
      </c>
    </row>
    <row r="151" spans="1:23" ht="13.9" customHeight="1">
      <c r="A151" s="132">
        <v>151</v>
      </c>
      <c r="B151" s="49" t="s">
        <v>1677</v>
      </c>
      <c r="C151" s="49" t="s">
        <v>376</v>
      </c>
      <c r="D151" s="133" t="s">
        <v>268</v>
      </c>
      <c r="E151" s="133" t="s">
        <v>585</v>
      </c>
      <c r="F151" s="133" t="s">
        <v>329</v>
      </c>
      <c r="G151" s="134" t="s">
        <v>264</v>
      </c>
      <c r="H151" s="134" t="s">
        <v>265</v>
      </c>
      <c r="I151" s="134" t="s">
        <v>284</v>
      </c>
      <c r="J151" s="134" t="s">
        <v>78</v>
      </c>
      <c r="K151" s="1" t="s">
        <v>1522</v>
      </c>
      <c r="L151" s="135">
        <v>51.12</v>
      </c>
      <c r="M151" s="136">
        <f t="shared" ref="M151:M214" si="15">SUM(N151:O151)</f>
        <v>76</v>
      </c>
      <c r="N151" s="2">
        <v>76</v>
      </c>
      <c r="O151" s="1"/>
      <c r="P151" s="137" t="e">
        <f t="shared" ref="P151:P214" si="16">IF(N151="nio",0,IF(N151&gt;0,N151*L151/R151,0))</f>
        <v>#DIV/0!</v>
      </c>
      <c r="Q151" s="137">
        <f t="shared" ref="Q151:Q214" si="17">IF(O151&gt;0,O151*L151/S151,0)</f>
        <v>0</v>
      </c>
      <c r="R151" s="138">
        <f>IF(N151="nio",0,IF(N151&gt;0,VLOOKUP(I151,'3-Productie normen'!A:V,VLOOKUP(N151,'3-Productie normen'!$B$35:$C$56,2,FALSE),FALSE)))/VLOOKUP(B151,'2-Kosten per locatie'!$A$11:$C$18,3,FALSE)</f>
        <v>0</v>
      </c>
      <c r="S151" s="138">
        <f t="shared" ref="S151:S214" si="18">IF(O151&gt;0,R151*$S$8,0)</f>
        <v>0</v>
      </c>
      <c r="T151" s="139" t="str">
        <f>VLOOKUP(I151,'3-Productie normen'!A:AF,28,FALSE)</f>
        <v>L</v>
      </c>
      <c r="U151" s="140"/>
      <c r="W151" s="141">
        <f t="shared" ref="W151:W214" si="19">M151*L151</f>
        <v>3885.12</v>
      </c>
    </row>
    <row r="152" spans="1:23" ht="13.9" customHeight="1">
      <c r="A152" s="132">
        <v>152</v>
      </c>
      <c r="B152" s="49" t="s">
        <v>1677</v>
      </c>
      <c r="C152" s="49" t="s">
        <v>376</v>
      </c>
      <c r="D152" s="133" t="s">
        <v>268</v>
      </c>
      <c r="E152" s="133" t="s">
        <v>586</v>
      </c>
      <c r="F152" s="133"/>
      <c r="G152" s="134" t="s">
        <v>264</v>
      </c>
      <c r="H152" s="134" t="s">
        <v>283</v>
      </c>
      <c r="I152" s="134" t="s">
        <v>284</v>
      </c>
      <c r="J152" s="134" t="s">
        <v>375</v>
      </c>
      <c r="K152" s="134"/>
      <c r="L152" s="135">
        <v>17.920000000000002</v>
      </c>
      <c r="M152" s="136">
        <f t="shared" si="15"/>
        <v>76</v>
      </c>
      <c r="N152" s="2">
        <v>76</v>
      </c>
      <c r="O152" s="1"/>
      <c r="P152" s="137" t="e">
        <f t="shared" si="16"/>
        <v>#DIV/0!</v>
      </c>
      <c r="Q152" s="137">
        <f t="shared" si="17"/>
        <v>0</v>
      </c>
      <c r="R152" s="138">
        <f>IF(N152="nio",0,IF(N152&gt;0,VLOOKUP(I152,'3-Productie normen'!A:V,VLOOKUP(N152,'3-Productie normen'!$B$35:$C$56,2,FALSE),FALSE)))/VLOOKUP(B152,'2-Kosten per locatie'!$A$11:$C$18,3,FALSE)</f>
        <v>0</v>
      </c>
      <c r="S152" s="138">
        <f t="shared" si="18"/>
        <v>0</v>
      </c>
      <c r="T152" s="139" t="str">
        <f>VLOOKUP(I152,'3-Productie normen'!A:AF,28,FALSE)</f>
        <v>L</v>
      </c>
      <c r="U152" s="140"/>
      <c r="W152" s="141">
        <f t="shared" si="19"/>
        <v>1361.92</v>
      </c>
    </row>
    <row r="153" spans="1:23" ht="13.9" customHeight="1">
      <c r="A153" s="118">
        <v>153</v>
      </c>
      <c r="B153" s="49" t="s">
        <v>1677</v>
      </c>
      <c r="C153" s="49" t="s">
        <v>376</v>
      </c>
      <c r="D153" s="133" t="s">
        <v>268</v>
      </c>
      <c r="E153" s="133" t="s">
        <v>587</v>
      </c>
      <c r="F153" s="133" t="s">
        <v>588</v>
      </c>
      <c r="G153" s="134" t="s">
        <v>245</v>
      </c>
      <c r="H153" s="134" t="s">
        <v>50</v>
      </c>
      <c r="I153" s="134" t="s">
        <v>270</v>
      </c>
      <c r="J153" s="134" t="s">
        <v>78</v>
      </c>
      <c r="K153" s="1" t="s">
        <v>1522</v>
      </c>
      <c r="L153" s="135">
        <v>12.06</v>
      </c>
      <c r="M153" s="136">
        <f t="shared" si="15"/>
        <v>76</v>
      </c>
      <c r="N153" s="2">
        <v>76</v>
      </c>
      <c r="O153" s="1"/>
      <c r="P153" s="137" t="e">
        <f t="shared" si="16"/>
        <v>#DIV/0!</v>
      </c>
      <c r="Q153" s="137">
        <f t="shared" si="17"/>
        <v>0</v>
      </c>
      <c r="R153" s="138">
        <f>IF(N153="nio",0,IF(N153&gt;0,VLOOKUP(I153,'3-Productie normen'!A:V,VLOOKUP(N153,'3-Productie normen'!$B$35:$C$56,2,FALSE),FALSE)))/VLOOKUP(B153,'2-Kosten per locatie'!$A$11:$C$18,3,FALSE)</f>
        <v>0</v>
      </c>
      <c r="S153" s="138">
        <f t="shared" si="18"/>
        <v>0</v>
      </c>
      <c r="T153" s="139" t="str">
        <f>VLOOKUP(I153,'3-Productie normen'!A:AF,28,FALSE)</f>
        <v>B</v>
      </c>
      <c r="U153" s="140"/>
      <c r="W153" s="141">
        <f t="shared" si="19"/>
        <v>916.56000000000006</v>
      </c>
    </row>
    <row r="154" spans="1:23" ht="13.9" customHeight="1">
      <c r="A154" s="132">
        <v>154</v>
      </c>
      <c r="B154" s="49" t="s">
        <v>1677</v>
      </c>
      <c r="C154" s="49" t="s">
        <v>376</v>
      </c>
      <c r="D154" s="133" t="s">
        <v>271</v>
      </c>
      <c r="E154" s="133" t="s">
        <v>589</v>
      </c>
      <c r="F154" s="133"/>
      <c r="G154" s="134" t="s">
        <v>232</v>
      </c>
      <c r="H154" s="134" t="s">
        <v>53</v>
      </c>
      <c r="I154" s="1" t="s">
        <v>233</v>
      </c>
      <c r="J154" s="134" t="s">
        <v>379</v>
      </c>
      <c r="K154" s="134"/>
      <c r="L154" s="135">
        <v>21.7</v>
      </c>
      <c r="M154" s="136">
        <f t="shared" si="15"/>
        <v>190</v>
      </c>
      <c r="N154" s="2">
        <v>190</v>
      </c>
      <c r="O154" s="1"/>
      <c r="P154" s="137" t="e">
        <f t="shared" si="16"/>
        <v>#DIV/0!</v>
      </c>
      <c r="Q154" s="137">
        <f t="shared" si="17"/>
        <v>0</v>
      </c>
      <c r="R154" s="138">
        <f>IF(N154="nio",0,IF(N154&gt;0,VLOOKUP(I154,'3-Productie normen'!A:V,VLOOKUP(N154,'3-Productie normen'!$B$35:$C$56,2,FALSE),FALSE)))/VLOOKUP(B154,'2-Kosten per locatie'!$A$11:$C$18,3,FALSE)</f>
        <v>0</v>
      </c>
      <c r="S154" s="138">
        <f t="shared" si="18"/>
        <v>0</v>
      </c>
      <c r="T154" s="139" t="str">
        <f>VLOOKUP(I154,'3-Productie normen'!A:AF,28,FALSE)</f>
        <v>V</v>
      </c>
      <c r="U154" s="140"/>
      <c r="W154" s="141">
        <f t="shared" si="19"/>
        <v>4123</v>
      </c>
    </row>
    <row r="155" spans="1:23" ht="13.9" customHeight="1">
      <c r="A155" s="132">
        <v>155</v>
      </c>
      <c r="B155" s="49" t="s">
        <v>1677</v>
      </c>
      <c r="C155" s="49" t="s">
        <v>376</v>
      </c>
      <c r="D155" s="133" t="s">
        <v>271</v>
      </c>
      <c r="E155" s="133" t="s">
        <v>590</v>
      </c>
      <c r="F155" s="133"/>
      <c r="G155" s="134" t="s">
        <v>232</v>
      </c>
      <c r="H155" s="134" t="s">
        <v>53</v>
      </c>
      <c r="I155" s="1" t="s">
        <v>233</v>
      </c>
      <c r="J155" s="134" t="s">
        <v>379</v>
      </c>
      <c r="K155" s="134"/>
      <c r="L155" s="135">
        <v>21.7</v>
      </c>
      <c r="M155" s="136">
        <f t="shared" si="15"/>
        <v>190</v>
      </c>
      <c r="N155" s="2">
        <v>190</v>
      </c>
      <c r="O155" s="1"/>
      <c r="P155" s="137" t="e">
        <f t="shared" si="16"/>
        <v>#DIV/0!</v>
      </c>
      <c r="Q155" s="137">
        <f t="shared" si="17"/>
        <v>0</v>
      </c>
      <c r="R155" s="138">
        <f>IF(N155="nio",0,IF(N155&gt;0,VLOOKUP(I155,'3-Productie normen'!A:V,VLOOKUP(N155,'3-Productie normen'!$B$35:$C$56,2,FALSE),FALSE)))/VLOOKUP(B155,'2-Kosten per locatie'!$A$11:$C$18,3,FALSE)</f>
        <v>0</v>
      </c>
      <c r="S155" s="138">
        <f t="shared" si="18"/>
        <v>0</v>
      </c>
      <c r="T155" s="139" t="str">
        <f>VLOOKUP(I155,'3-Productie normen'!A:AF,28,FALSE)</f>
        <v>V</v>
      </c>
      <c r="U155" s="140"/>
      <c r="W155" s="141">
        <f t="shared" si="19"/>
        <v>4123</v>
      </c>
    </row>
    <row r="156" spans="1:23" ht="13.9" customHeight="1">
      <c r="A156" s="118">
        <v>156</v>
      </c>
      <c r="B156" s="49" t="s">
        <v>1677</v>
      </c>
      <c r="C156" s="49" t="s">
        <v>376</v>
      </c>
      <c r="D156" s="133" t="s">
        <v>271</v>
      </c>
      <c r="E156" s="133" t="s">
        <v>591</v>
      </c>
      <c r="F156" s="133"/>
      <c r="G156" s="142" t="s">
        <v>232</v>
      </c>
      <c r="H156" s="134" t="s">
        <v>54</v>
      </c>
      <c r="I156" s="134" t="s">
        <v>239</v>
      </c>
      <c r="J156" s="134" t="s">
        <v>231</v>
      </c>
      <c r="K156" s="134"/>
      <c r="L156" s="135">
        <v>0</v>
      </c>
      <c r="M156" s="136">
        <f t="shared" si="15"/>
        <v>0</v>
      </c>
      <c r="N156" s="2" t="s">
        <v>273</v>
      </c>
      <c r="O156" s="1"/>
      <c r="P156" s="137">
        <f t="shared" si="16"/>
        <v>0</v>
      </c>
      <c r="Q156" s="137">
        <f t="shared" si="17"/>
        <v>0</v>
      </c>
      <c r="R156" s="138">
        <f>IF(N156="nio",0,IF(N156&gt;0,VLOOKUP(I156,'3-Productie normen'!A:V,VLOOKUP(N156,'3-Productie normen'!$B$35:$C$56,2,FALSE),FALSE)))/VLOOKUP(B156,'2-Kosten per locatie'!$A$11:$C$18,3,FALSE)</f>
        <v>0</v>
      </c>
      <c r="S156" s="138">
        <f t="shared" si="18"/>
        <v>0</v>
      </c>
      <c r="T156" s="139">
        <f>VLOOKUP(I156,'3-Productie normen'!A:AF,28,FALSE)</f>
        <v>0</v>
      </c>
      <c r="U156" s="140"/>
      <c r="W156" s="141">
        <f t="shared" si="19"/>
        <v>0</v>
      </c>
    </row>
    <row r="157" spans="1:23" ht="13.9" customHeight="1">
      <c r="A157" s="132">
        <v>157</v>
      </c>
      <c r="B157" s="49" t="s">
        <v>1677</v>
      </c>
      <c r="C157" s="49" t="s">
        <v>376</v>
      </c>
      <c r="D157" s="133" t="s">
        <v>271</v>
      </c>
      <c r="E157" s="133" t="s">
        <v>592</v>
      </c>
      <c r="F157" s="133"/>
      <c r="G157" s="134" t="s">
        <v>235</v>
      </c>
      <c r="H157" s="134" t="s">
        <v>236</v>
      </c>
      <c r="I157" s="49" t="s">
        <v>1486</v>
      </c>
      <c r="J157" s="134" t="s">
        <v>375</v>
      </c>
      <c r="K157" s="134"/>
      <c r="L157" s="135">
        <v>37.659999999999997</v>
      </c>
      <c r="M157" s="136">
        <f t="shared" si="15"/>
        <v>190</v>
      </c>
      <c r="N157" s="2">
        <v>190</v>
      </c>
      <c r="O157" s="1"/>
      <c r="P157" s="137" t="e">
        <f t="shared" si="16"/>
        <v>#DIV/0!</v>
      </c>
      <c r="Q157" s="137">
        <f t="shared" si="17"/>
        <v>0</v>
      </c>
      <c r="R157" s="138">
        <f>IF(N157="nio",0,IF(N157&gt;0,VLOOKUP(I157,'3-Productie normen'!A:V,VLOOKUP(N157,'3-Productie normen'!$B$35:$C$56,2,FALSE),FALSE)))/VLOOKUP(B157,'2-Kosten per locatie'!$A$11:$C$18,3,FALSE)</f>
        <v>0</v>
      </c>
      <c r="S157" s="138">
        <f t="shared" si="18"/>
        <v>0</v>
      </c>
      <c r="T157" s="139" t="str">
        <f>VLOOKUP(I157,'3-Productie normen'!A:AF,28,FALSE)</f>
        <v>V</v>
      </c>
      <c r="U157" s="140"/>
      <c r="W157" s="141">
        <f t="shared" si="19"/>
        <v>7155.4</v>
      </c>
    </row>
    <row r="158" spans="1:23" ht="13.9" customHeight="1">
      <c r="A158" s="132">
        <v>158</v>
      </c>
      <c r="B158" s="49" t="s">
        <v>1677</v>
      </c>
      <c r="C158" s="49" t="s">
        <v>376</v>
      </c>
      <c r="D158" s="133" t="s">
        <v>271</v>
      </c>
      <c r="E158" s="133" t="s">
        <v>593</v>
      </c>
      <c r="F158" s="133"/>
      <c r="G158" s="134" t="s">
        <v>235</v>
      </c>
      <c r="H158" s="134" t="s">
        <v>236</v>
      </c>
      <c r="I158" s="49" t="s">
        <v>1486</v>
      </c>
      <c r="J158" s="134" t="s">
        <v>375</v>
      </c>
      <c r="K158" s="134"/>
      <c r="L158" s="135">
        <v>101.7</v>
      </c>
      <c r="M158" s="136">
        <f t="shared" si="15"/>
        <v>190</v>
      </c>
      <c r="N158" s="2">
        <v>190</v>
      </c>
      <c r="O158" s="1"/>
      <c r="P158" s="137" t="e">
        <f t="shared" si="16"/>
        <v>#DIV/0!</v>
      </c>
      <c r="Q158" s="137">
        <f t="shared" si="17"/>
        <v>0</v>
      </c>
      <c r="R158" s="138">
        <f>IF(N158="nio",0,IF(N158&gt;0,VLOOKUP(I158,'3-Productie normen'!A:V,VLOOKUP(N158,'3-Productie normen'!$B$35:$C$56,2,FALSE),FALSE)))/VLOOKUP(B158,'2-Kosten per locatie'!$A$11:$C$18,3,FALSE)</f>
        <v>0</v>
      </c>
      <c r="S158" s="138">
        <f t="shared" si="18"/>
        <v>0</v>
      </c>
      <c r="T158" s="139" t="str">
        <f>VLOOKUP(I158,'3-Productie normen'!A:AF,28,FALSE)</f>
        <v>V</v>
      </c>
      <c r="U158" s="140"/>
      <c r="W158" s="141">
        <f t="shared" si="19"/>
        <v>19323</v>
      </c>
    </row>
    <row r="159" spans="1:23" ht="13.9" customHeight="1">
      <c r="A159" s="118">
        <v>159</v>
      </c>
      <c r="B159" s="49" t="s">
        <v>1677</v>
      </c>
      <c r="C159" s="49" t="s">
        <v>376</v>
      </c>
      <c r="D159" s="133" t="s">
        <v>271</v>
      </c>
      <c r="E159" s="133" t="s">
        <v>594</v>
      </c>
      <c r="F159" s="133"/>
      <c r="G159" s="134" t="s">
        <v>235</v>
      </c>
      <c r="H159" s="134" t="s">
        <v>250</v>
      </c>
      <c r="I159" s="49" t="s">
        <v>1486</v>
      </c>
      <c r="J159" s="134" t="s">
        <v>375</v>
      </c>
      <c r="K159" s="134"/>
      <c r="L159" s="135">
        <v>6.44</v>
      </c>
      <c r="M159" s="136">
        <f t="shared" si="15"/>
        <v>190</v>
      </c>
      <c r="N159" s="2">
        <v>190</v>
      </c>
      <c r="O159" s="1"/>
      <c r="P159" s="137" t="e">
        <f t="shared" si="16"/>
        <v>#DIV/0!</v>
      </c>
      <c r="Q159" s="137">
        <f t="shared" si="17"/>
        <v>0</v>
      </c>
      <c r="R159" s="138">
        <f>IF(N159="nio",0,IF(N159&gt;0,VLOOKUP(I159,'3-Productie normen'!A:V,VLOOKUP(N159,'3-Productie normen'!$B$35:$C$56,2,FALSE),FALSE)))/VLOOKUP(B159,'2-Kosten per locatie'!$A$11:$C$18,3,FALSE)</f>
        <v>0</v>
      </c>
      <c r="S159" s="138">
        <f t="shared" si="18"/>
        <v>0</v>
      </c>
      <c r="T159" s="139" t="str">
        <f>VLOOKUP(I159,'3-Productie normen'!A:AF,28,FALSE)</f>
        <v>V</v>
      </c>
      <c r="U159" s="140"/>
      <c r="W159" s="141">
        <f t="shared" si="19"/>
        <v>1223.6000000000001</v>
      </c>
    </row>
    <row r="160" spans="1:23" ht="13.9" customHeight="1">
      <c r="A160" s="132">
        <v>160</v>
      </c>
      <c r="B160" s="49" t="s">
        <v>1677</v>
      </c>
      <c r="C160" s="49" t="s">
        <v>376</v>
      </c>
      <c r="D160" s="133" t="s">
        <v>271</v>
      </c>
      <c r="E160" s="133" t="s">
        <v>595</v>
      </c>
      <c r="F160" s="133"/>
      <c r="G160" s="134" t="s">
        <v>235</v>
      </c>
      <c r="H160" s="134" t="s">
        <v>236</v>
      </c>
      <c r="I160" s="49" t="s">
        <v>1486</v>
      </c>
      <c r="J160" s="134" t="s">
        <v>375</v>
      </c>
      <c r="K160" s="134"/>
      <c r="L160" s="135">
        <v>43.07</v>
      </c>
      <c r="M160" s="136">
        <f t="shared" si="15"/>
        <v>190</v>
      </c>
      <c r="N160" s="2">
        <v>190</v>
      </c>
      <c r="O160" s="1"/>
      <c r="P160" s="137" t="e">
        <f t="shared" si="16"/>
        <v>#DIV/0!</v>
      </c>
      <c r="Q160" s="137">
        <f t="shared" si="17"/>
        <v>0</v>
      </c>
      <c r="R160" s="138">
        <f>IF(N160="nio",0,IF(N160&gt;0,VLOOKUP(I160,'3-Productie normen'!A:V,VLOOKUP(N160,'3-Productie normen'!$B$35:$C$56,2,FALSE),FALSE)))/VLOOKUP(B160,'2-Kosten per locatie'!$A$11:$C$18,3,FALSE)</f>
        <v>0</v>
      </c>
      <c r="S160" s="138">
        <f t="shared" si="18"/>
        <v>0</v>
      </c>
      <c r="T160" s="139" t="str">
        <f>VLOOKUP(I160,'3-Productie normen'!A:AF,28,FALSE)</f>
        <v>V</v>
      </c>
      <c r="U160" s="140"/>
      <c r="W160" s="141">
        <f t="shared" si="19"/>
        <v>8183.3</v>
      </c>
    </row>
    <row r="161" spans="1:23" ht="13.9" customHeight="1">
      <c r="A161" s="132">
        <v>161</v>
      </c>
      <c r="B161" s="49" t="s">
        <v>1677</v>
      </c>
      <c r="C161" s="49" t="s">
        <v>376</v>
      </c>
      <c r="D161" s="133" t="s">
        <v>271</v>
      </c>
      <c r="E161" s="133" t="s">
        <v>596</v>
      </c>
      <c r="F161" s="133"/>
      <c r="G161" s="134" t="s">
        <v>235</v>
      </c>
      <c r="H161" s="134" t="s">
        <v>236</v>
      </c>
      <c r="I161" s="49" t="s">
        <v>1486</v>
      </c>
      <c r="J161" s="134" t="s">
        <v>375</v>
      </c>
      <c r="K161" s="134"/>
      <c r="L161" s="135">
        <v>101.61</v>
      </c>
      <c r="M161" s="136">
        <f t="shared" si="15"/>
        <v>190</v>
      </c>
      <c r="N161" s="2">
        <v>190</v>
      </c>
      <c r="O161" s="1"/>
      <c r="P161" s="137" t="e">
        <f t="shared" si="16"/>
        <v>#DIV/0!</v>
      </c>
      <c r="Q161" s="137">
        <f t="shared" si="17"/>
        <v>0</v>
      </c>
      <c r="R161" s="138">
        <f>IF(N161="nio",0,IF(N161&gt;0,VLOOKUP(I161,'3-Productie normen'!A:V,VLOOKUP(N161,'3-Productie normen'!$B$35:$C$56,2,FALSE),FALSE)))/VLOOKUP(B161,'2-Kosten per locatie'!$A$11:$C$18,3,FALSE)</f>
        <v>0</v>
      </c>
      <c r="S161" s="138">
        <f t="shared" si="18"/>
        <v>0</v>
      </c>
      <c r="T161" s="139" t="str">
        <f>VLOOKUP(I161,'3-Productie normen'!A:AF,28,FALSE)</f>
        <v>V</v>
      </c>
      <c r="U161" s="140"/>
      <c r="W161" s="141">
        <f t="shared" si="19"/>
        <v>19305.900000000001</v>
      </c>
    </row>
    <row r="162" spans="1:23" ht="13.9" customHeight="1">
      <c r="A162" s="118">
        <v>162</v>
      </c>
      <c r="B162" s="49" t="s">
        <v>1677</v>
      </c>
      <c r="C162" s="49" t="s">
        <v>376</v>
      </c>
      <c r="D162" s="133" t="s">
        <v>271</v>
      </c>
      <c r="E162" s="133" t="s">
        <v>597</v>
      </c>
      <c r="F162" s="133"/>
      <c r="G162" s="134" t="s">
        <v>235</v>
      </c>
      <c r="H162" s="134" t="s">
        <v>250</v>
      </c>
      <c r="I162" s="49" t="s">
        <v>1486</v>
      </c>
      <c r="J162" s="134" t="s">
        <v>375</v>
      </c>
      <c r="K162" s="134"/>
      <c r="L162" s="135">
        <v>6.44</v>
      </c>
      <c r="M162" s="136">
        <f t="shared" si="15"/>
        <v>190</v>
      </c>
      <c r="N162" s="2">
        <v>190</v>
      </c>
      <c r="O162" s="1"/>
      <c r="P162" s="137" t="e">
        <f t="shared" si="16"/>
        <v>#DIV/0!</v>
      </c>
      <c r="Q162" s="137">
        <f t="shared" si="17"/>
        <v>0</v>
      </c>
      <c r="R162" s="138">
        <f>IF(N162="nio",0,IF(N162&gt;0,VLOOKUP(I162,'3-Productie normen'!A:V,VLOOKUP(N162,'3-Productie normen'!$B$35:$C$56,2,FALSE),FALSE)))/VLOOKUP(B162,'2-Kosten per locatie'!$A$11:$C$18,3,FALSE)</f>
        <v>0</v>
      </c>
      <c r="S162" s="138">
        <f t="shared" si="18"/>
        <v>0</v>
      </c>
      <c r="T162" s="139" t="str">
        <f>VLOOKUP(I162,'3-Productie normen'!A:AF,28,FALSE)</f>
        <v>V</v>
      </c>
      <c r="U162" s="140"/>
      <c r="W162" s="141">
        <f t="shared" si="19"/>
        <v>1223.6000000000001</v>
      </c>
    </row>
    <row r="163" spans="1:23" ht="13.9" customHeight="1">
      <c r="A163" s="132">
        <v>163</v>
      </c>
      <c r="B163" s="49" t="s">
        <v>1677</v>
      </c>
      <c r="C163" s="49" t="s">
        <v>376</v>
      </c>
      <c r="D163" s="133" t="s">
        <v>271</v>
      </c>
      <c r="E163" s="133" t="s">
        <v>598</v>
      </c>
      <c r="F163" s="133"/>
      <c r="G163" s="134" t="s">
        <v>243</v>
      </c>
      <c r="H163" s="134" t="s">
        <v>288</v>
      </c>
      <c r="I163" s="134" t="s">
        <v>253</v>
      </c>
      <c r="J163" s="134" t="s">
        <v>375</v>
      </c>
      <c r="K163" s="134"/>
      <c r="L163" s="135">
        <v>141.31</v>
      </c>
      <c r="M163" s="136">
        <f t="shared" si="15"/>
        <v>190</v>
      </c>
      <c r="N163" s="2">
        <v>190</v>
      </c>
      <c r="O163" s="1"/>
      <c r="P163" s="137" t="e">
        <f t="shared" si="16"/>
        <v>#DIV/0!</v>
      </c>
      <c r="Q163" s="137">
        <f t="shared" si="17"/>
        <v>0</v>
      </c>
      <c r="R163" s="138">
        <f>IF(N163="nio",0,IF(N163&gt;0,VLOOKUP(I163,'3-Productie normen'!A:V,VLOOKUP(N163,'3-Productie normen'!$B$35:$C$56,2,FALSE),FALSE)))/VLOOKUP(B163,'2-Kosten per locatie'!$A$11:$C$18,3,FALSE)</f>
        <v>0</v>
      </c>
      <c r="S163" s="138">
        <f t="shared" si="18"/>
        <v>0</v>
      </c>
      <c r="T163" s="139" t="str">
        <f>VLOOKUP(I163,'3-Productie normen'!A:AF,28,FALSE)</f>
        <v>V</v>
      </c>
      <c r="U163" s="140"/>
      <c r="W163" s="141">
        <f t="shared" si="19"/>
        <v>26848.9</v>
      </c>
    </row>
    <row r="164" spans="1:23" ht="13.9" customHeight="1">
      <c r="A164" s="132">
        <v>164</v>
      </c>
      <c r="B164" s="49" t="s">
        <v>1677</v>
      </c>
      <c r="C164" s="49" t="s">
        <v>376</v>
      </c>
      <c r="D164" s="133" t="s">
        <v>271</v>
      </c>
      <c r="E164" s="133" t="s">
        <v>599</v>
      </c>
      <c r="F164" s="133" t="s">
        <v>600</v>
      </c>
      <c r="G164" s="142" t="s">
        <v>242</v>
      </c>
      <c r="H164" s="134" t="s">
        <v>242</v>
      </c>
      <c r="I164" s="1" t="s">
        <v>242</v>
      </c>
      <c r="J164" s="134" t="s">
        <v>231</v>
      </c>
      <c r="K164" s="134"/>
      <c r="L164" s="144">
        <v>0</v>
      </c>
      <c r="M164" s="136">
        <f t="shared" si="15"/>
        <v>2</v>
      </c>
      <c r="N164" s="2">
        <v>2</v>
      </c>
      <c r="O164" s="1"/>
      <c r="P164" s="137" t="e">
        <f t="shared" si="16"/>
        <v>#DIV/0!</v>
      </c>
      <c r="Q164" s="137">
        <f t="shared" si="17"/>
        <v>0</v>
      </c>
      <c r="R164" s="138">
        <f>IF(N164="nio",0,IF(N164&gt;0,VLOOKUP(I164,'3-Productie normen'!A:V,VLOOKUP(N164,'3-Productie normen'!$B$35:$C$56,2,FALSE),FALSE)))/VLOOKUP(B164,'2-Kosten per locatie'!$A$11:$C$18,3,FALSE)</f>
        <v>0</v>
      </c>
      <c r="S164" s="138">
        <f t="shared" si="18"/>
        <v>0</v>
      </c>
      <c r="T164" s="139" t="str">
        <f>VLOOKUP(I164,'3-Productie normen'!A:AF,28,FALSE)</f>
        <v>V</v>
      </c>
      <c r="U164" s="140"/>
      <c r="W164" s="141">
        <f t="shared" si="19"/>
        <v>0</v>
      </c>
    </row>
    <row r="165" spans="1:23" ht="13.9" customHeight="1">
      <c r="A165" s="118">
        <v>165</v>
      </c>
      <c r="B165" s="49" t="s">
        <v>1677</v>
      </c>
      <c r="C165" s="49" t="s">
        <v>376</v>
      </c>
      <c r="D165" s="133" t="s">
        <v>271</v>
      </c>
      <c r="E165" s="133" t="s">
        <v>601</v>
      </c>
      <c r="F165" s="133"/>
      <c r="G165" s="142" t="s">
        <v>237</v>
      </c>
      <c r="H165" s="134" t="s">
        <v>257</v>
      </c>
      <c r="I165" s="91" t="s">
        <v>239</v>
      </c>
      <c r="J165" s="134" t="s">
        <v>231</v>
      </c>
      <c r="K165" s="134"/>
      <c r="L165" s="135">
        <v>0</v>
      </c>
      <c r="M165" s="136">
        <f t="shared" si="15"/>
        <v>0</v>
      </c>
      <c r="N165" s="2" t="s">
        <v>273</v>
      </c>
      <c r="O165" s="1"/>
      <c r="P165" s="137">
        <f t="shared" si="16"/>
        <v>0</v>
      </c>
      <c r="Q165" s="137">
        <f t="shared" si="17"/>
        <v>0</v>
      </c>
      <c r="R165" s="138">
        <f>IF(N165="nio",0,IF(N165&gt;0,VLOOKUP(I165,'3-Productie normen'!A:V,VLOOKUP(N165,'3-Productie normen'!$B$35:$C$56,2,FALSE),FALSE)))/VLOOKUP(B165,'2-Kosten per locatie'!$A$11:$C$18,3,FALSE)</f>
        <v>0</v>
      </c>
      <c r="S165" s="138">
        <f t="shared" si="18"/>
        <v>0</v>
      </c>
      <c r="T165" s="139">
        <f>VLOOKUP(I165,'3-Productie normen'!A:AF,28,FALSE)</f>
        <v>0</v>
      </c>
      <c r="U165" s="140"/>
      <c r="W165" s="141">
        <f t="shared" si="19"/>
        <v>0</v>
      </c>
    </row>
    <row r="166" spans="1:23" ht="13.9" customHeight="1">
      <c r="A166" s="132">
        <v>166</v>
      </c>
      <c r="B166" s="49" t="s">
        <v>1677</v>
      </c>
      <c r="C166" s="49" t="s">
        <v>376</v>
      </c>
      <c r="D166" s="133" t="s">
        <v>271</v>
      </c>
      <c r="E166" s="133" t="s">
        <v>602</v>
      </c>
      <c r="F166" s="133"/>
      <c r="G166" s="142" t="s">
        <v>237</v>
      </c>
      <c r="H166" s="134" t="s">
        <v>257</v>
      </c>
      <c r="I166" s="91" t="s">
        <v>239</v>
      </c>
      <c r="J166" s="134" t="s">
        <v>231</v>
      </c>
      <c r="K166" s="134"/>
      <c r="L166" s="135">
        <v>0</v>
      </c>
      <c r="M166" s="136">
        <f t="shared" si="15"/>
        <v>0</v>
      </c>
      <c r="N166" s="2" t="s">
        <v>273</v>
      </c>
      <c r="O166" s="1"/>
      <c r="P166" s="137">
        <f t="shared" si="16"/>
        <v>0</v>
      </c>
      <c r="Q166" s="137">
        <f t="shared" si="17"/>
        <v>0</v>
      </c>
      <c r="R166" s="138">
        <f>IF(N166="nio",0,IF(N166&gt;0,VLOOKUP(I166,'3-Productie normen'!A:V,VLOOKUP(N166,'3-Productie normen'!$B$35:$C$56,2,FALSE),FALSE)))/VLOOKUP(B166,'2-Kosten per locatie'!$A$11:$C$18,3,FALSE)</f>
        <v>0</v>
      </c>
      <c r="S166" s="138">
        <f t="shared" si="18"/>
        <v>0</v>
      </c>
      <c r="T166" s="139">
        <f>VLOOKUP(I166,'3-Productie normen'!A:AF,28,FALSE)</f>
        <v>0</v>
      </c>
      <c r="U166" s="140"/>
      <c r="W166" s="141">
        <f t="shared" si="19"/>
        <v>0</v>
      </c>
    </row>
    <row r="167" spans="1:23" ht="13.9" customHeight="1">
      <c r="A167" s="132">
        <v>167</v>
      </c>
      <c r="B167" s="49" t="s">
        <v>1677</v>
      </c>
      <c r="C167" s="49" t="s">
        <v>376</v>
      </c>
      <c r="D167" s="133" t="s">
        <v>271</v>
      </c>
      <c r="E167" s="133" t="s">
        <v>603</v>
      </c>
      <c r="F167" s="133"/>
      <c r="G167" s="142" t="s">
        <v>237</v>
      </c>
      <c r="H167" s="134" t="s">
        <v>257</v>
      </c>
      <c r="I167" s="91" t="s">
        <v>239</v>
      </c>
      <c r="J167" s="134" t="s">
        <v>231</v>
      </c>
      <c r="K167" s="134"/>
      <c r="L167" s="135">
        <v>0</v>
      </c>
      <c r="M167" s="136">
        <f t="shared" si="15"/>
        <v>0</v>
      </c>
      <c r="N167" s="2" t="s">
        <v>273</v>
      </c>
      <c r="O167" s="1"/>
      <c r="P167" s="137">
        <f t="shared" si="16"/>
        <v>0</v>
      </c>
      <c r="Q167" s="137">
        <f t="shared" si="17"/>
        <v>0</v>
      </c>
      <c r="R167" s="138">
        <f>IF(N167="nio",0,IF(N167&gt;0,VLOOKUP(I167,'3-Productie normen'!A:V,VLOOKUP(N167,'3-Productie normen'!$B$35:$C$56,2,FALSE),FALSE)))/VLOOKUP(B167,'2-Kosten per locatie'!$A$11:$C$18,3,FALSE)</f>
        <v>0</v>
      </c>
      <c r="S167" s="138">
        <f t="shared" si="18"/>
        <v>0</v>
      </c>
      <c r="T167" s="139">
        <f>VLOOKUP(I167,'3-Productie normen'!A:AF,28,FALSE)</f>
        <v>0</v>
      </c>
      <c r="U167" s="140"/>
      <c r="W167" s="141">
        <f t="shared" si="19"/>
        <v>0</v>
      </c>
    </row>
    <row r="168" spans="1:23" ht="13.9" customHeight="1">
      <c r="A168" s="118">
        <v>168</v>
      </c>
      <c r="B168" s="49" t="s">
        <v>1677</v>
      </c>
      <c r="C168" s="49" t="s">
        <v>376</v>
      </c>
      <c r="D168" s="133" t="s">
        <v>271</v>
      </c>
      <c r="E168" s="133" t="s">
        <v>604</v>
      </c>
      <c r="F168" s="133"/>
      <c r="G168" s="142" t="s">
        <v>237</v>
      </c>
      <c r="H168" s="134" t="s">
        <v>257</v>
      </c>
      <c r="I168" s="91" t="s">
        <v>239</v>
      </c>
      <c r="J168" s="134" t="s">
        <v>231</v>
      </c>
      <c r="K168" s="134"/>
      <c r="L168" s="135">
        <v>0</v>
      </c>
      <c r="M168" s="136">
        <f t="shared" si="15"/>
        <v>0</v>
      </c>
      <c r="N168" s="2" t="s">
        <v>273</v>
      </c>
      <c r="O168" s="1"/>
      <c r="P168" s="137">
        <f t="shared" si="16"/>
        <v>0</v>
      </c>
      <c r="Q168" s="137">
        <f t="shared" si="17"/>
        <v>0</v>
      </c>
      <c r="R168" s="138">
        <f>IF(N168="nio",0,IF(N168&gt;0,VLOOKUP(I168,'3-Productie normen'!A:V,VLOOKUP(N168,'3-Productie normen'!$B$35:$C$56,2,FALSE),FALSE)))/VLOOKUP(B168,'2-Kosten per locatie'!$A$11:$C$18,3,FALSE)</f>
        <v>0</v>
      </c>
      <c r="S168" s="138">
        <f t="shared" si="18"/>
        <v>0</v>
      </c>
      <c r="T168" s="139">
        <f>VLOOKUP(I168,'3-Productie normen'!A:AF,28,FALSE)</f>
        <v>0</v>
      </c>
      <c r="U168" s="140"/>
      <c r="W168" s="141">
        <f t="shared" si="19"/>
        <v>0</v>
      </c>
    </row>
    <row r="169" spans="1:23" ht="13.9" customHeight="1">
      <c r="A169" s="132">
        <v>169</v>
      </c>
      <c r="B169" s="49" t="s">
        <v>1677</v>
      </c>
      <c r="C169" s="49" t="s">
        <v>376</v>
      </c>
      <c r="D169" s="133" t="s">
        <v>271</v>
      </c>
      <c r="E169" s="133" t="s">
        <v>605</v>
      </c>
      <c r="F169" s="133"/>
      <c r="G169" s="142" t="s">
        <v>237</v>
      </c>
      <c r="H169" s="134" t="s">
        <v>257</v>
      </c>
      <c r="I169" s="91" t="s">
        <v>239</v>
      </c>
      <c r="J169" s="134" t="s">
        <v>231</v>
      </c>
      <c r="K169" s="134"/>
      <c r="L169" s="135">
        <v>0</v>
      </c>
      <c r="M169" s="136">
        <f t="shared" si="15"/>
        <v>0</v>
      </c>
      <c r="N169" s="2" t="s">
        <v>273</v>
      </c>
      <c r="O169" s="1"/>
      <c r="P169" s="137">
        <f t="shared" si="16"/>
        <v>0</v>
      </c>
      <c r="Q169" s="137">
        <f t="shared" si="17"/>
        <v>0</v>
      </c>
      <c r="R169" s="138">
        <f>IF(N169="nio",0,IF(N169&gt;0,VLOOKUP(I169,'3-Productie normen'!A:V,VLOOKUP(N169,'3-Productie normen'!$B$35:$C$56,2,FALSE),FALSE)))/VLOOKUP(B169,'2-Kosten per locatie'!$A$11:$C$18,3,FALSE)</f>
        <v>0</v>
      </c>
      <c r="S169" s="138">
        <f t="shared" si="18"/>
        <v>0</v>
      </c>
      <c r="T169" s="139">
        <f>VLOOKUP(I169,'3-Productie normen'!A:AF,28,FALSE)</f>
        <v>0</v>
      </c>
      <c r="U169" s="140"/>
      <c r="W169" s="141">
        <f t="shared" si="19"/>
        <v>0</v>
      </c>
    </row>
    <row r="170" spans="1:23" ht="13.9" customHeight="1">
      <c r="A170" s="132">
        <v>170</v>
      </c>
      <c r="B170" s="49" t="s">
        <v>1677</v>
      </c>
      <c r="C170" s="49" t="s">
        <v>376</v>
      </c>
      <c r="D170" s="133" t="s">
        <v>271</v>
      </c>
      <c r="E170" s="133" t="s">
        <v>605</v>
      </c>
      <c r="F170" s="133"/>
      <c r="G170" s="142" t="s">
        <v>237</v>
      </c>
      <c r="H170" s="134" t="s">
        <v>257</v>
      </c>
      <c r="I170" s="91" t="s">
        <v>239</v>
      </c>
      <c r="J170" s="134" t="s">
        <v>231</v>
      </c>
      <c r="K170" s="134"/>
      <c r="L170" s="135">
        <v>0</v>
      </c>
      <c r="M170" s="136">
        <f t="shared" si="15"/>
        <v>0</v>
      </c>
      <c r="N170" s="2" t="s">
        <v>273</v>
      </c>
      <c r="O170" s="1"/>
      <c r="P170" s="137">
        <f t="shared" si="16"/>
        <v>0</v>
      </c>
      <c r="Q170" s="137">
        <f t="shared" si="17"/>
        <v>0</v>
      </c>
      <c r="R170" s="138">
        <f>IF(N170="nio",0,IF(N170&gt;0,VLOOKUP(I170,'3-Productie normen'!A:V,VLOOKUP(N170,'3-Productie normen'!$B$35:$C$56,2,FALSE),FALSE)))/VLOOKUP(B170,'2-Kosten per locatie'!$A$11:$C$18,3,FALSE)</f>
        <v>0</v>
      </c>
      <c r="S170" s="138">
        <f t="shared" si="18"/>
        <v>0</v>
      </c>
      <c r="T170" s="139">
        <f>VLOOKUP(I170,'3-Productie normen'!A:AF,28,FALSE)</f>
        <v>0</v>
      </c>
      <c r="U170" s="140"/>
      <c r="W170" s="141">
        <f t="shared" si="19"/>
        <v>0</v>
      </c>
    </row>
    <row r="171" spans="1:23" ht="13.9" customHeight="1">
      <c r="A171" s="118">
        <v>171</v>
      </c>
      <c r="B171" s="49" t="s">
        <v>1677</v>
      </c>
      <c r="C171" s="49" t="s">
        <v>376</v>
      </c>
      <c r="D171" s="133" t="s">
        <v>271</v>
      </c>
      <c r="E171" s="133" t="s">
        <v>606</v>
      </c>
      <c r="F171" s="133"/>
      <c r="G171" s="142" t="s">
        <v>237</v>
      </c>
      <c r="H171" s="134" t="s">
        <v>257</v>
      </c>
      <c r="I171" s="91" t="s">
        <v>239</v>
      </c>
      <c r="J171" s="134" t="s">
        <v>231</v>
      </c>
      <c r="K171" s="134"/>
      <c r="L171" s="135">
        <v>0</v>
      </c>
      <c r="M171" s="136">
        <f t="shared" si="15"/>
        <v>0</v>
      </c>
      <c r="N171" s="2" t="s">
        <v>273</v>
      </c>
      <c r="O171" s="1"/>
      <c r="P171" s="137">
        <f t="shared" si="16"/>
        <v>0</v>
      </c>
      <c r="Q171" s="137">
        <f t="shared" si="17"/>
        <v>0</v>
      </c>
      <c r="R171" s="138">
        <f>IF(N171="nio",0,IF(N171&gt;0,VLOOKUP(I171,'3-Productie normen'!A:V,VLOOKUP(N171,'3-Productie normen'!$B$35:$C$56,2,FALSE),FALSE)))/VLOOKUP(B171,'2-Kosten per locatie'!$A$11:$C$18,3,FALSE)</f>
        <v>0</v>
      </c>
      <c r="S171" s="138">
        <f t="shared" si="18"/>
        <v>0</v>
      </c>
      <c r="T171" s="139">
        <f>VLOOKUP(I171,'3-Productie normen'!A:AF,28,FALSE)</f>
        <v>0</v>
      </c>
      <c r="U171" s="140"/>
      <c r="W171" s="141">
        <f t="shared" si="19"/>
        <v>0</v>
      </c>
    </row>
    <row r="172" spans="1:23" ht="13.9" customHeight="1">
      <c r="A172" s="132">
        <v>172</v>
      </c>
      <c r="B172" s="49" t="s">
        <v>1677</v>
      </c>
      <c r="C172" s="49" t="s">
        <v>376</v>
      </c>
      <c r="D172" s="133" t="s">
        <v>271</v>
      </c>
      <c r="E172" s="133" t="s">
        <v>607</v>
      </c>
      <c r="F172" s="133"/>
      <c r="G172" s="142" t="s">
        <v>237</v>
      </c>
      <c r="H172" s="134" t="s">
        <v>257</v>
      </c>
      <c r="I172" s="91" t="s">
        <v>239</v>
      </c>
      <c r="J172" s="134" t="s">
        <v>231</v>
      </c>
      <c r="K172" s="134"/>
      <c r="L172" s="135">
        <v>0</v>
      </c>
      <c r="M172" s="136">
        <f t="shared" si="15"/>
        <v>0</v>
      </c>
      <c r="N172" s="2" t="s">
        <v>273</v>
      </c>
      <c r="O172" s="1"/>
      <c r="P172" s="137">
        <f t="shared" si="16"/>
        <v>0</v>
      </c>
      <c r="Q172" s="137">
        <f t="shared" si="17"/>
        <v>0</v>
      </c>
      <c r="R172" s="138">
        <f>IF(N172="nio",0,IF(N172&gt;0,VLOOKUP(I172,'3-Productie normen'!A:V,VLOOKUP(N172,'3-Productie normen'!$B$35:$C$56,2,FALSE),FALSE)))/VLOOKUP(B172,'2-Kosten per locatie'!$A$11:$C$18,3,FALSE)</f>
        <v>0</v>
      </c>
      <c r="S172" s="138">
        <f t="shared" si="18"/>
        <v>0</v>
      </c>
      <c r="T172" s="139">
        <f>VLOOKUP(I172,'3-Productie normen'!A:AF,28,FALSE)</f>
        <v>0</v>
      </c>
      <c r="U172" s="140"/>
      <c r="W172" s="141">
        <f t="shared" si="19"/>
        <v>0</v>
      </c>
    </row>
    <row r="173" spans="1:23" ht="13.9" customHeight="1">
      <c r="A173" s="132">
        <v>173</v>
      </c>
      <c r="B173" s="49" t="s">
        <v>1677</v>
      </c>
      <c r="C173" s="49" t="s">
        <v>376</v>
      </c>
      <c r="D173" s="133" t="s">
        <v>271</v>
      </c>
      <c r="E173" s="133" t="s">
        <v>608</v>
      </c>
      <c r="F173" s="133"/>
      <c r="G173" s="142" t="s">
        <v>237</v>
      </c>
      <c r="H173" s="134" t="s">
        <v>257</v>
      </c>
      <c r="I173" s="91" t="s">
        <v>239</v>
      </c>
      <c r="J173" s="134" t="s">
        <v>231</v>
      </c>
      <c r="K173" s="134"/>
      <c r="L173" s="135">
        <v>0</v>
      </c>
      <c r="M173" s="136">
        <f t="shared" si="15"/>
        <v>0</v>
      </c>
      <c r="N173" s="2" t="s">
        <v>273</v>
      </c>
      <c r="O173" s="1"/>
      <c r="P173" s="137">
        <f t="shared" si="16"/>
        <v>0</v>
      </c>
      <c r="Q173" s="137">
        <f t="shared" si="17"/>
        <v>0</v>
      </c>
      <c r="R173" s="138">
        <f>IF(N173="nio",0,IF(N173&gt;0,VLOOKUP(I173,'3-Productie normen'!A:V,VLOOKUP(N173,'3-Productie normen'!$B$35:$C$56,2,FALSE),FALSE)))/VLOOKUP(B173,'2-Kosten per locatie'!$A$11:$C$18,3,FALSE)</f>
        <v>0</v>
      </c>
      <c r="S173" s="138">
        <f t="shared" si="18"/>
        <v>0</v>
      </c>
      <c r="T173" s="139">
        <f>VLOOKUP(I173,'3-Productie normen'!A:AF,28,FALSE)</f>
        <v>0</v>
      </c>
      <c r="U173" s="140"/>
      <c r="W173" s="141">
        <f t="shared" si="19"/>
        <v>0</v>
      </c>
    </row>
    <row r="174" spans="1:23" ht="13.9" customHeight="1">
      <c r="A174" s="118">
        <v>174</v>
      </c>
      <c r="B174" s="49" t="s">
        <v>1677</v>
      </c>
      <c r="C174" s="49" t="s">
        <v>376</v>
      </c>
      <c r="D174" s="133" t="s">
        <v>271</v>
      </c>
      <c r="E174" s="133" t="s">
        <v>609</v>
      </c>
      <c r="F174" s="133" t="s">
        <v>610</v>
      </c>
      <c r="G174" s="134" t="s">
        <v>44</v>
      </c>
      <c r="H174" s="134" t="s">
        <v>258</v>
      </c>
      <c r="I174" s="134" t="s">
        <v>259</v>
      </c>
      <c r="J174" s="134" t="s">
        <v>375</v>
      </c>
      <c r="K174" s="134"/>
      <c r="L174" s="135">
        <v>12.09</v>
      </c>
      <c r="M174" s="136">
        <f t="shared" si="15"/>
        <v>190</v>
      </c>
      <c r="N174" s="2">
        <v>190</v>
      </c>
      <c r="O174" s="1"/>
      <c r="P174" s="137" t="e">
        <f t="shared" si="16"/>
        <v>#DIV/0!</v>
      </c>
      <c r="Q174" s="137">
        <f t="shared" si="17"/>
        <v>0</v>
      </c>
      <c r="R174" s="138">
        <f>IF(N174="nio",0,IF(N174&gt;0,VLOOKUP(I174,'3-Productie normen'!A:V,VLOOKUP(N174,'3-Productie normen'!$B$35:$C$56,2,FALSE),FALSE)))/VLOOKUP(B174,'2-Kosten per locatie'!$A$11:$C$18,3,FALSE)</f>
        <v>0</v>
      </c>
      <c r="S174" s="138">
        <f t="shared" si="18"/>
        <v>0</v>
      </c>
      <c r="T174" s="139" t="str">
        <f>VLOOKUP(I174,'3-Productie normen'!A:AF,28,FALSE)</f>
        <v>S</v>
      </c>
      <c r="U174" s="140"/>
      <c r="W174" s="141">
        <f t="shared" si="19"/>
        <v>2297.1</v>
      </c>
    </row>
    <row r="175" spans="1:23" ht="13.9" customHeight="1">
      <c r="A175" s="132">
        <v>175</v>
      </c>
      <c r="B175" s="49" t="s">
        <v>1677</v>
      </c>
      <c r="C175" s="49" t="s">
        <v>376</v>
      </c>
      <c r="D175" s="133" t="s">
        <v>271</v>
      </c>
      <c r="E175" s="133" t="s">
        <v>611</v>
      </c>
      <c r="F175" s="133"/>
      <c r="G175" s="134" t="s">
        <v>44</v>
      </c>
      <c r="H175" s="134" t="s">
        <v>260</v>
      </c>
      <c r="I175" s="134" t="s">
        <v>259</v>
      </c>
      <c r="J175" s="134" t="s">
        <v>375</v>
      </c>
      <c r="K175" s="134"/>
      <c r="L175" s="135">
        <v>1.1399999999999999</v>
      </c>
      <c r="M175" s="136">
        <f t="shared" si="15"/>
        <v>190</v>
      </c>
      <c r="N175" s="2">
        <v>190</v>
      </c>
      <c r="O175" s="1"/>
      <c r="P175" s="137" t="e">
        <f t="shared" si="16"/>
        <v>#DIV/0!</v>
      </c>
      <c r="Q175" s="137">
        <f t="shared" si="17"/>
        <v>0</v>
      </c>
      <c r="R175" s="138">
        <f>IF(N175="nio",0,IF(N175&gt;0,VLOOKUP(I175,'3-Productie normen'!A:V,VLOOKUP(N175,'3-Productie normen'!$B$35:$C$56,2,FALSE),FALSE)))/VLOOKUP(B175,'2-Kosten per locatie'!$A$11:$C$18,3,FALSE)</f>
        <v>0</v>
      </c>
      <c r="S175" s="138">
        <f t="shared" si="18"/>
        <v>0</v>
      </c>
      <c r="T175" s="139" t="str">
        <f>VLOOKUP(I175,'3-Productie normen'!A:AF,28,FALSE)</f>
        <v>S</v>
      </c>
      <c r="U175" s="140"/>
      <c r="W175" s="141">
        <f t="shared" si="19"/>
        <v>216.6</v>
      </c>
    </row>
    <row r="176" spans="1:23" ht="13.9" customHeight="1">
      <c r="A176" s="132">
        <v>176</v>
      </c>
      <c r="B176" s="49" t="s">
        <v>1677</v>
      </c>
      <c r="C176" s="49" t="s">
        <v>376</v>
      </c>
      <c r="D176" s="133" t="s">
        <v>271</v>
      </c>
      <c r="E176" s="133" t="s">
        <v>612</v>
      </c>
      <c r="F176" s="133"/>
      <c r="G176" s="134" t="s">
        <v>44</v>
      </c>
      <c r="H176" s="134" t="s">
        <v>260</v>
      </c>
      <c r="I176" s="134" t="s">
        <v>259</v>
      </c>
      <c r="J176" s="134" t="s">
        <v>375</v>
      </c>
      <c r="K176" s="134"/>
      <c r="L176" s="135">
        <v>1.1399999999999999</v>
      </c>
      <c r="M176" s="136">
        <f t="shared" si="15"/>
        <v>190</v>
      </c>
      <c r="N176" s="2">
        <v>190</v>
      </c>
      <c r="O176" s="1"/>
      <c r="P176" s="137" t="e">
        <f t="shared" si="16"/>
        <v>#DIV/0!</v>
      </c>
      <c r="Q176" s="137">
        <f t="shared" si="17"/>
        <v>0</v>
      </c>
      <c r="R176" s="138">
        <f>IF(N176="nio",0,IF(N176&gt;0,VLOOKUP(I176,'3-Productie normen'!A:V,VLOOKUP(N176,'3-Productie normen'!$B$35:$C$56,2,FALSE),FALSE)))/VLOOKUP(B176,'2-Kosten per locatie'!$A$11:$C$18,3,FALSE)</f>
        <v>0</v>
      </c>
      <c r="S176" s="138">
        <f t="shared" si="18"/>
        <v>0</v>
      </c>
      <c r="T176" s="139" t="str">
        <f>VLOOKUP(I176,'3-Productie normen'!A:AF,28,FALSE)</f>
        <v>S</v>
      </c>
      <c r="U176" s="140"/>
      <c r="W176" s="141">
        <f t="shared" si="19"/>
        <v>216.6</v>
      </c>
    </row>
    <row r="177" spans="1:23" ht="13.9" customHeight="1">
      <c r="A177" s="118">
        <v>177</v>
      </c>
      <c r="B177" s="49" t="s">
        <v>1677</v>
      </c>
      <c r="C177" s="49" t="s">
        <v>376</v>
      </c>
      <c r="D177" s="133" t="s">
        <v>271</v>
      </c>
      <c r="E177" s="133" t="s">
        <v>613</v>
      </c>
      <c r="F177" s="133"/>
      <c r="G177" s="134" t="s">
        <v>44</v>
      </c>
      <c r="H177" s="134" t="s">
        <v>260</v>
      </c>
      <c r="I177" s="134" t="s">
        <v>259</v>
      </c>
      <c r="J177" s="134" t="s">
        <v>375</v>
      </c>
      <c r="K177" s="134"/>
      <c r="L177" s="135">
        <v>1.1499999999999999</v>
      </c>
      <c r="M177" s="136">
        <f t="shared" si="15"/>
        <v>190</v>
      </c>
      <c r="N177" s="2">
        <v>190</v>
      </c>
      <c r="O177" s="1"/>
      <c r="P177" s="137" t="e">
        <f t="shared" si="16"/>
        <v>#DIV/0!</v>
      </c>
      <c r="Q177" s="137">
        <f t="shared" si="17"/>
        <v>0</v>
      </c>
      <c r="R177" s="138">
        <f>IF(N177="nio",0,IF(N177&gt;0,VLOOKUP(I177,'3-Productie normen'!A:V,VLOOKUP(N177,'3-Productie normen'!$B$35:$C$56,2,FALSE),FALSE)))/VLOOKUP(B177,'2-Kosten per locatie'!$A$11:$C$18,3,FALSE)</f>
        <v>0</v>
      </c>
      <c r="S177" s="138">
        <f t="shared" si="18"/>
        <v>0</v>
      </c>
      <c r="T177" s="139" t="str">
        <f>VLOOKUP(I177,'3-Productie normen'!A:AF,28,FALSE)</f>
        <v>S</v>
      </c>
      <c r="U177" s="140"/>
      <c r="W177" s="141">
        <f t="shared" si="19"/>
        <v>218.49999999999997</v>
      </c>
    </row>
    <row r="178" spans="1:23" ht="13.9" customHeight="1">
      <c r="A178" s="132">
        <v>178</v>
      </c>
      <c r="B178" s="49" t="s">
        <v>1677</v>
      </c>
      <c r="C178" s="49" t="s">
        <v>376</v>
      </c>
      <c r="D178" s="133" t="s">
        <v>271</v>
      </c>
      <c r="E178" s="133" t="s">
        <v>614</v>
      </c>
      <c r="F178" s="133" t="s">
        <v>615</v>
      </c>
      <c r="G178" s="134" t="s">
        <v>44</v>
      </c>
      <c r="H178" s="134" t="s">
        <v>79</v>
      </c>
      <c r="I178" s="134" t="s">
        <v>49</v>
      </c>
      <c r="J178" s="134" t="s">
        <v>375</v>
      </c>
      <c r="K178" s="134"/>
      <c r="L178" s="135">
        <v>22.68</v>
      </c>
      <c r="M178" s="136">
        <f t="shared" si="15"/>
        <v>190</v>
      </c>
      <c r="N178" s="2">
        <v>190</v>
      </c>
      <c r="O178" s="1"/>
      <c r="P178" s="137" t="e">
        <f t="shared" si="16"/>
        <v>#DIV/0!</v>
      </c>
      <c r="Q178" s="137">
        <f t="shared" si="17"/>
        <v>0</v>
      </c>
      <c r="R178" s="138">
        <f>IF(N178="nio",0,IF(N178&gt;0,VLOOKUP(I178,'3-Productie normen'!A:V,VLOOKUP(N178,'3-Productie normen'!$B$35:$C$56,2,FALSE),FALSE)))/VLOOKUP(B178,'2-Kosten per locatie'!$A$11:$C$18,3,FALSE)</f>
        <v>0</v>
      </c>
      <c r="S178" s="138">
        <f t="shared" si="18"/>
        <v>0</v>
      </c>
      <c r="T178" s="139" t="str">
        <f>VLOOKUP(I178,'3-Productie normen'!A:AF,28,FALSE)</f>
        <v>V</v>
      </c>
      <c r="U178" s="140"/>
      <c r="W178" s="141">
        <f t="shared" si="19"/>
        <v>4309.2</v>
      </c>
    </row>
    <row r="179" spans="1:23" ht="13.9" customHeight="1">
      <c r="A179" s="132">
        <v>179</v>
      </c>
      <c r="B179" s="49" t="s">
        <v>1677</v>
      </c>
      <c r="C179" s="49" t="s">
        <v>376</v>
      </c>
      <c r="D179" s="133" t="s">
        <v>271</v>
      </c>
      <c r="E179" s="133" t="s">
        <v>616</v>
      </c>
      <c r="F179" s="133" t="s">
        <v>617</v>
      </c>
      <c r="G179" s="134" t="s">
        <v>44</v>
      </c>
      <c r="H179" s="134" t="s">
        <v>79</v>
      </c>
      <c r="I179" s="134" t="s">
        <v>49</v>
      </c>
      <c r="J179" s="134" t="s">
        <v>375</v>
      </c>
      <c r="K179" s="134"/>
      <c r="L179" s="135">
        <v>25.38</v>
      </c>
      <c r="M179" s="136">
        <f t="shared" si="15"/>
        <v>190</v>
      </c>
      <c r="N179" s="2">
        <v>190</v>
      </c>
      <c r="O179" s="1"/>
      <c r="P179" s="137" t="e">
        <f t="shared" si="16"/>
        <v>#DIV/0!</v>
      </c>
      <c r="Q179" s="137">
        <f t="shared" si="17"/>
        <v>0</v>
      </c>
      <c r="R179" s="138">
        <f>IF(N179="nio",0,IF(N179&gt;0,VLOOKUP(I179,'3-Productie normen'!A:V,VLOOKUP(N179,'3-Productie normen'!$B$35:$C$56,2,FALSE),FALSE)))/VLOOKUP(B179,'2-Kosten per locatie'!$A$11:$C$18,3,FALSE)</f>
        <v>0</v>
      </c>
      <c r="S179" s="138">
        <f t="shared" si="18"/>
        <v>0</v>
      </c>
      <c r="T179" s="139" t="str">
        <f>VLOOKUP(I179,'3-Productie normen'!A:AF,28,FALSE)</f>
        <v>V</v>
      </c>
      <c r="U179" s="140"/>
      <c r="W179" s="141">
        <f t="shared" si="19"/>
        <v>4822.2</v>
      </c>
    </row>
    <row r="180" spans="1:23" ht="13.9" customHeight="1">
      <c r="A180" s="118">
        <v>180</v>
      </c>
      <c r="B180" s="49" t="s">
        <v>1677</v>
      </c>
      <c r="C180" s="49" t="s">
        <v>376</v>
      </c>
      <c r="D180" s="133" t="s">
        <v>271</v>
      </c>
      <c r="E180" s="133" t="s">
        <v>618</v>
      </c>
      <c r="F180" s="133" t="s">
        <v>619</v>
      </c>
      <c r="G180" s="134" t="s">
        <v>44</v>
      </c>
      <c r="H180" s="134" t="s">
        <v>79</v>
      </c>
      <c r="I180" s="134" t="s">
        <v>49</v>
      </c>
      <c r="J180" s="134" t="s">
        <v>375</v>
      </c>
      <c r="K180" s="134"/>
      <c r="L180" s="135">
        <v>25.38</v>
      </c>
      <c r="M180" s="136">
        <f t="shared" si="15"/>
        <v>190</v>
      </c>
      <c r="N180" s="2">
        <v>190</v>
      </c>
      <c r="O180" s="1"/>
      <c r="P180" s="137" t="e">
        <f t="shared" si="16"/>
        <v>#DIV/0!</v>
      </c>
      <c r="Q180" s="137">
        <f t="shared" si="17"/>
        <v>0</v>
      </c>
      <c r="R180" s="138">
        <f>IF(N180="nio",0,IF(N180&gt;0,VLOOKUP(I180,'3-Productie normen'!A:V,VLOOKUP(N180,'3-Productie normen'!$B$35:$C$56,2,FALSE),FALSE)))/VLOOKUP(B180,'2-Kosten per locatie'!$A$11:$C$18,3,FALSE)</f>
        <v>0</v>
      </c>
      <c r="S180" s="138">
        <f t="shared" si="18"/>
        <v>0</v>
      </c>
      <c r="T180" s="139" t="str">
        <f>VLOOKUP(I180,'3-Productie normen'!A:AF,28,FALSE)</f>
        <v>V</v>
      </c>
      <c r="U180" s="140"/>
      <c r="W180" s="141">
        <f t="shared" si="19"/>
        <v>4822.2</v>
      </c>
    </row>
    <row r="181" spans="1:23" ht="13.9" customHeight="1">
      <c r="A181" s="132">
        <v>181</v>
      </c>
      <c r="B181" s="49" t="s">
        <v>1677</v>
      </c>
      <c r="C181" s="49" t="s">
        <v>376</v>
      </c>
      <c r="D181" s="133" t="s">
        <v>271</v>
      </c>
      <c r="E181" s="133" t="s">
        <v>620</v>
      </c>
      <c r="F181" s="133" t="s">
        <v>621</v>
      </c>
      <c r="G181" s="134" t="s">
        <v>44</v>
      </c>
      <c r="H181" s="134" t="s">
        <v>79</v>
      </c>
      <c r="I181" s="134" t="s">
        <v>49</v>
      </c>
      <c r="J181" s="134" t="s">
        <v>375</v>
      </c>
      <c r="K181" s="134"/>
      <c r="L181" s="135">
        <v>22.68</v>
      </c>
      <c r="M181" s="136">
        <f t="shared" si="15"/>
        <v>190</v>
      </c>
      <c r="N181" s="2">
        <v>190</v>
      </c>
      <c r="O181" s="1"/>
      <c r="P181" s="137" t="e">
        <f t="shared" si="16"/>
        <v>#DIV/0!</v>
      </c>
      <c r="Q181" s="137">
        <f t="shared" si="17"/>
        <v>0</v>
      </c>
      <c r="R181" s="138">
        <f>IF(N181="nio",0,IF(N181&gt;0,VLOOKUP(I181,'3-Productie normen'!A:V,VLOOKUP(N181,'3-Productie normen'!$B$35:$C$56,2,FALSE),FALSE)))/VLOOKUP(B181,'2-Kosten per locatie'!$A$11:$C$18,3,FALSE)</f>
        <v>0</v>
      </c>
      <c r="S181" s="138">
        <f t="shared" si="18"/>
        <v>0</v>
      </c>
      <c r="T181" s="139" t="str">
        <f>VLOOKUP(I181,'3-Productie normen'!A:AF,28,FALSE)</f>
        <v>V</v>
      </c>
      <c r="U181" s="140"/>
      <c r="W181" s="141">
        <f t="shared" si="19"/>
        <v>4309.2</v>
      </c>
    </row>
    <row r="182" spans="1:23" ht="13.9" customHeight="1">
      <c r="A182" s="132">
        <v>182</v>
      </c>
      <c r="B182" s="49" t="s">
        <v>1677</v>
      </c>
      <c r="C182" s="49" t="s">
        <v>376</v>
      </c>
      <c r="D182" s="133" t="s">
        <v>271</v>
      </c>
      <c r="E182" s="133" t="s">
        <v>622</v>
      </c>
      <c r="F182" s="133" t="s">
        <v>623</v>
      </c>
      <c r="G182" s="134" t="s">
        <v>44</v>
      </c>
      <c r="H182" s="134" t="s">
        <v>258</v>
      </c>
      <c r="I182" s="134" t="s">
        <v>259</v>
      </c>
      <c r="J182" s="134" t="s">
        <v>375</v>
      </c>
      <c r="K182" s="134"/>
      <c r="L182" s="135">
        <v>9.7200000000000006</v>
      </c>
      <c r="M182" s="136">
        <f t="shared" si="15"/>
        <v>190</v>
      </c>
      <c r="N182" s="2">
        <v>190</v>
      </c>
      <c r="O182" s="1"/>
      <c r="P182" s="137" t="e">
        <f t="shared" si="16"/>
        <v>#DIV/0!</v>
      </c>
      <c r="Q182" s="137">
        <f t="shared" si="17"/>
        <v>0</v>
      </c>
      <c r="R182" s="138">
        <f>IF(N182="nio",0,IF(N182&gt;0,VLOOKUP(I182,'3-Productie normen'!A:V,VLOOKUP(N182,'3-Productie normen'!$B$35:$C$56,2,FALSE),FALSE)))/VLOOKUP(B182,'2-Kosten per locatie'!$A$11:$C$18,3,FALSE)</f>
        <v>0</v>
      </c>
      <c r="S182" s="138">
        <f t="shared" si="18"/>
        <v>0</v>
      </c>
      <c r="T182" s="139" t="str">
        <f>VLOOKUP(I182,'3-Productie normen'!A:AF,28,FALSE)</f>
        <v>S</v>
      </c>
      <c r="U182" s="140"/>
      <c r="W182" s="141">
        <f t="shared" si="19"/>
        <v>1846.8000000000002</v>
      </c>
    </row>
    <row r="183" spans="1:23" ht="13.9" customHeight="1">
      <c r="A183" s="118">
        <v>183</v>
      </c>
      <c r="B183" s="49" t="s">
        <v>1677</v>
      </c>
      <c r="C183" s="49" t="s">
        <v>376</v>
      </c>
      <c r="D183" s="133" t="s">
        <v>271</v>
      </c>
      <c r="E183" s="133" t="s">
        <v>624</v>
      </c>
      <c r="F183" s="133"/>
      <c r="G183" s="134" t="s">
        <v>44</v>
      </c>
      <c r="H183" s="134" t="s">
        <v>260</v>
      </c>
      <c r="I183" s="134" t="s">
        <v>259</v>
      </c>
      <c r="J183" s="134" t="s">
        <v>375</v>
      </c>
      <c r="K183" s="134"/>
      <c r="L183" s="135">
        <v>0.96</v>
      </c>
      <c r="M183" s="136">
        <f t="shared" si="15"/>
        <v>190</v>
      </c>
      <c r="N183" s="2">
        <v>190</v>
      </c>
      <c r="O183" s="1"/>
      <c r="P183" s="137" t="e">
        <f t="shared" si="16"/>
        <v>#DIV/0!</v>
      </c>
      <c r="Q183" s="137">
        <f t="shared" si="17"/>
        <v>0</v>
      </c>
      <c r="R183" s="138">
        <f>IF(N183="nio",0,IF(N183&gt;0,VLOOKUP(I183,'3-Productie normen'!A:V,VLOOKUP(N183,'3-Productie normen'!$B$35:$C$56,2,FALSE),FALSE)))/VLOOKUP(B183,'2-Kosten per locatie'!$A$11:$C$18,3,FALSE)</f>
        <v>0</v>
      </c>
      <c r="S183" s="138">
        <f t="shared" si="18"/>
        <v>0</v>
      </c>
      <c r="T183" s="139" t="str">
        <f>VLOOKUP(I183,'3-Productie normen'!A:AF,28,FALSE)</f>
        <v>S</v>
      </c>
      <c r="U183" s="140"/>
      <c r="W183" s="141">
        <f t="shared" si="19"/>
        <v>182.4</v>
      </c>
    </row>
    <row r="184" spans="1:23" ht="13.9" customHeight="1">
      <c r="A184" s="132">
        <v>184</v>
      </c>
      <c r="B184" s="49" t="s">
        <v>1677</v>
      </c>
      <c r="C184" s="49" t="s">
        <v>376</v>
      </c>
      <c r="D184" s="133" t="s">
        <v>271</v>
      </c>
      <c r="E184" s="133" t="s">
        <v>625</v>
      </c>
      <c r="F184" s="133"/>
      <c r="G184" s="134" t="s">
        <v>44</v>
      </c>
      <c r="H184" s="134" t="s">
        <v>260</v>
      </c>
      <c r="I184" s="134" t="s">
        <v>259</v>
      </c>
      <c r="J184" s="134" t="s">
        <v>375</v>
      </c>
      <c r="K184" s="134"/>
      <c r="L184" s="135">
        <v>0.95</v>
      </c>
      <c r="M184" s="136">
        <f t="shared" si="15"/>
        <v>190</v>
      </c>
      <c r="N184" s="2">
        <v>190</v>
      </c>
      <c r="O184" s="1"/>
      <c r="P184" s="137" t="e">
        <f t="shared" si="16"/>
        <v>#DIV/0!</v>
      </c>
      <c r="Q184" s="137">
        <f t="shared" si="17"/>
        <v>0</v>
      </c>
      <c r="R184" s="138">
        <f>IF(N184="nio",0,IF(N184&gt;0,VLOOKUP(I184,'3-Productie normen'!A:V,VLOOKUP(N184,'3-Productie normen'!$B$35:$C$56,2,FALSE),FALSE)))/VLOOKUP(B184,'2-Kosten per locatie'!$A$11:$C$18,3,FALSE)</f>
        <v>0</v>
      </c>
      <c r="S184" s="138">
        <f t="shared" si="18"/>
        <v>0</v>
      </c>
      <c r="T184" s="139" t="str">
        <f>VLOOKUP(I184,'3-Productie normen'!A:AF,28,FALSE)</f>
        <v>S</v>
      </c>
      <c r="U184" s="140"/>
      <c r="W184" s="141">
        <f t="shared" si="19"/>
        <v>180.5</v>
      </c>
    </row>
    <row r="185" spans="1:23" ht="13.9" customHeight="1">
      <c r="A185" s="132">
        <v>185</v>
      </c>
      <c r="B185" s="49" t="s">
        <v>1677</v>
      </c>
      <c r="C185" s="49" t="s">
        <v>376</v>
      </c>
      <c r="D185" s="133" t="s">
        <v>271</v>
      </c>
      <c r="E185" s="133" t="s">
        <v>626</v>
      </c>
      <c r="F185" s="133"/>
      <c r="G185" s="134" t="s">
        <v>44</v>
      </c>
      <c r="H185" s="134" t="s">
        <v>260</v>
      </c>
      <c r="I185" s="134" t="s">
        <v>259</v>
      </c>
      <c r="J185" s="134" t="s">
        <v>375</v>
      </c>
      <c r="K185" s="134"/>
      <c r="L185" s="135">
        <v>0.95</v>
      </c>
      <c r="M185" s="136">
        <f t="shared" si="15"/>
        <v>190</v>
      </c>
      <c r="N185" s="2">
        <v>190</v>
      </c>
      <c r="O185" s="1"/>
      <c r="P185" s="137" t="e">
        <f t="shared" si="16"/>
        <v>#DIV/0!</v>
      </c>
      <c r="Q185" s="137">
        <f t="shared" si="17"/>
        <v>0</v>
      </c>
      <c r="R185" s="138">
        <f>IF(N185="nio",0,IF(N185&gt;0,VLOOKUP(I185,'3-Productie normen'!A:V,VLOOKUP(N185,'3-Productie normen'!$B$35:$C$56,2,FALSE),FALSE)))/VLOOKUP(B185,'2-Kosten per locatie'!$A$11:$C$18,3,FALSE)</f>
        <v>0</v>
      </c>
      <c r="S185" s="138">
        <f t="shared" si="18"/>
        <v>0</v>
      </c>
      <c r="T185" s="139" t="str">
        <f>VLOOKUP(I185,'3-Productie normen'!A:AF,28,FALSE)</f>
        <v>S</v>
      </c>
      <c r="U185" s="140"/>
      <c r="W185" s="141">
        <f t="shared" si="19"/>
        <v>180.5</v>
      </c>
    </row>
    <row r="186" spans="1:23" ht="13.9" customHeight="1">
      <c r="A186" s="118">
        <v>186</v>
      </c>
      <c r="B186" s="49" t="s">
        <v>1677</v>
      </c>
      <c r="C186" s="49" t="s">
        <v>376</v>
      </c>
      <c r="D186" s="133" t="s">
        <v>271</v>
      </c>
      <c r="E186" s="133" t="s">
        <v>627</v>
      </c>
      <c r="F186" s="133"/>
      <c r="G186" s="134" t="s">
        <v>44</v>
      </c>
      <c r="H186" s="134" t="s">
        <v>260</v>
      </c>
      <c r="I186" s="134" t="s">
        <v>259</v>
      </c>
      <c r="J186" s="134" t="s">
        <v>375</v>
      </c>
      <c r="K186" s="134"/>
      <c r="L186" s="135">
        <v>0.95</v>
      </c>
      <c r="M186" s="136">
        <f t="shared" si="15"/>
        <v>190</v>
      </c>
      <c r="N186" s="2">
        <v>190</v>
      </c>
      <c r="O186" s="1"/>
      <c r="P186" s="137" t="e">
        <f t="shared" si="16"/>
        <v>#DIV/0!</v>
      </c>
      <c r="Q186" s="137">
        <f t="shared" si="17"/>
        <v>0</v>
      </c>
      <c r="R186" s="138">
        <f>IF(N186="nio",0,IF(N186&gt;0,VLOOKUP(I186,'3-Productie normen'!A:V,VLOOKUP(N186,'3-Productie normen'!$B$35:$C$56,2,FALSE),FALSE)))/VLOOKUP(B186,'2-Kosten per locatie'!$A$11:$C$18,3,FALSE)</f>
        <v>0</v>
      </c>
      <c r="S186" s="138">
        <f t="shared" si="18"/>
        <v>0</v>
      </c>
      <c r="T186" s="139" t="str">
        <f>VLOOKUP(I186,'3-Productie normen'!A:AF,28,FALSE)</f>
        <v>S</v>
      </c>
      <c r="U186" s="140"/>
      <c r="W186" s="141">
        <f t="shared" si="19"/>
        <v>180.5</v>
      </c>
    </row>
    <row r="187" spans="1:23" ht="13.9" customHeight="1">
      <c r="A187" s="132">
        <v>187</v>
      </c>
      <c r="B187" s="49" t="s">
        <v>1677</v>
      </c>
      <c r="C187" s="49" t="s">
        <v>376</v>
      </c>
      <c r="D187" s="133" t="s">
        <v>271</v>
      </c>
      <c r="E187" s="133" t="s">
        <v>628</v>
      </c>
      <c r="F187" s="133"/>
      <c r="G187" s="134" t="s">
        <v>44</v>
      </c>
      <c r="H187" s="134" t="s">
        <v>260</v>
      </c>
      <c r="I187" s="134" t="s">
        <v>259</v>
      </c>
      <c r="J187" s="134" t="s">
        <v>375</v>
      </c>
      <c r="K187" s="134"/>
      <c r="L187" s="135">
        <v>0.96</v>
      </c>
      <c r="M187" s="136">
        <f t="shared" si="15"/>
        <v>190</v>
      </c>
      <c r="N187" s="2">
        <v>190</v>
      </c>
      <c r="O187" s="1"/>
      <c r="P187" s="137" t="e">
        <f t="shared" si="16"/>
        <v>#DIV/0!</v>
      </c>
      <c r="Q187" s="137">
        <f t="shared" si="17"/>
        <v>0</v>
      </c>
      <c r="R187" s="138">
        <f>IF(N187="nio",0,IF(N187&gt;0,VLOOKUP(I187,'3-Productie normen'!A:V,VLOOKUP(N187,'3-Productie normen'!$B$35:$C$56,2,FALSE),FALSE)))/VLOOKUP(B187,'2-Kosten per locatie'!$A$11:$C$18,3,FALSE)</f>
        <v>0</v>
      </c>
      <c r="S187" s="138">
        <f t="shared" si="18"/>
        <v>0</v>
      </c>
      <c r="T187" s="139" t="str">
        <f>VLOOKUP(I187,'3-Productie normen'!A:AF,28,FALSE)</f>
        <v>S</v>
      </c>
      <c r="U187" s="140"/>
      <c r="W187" s="141">
        <f t="shared" si="19"/>
        <v>182.4</v>
      </c>
    </row>
    <row r="188" spans="1:23" ht="13.9" customHeight="1">
      <c r="A188" s="132">
        <v>188</v>
      </c>
      <c r="B188" s="49" t="s">
        <v>1677</v>
      </c>
      <c r="C188" s="49" t="s">
        <v>376</v>
      </c>
      <c r="D188" s="133" t="s">
        <v>271</v>
      </c>
      <c r="E188" s="133" t="s">
        <v>629</v>
      </c>
      <c r="F188" s="133" t="s">
        <v>630</v>
      </c>
      <c r="G188" s="134" t="s">
        <v>44</v>
      </c>
      <c r="H188" s="134" t="s">
        <v>260</v>
      </c>
      <c r="I188" s="134" t="s">
        <v>259</v>
      </c>
      <c r="J188" s="134" t="s">
        <v>375</v>
      </c>
      <c r="K188" s="134"/>
      <c r="L188" s="135">
        <v>7.6</v>
      </c>
      <c r="M188" s="136">
        <f t="shared" si="15"/>
        <v>190</v>
      </c>
      <c r="N188" s="2">
        <v>190</v>
      </c>
      <c r="O188" s="1"/>
      <c r="P188" s="137" t="e">
        <f t="shared" si="16"/>
        <v>#DIV/0!</v>
      </c>
      <c r="Q188" s="137">
        <f t="shared" si="17"/>
        <v>0</v>
      </c>
      <c r="R188" s="138">
        <f>IF(N188="nio",0,IF(N188&gt;0,VLOOKUP(I188,'3-Productie normen'!A:V,VLOOKUP(N188,'3-Productie normen'!$B$35:$C$56,2,FALSE),FALSE)))/VLOOKUP(B188,'2-Kosten per locatie'!$A$11:$C$18,3,FALSE)</f>
        <v>0</v>
      </c>
      <c r="S188" s="138">
        <f t="shared" si="18"/>
        <v>0</v>
      </c>
      <c r="T188" s="139" t="str">
        <f>VLOOKUP(I188,'3-Productie normen'!A:AF,28,FALSE)</f>
        <v>S</v>
      </c>
      <c r="U188" s="140"/>
      <c r="W188" s="141">
        <f t="shared" si="19"/>
        <v>1444</v>
      </c>
    </row>
    <row r="189" spans="1:23" ht="13.9" customHeight="1">
      <c r="A189" s="118">
        <v>189</v>
      </c>
      <c r="B189" s="49" t="s">
        <v>1677</v>
      </c>
      <c r="C189" s="49" t="s">
        <v>376</v>
      </c>
      <c r="D189" s="133" t="s">
        <v>271</v>
      </c>
      <c r="E189" s="133" t="s">
        <v>631</v>
      </c>
      <c r="F189" s="133" t="s">
        <v>632</v>
      </c>
      <c r="G189" s="134" t="s">
        <v>245</v>
      </c>
      <c r="H189" s="134" t="s">
        <v>245</v>
      </c>
      <c r="I189" s="92" t="s">
        <v>274</v>
      </c>
      <c r="J189" s="134" t="s">
        <v>78</v>
      </c>
      <c r="K189" s="1" t="s">
        <v>1522</v>
      </c>
      <c r="L189" s="135">
        <v>54.31</v>
      </c>
      <c r="M189" s="136">
        <f t="shared" si="15"/>
        <v>76</v>
      </c>
      <c r="N189" s="2">
        <v>76</v>
      </c>
      <c r="O189" s="1"/>
      <c r="P189" s="137" t="e">
        <f t="shared" si="16"/>
        <v>#DIV/0!</v>
      </c>
      <c r="Q189" s="137">
        <f t="shared" si="17"/>
        <v>0</v>
      </c>
      <c r="R189" s="138">
        <f>IF(N189="nio",0,IF(N189&gt;0,VLOOKUP(I189,'3-Productie normen'!A:V,VLOOKUP(N189,'3-Productie normen'!$B$35:$C$56,2,FALSE),FALSE)))/VLOOKUP(B189,'2-Kosten per locatie'!$A$11:$C$18,3,FALSE)</f>
        <v>0</v>
      </c>
      <c r="S189" s="138">
        <f t="shared" si="18"/>
        <v>0</v>
      </c>
      <c r="T189" s="139" t="str">
        <f>VLOOKUP(I189,'3-Productie normen'!A:AF,28,FALSE)</f>
        <v>B</v>
      </c>
      <c r="U189" s="140"/>
      <c r="W189" s="141">
        <f t="shared" si="19"/>
        <v>4127.5600000000004</v>
      </c>
    </row>
    <row r="190" spans="1:23" ht="13.9" customHeight="1">
      <c r="A190" s="132">
        <v>190</v>
      </c>
      <c r="B190" s="49" t="s">
        <v>1677</v>
      </c>
      <c r="C190" s="49" t="s">
        <v>376</v>
      </c>
      <c r="D190" s="133" t="s">
        <v>271</v>
      </c>
      <c r="E190" s="133" t="s">
        <v>633</v>
      </c>
      <c r="F190" s="133" t="s">
        <v>634</v>
      </c>
      <c r="G190" s="134" t="s">
        <v>264</v>
      </c>
      <c r="H190" s="134" t="s">
        <v>265</v>
      </c>
      <c r="I190" s="134" t="s">
        <v>284</v>
      </c>
      <c r="J190" s="134" t="s">
        <v>78</v>
      </c>
      <c r="K190" s="1" t="s">
        <v>1522</v>
      </c>
      <c r="L190" s="135">
        <v>54.31</v>
      </c>
      <c r="M190" s="136">
        <f t="shared" si="15"/>
        <v>76</v>
      </c>
      <c r="N190" s="2">
        <v>76</v>
      </c>
      <c r="O190" s="1"/>
      <c r="P190" s="137" t="e">
        <f t="shared" si="16"/>
        <v>#DIV/0!</v>
      </c>
      <c r="Q190" s="137">
        <f t="shared" si="17"/>
        <v>0</v>
      </c>
      <c r="R190" s="138">
        <f>IF(N190="nio",0,IF(N190&gt;0,VLOOKUP(I190,'3-Productie normen'!A:V,VLOOKUP(N190,'3-Productie normen'!$B$35:$C$56,2,FALSE),FALSE)))/VLOOKUP(B190,'2-Kosten per locatie'!$A$11:$C$18,3,FALSE)</f>
        <v>0</v>
      </c>
      <c r="S190" s="138">
        <f t="shared" si="18"/>
        <v>0</v>
      </c>
      <c r="T190" s="139" t="str">
        <f>VLOOKUP(I190,'3-Productie normen'!A:AF,28,FALSE)</f>
        <v>L</v>
      </c>
      <c r="U190" s="140"/>
      <c r="W190" s="141">
        <f t="shared" si="19"/>
        <v>4127.5600000000004</v>
      </c>
    </row>
    <row r="191" spans="1:23" ht="13.9" customHeight="1">
      <c r="A191" s="132">
        <v>191</v>
      </c>
      <c r="B191" s="49" t="s">
        <v>1677</v>
      </c>
      <c r="C191" s="49" t="s">
        <v>376</v>
      </c>
      <c r="D191" s="133" t="s">
        <v>271</v>
      </c>
      <c r="E191" s="133" t="s">
        <v>635</v>
      </c>
      <c r="F191" s="133" t="s">
        <v>636</v>
      </c>
      <c r="G191" s="134" t="s">
        <v>264</v>
      </c>
      <c r="H191" s="134" t="s">
        <v>290</v>
      </c>
      <c r="I191" s="134" t="s">
        <v>284</v>
      </c>
      <c r="J191" s="134" t="s">
        <v>78</v>
      </c>
      <c r="K191" s="1" t="s">
        <v>1522</v>
      </c>
      <c r="L191" s="135">
        <v>75.349999999999994</v>
      </c>
      <c r="M191" s="136">
        <f t="shared" si="15"/>
        <v>76</v>
      </c>
      <c r="N191" s="2">
        <v>76</v>
      </c>
      <c r="O191" s="1"/>
      <c r="P191" s="137" t="e">
        <f t="shared" si="16"/>
        <v>#DIV/0!</v>
      </c>
      <c r="Q191" s="137">
        <f t="shared" si="17"/>
        <v>0</v>
      </c>
      <c r="R191" s="138">
        <f>IF(N191="nio",0,IF(N191&gt;0,VLOOKUP(I191,'3-Productie normen'!A:V,VLOOKUP(N191,'3-Productie normen'!$B$35:$C$56,2,FALSE),FALSE)))/VLOOKUP(B191,'2-Kosten per locatie'!$A$11:$C$18,3,FALSE)</f>
        <v>0</v>
      </c>
      <c r="S191" s="138">
        <f t="shared" si="18"/>
        <v>0</v>
      </c>
      <c r="T191" s="139" t="str">
        <f>VLOOKUP(I191,'3-Productie normen'!A:AF,28,FALSE)</f>
        <v>L</v>
      </c>
      <c r="U191" s="140"/>
      <c r="W191" s="141">
        <f t="shared" si="19"/>
        <v>5726.5999999999995</v>
      </c>
    </row>
    <row r="192" spans="1:23" ht="13.9" customHeight="1">
      <c r="A192" s="118">
        <v>192</v>
      </c>
      <c r="B192" s="49" t="s">
        <v>1677</v>
      </c>
      <c r="C192" s="49" t="s">
        <v>376</v>
      </c>
      <c r="D192" s="133" t="s">
        <v>271</v>
      </c>
      <c r="E192" s="133" t="s">
        <v>637</v>
      </c>
      <c r="F192" s="133" t="s">
        <v>638</v>
      </c>
      <c r="G192" s="134" t="s">
        <v>245</v>
      </c>
      <c r="H192" s="134" t="s">
        <v>50</v>
      </c>
      <c r="I192" s="134" t="s">
        <v>270</v>
      </c>
      <c r="J192" s="134" t="s">
        <v>78</v>
      </c>
      <c r="K192" s="1" t="s">
        <v>1522</v>
      </c>
      <c r="L192" s="135">
        <v>18.649999999999999</v>
      </c>
      <c r="M192" s="136">
        <f t="shared" si="15"/>
        <v>76</v>
      </c>
      <c r="N192" s="2">
        <v>76</v>
      </c>
      <c r="O192" s="1"/>
      <c r="P192" s="137" t="e">
        <f t="shared" si="16"/>
        <v>#DIV/0!</v>
      </c>
      <c r="Q192" s="137">
        <f t="shared" si="17"/>
        <v>0</v>
      </c>
      <c r="R192" s="138">
        <f>IF(N192="nio",0,IF(N192&gt;0,VLOOKUP(I192,'3-Productie normen'!A:V,VLOOKUP(N192,'3-Productie normen'!$B$35:$C$56,2,FALSE),FALSE)))/VLOOKUP(B192,'2-Kosten per locatie'!$A$11:$C$18,3,FALSE)</f>
        <v>0</v>
      </c>
      <c r="S192" s="138">
        <f t="shared" si="18"/>
        <v>0</v>
      </c>
      <c r="T192" s="139" t="str">
        <f>VLOOKUP(I192,'3-Productie normen'!A:AF,28,FALSE)</f>
        <v>B</v>
      </c>
      <c r="U192" s="140"/>
      <c r="W192" s="141">
        <f t="shared" si="19"/>
        <v>1417.3999999999999</v>
      </c>
    </row>
    <row r="193" spans="1:23" ht="13.9" customHeight="1">
      <c r="A193" s="132">
        <v>193</v>
      </c>
      <c r="B193" s="49" t="s">
        <v>1677</v>
      </c>
      <c r="C193" s="49" t="s">
        <v>376</v>
      </c>
      <c r="D193" s="133" t="s">
        <v>271</v>
      </c>
      <c r="E193" s="133" t="s">
        <v>639</v>
      </c>
      <c r="F193" s="133" t="s">
        <v>640</v>
      </c>
      <c r="G193" s="134" t="s">
        <v>264</v>
      </c>
      <c r="H193" s="134" t="s">
        <v>1588</v>
      </c>
      <c r="I193" s="134" t="s">
        <v>1589</v>
      </c>
      <c r="J193" s="134" t="s">
        <v>375</v>
      </c>
      <c r="K193" s="134"/>
      <c r="L193" s="135">
        <v>102.6</v>
      </c>
      <c r="M193" s="136">
        <f t="shared" si="15"/>
        <v>190</v>
      </c>
      <c r="N193" s="2">
        <v>190</v>
      </c>
      <c r="O193" s="1"/>
      <c r="P193" s="137" t="e">
        <f t="shared" si="16"/>
        <v>#DIV/0!</v>
      </c>
      <c r="Q193" s="137">
        <f t="shared" si="17"/>
        <v>0</v>
      </c>
      <c r="R193" s="138">
        <f>IF(N193="nio",0,IF(N193&gt;0,VLOOKUP(I193,'3-Productie normen'!A:V,VLOOKUP(N193,'3-Productie normen'!$B$35:$C$56,2,FALSE),FALSE)))/VLOOKUP(B193,'2-Kosten per locatie'!$A$11:$C$18,3,FALSE)</f>
        <v>0</v>
      </c>
      <c r="S193" s="138">
        <f t="shared" si="18"/>
        <v>0</v>
      </c>
      <c r="T193" s="139" t="str">
        <f>VLOOKUP(I193,'3-Productie normen'!A:AF,28,FALSE)</f>
        <v>L</v>
      </c>
      <c r="U193" s="140"/>
      <c r="W193" s="141">
        <f t="shared" si="19"/>
        <v>19494</v>
      </c>
    </row>
    <row r="194" spans="1:23" ht="13.9" customHeight="1">
      <c r="A194" s="132">
        <v>194</v>
      </c>
      <c r="B194" s="49" t="s">
        <v>1677</v>
      </c>
      <c r="C194" s="49" t="s">
        <v>376</v>
      </c>
      <c r="D194" s="133" t="s">
        <v>271</v>
      </c>
      <c r="E194" s="133" t="s">
        <v>641</v>
      </c>
      <c r="F194" s="133" t="s">
        <v>642</v>
      </c>
      <c r="G194" s="134" t="s">
        <v>264</v>
      </c>
      <c r="H194" s="134" t="s">
        <v>265</v>
      </c>
      <c r="I194" s="134" t="s">
        <v>284</v>
      </c>
      <c r="J194" s="134" t="s">
        <v>78</v>
      </c>
      <c r="K194" s="1" t="s">
        <v>1522</v>
      </c>
      <c r="L194" s="135">
        <v>50.76</v>
      </c>
      <c r="M194" s="136">
        <f t="shared" si="15"/>
        <v>76</v>
      </c>
      <c r="N194" s="2">
        <v>76</v>
      </c>
      <c r="O194" s="1"/>
      <c r="P194" s="137" t="e">
        <f t="shared" si="16"/>
        <v>#DIV/0!</v>
      </c>
      <c r="Q194" s="137">
        <f t="shared" si="17"/>
        <v>0</v>
      </c>
      <c r="R194" s="138">
        <f>IF(N194="nio",0,IF(N194&gt;0,VLOOKUP(I194,'3-Productie normen'!A:V,VLOOKUP(N194,'3-Productie normen'!$B$35:$C$56,2,FALSE),FALSE)))/VLOOKUP(B194,'2-Kosten per locatie'!$A$11:$C$18,3,FALSE)</f>
        <v>0</v>
      </c>
      <c r="S194" s="138">
        <f t="shared" si="18"/>
        <v>0</v>
      </c>
      <c r="T194" s="139" t="str">
        <f>VLOOKUP(I194,'3-Productie normen'!A:AF,28,FALSE)</f>
        <v>L</v>
      </c>
      <c r="U194" s="140"/>
      <c r="W194" s="141">
        <f t="shared" si="19"/>
        <v>3857.7599999999998</v>
      </c>
    </row>
    <row r="195" spans="1:23" ht="13.9" customHeight="1">
      <c r="A195" s="118">
        <v>195</v>
      </c>
      <c r="B195" s="49" t="s">
        <v>1677</v>
      </c>
      <c r="C195" s="49" t="s">
        <v>376</v>
      </c>
      <c r="D195" s="133" t="s">
        <v>271</v>
      </c>
      <c r="E195" s="133" t="s">
        <v>643</v>
      </c>
      <c r="F195" s="133"/>
      <c r="G195" s="134" t="s">
        <v>242</v>
      </c>
      <c r="H195" s="134" t="s">
        <v>242</v>
      </c>
      <c r="I195" s="1" t="s">
        <v>242</v>
      </c>
      <c r="J195" s="134" t="s">
        <v>78</v>
      </c>
      <c r="K195" s="1" t="s">
        <v>1522</v>
      </c>
      <c r="L195" s="135">
        <v>25.03</v>
      </c>
      <c r="M195" s="136">
        <f t="shared" si="15"/>
        <v>2</v>
      </c>
      <c r="N195" s="2">
        <v>2</v>
      </c>
      <c r="O195" s="1"/>
      <c r="P195" s="137" t="e">
        <f t="shared" si="16"/>
        <v>#DIV/0!</v>
      </c>
      <c r="Q195" s="137">
        <f t="shared" si="17"/>
        <v>0</v>
      </c>
      <c r="R195" s="138">
        <f>IF(N195="nio",0,IF(N195&gt;0,VLOOKUP(I195,'3-Productie normen'!A:V,VLOOKUP(N195,'3-Productie normen'!$B$35:$C$56,2,FALSE),FALSE)))/VLOOKUP(B195,'2-Kosten per locatie'!$A$11:$C$18,3,FALSE)</f>
        <v>0</v>
      </c>
      <c r="S195" s="138">
        <f t="shared" si="18"/>
        <v>0</v>
      </c>
      <c r="T195" s="139" t="str">
        <f>VLOOKUP(I195,'3-Productie normen'!A:AF,28,FALSE)</f>
        <v>V</v>
      </c>
      <c r="U195" s="140"/>
      <c r="W195" s="141">
        <f t="shared" si="19"/>
        <v>50.06</v>
      </c>
    </row>
    <row r="196" spans="1:23" ht="13.9" customHeight="1">
      <c r="A196" s="132">
        <v>196</v>
      </c>
      <c r="B196" s="49" t="s">
        <v>1677</v>
      </c>
      <c r="C196" s="49" t="s">
        <v>376</v>
      </c>
      <c r="D196" s="133" t="s">
        <v>271</v>
      </c>
      <c r="E196" s="133" t="s">
        <v>644</v>
      </c>
      <c r="F196" s="133" t="s">
        <v>645</v>
      </c>
      <c r="G196" s="134" t="s">
        <v>264</v>
      </c>
      <c r="H196" s="134" t="s">
        <v>265</v>
      </c>
      <c r="I196" s="134" t="s">
        <v>284</v>
      </c>
      <c r="J196" s="134" t="s">
        <v>78</v>
      </c>
      <c r="K196" s="1" t="s">
        <v>1522</v>
      </c>
      <c r="L196" s="135">
        <v>87.66</v>
      </c>
      <c r="M196" s="136">
        <f t="shared" si="15"/>
        <v>76</v>
      </c>
      <c r="N196" s="2">
        <v>76</v>
      </c>
      <c r="O196" s="1"/>
      <c r="P196" s="137" t="e">
        <f t="shared" si="16"/>
        <v>#DIV/0!</v>
      </c>
      <c r="Q196" s="137">
        <f t="shared" si="17"/>
        <v>0</v>
      </c>
      <c r="R196" s="138">
        <f>IF(N196="nio",0,IF(N196&gt;0,VLOOKUP(I196,'3-Productie normen'!A:V,VLOOKUP(N196,'3-Productie normen'!$B$35:$C$56,2,FALSE),FALSE)))/VLOOKUP(B196,'2-Kosten per locatie'!$A$11:$C$18,3,FALSE)</f>
        <v>0</v>
      </c>
      <c r="S196" s="138">
        <f t="shared" si="18"/>
        <v>0</v>
      </c>
      <c r="T196" s="139" t="str">
        <f>VLOOKUP(I196,'3-Productie normen'!A:AF,28,FALSE)</f>
        <v>L</v>
      </c>
      <c r="U196" s="140"/>
      <c r="W196" s="141">
        <f t="shared" si="19"/>
        <v>6662.16</v>
      </c>
    </row>
    <row r="197" spans="1:23" ht="13.9" customHeight="1">
      <c r="A197" s="132">
        <v>197</v>
      </c>
      <c r="B197" s="49" t="s">
        <v>1677</v>
      </c>
      <c r="C197" s="49" t="s">
        <v>376</v>
      </c>
      <c r="D197" s="133" t="s">
        <v>271</v>
      </c>
      <c r="E197" s="133" t="s">
        <v>646</v>
      </c>
      <c r="F197" s="133" t="s">
        <v>647</v>
      </c>
      <c r="G197" s="134" t="s">
        <v>264</v>
      </c>
      <c r="H197" s="134" t="s">
        <v>265</v>
      </c>
      <c r="I197" s="134" t="s">
        <v>284</v>
      </c>
      <c r="J197" s="134" t="s">
        <v>78</v>
      </c>
      <c r="K197" s="1" t="s">
        <v>1522</v>
      </c>
      <c r="L197" s="135">
        <v>63.19</v>
      </c>
      <c r="M197" s="136">
        <f t="shared" si="15"/>
        <v>76</v>
      </c>
      <c r="N197" s="2">
        <v>76</v>
      </c>
      <c r="O197" s="1"/>
      <c r="P197" s="137" t="e">
        <f t="shared" si="16"/>
        <v>#DIV/0!</v>
      </c>
      <c r="Q197" s="137">
        <f t="shared" si="17"/>
        <v>0</v>
      </c>
      <c r="R197" s="138">
        <f>IF(N197="nio",0,IF(N197&gt;0,VLOOKUP(I197,'3-Productie normen'!A:V,VLOOKUP(N197,'3-Productie normen'!$B$35:$C$56,2,FALSE),FALSE)))/VLOOKUP(B197,'2-Kosten per locatie'!$A$11:$C$18,3,FALSE)</f>
        <v>0</v>
      </c>
      <c r="S197" s="138">
        <f t="shared" si="18"/>
        <v>0</v>
      </c>
      <c r="T197" s="139" t="str">
        <f>VLOOKUP(I197,'3-Productie normen'!A:AF,28,FALSE)</f>
        <v>L</v>
      </c>
      <c r="U197" s="140"/>
      <c r="W197" s="141">
        <f t="shared" si="19"/>
        <v>4802.4399999999996</v>
      </c>
    </row>
    <row r="198" spans="1:23" ht="13.9" customHeight="1">
      <c r="A198" s="118">
        <v>198</v>
      </c>
      <c r="B198" s="49" t="s">
        <v>1677</v>
      </c>
      <c r="C198" s="49" t="s">
        <v>376</v>
      </c>
      <c r="D198" s="133" t="s">
        <v>271</v>
      </c>
      <c r="E198" s="133" t="s">
        <v>648</v>
      </c>
      <c r="F198" s="133" t="s">
        <v>342</v>
      </c>
      <c r="G198" s="134" t="s">
        <v>264</v>
      </c>
      <c r="H198" s="134" t="s">
        <v>265</v>
      </c>
      <c r="I198" s="134" t="s">
        <v>284</v>
      </c>
      <c r="J198" s="134" t="s">
        <v>78</v>
      </c>
      <c r="K198" s="1" t="s">
        <v>1522</v>
      </c>
      <c r="L198" s="135">
        <v>71.2</v>
      </c>
      <c r="M198" s="136">
        <f t="shared" si="15"/>
        <v>76</v>
      </c>
      <c r="N198" s="2">
        <v>76</v>
      </c>
      <c r="O198" s="1"/>
      <c r="P198" s="137" t="e">
        <f t="shared" si="16"/>
        <v>#DIV/0!</v>
      </c>
      <c r="Q198" s="137">
        <f t="shared" si="17"/>
        <v>0</v>
      </c>
      <c r="R198" s="138">
        <f>IF(N198="nio",0,IF(N198&gt;0,VLOOKUP(I198,'3-Productie normen'!A:V,VLOOKUP(N198,'3-Productie normen'!$B$35:$C$56,2,FALSE),FALSE)))/VLOOKUP(B198,'2-Kosten per locatie'!$A$11:$C$18,3,FALSE)</f>
        <v>0</v>
      </c>
      <c r="S198" s="138">
        <f t="shared" si="18"/>
        <v>0</v>
      </c>
      <c r="T198" s="139" t="str">
        <f>VLOOKUP(I198,'3-Productie normen'!A:AF,28,FALSE)</f>
        <v>L</v>
      </c>
      <c r="U198" s="140"/>
      <c r="W198" s="141">
        <f t="shared" si="19"/>
        <v>5411.2</v>
      </c>
    </row>
    <row r="199" spans="1:23" ht="13.9" customHeight="1">
      <c r="A199" s="132">
        <v>199</v>
      </c>
      <c r="B199" s="49" t="s">
        <v>1677</v>
      </c>
      <c r="C199" s="49" t="s">
        <v>376</v>
      </c>
      <c r="D199" s="133" t="s">
        <v>271</v>
      </c>
      <c r="E199" s="133" t="s">
        <v>649</v>
      </c>
      <c r="F199" s="133" t="s">
        <v>346</v>
      </c>
      <c r="G199" s="134" t="s">
        <v>264</v>
      </c>
      <c r="H199" s="134" t="s">
        <v>363</v>
      </c>
      <c r="I199" s="86" t="s">
        <v>51</v>
      </c>
      <c r="J199" s="134" t="s">
        <v>477</v>
      </c>
      <c r="K199" s="134"/>
      <c r="L199" s="135">
        <v>267.58999999999997</v>
      </c>
      <c r="M199" s="136">
        <f t="shared" si="15"/>
        <v>190</v>
      </c>
      <c r="N199" s="2">
        <v>190</v>
      </c>
      <c r="O199" s="1"/>
      <c r="P199" s="137" t="e">
        <f t="shared" si="16"/>
        <v>#DIV/0!</v>
      </c>
      <c r="Q199" s="137">
        <f t="shared" si="17"/>
        <v>0</v>
      </c>
      <c r="R199" s="138">
        <f>IF(N199="nio",0,IF(N199&gt;0,VLOOKUP(I199,'3-Productie normen'!A:V,VLOOKUP(N199,'3-Productie normen'!$B$35:$C$56,2,FALSE),FALSE)))/VLOOKUP(B199,'2-Kosten per locatie'!$A$11:$C$18,3,FALSE)</f>
        <v>0</v>
      </c>
      <c r="S199" s="138">
        <f t="shared" si="18"/>
        <v>0</v>
      </c>
      <c r="T199" s="139" t="str">
        <f>VLOOKUP(I199,'3-Productie normen'!A:AF,28,FALSE)</f>
        <v>V</v>
      </c>
      <c r="U199" s="140"/>
      <c r="W199" s="141">
        <f t="shared" si="19"/>
        <v>50842.1</v>
      </c>
    </row>
    <row r="200" spans="1:23" ht="13.9" customHeight="1">
      <c r="A200" s="132">
        <v>200</v>
      </c>
      <c r="B200" s="49" t="s">
        <v>1677</v>
      </c>
      <c r="C200" s="49" t="s">
        <v>376</v>
      </c>
      <c r="D200" s="133" t="s">
        <v>271</v>
      </c>
      <c r="E200" s="133" t="s">
        <v>650</v>
      </c>
      <c r="F200" s="133"/>
      <c r="G200" s="134" t="s">
        <v>242</v>
      </c>
      <c r="H200" s="134" t="s">
        <v>242</v>
      </c>
      <c r="I200" s="1" t="s">
        <v>242</v>
      </c>
      <c r="J200" s="134" t="s">
        <v>477</v>
      </c>
      <c r="K200" s="134"/>
      <c r="L200" s="135">
        <v>13.02</v>
      </c>
      <c r="M200" s="136">
        <f t="shared" si="15"/>
        <v>2</v>
      </c>
      <c r="N200" s="2">
        <v>2</v>
      </c>
      <c r="O200" s="1"/>
      <c r="P200" s="137" t="e">
        <f t="shared" si="16"/>
        <v>#DIV/0!</v>
      </c>
      <c r="Q200" s="137">
        <f t="shared" si="17"/>
        <v>0</v>
      </c>
      <c r="R200" s="138">
        <f>IF(N200="nio",0,IF(N200&gt;0,VLOOKUP(I200,'3-Productie normen'!A:V,VLOOKUP(N200,'3-Productie normen'!$B$35:$C$56,2,FALSE),FALSE)))/VLOOKUP(B200,'2-Kosten per locatie'!$A$11:$C$18,3,FALSE)</f>
        <v>0</v>
      </c>
      <c r="S200" s="138">
        <f t="shared" si="18"/>
        <v>0</v>
      </c>
      <c r="T200" s="139" t="str">
        <f>VLOOKUP(I200,'3-Productie normen'!A:AF,28,FALSE)</f>
        <v>V</v>
      </c>
      <c r="U200" s="140"/>
      <c r="W200" s="141">
        <f t="shared" si="19"/>
        <v>26.04</v>
      </c>
    </row>
    <row r="201" spans="1:23" ht="13.9" customHeight="1">
      <c r="A201" s="118">
        <v>201</v>
      </c>
      <c r="B201" s="49" t="s">
        <v>1677</v>
      </c>
      <c r="C201" s="49" t="s">
        <v>376</v>
      </c>
      <c r="D201" s="133" t="s">
        <v>271</v>
      </c>
      <c r="E201" s="133" t="s">
        <v>651</v>
      </c>
      <c r="F201" s="133"/>
      <c r="G201" s="134" t="s">
        <v>242</v>
      </c>
      <c r="H201" s="134" t="s">
        <v>242</v>
      </c>
      <c r="I201" s="1" t="s">
        <v>242</v>
      </c>
      <c r="J201" s="134" t="s">
        <v>477</v>
      </c>
      <c r="K201" s="134"/>
      <c r="L201" s="135">
        <v>13.02</v>
      </c>
      <c r="M201" s="136">
        <f t="shared" si="15"/>
        <v>2</v>
      </c>
      <c r="N201" s="2">
        <v>2</v>
      </c>
      <c r="O201" s="1"/>
      <c r="P201" s="137" t="e">
        <f t="shared" si="16"/>
        <v>#DIV/0!</v>
      </c>
      <c r="Q201" s="137">
        <f t="shared" si="17"/>
        <v>0</v>
      </c>
      <c r="R201" s="138">
        <f>IF(N201="nio",0,IF(N201&gt;0,VLOOKUP(I201,'3-Productie normen'!A:V,VLOOKUP(N201,'3-Productie normen'!$B$35:$C$56,2,FALSE),FALSE)))/VLOOKUP(B201,'2-Kosten per locatie'!$A$11:$C$18,3,FALSE)</f>
        <v>0</v>
      </c>
      <c r="S201" s="138">
        <f t="shared" si="18"/>
        <v>0</v>
      </c>
      <c r="T201" s="139" t="str">
        <f>VLOOKUP(I201,'3-Productie normen'!A:AF,28,FALSE)</f>
        <v>V</v>
      </c>
      <c r="U201" s="140"/>
      <c r="W201" s="141">
        <f t="shared" si="19"/>
        <v>26.04</v>
      </c>
    </row>
    <row r="202" spans="1:23" ht="13.9" customHeight="1">
      <c r="A202" s="132">
        <v>202</v>
      </c>
      <c r="B202" s="49" t="s">
        <v>1677</v>
      </c>
      <c r="C202" s="49" t="s">
        <v>376</v>
      </c>
      <c r="D202" s="133" t="s">
        <v>271</v>
      </c>
      <c r="E202" s="133" t="s">
        <v>652</v>
      </c>
      <c r="F202" s="133" t="s">
        <v>343</v>
      </c>
      <c r="G202" s="134" t="s">
        <v>264</v>
      </c>
      <c r="H202" s="134" t="s">
        <v>265</v>
      </c>
      <c r="I202" s="134" t="s">
        <v>284</v>
      </c>
      <c r="J202" s="134" t="s">
        <v>78</v>
      </c>
      <c r="K202" s="1" t="s">
        <v>1522</v>
      </c>
      <c r="L202" s="135">
        <v>63.19</v>
      </c>
      <c r="M202" s="136">
        <f t="shared" si="15"/>
        <v>76</v>
      </c>
      <c r="N202" s="2">
        <v>76</v>
      </c>
      <c r="O202" s="1"/>
      <c r="P202" s="137" t="e">
        <f t="shared" si="16"/>
        <v>#DIV/0!</v>
      </c>
      <c r="Q202" s="137">
        <f t="shared" si="17"/>
        <v>0</v>
      </c>
      <c r="R202" s="138">
        <f>IF(N202="nio",0,IF(N202&gt;0,VLOOKUP(I202,'3-Productie normen'!A:V,VLOOKUP(N202,'3-Productie normen'!$B$35:$C$56,2,FALSE),FALSE)))/VLOOKUP(B202,'2-Kosten per locatie'!$A$11:$C$18,3,FALSE)</f>
        <v>0</v>
      </c>
      <c r="S202" s="138">
        <f t="shared" si="18"/>
        <v>0</v>
      </c>
      <c r="T202" s="139" t="str">
        <f>VLOOKUP(I202,'3-Productie normen'!A:AF,28,FALSE)</f>
        <v>L</v>
      </c>
      <c r="U202" s="140"/>
      <c r="W202" s="141">
        <f t="shared" si="19"/>
        <v>4802.4399999999996</v>
      </c>
    </row>
    <row r="203" spans="1:23" ht="13.9" customHeight="1">
      <c r="A203" s="132">
        <v>203</v>
      </c>
      <c r="B203" s="49" t="s">
        <v>1677</v>
      </c>
      <c r="C203" s="49" t="s">
        <v>376</v>
      </c>
      <c r="D203" s="133" t="s">
        <v>271</v>
      </c>
      <c r="E203" s="133" t="s">
        <v>653</v>
      </c>
      <c r="F203" s="133" t="s">
        <v>344</v>
      </c>
      <c r="G203" s="134" t="s">
        <v>264</v>
      </c>
      <c r="H203" s="134" t="s">
        <v>265</v>
      </c>
      <c r="I203" s="134" t="s">
        <v>284</v>
      </c>
      <c r="J203" s="134" t="s">
        <v>78</v>
      </c>
      <c r="K203" s="1" t="s">
        <v>1522</v>
      </c>
      <c r="L203" s="135">
        <v>87.66</v>
      </c>
      <c r="M203" s="136">
        <f t="shared" si="15"/>
        <v>76</v>
      </c>
      <c r="N203" s="2">
        <v>76</v>
      </c>
      <c r="O203" s="1"/>
      <c r="P203" s="137" t="e">
        <f t="shared" si="16"/>
        <v>#DIV/0!</v>
      </c>
      <c r="Q203" s="137">
        <f t="shared" si="17"/>
        <v>0</v>
      </c>
      <c r="R203" s="138">
        <f>IF(N203="nio",0,IF(N203&gt;0,VLOOKUP(I203,'3-Productie normen'!A:V,VLOOKUP(N203,'3-Productie normen'!$B$35:$C$56,2,FALSE),FALSE)))/VLOOKUP(B203,'2-Kosten per locatie'!$A$11:$C$18,3,FALSE)</f>
        <v>0</v>
      </c>
      <c r="S203" s="138">
        <f t="shared" si="18"/>
        <v>0</v>
      </c>
      <c r="T203" s="139" t="str">
        <f>VLOOKUP(I203,'3-Productie normen'!A:AF,28,FALSE)</f>
        <v>L</v>
      </c>
      <c r="U203" s="140"/>
      <c r="W203" s="141">
        <f t="shared" si="19"/>
        <v>6662.16</v>
      </c>
    </row>
    <row r="204" spans="1:23" ht="13.9" customHeight="1">
      <c r="A204" s="118">
        <v>204</v>
      </c>
      <c r="B204" s="49" t="s">
        <v>1677</v>
      </c>
      <c r="C204" s="49" t="s">
        <v>376</v>
      </c>
      <c r="D204" s="133" t="s">
        <v>271</v>
      </c>
      <c r="E204" s="133" t="s">
        <v>654</v>
      </c>
      <c r="F204" s="133" t="s">
        <v>345</v>
      </c>
      <c r="G204" s="134" t="s">
        <v>264</v>
      </c>
      <c r="H204" s="134" t="s">
        <v>265</v>
      </c>
      <c r="I204" s="134" t="s">
        <v>284</v>
      </c>
      <c r="J204" s="134" t="s">
        <v>78</v>
      </c>
      <c r="K204" s="1" t="s">
        <v>1522</v>
      </c>
      <c r="L204" s="135">
        <v>76.5</v>
      </c>
      <c r="M204" s="136">
        <f t="shared" si="15"/>
        <v>76</v>
      </c>
      <c r="N204" s="2">
        <v>76</v>
      </c>
      <c r="O204" s="1"/>
      <c r="P204" s="137" t="e">
        <f t="shared" si="16"/>
        <v>#DIV/0!</v>
      </c>
      <c r="Q204" s="137">
        <f t="shared" si="17"/>
        <v>0</v>
      </c>
      <c r="R204" s="138">
        <f>IF(N204="nio",0,IF(N204&gt;0,VLOOKUP(I204,'3-Productie normen'!A:V,VLOOKUP(N204,'3-Productie normen'!$B$35:$C$56,2,FALSE),FALSE)))/VLOOKUP(B204,'2-Kosten per locatie'!$A$11:$C$18,3,FALSE)</f>
        <v>0</v>
      </c>
      <c r="S204" s="138">
        <f t="shared" si="18"/>
        <v>0</v>
      </c>
      <c r="T204" s="139" t="str">
        <f>VLOOKUP(I204,'3-Productie normen'!A:AF,28,FALSE)</f>
        <v>L</v>
      </c>
      <c r="U204" s="140"/>
      <c r="W204" s="141">
        <f t="shared" si="19"/>
        <v>5814</v>
      </c>
    </row>
    <row r="205" spans="1:23" ht="13.9" customHeight="1">
      <c r="A205" s="132">
        <v>205</v>
      </c>
      <c r="B205" s="49" t="s">
        <v>1677</v>
      </c>
      <c r="C205" s="49" t="s">
        <v>376</v>
      </c>
      <c r="D205" s="133" t="s">
        <v>271</v>
      </c>
      <c r="E205" s="133" t="s">
        <v>655</v>
      </c>
      <c r="F205" s="133" t="s">
        <v>656</v>
      </c>
      <c r="G205" s="134" t="s">
        <v>264</v>
      </c>
      <c r="H205" s="134" t="s">
        <v>1590</v>
      </c>
      <c r="I205" s="134" t="s">
        <v>1589</v>
      </c>
      <c r="J205" s="134" t="s">
        <v>375</v>
      </c>
      <c r="K205" s="134"/>
      <c r="L205" s="135">
        <v>102.6</v>
      </c>
      <c r="M205" s="136">
        <f t="shared" si="15"/>
        <v>190</v>
      </c>
      <c r="N205" s="2">
        <v>190</v>
      </c>
      <c r="O205" s="1"/>
      <c r="P205" s="137" t="e">
        <f t="shared" si="16"/>
        <v>#DIV/0!</v>
      </c>
      <c r="Q205" s="137">
        <f t="shared" si="17"/>
        <v>0</v>
      </c>
      <c r="R205" s="138">
        <f>IF(N205="nio",0,IF(N205&gt;0,VLOOKUP(I205,'3-Productie normen'!A:V,VLOOKUP(N205,'3-Productie normen'!$B$35:$C$56,2,FALSE),FALSE)))/VLOOKUP(B205,'2-Kosten per locatie'!$A$11:$C$18,3,FALSE)</f>
        <v>0</v>
      </c>
      <c r="S205" s="138">
        <f t="shared" si="18"/>
        <v>0</v>
      </c>
      <c r="T205" s="139" t="str">
        <f>VLOOKUP(I205,'3-Productie normen'!A:AF,28,FALSE)</f>
        <v>L</v>
      </c>
      <c r="U205" s="140"/>
      <c r="W205" s="141">
        <f t="shared" si="19"/>
        <v>19494</v>
      </c>
    </row>
    <row r="206" spans="1:23" ht="13.9" customHeight="1">
      <c r="A206" s="132">
        <v>206</v>
      </c>
      <c r="B206" s="49" t="s">
        <v>1677</v>
      </c>
      <c r="C206" s="49" t="s">
        <v>376</v>
      </c>
      <c r="D206" s="133" t="s">
        <v>271</v>
      </c>
      <c r="E206" s="133" t="s">
        <v>657</v>
      </c>
      <c r="F206" s="133" t="s">
        <v>658</v>
      </c>
      <c r="G206" s="134" t="s">
        <v>245</v>
      </c>
      <c r="H206" s="134" t="s">
        <v>50</v>
      </c>
      <c r="I206" s="134" t="s">
        <v>270</v>
      </c>
      <c r="J206" s="134" t="s">
        <v>78</v>
      </c>
      <c r="K206" s="1" t="s">
        <v>1522</v>
      </c>
      <c r="L206" s="135">
        <v>18.72</v>
      </c>
      <c r="M206" s="136">
        <f t="shared" si="15"/>
        <v>76</v>
      </c>
      <c r="N206" s="2">
        <v>76</v>
      </c>
      <c r="O206" s="1"/>
      <c r="P206" s="137" t="e">
        <f t="shared" si="16"/>
        <v>#DIV/0!</v>
      </c>
      <c r="Q206" s="137">
        <f t="shared" si="17"/>
        <v>0</v>
      </c>
      <c r="R206" s="138">
        <f>IF(N206="nio",0,IF(N206&gt;0,VLOOKUP(I206,'3-Productie normen'!A:V,VLOOKUP(N206,'3-Productie normen'!$B$35:$C$56,2,FALSE),FALSE)))/VLOOKUP(B206,'2-Kosten per locatie'!$A$11:$C$18,3,FALSE)</f>
        <v>0</v>
      </c>
      <c r="S206" s="138">
        <f t="shared" si="18"/>
        <v>0</v>
      </c>
      <c r="T206" s="139" t="str">
        <f>VLOOKUP(I206,'3-Productie normen'!A:AF,28,FALSE)</f>
        <v>B</v>
      </c>
      <c r="U206" s="140"/>
      <c r="W206" s="141">
        <f t="shared" si="19"/>
        <v>1422.7199999999998</v>
      </c>
    </row>
    <row r="207" spans="1:23" ht="13.9" customHeight="1">
      <c r="A207" s="118">
        <v>207</v>
      </c>
      <c r="B207" s="49" t="s">
        <v>1677</v>
      </c>
      <c r="C207" s="49" t="s">
        <v>376</v>
      </c>
      <c r="D207" s="133" t="s">
        <v>271</v>
      </c>
      <c r="E207" s="133" t="s">
        <v>659</v>
      </c>
      <c r="F207" s="133" t="s">
        <v>660</v>
      </c>
      <c r="G207" s="134" t="s">
        <v>264</v>
      </c>
      <c r="H207" s="134" t="s">
        <v>265</v>
      </c>
      <c r="I207" s="134" t="s">
        <v>284</v>
      </c>
      <c r="J207" s="134" t="s">
        <v>78</v>
      </c>
      <c r="K207" s="1" t="s">
        <v>1522</v>
      </c>
      <c r="L207" s="135">
        <v>61.58</v>
      </c>
      <c r="M207" s="136">
        <f t="shared" si="15"/>
        <v>76</v>
      </c>
      <c r="N207" s="2">
        <v>76</v>
      </c>
      <c r="O207" s="1"/>
      <c r="P207" s="137" t="e">
        <f t="shared" si="16"/>
        <v>#DIV/0!</v>
      </c>
      <c r="Q207" s="137">
        <f t="shared" si="17"/>
        <v>0</v>
      </c>
      <c r="R207" s="138">
        <f>IF(N207="nio",0,IF(N207&gt;0,VLOOKUP(I207,'3-Productie normen'!A:V,VLOOKUP(N207,'3-Productie normen'!$B$35:$C$56,2,FALSE),FALSE)))/VLOOKUP(B207,'2-Kosten per locatie'!$A$11:$C$18,3,FALSE)</f>
        <v>0</v>
      </c>
      <c r="S207" s="138">
        <f t="shared" si="18"/>
        <v>0</v>
      </c>
      <c r="T207" s="139" t="str">
        <f>VLOOKUP(I207,'3-Productie normen'!A:AF,28,FALSE)</f>
        <v>L</v>
      </c>
      <c r="U207" s="140"/>
      <c r="W207" s="141">
        <f t="shared" si="19"/>
        <v>4680.08</v>
      </c>
    </row>
    <row r="208" spans="1:23" ht="13.9" customHeight="1">
      <c r="A208" s="132">
        <v>208</v>
      </c>
      <c r="B208" s="49" t="s">
        <v>1677</v>
      </c>
      <c r="C208" s="49" t="s">
        <v>376</v>
      </c>
      <c r="D208" s="133" t="s">
        <v>271</v>
      </c>
      <c r="E208" s="133" t="s">
        <v>661</v>
      </c>
      <c r="F208" s="133" t="s">
        <v>662</v>
      </c>
      <c r="G208" s="134" t="s">
        <v>264</v>
      </c>
      <c r="H208" s="134" t="s">
        <v>265</v>
      </c>
      <c r="I208" s="134" t="s">
        <v>284</v>
      </c>
      <c r="J208" s="134" t="s">
        <v>78</v>
      </c>
      <c r="K208" s="1" t="s">
        <v>1522</v>
      </c>
      <c r="L208" s="135">
        <v>54.31</v>
      </c>
      <c r="M208" s="136">
        <f t="shared" si="15"/>
        <v>76</v>
      </c>
      <c r="N208" s="2">
        <v>76</v>
      </c>
      <c r="O208" s="1"/>
      <c r="P208" s="137" t="e">
        <f t="shared" si="16"/>
        <v>#DIV/0!</v>
      </c>
      <c r="Q208" s="137">
        <f t="shared" si="17"/>
        <v>0</v>
      </c>
      <c r="R208" s="138">
        <f>IF(N208="nio",0,IF(N208&gt;0,VLOOKUP(I208,'3-Productie normen'!A:V,VLOOKUP(N208,'3-Productie normen'!$B$35:$C$56,2,FALSE),FALSE)))/VLOOKUP(B208,'2-Kosten per locatie'!$A$11:$C$18,3,FALSE)</f>
        <v>0</v>
      </c>
      <c r="S208" s="138">
        <f t="shared" si="18"/>
        <v>0</v>
      </c>
      <c r="T208" s="139" t="str">
        <f>VLOOKUP(I208,'3-Productie normen'!A:AF,28,FALSE)</f>
        <v>L</v>
      </c>
      <c r="U208" s="140"/>
      <c r="W208" s="141">
        <f t="shared" si="19"/>
        <v>4127.5600000000004</v>
      </c>
    </row>
    <row r="209" spans="1:23" ht="13.9" customHeight="1">
      <c r="A209" s="132">
        <v>209</v>
      </c>
      <c r="B209" s="49" t="s">
        <v>1677</v>
      </c>
      <c r="C209" s="49" t="s">
        <v>376</v>
      </c>
      <c r="D209" s="133" t="s">
        <v>271</v>
      </c>
      <c r="E209" s="133" t="s">
        <v>663</v>
      </c>
      <c r="F209" s="133" t="s">
        <v>664</v>
      </c>
      <c r="G209" s="134" t="s">
        <v>245</v>
      </c>
      <c r="H209" s="134" t="s">
        <v>245</v>
      </c>
      <c r="I209" s="92" t="s">
        <v>274</v>
      </c>
      <c r="J209" s="134" t="s">
        <v>78</v>
      </c>
      <c r="K209" s="1" t="s">
        <v>1522</v>
      </c>
      <c r="L209" s="135">
        <v>26.77</v>
      </c>
      <c r="M209" s="136">
        <f t="shared" si="15"/>
        <v>76</v>
      </c>
      <c r="N209" s="2">
        <v>76</v>
      </c>
      <c r="O209" s="1"/>
      <c r="P209" s="137" t="e">
        <f t="shared" si="16"/>
        <v>#DIV/0!</v>
      </c>
      <c r="Q209" s="137">
        <f t="shared" si="17"/>
        <v>0</v>
      </c>
      <c r="R209" s="138">
        <f>IF(N209="nio",0,IF(N209&gt;0,VLOOKUP(I209,'3-Productie normen'!A:V,VLOOKUP(N209,'3-Productie normen'!$B$35:$C$56,2,FALSE),FALSE)))/VLOOKUP(B209,'2-Kosten per locatie'!$A$11:$C$18,3,FALSE)</f>
        <v>0</v>
      </c>
      <c r="S209" s="138">
        <f t="shared" si="18"/>
        <v>0</v>
      </c>
      <c r="T209" s="139" t="str">
        <f>VLOOKUP(I209,'3-Productie normen'!A:AF,28,FALSE)</f>
        <v>B</v>
      </c>
      <c r="U209" s="140"/>
      <c r="W209" s="141">
        <f t="shared" si="19"/>
        <v>2034.52</v>
      </c>
    </row>
    <row r="210" spans="1:23" ht="13.9" customHeight="1">
      <c r="A210" s="118">
        <v>210</v>
      </c>
      <c r="B210" s="49" t="s">
        <v>1678</v>
      </c>
      <c r="C210" s="49" t="s">
        <v>665</v>
      </c>
      <c r="D210" s="145" t="s">
        <v>230</v>
      </c>
      <c r="E210" s="146" t="s">
        <v>714</v>
      </c>
      <c r="F210" s="146"/>
      <c r="G210" s="145"/>
      <c r="H210" s="145" t="s">
        <v>715</v>
      </c>
      <c r="I210" s="145" t="s">
        <v>253</v>
      </c>
      <c r="J210" s="145" t="s">
        <v>352</v>
      </c>
      <c r="K210" s="145"/>
      <c r="L210" s="135">
        <v>81</v>
      </c>
      <c r="M210" s="136">
        <f t="shared" si="15"/>
        <v>190</v>
      </c>
      <c r="N210" s="2">
        <v>190</v>
      </c>
      <c r="O210" s="2"/>
      <c r="P210" s="137" t="e">
        <f t="shared" si="16"/>
        <v>#DIV/0!</v>
      </c>
      <c r="Q210" s="137">
        <f t="shared" si="17"/>
        <v>0</v>
      </c>
      <c r="R210" s="138">
        <f>IF(N210="nio",0,IF(N210&gt;0,VLOOKUP(I210,'3-Productie normen'!A:V,VLOOKUP(N210,'3-Productie normen'!$B$35:$C$56,2,FALSE),FALSE)))/VLOOKUP(B210,'2-Kosten per locatie'!$A$11:$C$18,3,FALSE)</f>
        <v>0</v>
      </c>
      <c r="S210" s="138">
        <f t="shared" si="18"/>
        <v>0</v>
      </c>
      <c r="T210" s="139" t="str">
        <f>VLOOKUP(I210,'3-Productie normen'!A:AF,28,FALSE)</f>
        <v>V</v>
      </c>
      <c r="U210" s="140"/>
      <c r="W210" s="141">
        <f t="shared" si="19"/>
        <v>15390</v>
      </c>
    </row>
    <row r="211" spans="1:23" ht="13.9" customHeight="1">
      <c r="A211" s="132">
        <v>211</v>
      </c>
      <c r="B211" s="49" t="s">
        <v>1678</v>
      </c>
      <c r="C211" s="49" t="s">
        <v>665</v>
      </c>
      <c r="D211" s="145" t="s">
        <v>230</v>
      </c>
      <c r="E211" s="146" t="s">
        <v>716</v>
      </c>
      <c r="F211" s="146"/>
      <c r="G211" s="145"/>
      <c r="H211" s="147" t="s">
        <v>717</v>
      </c>
      <c r="I211" s="145" t="s">
        <v>285</v>
      </c>
      <c r="J211" s="145" t="s">
        <v>352</v>
      </c>
      <c r="K211" s="145"/>
      <c r="L211" s="135">
        <v>93</v>
      </c>
      <c r="M211" s="136">
        <f t="shared" si="15"/>
        <v>190</v>
      </c>
      <c r="N211" s="2">
        <v>190</v>
      </c>
      <c r="O211" s="2"/>
      <c r="P211" s="137" t="e">
        <f t="shared" si="16"/>
        <v>#DIV/0!</v>
      </c>
      <c r="Q211" s="137">
        <f t="shared" si="17"/>
        <v>0</v>
      </c>
      <c r="R211" s="138">
        <f>IF(N211="nio",0,IF(N211&gt;0,VLOOKUP(I211,'3-Productie normen'!A:V,VLOOKUP(N211,'3-Productie normen'!$B$35:$C$56,2,FALSE),FALSE)))/VLOOKUP(B211,'2-Kosten per locatie'!$A$11:$C$18,3,FALSE)</f>
        <v>0</v>
      </c>
      <c r="S211" s="138">
        <f t="shared" si="18"/>
        <v>0</v>
      </c>
      <c r="T211" s="139" t="str">
        <f>VLOOKUP(I211,'3-Productie normen'!A:AF,28,FALSE)</f>
        <v>L</v>
      </c>
      <c r="U211" s="140"/>
      <c r="W211" s="141">
        <f t="shared" si="19"/>
        <v>17670</v>
      </c>
    </row>
    <row r="212" spans="1:23" ht="13.9" customHeight="1">
      <c r="A212" s="132">
        <v>212</v>
      </c>
      <c r="B212" s="49" t="s">
        <v>1678</v>
      </c>
      <c r="C212" s="49" t="s">
        <v>665</v>
      </c>
      <c r="D212" s="145" t="s">
        <v>353</v>
      </c>
      <c r="E212" s="146" t="s">
        <v>718</v>
      </c>
      <c r="F212" s="146"/>
      <c r="G212" s="145"/>
      <c r="H212" s="145" t="s">
        <v>719</v>
      </c>
      <c r="I212" s="1" t="s">
        <v>247</v>
      </c>
      <c r="J212" s="145" t="s">
        <v>350</v>
      </c>
      <c r="K212" s="145"/>
      <c r="L212" s="135">
        <v>14</v>
      </c>
      <c r="M212" s="136">
        <f t="shared" si="15"/>
        <v>190</v>
      </c>
      <c r="N212" s="2">
        <v>190</v>
      </c>
      <c r="O212" s="2"/>
      <c r="P212" s="137" t="e">
        <f t="shared" si="16"/>
        <v>#DIV/0!</v>
      </c>
      <c r="Q212" s="137">
        <f t="shared" si="17"/>
        <v>0</v>
      </c>
      <c r="R212" s="138">
        <f>IF(N212="nio",0,IF(N212&gt;0,VLOOKUP(I212,'3-Productie normen'!A:V,VLOOKUP(N212,'3-Productie normen'!$B$35:$C$56,2,FALSE),FALSE)))/VLOOKUP(B212,'2-Kosten per locatie'!$A$11:$C$18,3,FALSE)</f>
        <v>0</v>
      </c>
      <c r="S212" s="138">
        <f t="shared" si="18"/>
        <v>0</v>
      </c>
      <c r="T212" s="139" t="str">
        <f>VLOOKUP(I212,'3-Productie normen'!A:AF,28,FALSE)</f>
        <v>V</v>
      </c>
      <c r="U212" s="140"/>
      <c r="W212" s="141">
        <f t="shared" si="19"/>
        <v>2660</v>
      </c>
    </row>
    <row r="213" spans="1:23" ht="13.9" customHeight="1">
      <c r="A213" s="118">
        <v>213</v>
      </c>
      <c r="B213" s="49" t="s">
        <v>1678</v>
      </c>
      <c r="C213" s="49" t="s">
        <v>665</v>
      </c>
      <c r="D213" s="145" t="s">
        <v>353</v>
      </c>
      <c r="E213" s="146" t="s">
        <v>720</v>
      </c>
      <c r="F213" s="146"/>
      <c r="G213" s="145"/>
      <c r="H213" s="145" t="s">
        <v>721</v>
      </c>
      <c r="I213" s="1" t="s">
        <v>247</v>
      </c>
      <c r="J213" s="145" t="s">
        <v>352</v>
      </c>
      <c r="K213" s="145"/>
      <c r="L213" s="135">
        <v>15</v>
      </c>
      <c r="M213" s="136">
        <f t="shared" si="15"/>
        <v>190</v>
      </c>
      <c r="N213" s="2">
        <v>190</v>
      </c>
      <c r="O213" s="2"/>
      <c r="P213" s="137" t="e">
        <f t="shared" si="16"/>
        <v>#DIV/0!</v>
      </c>
      <c r="Q213" s="137">
        <f t="shared" si="17"/>
        <v>0</v>
      </c>
      <c r="R213" s="138">
        <f>IF(N213="nio",0,IF(N213&gt;0,VLOOKUP(I213,'3-Productie normen'!A:V,VLOOKUP(N213,'3-Productie normen'!$B$35:$C$56,2,FALSE),FALSE)))/VLOOKUP(B213,'2-Kosten per locatie'!$A$11:$C$18,3,FALSE)</f>
        <v>0</v>
      </c>
      <c r="S213" s="138">
        <f t="shared" si="18"/>
        <v>0</v>
      </c>
      <c r="T213" s="139" t="str">
        <f>VLOOKUP(I213,'3-Productie normen'!A:AF,28,FALSE)</f>
        <v>V</v>
      </c>
      <c r="U213" s="140"/>
      <c r="W213" s="141">
        <f t="shared" si="19"/>
        <v>2850</v>
      </c>
    </row>
    <row r="214" spans="1:23" ht="13.9" customHeight="1">
      <c r="A214" s="132">
        <v>214</v>
      </c>
      <c r="B214" s="49" t="s">
        <v>1678</v>
      </c>
      <c r="C214" s="49" t="s">
        <v>665</v>
      </c>
      <c r="D214" s="145" t="s">
        <v>353</v>
      </c>
      <c r="E214" s="146" t="s">
        <v>722</v>
      </c>
      <c r="F214" s="146"/>
      <c r="G214" s="145"/>
      <c r="H214" s="145" t="s">
        <v>723</v>
      </c>
      <c r="I214" s="145" t="s">
        <v>253</v>
      </c>
      <c r="J214" s="145" t="s">
        <v>352</v>
      </c>
      <c r="K214" s="145"/>
      <c r="L214" s="135">
        <v>562</v>
      </c>
      <c r="M214" s="136">
        <f t="shared" si="15"/>
        <v>190</v>
      </c>
      <c r="N214" s="2">
        <v>190</v>
      </c>
      <c r="O214" s="2"/>
      <c r="P214" s="137" t="e">
        <f t="shared" si="16"/>
        <v>#DIV/0!</v>
      </c>
      <c r="Q214" s="137">
        <f t="shared" si="17"/>
        <v>0</v>
      </c>
      <c r="R214" s="138">
        <f>IF(N214="nio",0,IF(N214&gt;0,VLOOKUP(I214,'3-Productie normen'!A:V,VLOOKUP(N214,'3-Productie normen'!$B$35:$C$56,2,FALSE),FALSE)))/VLOOKUP(B214,'2-Kosten per locatie'!$A$11:$C$18,3,FALSE)</f>
        <v>0</v>
      </c>
      <c r="S214" s="138">
        <f t="shared" si="18"/>
        <v>0</v>
      </c>
      <c r="T214" s="139" t="str">
        <f>VLOOKUP(I214,'3-Productie normen'!A:AF,28,FALSE)</f>
        <v>V</v>
      </c>
      <c r="U214" s="140"/>
      <c r="W214" s="141">
        <f t="shared" si="19"/>
        <v>106780</v>
      </c>
    </row>
    <row r="215" spans="1:23" ht="13.9" customHeight="1">
      <c r="A215" s="132">
        <v>215</v>
      </c>
      <c r="B215" s="49" t="s">
        <v>1678</v>
      </c>
      <c r="C215" s="49" t="s">
        <v>665</v>
      </c>
      <c r="D215" s="145" t="s">
        <v>353</v>
      </c>
      <c r="E215" s="146" t="s">
        <v>724</v>
      </c>
      <c r="F215" s="146"/>
      <c r="G215" s="145"/>
      <c r="H215" s="145" t="s">
        <v>725</v>
      </c>
      <c r="I215" s="145" t="s">
        <v>284</v>
      </c>
      <c r="J215" s="145" t="s">
        <v>352</v>
      </c>
      <c r="K215" s="145"/>
      <c r="L215" s="135">
        <v>115</v>
      </c>
      <c r="M215" s="136">
        <f t="shared" ref="M215:M278" si="20">SUM(N215:O215)</f>
        <v>76</v>
      </c>
      <c r="N215" s="2">
        <v>76</v>
      </c>
      <c r="O215" s="2"/>
      <c r="P215" s="137" t="e">
        <f t="shared" ref="P215:P278" si="21">IF(N215="nio",0,IF(N215&gt;0,N215*L215/R215,0))</f>
        <v>#DIV/0!</v>
      </c>
      <c r="Q215" s="137">
        <f t="shared" ref="Q215:Q278" si="22">IF(O215&gt;0,O215*L215/S215,0)</f>
        <v>0</v>
      </c>
      <c r="R215" s="138">
        <f>IF(N215="nio",0,IF(N215&gt;0,VLOOKUP(I215,'3-Productie normen'!A:V,VLOOKUP(N215,'3-Productie normen'!$B$35:$C$56,2,FALSE),FALSE)))/VLOOKUP(B215,'2-Kosten per locatie'!$A$11:$C$18,3,FALSE)</f>
        <v>0</v>
      </c>
      <c r="S215" s="138">
        <f t="shared" ref="S215:S278" si="23">IF(O215&gt;0,R215*$S$8,0)</f>
        <v>0</v>
      </c>
      <c r="T215" s="139" t="str">
        <f>VLOOKUP(I215,'3-Productie normen'!A:AF,28,FALSE)</f>
        <v>L</v>
      </c>
      <c r="U215" s="140"/>
      <c r="W215" s="141">
        <f t="shared" ref="W215:W278" si="24">M215*L215</f>
        <v>8740</v>
      </c>
    </row>
    <row r="216" spans="1:23" ht="13.9" customHeight="1">
      <c r="A216" s="118">
        <v>216</v>
      </c>
      <c r="B216" s="49" t="s">
        <v>1678</v>
      </c>
      <c r="C216" s="49" t="s">
        <v>665</v>
      </c>
      <c r="D216" s="145" t="s">
        <v>353</v>
      </c>
      <c r="E216" s="146" t="s">
        <v>726</v>
      </c>
      <c r="F216" s="146"/>
      <c r="G216" s="145"/>
      <c r="H216" s="145" t="s">
        <v>727</v>
      </c>
      <c r="I216" s="145" t="s">
        <v>284</v>
      </c>
      <c r="J216" s="145" t="s">
        <v>352</v>
      </c>
      <c r="K216" s="145"/>
      <c r="L216" s="135">
        <v>163</v>
      </c>
      <c r="M216" s="136">
        <f t="shared" si="20"/>
        <v>76</v>
      </c>
      <c r="N216" s="2">
        <v>76</v>
      </c>
      <c r="O216" s="2"/>
      <c r="P216" s="137" t="e">
        <f t="shared" si="21"/>
        <v>#DIV/0!</v>
      </c>
      <c r="Q216" s="137">
        <f t="shared" si="22"/>
        <v>0</v>
      </c>
      <c r="R216" s="138">
        <f>IF(N216="nio",0,IF(N216&gt;0,VLOOKUP(I216,'3-Productie normen'!A:V,VLOOKUP(N216,'3-Productie normen'!$B$35:$C$56,2,FALSE),FALSE)))/VLOOKUP(B216,'2-Kosten per locatie'!$A$11:$C$18,3,FALSE)</f>
        <v>0</v>
      </c>
      <c r="S216" s="138">
        <f t="shared" si="23"/>
        <v>0</v>
      </c>
      <c r="T216" s="139" t="str">
        <f>VLOOKUP(I216,'3-Productie normen'!A:AF,28,FALSE)</f>
        <v>L</v>
      </c>
      <c r="U216" s="140"/>
      <c r="W216" s="141">
        <f t="shared" si="24"/>
        <v>12388</v>
      </c>
    </row>
    <row r="217" spans="1:23" ht="13.9" customHeight="1">
      <c r="A217" s="132">
        <v>217</v>
      </c>
      <c r="B217" s="49" t="s">
        <v>1678</v>
      </c>
      <c r="C217" s="49" t="s">
        <v>665</v>
      </c>
      <c r="D217" s="145" t="s">
        <v>353</v>
      </c>
      <c r="E217" s="146" t="s">
        <v>728</v>
      </c>
      <c r="F217" s="146"/>
      <c r="G217" s="145"/>
      <c r="H217" s="145" t="s">
        <v>727</v>
      </c>
      <c r="I217" s="145" t="s">
        <v>284</v>
      </c>
      <c r="J217" s="145" t="s">
        <v>352</v>
      </c>
      <c r="K217" s="145"/>
      <c r="L217" s="135">
        <v>68</v>
      </c>
      <c r="M217" s="136">
        <f t="shared" si="20"/>
        <v>76</v>
      </c>
      <c r="N217" s="2">
        <v>76</v>
      </c>
      <c r="O217" s="2"/>
      <c r="P217" s="137" t="e">
        <f t="shared" si="21"/>
        <v>#DIV/0!</v>
      </c>
      <c r="Q217" s="137">
        <f t="shared" si="22"/>
        <v>0</v>
      </c>
      <c r="R217" s="138">
        <f>IF(N217="nio",0,IF(N217&gt;0,VLOOKUP(I217,'3-Productie normen'!A:V,VLOOKUP(N217,'3-Productie normen'!$B$35:$C$56,2,FALSE),FALSE)))/VLOOKUP(B217,'2-Kosten per locatie'!$A$11:$C$18,3,FALSE)</f>
        <v>0</v>
      </c>
      <c r="S217" s="138">
        <f t="shared" si="23"/>
        <v>0</v>
      </c>
      <c r="T217" s="139" t="str">
        <f>VLOOKUP(I217,'3-Productie normen'!A:AF,28,FALSE)</f>
        <v>L</v>
      </c>
      <c r="U217" s="140"/>
      <c r="W217" s="141">
        <f t="shared" si="24"/>
        <v>5168</v>
      </c>
    </row>
    <row r="218" spans="1:23" ht="13.9" customHeight="1">
      <c r="A218" s="132">
        <v>218</v>
      </c>
      <c r="B218" s="49" t="s">
        <v>1678</v>
      </c>
      <c r="C218" s="49" t="s">
        <v>665</v>
      </c>
      <c r="D218" s="145" t="s">
        <v>353</v>
      </c>
      <c r="E218" s="146" t="s">
        <v>729</v>
      </c>
      <c r="F218" s="146"/>
      <c r="G218" s="145"/>
      <c r="H218" s="145" t="s">
        <v>727</v>
      </c>
      <c r="I218" s="145" t="s">
        <v>284</v>
      </c>
      <c r="J218" s="145" t="s">
        <v>352</v>
      </c>
      <c r="K218" s="145"/>
      <c r="L218" s="135">
        <v>62</v>
      </c>
      <c r="M218" s="136">
        <f t="shared" si="20"/>
        <v>76</v>
      </c>
      <c r="N218" s="2">
        <v>76</v>
      </c>
      <c r="O218" s="2"/>
      <c r="P218" s="137" t="e">
        <f t="shared" si="21"/>
        <v>#DIV/0!</v>
      </c>
      <c r="Q218" s="137">
        <f t="shared" si="22"/>
        <v>0</v>
      </c>
      <c r="R218" s="138">
        <f>IF(N218="nio",0,IF(N218&gt;0,VLOOKUP(I218,'3-Productie normen'!A:V,VLOOKUP(N218,'3-Productie normen'!$B$35:$C$56,2,FALSE),FALSE)))/VLOOKUP(B218,'2-Kosten per locatie'!$A$11:$C$18,3,FALSE)</f>
        <v>0</v>
      </c>
      <c r="S218" s="138">
        <f t="shared" si="23"/>
        <v>0</v>
      </c>
      <c r="T218" s="139" t="str">
        <f>VLOOKUP(I218,'3-Productie normen'!A:AF,28,FALSE)</f>
        <v>L</v>
      </c>
      <c r="U218" s="140"/>
      <c r="W218" s="141">
        <f t="shared" si="24"/>
        <v>4712</v>
      </c>
    </row>
    <row r="219" spans="1:23" ht="13.9" customHeight="1">
      <c r="A219" s="118">
        <v>219</v>
      </c>
      <c r="B219" s="49" t="s">
        <v>1678</v>
      </c>
      <c r="C219" s="49" t="s">
        <v>665</v>
      </c>
      <c r="D219" s="145" t="s">
        <v>353</v>
      </c>
      <c r="E219" s="146" t="s">
        <v>730</v>
      </c>
      <c r="F219" s="146"/>
      <c r="G219" s="145"/>
      <c r="H219" s="145" t="s">
        <v>334</v>
      </c>
      <c r="I219" s="145" t="s">
        <v>270</v>
      </c>
      <c r="J219" s="145" t="s">
        <v>352</v>
      </c>
      <c r="K219" s="145"/>
      <c r="L219" s="135">
        <v>9</v>
      </c>
      <c r="M219" s="136">
        <f t="shared" si="20"/>
        <v>76</v>
      </c>
      <c r="N219" s="2">
        <v>76</v>
      </c>
      <c r="O219" s="2"/>
      <c r="P219" s="137" t="e">
        <f t="shared" si="21"/>
        <v>#DIV/0!</v>
      </c>
      <c r="Q219" s="137">
        <f t="shared" si="22"/>
        <v>0</v>
      </c>
      <c r="R219" s="138">
        <f>IF(N219="nio",0,IF(N219&gt;0,VLOOKUP(I219,'3-Productie normen'!A:V,VLOOKUP(N219,'3-Productie normen'!$B$35:$C$56,2,FALSE),FALSE)))/VLOOKUP(B219,'2-Kosten per locatie'!$A$11:$C$18,3,FALSE)</f>
        <v>0</v>
      </c>
      <c r="S219" s="138">
        <f t="shared" si="23"/>
        <v>0</v>
      </c>
      <c r="T219" s="139" t="str">
        <f>VLOOKUP(I219,'3-Productie normen'!A:AF,28,FALSE)</f>
        <v>B</v>
      </c>
      <c r="U219" s="140"/>
      <c r="W219" s="141">
        <f t="shared" si="24"/>
        <v>684</v>
      </c>
    </row>
    <row r="220" spans="1:23" ht="13.9" customHeight="1">
      <c r="A220" s="132">
        <v>220</v>
      </c>
      <c r="B220" s="49" t="s">
        <v>1678</v>
      </c>
      <c r="C220" s="49" t="s">
        <v>665</v>
      </c>
      <c r="D220" s="145" t="s">
        <v>353</v>
      </c>
      <c r="E220" s="146" t="s">
        <v>731</v>
      </c>
      <c r="F220" s="146"/>
      <c r="G220" s="145"/>
      <c r="H220" s="145" t="s">
        <v>334</v>
      </c>
      <c r="I220" s="145" t="s">
        <v>270</v>
      </c>
      <c r="J220" s="145" t="s">
        <v>352</v>
      </c>
      <c r="K220" s="145"/>
      <c r="L220" s="135">
        <v>9</v>
      </c>
      <c r="M220" s="136">
        <f t="shared" si="20"/>
        <v>76</v>
      </c>
      <c r="N220" s="2">
        <v>76</v>
      </c>
      <c r="O220" s="2"/>
      <c r="P220" s="137" t="e">
        <f t="shared" si="21"/>
        <v>#DIV/0!</v>
      </c>
      <c r="Q220" s="137">
        <f t="shared" si="22"/>
        <v>0</v>
      </c>
      <c r="R220" s="138">
        <f>IF(N220="nio",0,IF(N220&gt;0,VLOOKUP(I220,'3-Productie normen'!A:V,VLOOKUP(N220,'3-Productie normen'!$B$35:$C$56,2,FALSE),FALSE)))/VLOOKUP(B220,'2-Kosten per locatie'!$A$11:$C$18,3,FALSE)</f>
        <v>0</v>
      </c>
      <c r="S220" s="138">
        <f t="shared" si="23"/>
        <v>0</v>
      </c>
      <c r="T220" s="139" t="str">
        <f>VLOOKUP(I220,'3-Productie normen'!A:AF,28,FALSE)</f>
        <v>B</v>
      </c>
      <c r="U220" s="140"/>
      <c r="W220" s="141">
        <f t="shared" si="24"/>
        <v>684</v>
      </c>
    </row>
    <row r="221" spans="1:23" ht="13.9" customHeight="1">
      <c r="A221" s="132">
        <v>221</v>
      </c>
      <c r="B221" s="49" t="s">
        <v>1678</v>
      </c>
      <c r="C221" s="49" t="s">
        <v>665</v>
      </c>
      <c r="D221" s="145" t="s">
        <v>353</v>
      </c>
      <c r="E221" s="146" t="s">
        <v>732</v>
      </c>
      <c r="F221" s="146"/>
      <c r="G221" s="145"/>
      <c r="H221" s="145" t="s">
        <v>334</v>
      </c>
      <c r="I221" s="145" t="s">
        <v>270</v>
      </c>
      <c r="J221" s="145" t="s">
        <v>352</v>
      </c>
      <c r="K221" s="145"/>
      <c r="L221" s="135">
        <v>10</v>
      </c>
      <c r="M221" s="136">
        <f t="shared" si="20"/>
        <v>76</v>
      </c>
      <c r="N221" s="2">
        <v>76</v>
      </c>
      <c r="O221" s="2"/>
      <c r="P221" s="137" t="e">
        <f t="shared" si="21"/>
        <v>#DIV/0!</v>
      </c>
      <c r="Q221" s="137">
        <f t="shared" si="22"/>
        <v>0</v>
      </c>
      <c r="R221" s="138">
        <f>IF(N221="nio",0,IF(N221&gt;0,VLOOKUP(I221,'3-Productie normen'!A:V,VLOOKUP(N221,'3-Productie normen'!$B$35:$C$56,2,FALSE),FALSE)))/VLOOKUP(B221,'2-Kosten per locatie'!$A$11:$C$18,3,FALSE)</f>
        <v>0</v>
      </c>
      <c r="S221" s="138">
        <f t="shared" si="23"/>
        <v>0</v>
      </c>
      <c r="T221" s="139" t="str">
        <f>VLOOKUP(I221,'3-Productie normen'!A:AF,28,FALSE)</f>
        <v>B</v>
      </c>
      <c r="U221" s="140"/>
      <c r="W221" s="141">
        <f t="shared" si="24"/>
        <v>760</v>
      </c>
    </row>
    <row r="222" spans="1:23" ht="13.9" customHeight="1">
      <c r="A222" s="118">
        <v>222</v>
      </c>
      <c r="B222" s="49" t="s">
        <v>1678</v>
      </c>
      <c r="C222" s="49" t="s">
        <v>665</v>
      </c>
      <c r="D222" s="145" t="s">
        <v>353</v>
      </c>
      <c r="E222" s="146" t="s">
        <v>733</v>
      </c>
      <c r="F222" s="146"/>
      <c r="G222" s="145"/>
      <c r="H222" s="145" t="s">
        <v>691</v>
      </c>
      <c r="I222" s="1" t="s">
        <v>242</v>
      </c>
      <c r="J222" s="145" t="s">
        <v>352</v>
      </c>
      <c r="K222" s="145"/>
      <c r="L222" s="135">
        <v>9</v>
      </c>
      <c r="M222" s="136">
        <f t="shared" si="20"/>
        <v>2</v>
      </c>
      <c r="N222" s="2">
        <v>2</v>
      </c>
      <c r="O222" s="2"/>
      <c r="P222" s="137" t="e">
        <f t="shared" si="21"/>
        <v>#DIV/0!</v>
      </c>
      <c r="Q222" s="137">
        <f t="shared" si="22"/>
        <v>0</v>
      </c>
      <c r="R222" s="138">
        <f>IF(N222="nio",0,IF(N222&gt;0,VLOOKUP(I222,'3-Productie normen'!A:V,VLOOKUP(N222,'3-Productie normen'!$B$35:$C$56,2,FALSE),FALSE)))/VLOOKUP(B222,'2-Kosten per locatie'!$A$11:$C$18,3,FALSE)</f>
        <v>0</v>
      </c>
      <c r="S222" s="138">
        <f t="shared" si="23"/>
        <v>0</v>
      </c>
      <c r="T222" s="139" t="str">
        <f>VLOOKUP(I222,'3-Productie normen'!A:AF,28,FALSE)</f>
        <v>V</v>
      </c>
      <c r="U222" s="140"/>
      <c r="W222" s="141">
        <f t="shared" si="24"/>
        <v>18</v>
      </c>
    </row>
    <row r="223" spans="1:23" ht="13.9" customHeight="1">
      <c r="A223" s="132">
        <v>223</v>
      </c>
      <c r="B223" s="49" t="s">
        <v>1678</v>
      </c>
      <c r="C223" s="49" t="s">
        <v>665</v>
      </c>
      <c r="D223" s="145" t="s">
        <v>353</v>
      </c>
      <c r="E223" s="146" t="s">
        <v>734</v>
      </c>
      <c r="F223" s="146"/>
      <c r="G223" s="145"/>
      <c r="H223" s="148" t="s">
        <v>735</v>
      </c>
      <c r="I223" s="86" t="s">
        <v>47</v>
      </c>
      <c r="J223" s="145" t="s">
        <v>352</v>
      </c>
      <c r="K223" s="145"/>
      <c r="L223" s="135">
        <v>42</v>
      </c>
      <c r="M223" s="136">
        <f t="shared" si="20"/>
        <v>190</v>
      </c>
      <c r="N223" s="2">
        <v>190</v>
      </c>
      <c r="O223" s="2"/>
      <c r="P223" s="137" t="e">
        <f t="shared" si="21"/>
        <v>#DIV/0!</v>
      </c>
      <c r="Q223" s="137">
        <f t="shared" si="22"/>
        <v>0</v>
      </c>
      <c r="R223" s="138">
        <f>IF(N223="nio",0,IF(N223&gt;0,VLOOKUP(I223,'3-Productie normen'!A:V,VLOOKUP(N223,'3-Productie normen'!$B$35:$C$56,2,FALSE),FALSE)))/VLOOKUP(B223,'2-Kosten per locatie'!$A$11:$C$18,3,FALSE)</f>
        <v>0</v>
      </c>
      <c r="S223" s="138">
        <f t="shared" si="23"/>
        <v>0</v>
      </c>
      <c r="T223" s="139" t="str">
        <f>VLOOKUP(I223,'3-Productie normen'!A:AF,28,FALSE)</f>
        <v>V</v>
      </c>
      <c r="U223" s="140"/>
      <c r="W223" s="141">
        <f t="shared" si="24"/>
        <v>7980</v>
      </c>
    </row>
    <row r="224" spans="1:23" ht="13.9" customHeight="1">
      <c r="A224" s="132">
        <v>224</v>
      </c>
      <c r="B224" s="49" t="s">
        <v>1678</v>
      </c>
      <c r="C224" s="49" t="s">
        <v>665</v>
      </c>
      <c r="D224" s="145" t="s">
        <v>353</v>
      </c>
      <c r="E224" s="146" t="s">
        <v>736</v>
      </c>
      <c r="F224" s="146"/>
      <c r="G224" s="145"/>
      <c r="H224" s="145" t="s">
        <v>737</v>
      </c>
      <c r="I224" s="49" t="s">
        <v>242</v>
      </c>
      <c r="J224" s="145" t="s">
        <v>352</v>
      </c>
      <c r="K224" s="145"/>
      <c r="L224" s="135">
        <v>71</v>
      </c>
      <c r="M224" s="136">
        <f t="shared" si="20"/>
        <v>2</v>
      </c>
      <c r="N224" s="2">
        <v>2</v>
      </c>
      <c r="O224" s="2"/>
      <c r="P224" s="137" t="e">
        <f t="shared" si="21"/>
        <v>#DIV/0!</v>
      </c>
      <c r="Q224" s="137">
        <f t="shared" si="22"/>
        <v>0</v>
      </c>
      <c r="R224" s="138">
        <f>IF(N224="nio",0,IF(N224&gt;0,VLOOKUP(I224,'3-Productie normen'!A:V,VLOOKUP(N224,'3-Productie normen'!$B$35:$C$56,2,FALSE),FALSE)))/VLOOKUP(B224,'2-Kosten per locatie'!$A$11:$C$18,3,FALSE)</f>
        <v>0</v>
      </c>
      <c r="S224" s="138">
        <f t="shared" si="23"/>
        <v>0</v>
      </c>
      <c r="T224" s="139" t="str">
        <f>VLOOKUP(I224,'3-Productie normen'!A:AF,28,FALSE)</f>
        <v>V</v>
      </c>
      <c r="U224" s="140"/>
      <c r="W224" s="141">
        <f t="shared" si="24"/>
        <v>142</v>
      </c>
    </row>
    <row r="225" spans="1:23" ht="13.9" customHeight="1">
      <c r="A225" s="118">
        <v>225</v>
      </c>
      <c r="B225" s="49" t="s">
        <v>1678</v>
      </c>
      <c r="C225" s="49" t="s">
        <v>665</v>
      </c>
      <c r="D225" s="145" t="s">
        <v>353</v>
      </c>
      <c r="E225" s="146" t="s">
        <v>738</v>
      </c>
      <c r="F225" s="146"/>
      <c r="G225" s="145"/>
      <c r="H225" s="145" t="s">
        <v>739</v>
      </c>
      <c r="I225" s="92" t="s">
        <v>274</v>
      </c>
      <c r="J225" s="145" t="s">
        <v>352</v>
      </c>
      <c r="K225" s="145"/>
      <c r="L225" s="135">
        <v>28</v>
      </c>
      <c r="M225" s="136">
        <f t="shared" si="20"/>
        <v>76</v>
      </c>
      <c r="N225" s="2">
        <v>76</v>
      </c>
      <c r="O225" s="2"/>
      <c r="P225" s="137" t="e">
        <f t="shared" si="21"/>
        <v>#DIV/0!</v>
      </c>
      <c r="Q225" s="137">
        <f t="shared" si="22"/>
        <v>0</v>
      </c>
      <c r="R225" s="138">
        <f>IF(N225="nio",0,IF(N225&gt;0,VLOOKUP(I225,'3-Productie normen'!A:V,VLOOKUP(N225,'3-Productie normen'!$B$35:$C$56,2,FALSE),FALSE)))/VLOOKUP(B225,'2-Kosten per locatie'!$A$11:$C$18,3,FALSE)</f>
        <v>0</v>
      </c>
      <c r="S225" s="138">
        <f t="shared" si="23"/>
        <v>0</v>
      </c>
      <c r="T225" s="139" t="str">
        <f>VLOOKUP(I225,'3-Productie normen'!A:AF,28,FALSE)</f>
        <v>B</v>
      </c>
      <c r="U225" s="140"/>
      <c r="W225" s="141">
        <f t="shared" si="24"/>
        <v>2128</v>
      </c>
    </row>
    <row r="226" spans="1:23" ht="13.9" customHeight="1">
      <c r="A226" s="132">
        <v>226</v>
      </c>
      <c r="B226" s="49" t="s">
        <v>1678</v>
      </c>
      <c r="C226" s="49" t="s">
        <v>665</v>
      </c>
      <c r="D226" s="145" t="s">
        <v>353</v>
      </c>
      <c r="E226" s="146" t="s">
        <v>740</v>
      </c>
      <c r="F226" s="146"/>
      <c r="G226" s="145"/>
      <c r="H226" s="145" t="s">
        <v>741</v>
      </c>
      <c r="I226" s="49" t="s">
        <v>1486</v>
      </c>
      <c r="J226" s="145" t="s">
        <v>352</v>
      </c>
      <c r="K226" s="145"/>
      <c r="L226" s="135">
        <v>11</v>
      </c>
      <c r="M226" s="136">
        <f t="shared" si="20"/>
        <v>190</v>
      </c>
      <c r="N226" s="2">
        <v>190</v>
      </c>
      <c r="O226" s="2"/>
      <c r="P226" s="137" t="e">
        <f t="shared" si="21"/>
        <v>#DIV/0!</v>
      </c>
      <c r="Q226" s="137">
        <f t="shared" si="22"/>
        <v>0</v>
      </c>
      <c r="R226" s="138">
        <f>IF(N226="nio",0,IF(N226&gt;0,VLOOKUP(I226,'3-Productie normen'!A:V,VLOOKUP(N226,'3-Productie normen'!$B$35:$C$56,2,FALSE),FALSE)))/VLOOKUP(B226,'2-Kosten per locatie'!$A$11:$C$18,3,FALSE)</f>
        <v>0</v>
      </c>
      <c r="S226" s="138">
        <f t="shared" si="23"/>
        <v>0</v>
      </c>
      <c r="T226" s="139" t="str">
        <f>VLOOKUP(I226,'3-Productie normen'!A:AF,28,FALSE)</f>
        <v>V</v>
      </c>
      <c r="U226" s="140"/>
      <c r="W226" s="141">
        <f t="shared" si="24"/>
        <v>2090</v>
      </c>
    </row>
    <row r="227" spans="1:23" ht="13.9" customHeight="1">
      <c r="A227" s="132">
        <v>227</v>
      </c>
      <c r="B227" s="49" t="s">
        <v>1678</v>
      </c>
      <c r="C227" s="49" t="s">
        <v>665</v>
      </c>
      <c r="D227" s="145" t="s">
        <v>353</v>
      </c>
      <c r="E227" s="146" t="s">
        <v>742</v>
      </c>
      <c r="F227" s="146"/>
      <c r="G227" s="145"/>
      <c r="H227" s="145" t="s">
        <v>743</v>
      </c>
      <c r="I227" s="145" t="s">
        <v>259</v>
      </c>
      <c r="J227" s="145" t="s">
        <v>744</v>
      </c>
      <c r="K227" s="145"/>
      <c r="L227" s="135">
        <v>10</v>
      </c>
      <c r="M227" s="136">
        <f t="shared" si="20"/>
        <v>190</v>
      </c>
      <c r="N227" s="2">
        <v>190</v>
      </c>
      <c r="O227" s="2"/>
      <c r="P227" s="137" t="e">
        <f t="shared" si="21"/>
        <v>#DIV/0!</v>
      </c>
      <c r="Q227" s="137">
        <f t="shared" si="22"/>
        <v>0</v>
      </c>
      <c r="R227" s="138">
        <f>IF(N227="nio",0,IF(N227&gt;0,VLOOKUP(I227,'3-Productie normen'!A:V,VLOOKUP(N227,'3-Productie normen'!$B$35:$C$56,2,FALSE),FALSE)))/VLOOKUP(B227,'2-Kosten per locatie'!$A$11:$C$18,3,FALSE)</f>
        <v>0</v>
      </c>
      <c r="S227" s="138">
        <f t="shared" si="23"/>
        <v>0</v>
      </c>
      <c r="T227" s="139" t="str">
        <f>VLOOKUP(I227,'3-Productie normen'!A:AF,28,FALSE)</f>
        <v>S</v>
      </c>
      <c r="U227" s="140"/>
      <c r="W227" s="141">
        <f t="shared" si="24"/>
        <v>1900</v>
      </c>
    </row>
    <row r="228" spans="1:23" ht="13.9" customHeight="1">
      <c r="A228" s="118">
        <v>228</v>
      </c>
      <c r="B228" s="49" t="s">
        <v>1678</v>
      </c>
      <c r="C228" s="49" t="s">
        <v>665</v>
      </c>
      <c r="D228" s="145" t="s">
        <v>353</v>
      </c>
      <c r="E228" s="146" t="s">
        <v>745</v>
      </c>
      <c r="F228" s="146"/>
      <c r="G228" s="145"/>
      <c r="H228" s="145" t="s">
        <v>743</v>
      </c>
      <c r="I228" s="145" t="s">
        <v>259</v>
      </c>
      <c r="J228" s="145" t="s">
        <v>744</v>
      </c>
      <c r="K228" s="145"/>
      <c r="L228" s="135">
        <v>19</v>
      </c>
      <c r="M228" s="136">
        <f t="shared" si="20"/>
        <v>190</v>
      </c>
      <c r="N228" s="2">
        <v>190</v>
      </c>
      <c r="O228" s="2"/>
      <c r="P228" s="137" t="e">
        <f t="shared" si="21"/>
        <v>#DIV/0!</v>
      </c>
      <c r="Q228" s="137">
        <f t="shared" si="22"/>
        <v>0</v>
      </c>
      <c r="R228" s="138">
        <f>IF(N228="nio",0,IF(N228&gt;0,VLOOKUP(I228,'3-Productie normen'!A:V,VLOOKUP(N228,'3-Productie normen'!$B$35:$C$56,2,FALSE),FALSE)))/VLOOKUP(B228,'2-Kosten per locatie'!$A$11:$C$18,3,FALSE)</f>
        <v>0</v>
      </c>
      <c r="S228" s="138">
        <f t="shared" si="23"/>
        <v>0</v>
      </c>
      <c r="T228" s="139" t="str">
        <f>VLOOKUP(I228,'3-Productie normen'!A:AF,28,FALSE)</f>
        <v>S</v>
      </c>
      <c r="U228" s="140"/>
      <c r="W228" s="141">
        <f t="shared" si="24"/>
        <v>3610</v>
      </c>
    </row>
    <row r="229" spans="1:23" ht="13.9" customHeight="1">
      <c r="A229" s="132">
        <v>229</v>
      </c>
      <c r="B229" s="49" t="s">
        <v>1678</v>
      </c>
      <c r="C229" s="49" t="s">
        <v>665</v>
      </c>
      <c r="D229" s="145" t="s">
        <v>353</v>
      </c>
      <c r="E229" s="146" t="s">
        <v>746</v>
      </c>
      <c r="F229" s="146"/>
      <c r="G229" s="145"/>
      <c r="H229" s="145" t="s">
        <v>747</v>
      </c>
      <c r="I229" s="145" t="s">
        <v>259</v>
      </c>
      <c r="J229" s="145" t="s">
        <v>744</v>
      </c>
      <c r="K229" s="145"/>
      <c r="L229" s="135">
        <v>4</v>
      </c>
      <c r="M229" s="136">
        <f t="shared" si="20"/>
        <v>190</v>
      </c>
      <c r="N229" s="2">
        <v>190</v>
      </c>
      <c r="O229" s="2"/>
      <c r="P229" s="137" t="e">
        <f t="shared" si="21"/>
        <v>#DIV/0!</v>
      </c>
      <c r="Q229" s="137">
        <f t="shared" si="22"/>
        <v>0</v>
      </c>
      <c r="R229" s="138">
        <f>IF(N229="nio",0,IF(N229&gt;0,VLOOKUP(I229,'3-Productie normen'!A:V,VLOOKUP(N229,'3-Productie normen'!$B$35:$C$56,2,FALSE),FALSE)))/VLOOKUP(B229,'2-Kosten per locatie'!$A$11:$C$18,3,FALSE)</f>
        <v>0</v>
      </c>
      <c r="S229" s="138">
        <f t="shared" si="23"/>
        <v>0</v>
      </c>
      <c r="T229" s="139" t="str">
        <f>VLOOKUP(I229,'3-Productie normen'!A:AF,28,FALSE)</f>
        <v>S</v>
      </c>
      <c r="U229" s="140"/>
      <c r="W229" s="141">
        <f t="shared" si="24"/>
        <v>760</v>
      </c>
    </row>
    <row r="230" spans="1:23" ht="13.9" customHeight="1">
      <c r="A230" s="132">
        <v>230</v>
      </c>
      <c r="B230" s="49" t="s">
        <v>1678</v>
      </c>
      <c r="C230" s="49" t="s">
        <v>665</v>
      </c>
      <c r="D230" s="145" t="s">
        <v>353</v>
      </c>
      <c r="E230" s="146" t="s">
        <v>748</v>
      </c>
      <c r="F230" s="146"/>
      <c r="G230" s="145"/>
      <c r="H230" s="145" t="s">
        <v>749</v>
      </c>
      <c r="I230" s="145" t="s">
        <v>284</v>
      </c>
      <c r="J230" s="145" t="s">
        <v>352</v>
      </c>
      <c r="K230" s="145"/>
      <c r="L230" s="135">
        <v>20</v>
      </c>
      <c r="M230" s="136">
        <f t="shared" si="20"/>
        <v>76</v>
      </c>
      <c r="N230" s="2">
        <v>76</v>
      </c>
      <c r="O230" s="2"/>
      <c r="P230" s="137" t="e">
        <f t="shared" si="21"/>
        <v>#DIV/0!</v>
      </c>
      <c r="Q230" s="137">
        <f t="shared" si="22"/>
        <v>0</v>
      </c>
      <c r="R230" s="138">
        <f>IF(N230="nio",0,IF(N230&gt;0,VLOOKUP(I230,'3-Productie normen'!A:V,VLOOKUP(N230,'3-Productie normen'!$B$35:$C$56,2,FALSE),FALSE)))/VLOOKUP(B230,'2-Kosten per locatie'!$A$11:$C$18,3,FALSE)</f>
        <v>0</v>
      </c>
      <c r="S230" s="138">
        <f t="shared" si="23"/>
        <v>0</v>
      </c>
      <c r="T230" s="139" t="str">
        <f>VLOOKUP(I230,'3-Productie normen'!A:AF,28,FALSE)</f>
        <v>L</v>
      </c>
      <c r="U230" s="140"/>
      <c r="W230" s="141">
        <f t="shared" si="24"/>
        <v>1520</v>
      </c>
    </row>
    <row r="231" spans="1:23" ht="13.9" customHeight="1">
      <c r="A231" s="118">
        <v>231</v>
      </c>
      <c r="B231" s="49" t="s">
        <v>1678</v>
      </c>
      <c r="C231" s="49" t="s">
        <v>665</v>
      </c>
      <c r="D231" s="145" t="s">
        <v>353</v>
      </c>
      <c r="E231" s="146" t="s">
        <v>750</v>
      </c>
      <c r="F231" s="146"/>
      <c r="G231" s="145"/>
      <c r="H231" s="145" t="s">
        <v>322</v>
      </c>
      <c r="I231" s="49" t="s">
        <v>274</v>
      </c>
      <c r="J231" s="145" t="s">
        <v>352</v>
      </c>
      <c r="K231" s="145"/>
      <c r="L231" s="135">
        <v>9</v>
      </c>
      <c r="M231" s="136">
        <f t="shared" si="20"/>
        <v>76</v>
      </c>
      <c r="N231" s="2">
        <v>76</v>
      </c>
      <c r="O231" s="2"/>
      <c r="P231" s="137" t="e">
        <f t="shared" si="21"/>
        <v>#DIV/0!</v>
      </c>
      <c r="Q231" s="137">
        <f t="shared" si="22"/>
        <v>0</v>
      </c>
      <c r="R231" s="138">
        <f>IF(N231="nio",0,IF(N231&gt;0,VLOOKUP(I231,'3-Productie normen'!A:V,VLOOKUP(N231,'3-Productie normen'!$B$35:$C$56,2,FALSE),FALSE)))/VLOOKUP(B231,'2-Kosten per locatie'!$A$11:$C$18,3,FALSE)</f>
        <v>0</v>
      </c>
      <c r="S231" s="138">
        <f t="shared" si="23"/>
        <v>0</v>
      </c>
      <c r="T231" s="139" t="str">
        <f>VLOOKUP(I231,'3-Productie normen'!A:AF,28,FALSE)</f>
        <v>B</v>
      </c>
      <c r="U231" s="140"/>
      <c r="W231" s="141">
        <f t="shared" si="24"/>
        <v>684</v>
      </c>
    </row>
    <row r="232" spans="1:23" ht="13.9" customHeight="1">
      <c r="A232" s="132">
        <v>232</v>
      </c>
      <c r="B232" s="49" t="s">
        <v>1678</v>
      </c>
      <c r="C232" s="49" t="s">
        <v>665</v>
      </c>
      <c r="D232" s="145" t="s">
        <v>353</v>
      </c>
      <c r="E232" s="146" t="s">
        <v>751</v>
      </c>
      <c r="F232" s="146"/>
      <c r="G232" s="145"/>
      <c r="H232" s="145" t="s">
        <v>752</v>
      </c>
      <c r="I232" s="1" t="s">
        <v>282</v>
      </c>
      <c r="J232" s="145" t="s">
        <v>352</v>
      </c>
      <c r="K232" s="145"/>
      <c r="L232" s="135">
        <v>300</v>
      </c>
      <c r="M232" s="136">
        <f t="shared" si="20"/>
        <v>38</v>
      </c>
      <c r="N232" s="143">
        <v>38</v>
      </c>
      <c r="O232" s="2"/>
      <c r="P232" s="137" t="e">
        <f t="shared" si="21"/>
        <v>#DIV/0!</v>
      </c>
      <c r="Q232" s="137">
        <f t="shared" si="22"/>
        <v>0</v>
      </c>
      <c r="R232" s="138">
        <f>IF(N232="nio",0,IF(N232&gt;0,VLOOKUP(I232,'3-Productie normen'!A:V,VLOOKUP(N232,'3-Productie normen'!$B$35:$C$56,2,FALSE),FALSE)))/VLOOKUP(B232,'2-Kosten per locatie'!$A$11:$C$18,3,FALSE)</f>
        <v>0</v>
      </c>
      <c r="S232" s="138">
        <f t="shared" si="23"/>
        <v>0</v>
      </c>
      <c r="T232" s="139" t="str">
        <f>VLOOKUP(I232,'3-Productie normen'!A:AF,28,FALSE)</f>
        <v>V</v>
      </c>
      <c r="U232" s="140"/>
      <c r="W232" s="141">
        <f t="shared" si="24"/>
        <v>11400</v>
      </c>
    </row>
    <row r="233" spans="1:23" ht="13.9" customHeight="1">
      <c r="A233" s="132">
        <v>233</v>
      </c>
      <c r="B233" s="49" t="s">
        <v>1678</v>
      </c>
      <c r="C233" s="49" t="s">
        <v>665</v>
      </c>
      <c r="D233" s="145" t="s">
        <v>353</v>
      </c>
      <c r="E233" s="146" t="s">
        <v>753</v>
      </c>
      <c r="F233" s="146"/>
      <c r="G233" s="145"/>
      <c r="H233" s="145" t="s">
        <v>301</v>
      </c>
      <c r="I233" s="1" t="s">
        <v>233</v>
      </c>
      <c r="J233" s="145" t="s">
        <v>352</v>
      </c>
      <c r="K233" s="145"/>
      <c r="L233" s="135">
        <v>8</v>
      </c>
      <c r="M233" s="136">
        <f t="shared" si="20"/>
        <v>190</v>
      </c>
      <c r="N233" s="2">
        <v>190</v>
      </c>
      <c r="O233" s="2"/>
      <c r="P233" s="137" t="e">
        <f t="shared" si="21"/>
        <v>#DIV/0!</v>
      </c>
      <c r="Q233" s="137">
        <f t="shared" si="22"/>
        <v>0</v>
      </c>
      <c r="R233" s="138">
        <f>IF(N233="nio",0,IF(N233&gt;0,VLOOKUP(I233,'3-Productie normen'!A:V,VLOOKUP(N233,'3-Productie normen'!$B$35:$C$56,2,FALSE),FALSE)))/VLOOKUP(B233,'2-Kosten per locatie'!$A$11:$C$18,3,FALSE)</f>
        <v>0</v>
      </c>
      <c r="S233" s="138">
        <f t="shared" si="23"/>
        <v>0</v>
      </c>
      <c r="T233" s="139" t="str">
        <f>VLOOKUP(I233,'3-Productie normen'!A:AF,28,FALSE)</f>
        <v>V</v>
      </c>
      <c r="U233" s="140"/>
      <c r="W233" s="141">
        <f t="shared" si="24"/>
        <v>1520</v>
      </c>
    </row>
    <row r="234" spans="1:23" ht="13.9" customHeight="1">
      <c r="A234" s="118">
        <v>234</v>
      </c>
      <c r="B234" s="49" t="s">
        <v>1678</v>
      </c>
      <c r="C234" s="49" t="s">
        <v>665</v>
      </c>
      <c r="D234" s="145" t="s">
        <v>353</v>
      </c>
      <c r="E234" s="146" t="s">
        <v>754</v>
      </c>
      <c r="F234" s="146"/>
      <c r="G234" s="145"/>
      <c r="H234" s="145" t="s">
        <v>301</v>
      </c>
      <c r="I234" s="1" t="s">
        <v>233</v>
      </c>
      <c r="J234" s="145" t="s">
        <v>352</v>
      </c>
      <c r="K234" s="145"/>
      <c r="L234" s="135">
        <v>16</v>
      </c>
      <c r="M234" s="136">
        <f t="shared" si="20"/>
        <v>190</v>
      </c>
      <c r="N234" s="2">
        <v>190</v>
      </c>
      <c r="O234" s="2"/>
      <c r="P234" s="137" t="e">
        <f t="shared" si="21"/>
        <v>#DIV/0!</v>
      </c>
      <c r="Q234" s="137">
        <f t="shared" si="22"/>
        <v>0</v>
      </c>
      <c r="R234" s="138">
        <f>IF(N234="nio",0,IF(N234&gt;0,VLOOKUP(I234,'3-Productie normen'!A:V,VLOOKUP(N234,'3-Productie normen'!$B$35:$C$56,2,FALSE),FALSE)))/VLOOKUP(B234,'2-Kosten per locatie'!$A$11:$C$18,3,FALSE)</f>
        <v>0</v>
      </c>
      <c r="S234" s="138">
        <f t="shared" si="23"/>
        <v>0</v>
      </c>
      <c r="T234" s="139" t="str">
        <f>VLOOKUP(I234,'3-Productie normen'!A:AF,28,FALSE)</f>
        <v>V</v>
      </c>
      <c r="U234" s="140"/>
      <c r="W234" s="141">
        <f t="shared" si="24"/>
        <v>3040</v>
      </c>
    </row>
    <row r="235" spans="1:23" ht="13.9" customHeight="1">
      <c r="A235" s="132">
        <v>235</v>
      </c>
      <c r="B235" s="49" t="s">
        <v>1678</v>
      </c>
      <c r="C235" s="49" t="s">
        <v>665</v>
      </c>
      <c r="D235" s="145" t="s">
        <v>353</v>
      </c>
      <c r="E235" s="146" t="s">
        <v>755</v>
      </c>
      <c r="F235" s="146"/>
      <c r="G235" s="145"/>
      <c r="H235" s="145" t="s">
        <v>304</v>
      </c>
      <c r="I235" s="49" t="s">
        <v>1486</v>
      </c>
      <c r="J235" s="145" t="s">
        <v>352</v>
      </c>
      <c r="K235" s="145"/>
      <c r="L235" s="135">
        <v>26</v>
      </c>
      <c r="M235" s="136">
        <f t="shared" si="20"/>
        <v>190</v>
      </c>
      <c r="N235" s="2">
        <v>190</v>
      </c>
      <c r="O235" s="2"/>
      <c r="P235" s="137" t="e">
        <f t="shared" si="21"/>
        <v>#DIV/0!</v>
      </c>
      <c r="Q235" s="137">
        <f t="shared" si="22"/>
        <v>0</v>
      </c>
      <c r="R235" s="138">
        <f>IF(N235="nio",0,IF(N235&gt;0,VLOOKUP(I235,'3-Productie normen'!A:V,VLOOKUP(N235,'3-Productie normen'!$B$35:$C$56,2,FALSE),FALSE)))/VLOOKUP(B235,'2-Kosten per locatie'!$A$11:$C$18,3,FALSE)</f>
        <v>0</v>
      </c>
      <c r="S235" s="138">
        <f t="shared" si="23"/>
        <v>0</v>
      </c>
      <c r="T235" s="139" t="str">
        <f>VLOOKUP(I235,'3-Productie normen'!A:AF,28,FALSE)</f>
        <v>V</v>
      </c>
      <c r="U235" s="140"/>
      <c r="W235" s="141">
        <f t="shared" si="24"/>
        <v>4940</v>
      </c>
    </row>
    <row r="236" spans="1:23" ht="13.9" customHeight="1">
      <c r="A236" s="132">
        <v>236</v>
      </c>
      <c r="B236" s="49" t="s">
        <v>1678</v>
      </c>
      <c r="C236" s="49" t="s">
        <v>665</v>
      </c>
      <c r="D236" s="145" t="s">
        <v>756</v>
      </c>
      <c r="E236" s="146" t="s">
        <v>757</v>
      </c>
      <c r="F236" s="146"/>
      <c r="G236" s="145"/>
      <c r="H236" s="145" t="s">
        <v>758</v>
      </c>
      <c r="I236" s="145" t="s">
        <v>284</v>
      </c>
      <c r="J236" s="145" t="s">
        <v>352</v>
      </c>
      <c r="K236" s="145"/>
      <c r="L236" s="135">
        <v>8</v>
      </c>
      <c r="M236" s="136">
        <f t="shared" si="20"/>
        <v>76</v>
      </c>
      <c r="N236" s="2">
        <v>76</v>
      </c>
      <c r="O236" s="2"/>
      <c r="P236" s="137" t="e">
        <f t="shared" si="21"/>
        <v>#DIV/0!</v>
      </c>
      <c r="Q236" s="137">
        <f t="shared" si="22"/>
        <v>0</v>
      </c>
      <c r="R236" s="138">
        <f>IF(N236="nio",0,IF(N236&gt;0,VLOOKUP(I236,'3-Productie normen'!A:V,VLOOKUP(N236,'3-Productie normen'!$B$35:$C$56,2,FALSE),FALSE)))/VLOOKUP(B236,'2-Kosten per locatie'!$A$11:$C$18,3,FALSE)</f>
        <v>0</v>
      </c>
      <c r="S236" s="138">
        <f t="shared" si="23"/>
        <v>0</v>
      </c>
      <c r="T236" s="139" t="str">
        <f>VLOOKUP(I236,'3-Productie normen'!A:AF,28,FALSE)</f>
        <v>L</v>
      </c>
      <c r="U236" s="140"/>
      <c r="W236" s="141">
        <f t="shared" si="24"/>
        <v>608</v>
      </c>
    </row>
    <row r="237" spans="1:23" ht="13.9" customHeight="1">
      <c r="A237" s="118">
        <v>237</v>
      </c>
      <c r="B237" s="49" t="s">
        <v>1678</v>
      </c>
      <c r="C237" s="49" t="s">
        <v>665</v>
      </c>
      <c r="D237" s="145" t="s">
        <v>756</v>
      </c>
      <c r="E237" s="146" t="s">
        <v>759</v>
      </c>
      <c r="F237" s="146"/>
      <c r="G237" s="145"/>
      <c r="H237" s="145" t="s">
        <v>758</v>
      </c>
      <c r="I237" s="145" t="s">
        <v>284</v>
      </c>
      <c r="J237" s="145" t="s">
        <v>352</v>
      </c>
      <c r="K237" s="145"/>
      <c r="L237" s="135">
        <v>8</v>
      </c>
      <c r="M237" s="136">
        <f t="shared" si="20"/>
        <v>76</v>
      </c>
      <c r="N237" s="2">
        <v>76</v>
      </c>
      <c r="O237" s="2"/>
      <c r="P237" s="137" t="e">
        <f t="shared" si="21"/>
        <v>#DIV/0!</v>
      </c>
      <c r="Q237" s="137">
        <f t="shared" si="22"/>
        <v>0</v>
      </c>
      <c r="R237" s="138">
        <f>IF(N237="nio",0,IF(N237&gt;0,VLOOKUP(I237,'3-Productie normen'!A:V,VLOOKUP(N237,'3-Productie normen'!$B$35:$C$56,2,FALSE),FALSE)))/VLOOKUP(B237,'2-Kosten per locatie'!$A$11:$C$18,3,FALSE)</f>
        <v>0</v>
      </c>
      <c r="S237" s="138">
        <f t="shared" si="23"/>
        <v>0</v>
      </c>
      <c r="T237" s="139" t="str">
        <f>VLOOKUP(I237,'3-Productie normen'!A:AF,28,FALSE)</f>
        <v>L</v>
      </c>
      <c r="U237" s="140"/>
      <c r="W237" s="141">
        <f t="shared" si="24"/>
        <v>608</v>
      </c>
    </row>
    <row r="238" spans="1:23" ht="13.9" customHeight="1">
      <c r="A238" s="132">
        <v>238</v>
      </c>
      <c r="B238" s="49" t="s">
        <v>1678</v>
      </c>
      <c r="C238" s="49" t="s">
        <v>665</v>
      </c>
      <c r="D238" s="145" t="s">
        <v>756</v>
      </c>
      <c r="E238" s="146" t="s">
        <v>760</v>
      </c>
      <c r="F238" s="146"/>
      <c r="G238" s="145"/>
      <c r="H238" s="145" t="s">
        <v>758</v>
      </c>
      <c r="I238" s="145" t="s">
        <v>284</v>
      </c>
      <c r="J238" s="145" t="s">
        <v>352</v>
      </c>
      <c r="K238" s="145"/>
      <c r="L238" s="135">
        <v>8</v>
      </c>
      <c r="M238" s="136">
        <f t="shared" si="20"/>
        <v>76</v>
      </c>
      <c r="N238" s="2">
        <v>76</v>
      </c>
      <c r="O238" s="2"/>
      <c r="P238" s="137" t="e">
        <f t="shared" si="21"/>
        <v>#DIV/0!</v>
      </c>
      <c r="Q238" s="137">
        <f t="shared" si="22"/>
        <v>0</v>
      </c>
      <c r="R238" s="138">
        <f>IF(N238="nio",0,IF(N238&gt;0,VLOOKUP(I238,'3-Productie normen'!A:V,VLOOKUP(N238,'3-Productie normen'!$B$35:$C$56,2,FALSE),FALSE)))/VLOOKUP(B238,'2-Kosten per locatie'!$A$11:$C$18,3,FALSE)</f>
        <v>0</v>
      </c>
      <c r="S238" s="138">
        <f t="shared" si="23"/>
        <v>0</v>
      </c>
      <c r="T238" s="139" t="str">
        <f>VLOOKUP(I238,'3-Productie normen'!A:AF,28,FALSE)</f>
        <v>L</v>
      </c>
      <c r="U238" s="140"/>
      <c r="W238" s="141">
        <f t="shared" si="24"/>
        <v>608</v>
      </c>
    </row>
    <row r="239" spans="1:23" ht="13.9" customHeight="1">
      <c r="A239" s="132">
        <v>239</v>
      </c>
      <c r="B239" s="49" t="s">
        <v>1678</v>
      </c>
      <c r="C239" s="49" t="s">
        <v>665</v>
      </c>
      <c r="D239" s="145" t="s">
        <v>756</v>
      </c>
      <c r="E239" s="146" t="s">
        <v>761</v>
      </c>
      <c r="F239" s="146"/>
      <c r="G239" s="145"/>
      <c r="H239" s="145" t="s">
        <v>758</v>
      </c>
      <c r="I239" s="145" t="s">
        <v>284</v>
      </c>
      <c r="J239" s="145" t="s">
        <v>352</v>
      </c>
      <c r="K239" s="145"/>
      <c r="L239" s="135">
        <v>7</v>
      </c>
      <c r="M239" s="136">
        <f t="shared" si="20"/>
        <v>76</v>
      </c>
      <c r="N239" s="2">
        <v>76</v>
      </c>
      <c r="O239" s="2"/>
      <c r="P239" s="137" t="e">
        <f t="shared" si="21"/>
        <v>#DIV/0!</v>
      </c>
      <c r="Q239" s="137">
        <f t="shared" si="22"/>
        <v>0</v>
      </c>
      <c r="R239" s="138">
        <f>IF(N239="nio",0,IF(N239&gt;0,VLOOKUP(I239,'3-Productie normen'!A:V,VLOOKUP(N239,'3-Productie normen'!$B$35:$C$56,2,FALSE),FALSE)))/VLOOKUP(B239,'2-Kosten per locatie'!$A$11:$C$18,3,FALSE)</f>
        <v>0</v>
      </c>
      <c r="S239" s="138">
        <f t="shared" si="23"/>
        <v>0</v>
      </c>
      <c r="T239" s="139" t="str">
        <f>VLOOKUP(I239,'3-Productie normen'!A:AF,28,FALSE)</f>
        <v>L</v>
      </c>
      <c r="U239" s="140"/>
      <c r="W239" s="141">
        <f t="shared" si="24"/>
        <v>532</v>
      </c>
    </row>
    <row r="240" spans="1:23" ht="13.9" customHeight="1">
      <c r="A240" s="118">
        <v>240</v>
      </c>
      <c r="B240" s="49" t="s">
        <v>1678</v>
      </c>
      <c r="C240" s="49" t="s">
        <v>665</v>
      </c>
      <c r="D240" s="145" t="s">
        <v>756</v>
      </c>
      <c r="E240" s="146" t="s">
        <v>762</v>
      </c>
      <c r="F240" s="146"/>
      <c r="G240" s="145"/>
      <c r="H240" s="145" t="s">
        <v>758</v>
      </c>
      <c r="I240" s="145" t="s">
        <v>284</v>
      </c>
      <c r="J240" s="145" t="s">
        <v>352</v>
      </c>
      <c r="K240" s="145"/>
      <c r="L240" s="135">
        <v>8</v>
      </c>
      <c r="M240" s="136">
        <f t="shared" si="20"/>
        <v>76</v>
      </c>
      <c r="N240" s="2">
        <v>76</v>
      </c>
      <c r="O240" s="2"/>
      <c r="P240" s="137" t="e">
        <f t="shared" si="21"/>
        <v>#DIV/0!</v>
      </c>
      <c r="Q240" s="137">
        <f t="shared" si="22"/>
        <v>0</v>
      </c>
      <c r="R240" s="138">
        <f>IF(N240="nio",0,IF(N240&gt;0,VLOOKUP(I240,'3-Productie normen'!A:V,VLOOKUP(N240,'3-Productie normen'!$B$35:$C$56,2,FALSE),FALSE)))/VLOOKUP(B240,'2-Kosten per locatie'!$A$11:$C$18,3,FALSE)</f>
        <v>0</v>
      </c>
      <c r="S240" s="138">
        <f t="shared" si="23"/>
        <v>0</v>
      </c>
      <c r="T240" s="139" t="str">
        <f>VLOOKUP(I240,'3-Productie normen'!A:AF,28,FALSE)</f>
        <v>L</v>
      </c>
      <c r="U240" s="140"/>
      <c r="W240" s="141">
        <f t="shared" si="24"/>
        <v>608</v>
      </c>
    </row>
    <row r="241" spans="1:23" ht="13.9" customHeight="1">
      <c r="A241" s="132">
        <v>241</v>
      </c>
      <c r="B241" s="49" t="s">
        <v>1678</v>
      </c>
      <c r="C241" s="49" t="s">
        <v>665</v>
      </c>
      <c r="D241" s="145" t="s">
        <v>756</v>
      </c>
      <c r="E241" s="146" t="s">
        <v>763</v>
      </c>
      <c r="F241" s="146"/>
      <c r="G241" s="145"/>
      <c r="H241" s="145" t="s">
        <v>764</v>
      </c>
      <c r="I241" s="145" t="s">
        <v>284</v>
      </c>
      <c r="J241" s="145" t="s">
        <v>352</v>
      </c>
      <c r="K241" s="145"/>
      <c r="L241" s="135">
        <v>6</v>
      </c>
      <c r="M241" s="136">
        <f t="shared" si="20"/>
        <v>76</v>
      </c>
      <c r="N241" s="2">
        <v>76</v>
      </c>
      <c r="O241" s="2"/>
      <c r="P241" s="137" t="e">
        <f t="shared" si="21"/>
        <v>#DIV/0!</v>
      </c>
      <c r="Q241" s="137">
        <f t="shared" si="22"/>
        <v>0</v>
      </c>
      <c r="R241" s="138">
        <f>IF(N241="nio",0,IF(N241&gt;0,VLOOKUP(I241,'3-Productie normen'!A:V,VLOOKUP(N241,'3-Productie normen'!$B$35:$C$56,2,FALSE),FALSE)))/VLOOKUP(B241,'2-Kosten per locatie'!$A$11:$C$18,3,FALSE)</f>
        <v>0</v>
      </c>
      <c r="S241" s="138">
        <f t="shared" si="23"/>
        <v>0</v>
      </c>
      <c r="T241" s="139" t="str">
        <f>VLOOKUP(I241,'3-Productie normen'!A:AF,28,FALSE)</f>
        <v>L</v>
      </c>
      <c r="U241" s="140"/>
      <c r="W241" s="141">
        <f t="shared" si="24"/>
        <v>456</v>
      </c>
    </row>
    <row r="242" spans="1:23" ht="13.9" customHeight="1">
      <c r="A242" s="132">
        <v>242</v>
      </c>
      <c r="B242" s="49" t="s">
        <v>1678</v>
      </c>
      <c r="C242" s="49" t="s">
        <v>665</v>
      </c>
      <c r="D242" s="145" t="s">
        <v>756</v>
      </c>
      <c r="E242" s="146" t="s">
        <v>765</v>
      </c>
      <c r="F242" s="146"/>
      <c r="G242" s="145"/>
      <c r="H242" s="145" t="s">
        <v>766</v>
      </c>
      <c r="I242" s="92" t="s">
        <v>274</v>
      </c>
      <c r="J242" s="145" t="s">
        <v>352</v>
      </c>
      <c r="K242" s="145"/>
      <c r="L242" s="135">
        <v>27</v>
      </c>
      <c r="M242" s="136">
        <f t="shared" si="20"/>
        <v>76</v>
      </c>
      <c r="N242" s="2">
        <v>76</v>
      </c>
      <c r="O242" s="2"/>
      <c r="P242" s="137" t="e">
        <f t="shared" si="21"/>
        <v>#DIV/0!</v>
      </c>
      <c r="Q242" s="137">
        <f t="shared" si="22"/>
        <v>0</v>
      </c>
      <c r="R242" s="138">
        <f>IF(N242="nio",0,IF(N242&gt;0,VLOOKUP(I242,'3-Productie normen'!A:V,VLOOKUP(N242,'3-Productie normen'!$B$35:$C$56,2,FALSE),FALSE)))/VLOOKUP(B242,'2-Kosten per locatie'!$A$11:$C$18,3,FALSE)</f>
        <v>0</v>
      </c>
      <c r="S242" s="138">
        <f t="shared" si="23"/>
        <v>0</v>
      </c>
      <c r="T242" s="139" t="str">
        <f>VLOOKUP(I242,'3-Productie normen'!A:AF,28,FALSE)</f>
        <v>B</v>
      </c>
      <c r="U242" s="140"/>
      <c r="W242" s="141">
        <f t="shared" si="24"/>
        <v>2052</v>
      </c>
    </row>
    <row r="243" spans="1:23" ht="13.9" customHeight="1">
      <c r="A243" s="118">
        <v>243</v>
      </c>
      <c r="B243" s="49" t="s">
        <v>1678</v>
      </c>
      <c r="C243" s="49" t="s">
        <v>665</v>
      </c>
      <c r="D243" s="145" t="s">
        <v>756</v>
      </c>
      <c r="E243" s="146" t="s">
        <v>767</v>
      </c>
      <c r="F243" s="146"/>
      <c r="G243" s="145"/>
      <c r="H243" s="145" t="s">
        <v>768</v>
      </c>
      <c r="I243" s="145" t="s">
        <v>284</v>
      </c>
      <c r="J243" s="145" t="s">
        <v>352</v>
      </c>
      <c r="K243" s="145"/>
      <c r="L243" s="135">
        <v>70</v>
      </c>
      <c r="M243" s="136">
        <f t="shared" si="20"/>
        <v>76</v>
      </c>
      <c r="N243" s="2">
        <v>76</v>
      </c>
      <c r="O243" s="2"/>
      <c r="P243" s="137" t="e">
        <f t="shared" si="21"/>
        <v>#DIV/0!</v>
      </c>
      <c r="Q243" s="137">
        <f t="shared" si="22"/>
        <v>0</v>
      </c>
      <c r="R243" s="138">
        <f>IF(N243="nio",0,IF(N243&gt;0,VLOOKUP(I243,'3-Productie normen'!A:V,VLOOKUP(N243,'3-Productie normen'!$B$35:$C$56,2,FALSE),FALSE)))/VLOOKUP(B243,'2-Kosten per locatie'!$A$11:$C$18,3,FALSE)</f>
        <v>0</v>
      </c>
      <c r="S243" s="138">
        <f t="shared" si="23"/>
        <v>0</v>
      </c>
      <c r="T243" s="139" t="str">
        <f>VLOOKUP(I243,'3-Productie normen'!A:AF,28,FALSE)</f>
        <v>L</v>
      </c>
      <c r="U243" s="140"/>
      <c r="W243" s="141">
        <f t="shared" si="24"/>
        <v>5320</v>
      </c>
    </row>
    <row r="244" spans="1:23" ht="13.9" customHeight="1">
      <c r="A244" s="132">
        <v>244</v>
      </c>
      <c r="B244" s="49" t="s">
        <v>1678</v>
      </c>
      <c r="C244" s="49" t="s">
        <v>665</v>
      </c>
      <c r="D244" s="145" t="s">
        <v>756</v>
      </c>
      <c r="E244" s="146" t="s">
        <v>769</v>
      </c>
      <c r="F244" s="146"/>
      <c r="G244" s="145"/>
      <c r="H244" s="145" t="s">
        <v>770</v>
      </c>
      <c r="I244" s="145" t="s">
        <v>284</v>
      </c>
      <c r="J244" s="145" t="s">
        <v>352</v>
      </c>
      <c r="K244" s="145"/>
      <c r="L244" s="135">
        <v>73</v>
      </c>
      <c r="M244" s="136">
        <f t="shared" si="20"/>
        <v>76</v>
      </c>
      <c r="N244" s="2">
        <v>76</v>
      </c>
      <c r="O244" s="2"/>
      <c r="P244" s="137" t="e">
        <f t="shared" si="21"/>
        <v>#DIV/0!</v>
      </c>
      <c r="Q244" s="137">
        <f t="shared" si="22"/>
        <v>0</v>
      </c>
      <c r="R244" s="138">
        <f>IF(N244="nio",0,IF(N244&gt;0,VLOOKUP(I244,'3-Productie normen'!A:V,VLOOKUP(N244,'3-Productie normen'!$B$35:$C$56,2,FALSE),FALSE)))/VLOOKUP(B244,'2-Kosten per locatie'!$A$11:$C$18,3,FALSE)</f>
        <v>0</v>
      </c>
      <c r="S244" s="138">
        <f t="shared" si="23"/>
        <v>0</v>
      </c>
      <c r="T244" s="139" t="str">
        <f>VLOOKUP(I244,'3-Productie normen'!A:AF,28,FALSE)</f>
        <v>L</v>
      </c>
      <c r="U244" s="140"/>
      <c r="W244" s="141">
        <f t="shared" si="24"/>
        <v>5548</v>
      </c>
    </row>
    <row r="245" spans="1:23" ht="13.9" customHeight="1">
      <c r="A245" s="132">
        <v>245</v>
      </c>
      <c r="B245" s="49" t="s">
        <v>1678</v>
      </c>
      <c r="C245" s="49" t="s">
        <v>665</v>
      </c>
      <c r="D245" s="145" t="s">
        <v>756</v>
      </c>
      <c r="E245" s="146" t="s">
        <v>771</v>
      </c>
      <c r="F245" s="146"/>
      <c r="G245" s="145"/>
      <c r="H245" s="145" t="s">
        <v>772</v>
      </c>
      <c r="I245" s="145" t="s">
        <v>284</v>
      </c>
      <c r="J245" s="145" t="s">
        <v>352</v>
      </c>
      <c r="K245" s="145"/>
      <c r="L245" s="135">
        <v>60</v>
      </c>
      <c r="M245" s="136">
        <f t="shared" si="20"/>
        <v>76</v>
      </c>
      <c r="N245" s="2">
        <v>76</v>
      </c>
      <c r="O245" s="2"/>
      <c r="P245" s="137" t="e">
        <f t="shared" si="21"/>
        <v>#DIV/0!</v>
      </c>
      <c r="Q245" s="137">
        <f t="shared" si="22"/>
        <v>0</v>
      </c>
      <c r="R245" s="138">
        <f>IF(N245="nio",0,IF(N245&gt;0,VLOOKUP(I245,'3-Productie normen'!A:V,VLOOKUP(N245,'3-Productie normen'!$B$35:$C$56,2,FALSE),FALSE)))/VLOOKUP(B245,'2-Kosten per locatie'!$A$11:$C$18,3,FALSE)</f>
        <v>0</v>
      </c>
      <c r="S245" s="138">
        <f t="shared" si="23"/>
        <v>0</v>
      </c>
      <c r="T245" s="139" t="str">
        <f>VLOOKUP(I245,'3-Productie normen'!A:AF,28,FALSE)</f>
        <v>L</v>
      </c>
      <c r="U245" s="140"/>
      <c r="W245" s="141">
        <f t="shared" si="24"/>
        <v>4560</v>
      </c>
    </row>
    <row r="246" spans="1:23" ht="13.9" customHeight="1">
      <c r="A246" s="118">
        <v>246</v>
      </c>
      <c r="B246" s="49" t="s">
        <v>1678</v>
      </c>
      <c r="C246" s="49" t="s">
        <v>665</v>
      </c>
      <c r="D246" s="145" t="s">
        <v>756</v>
      </c>
      <c r="E246" s="146" t="s">
        <v>773</v>
      </c>
      <c r="F246" s="146"/>
      <c r="G246" s="145"/>
      <c r="H246" s="145" t="s">
        <v>691</v>
      </c>
      <c r="I246" s="1" t="s">
        <v>242</v>
      </c>
      <c r="J246" s="145" t="s">
        <v>352</v>
      </c>
      <c r="K246" s="145"/>
      <c r="L246" s="135">
        <v>9</v>
      </c>
      <c r="M246" s="136">
        <f t="shared" si="20"/>
        <v>2</v>
      </c>
      <c r="N246" s="2">
        <v>2</v>
      </c>
      <c r="O246" s="2"/>
      <c r="P246" s="137" t="e">
        <f t="shared" si="21"/>
        <v>#DIV/0!</v>
      </c>
      <c r="Q246" s="137">
        <f t="shared" si="22"/>
        <v>0</v>
      </c>
      <c r="R246" s="138">
        <f>IF(N246="nio",0,IF(N246&gt;0,VLOOKUP(I246,'3-Productie normen'!A:V,VLOOKUP(N246,'3-Productie normen'!$B$35:$C$56,2,FALSE),FALSE)))/VLOOKUP(B246,'2-Kosten per locatie'!$A$11:$C$18,3,FALSE)</f>
        <v>0</v>
      </c>
      <c r="S246" s="138">
        <f t="shared" si="23"/>
        <v>0</v>
      </c>
      <c r="T246" s="139" t="str">
        <f>VLOOKUP(I246,'3-Productie normen'!A:AF,28,FALSE)</f>
        <v>V</v>
      </c>
      <c r="U246" s="140"/>
      <c r="W246" s="141">
        <f t="shared" si="24"/>
        <v>18</v>
      </c>
    </row>
    <row r="247" spans="1:23" ht="13.9" customHeight="1">
      <c r="A247" s="132">
        <v>247</v>
      </c>
      <c r="B247" s="49" t="s">
        <v>1678</v>
      </c>
      <c r="C247" s="49" t="s">
        <v>665</v>
      </c>
      <c r="D247" s="145" t="s">
        <v>756</v>
      </c>
      <c r="E247" s="146" t="s">
        <v>774</v>
      </c>
      <c r="F247" s="146"/>
      <c r="G247" s="145"/>
      <c r="H247" s="145" t="s">
        <v>749</v>
      </c>
      <c r="I247" s="145" t="s">
        <v>284</v>
      </c>
      <c r="J247" s="145" t="s">
        <v>352</v>
      </c>
      <c r="K247" s="145"/>
      <c r="L247" s="135">
        <v>12</v>
      </c>
      <c r="M247" s="136">
        <f t="shared" si="20"/>
        <v>76</v>
      </c>
      <c r="N247" s="2">
        <v>76</v>
      </c>
      <c r="O247" s="2"/>
      <c r="P247" s="137" t="e">
        <f t="shared" si="21"/>
        <v>#DIV/0!</v>
      </c>
      <c r="Q247" s="137">
        <f t="shared" si="22"/>
        <v>0</v>
      </c>
      <c r="R247" s="138">
        <f>IF(N247="nio",0,IF(N247&gt;0,VLOOKUP(I247,'3-Productie normen'!A:V,VLOOKUP(N247,'3-Productie normen'!$B$35:$C$56,2,FALSE),FALSE)))/VLOOKUP(B247,'2-Kosten per locatie'!$A$11:$C$18,3,FALSE)</f>
        <v>0</v>
      </c>
      <c r="S247" s="138">
        <f t="shared" si="23"/>
        <v>0</v>
      </c>
      <c r="T247" s="139" t="str">
        <f>VLOOKUP(I247,'3-Productie normen'!A:AF,28,FALSE)</f>
        <v>L</v>
      </c>
      <c r="U247" s="140"/>
      <c r="W247" s="141">
        <f t="shared" si="24"/>
        <v>912</v>
      </c>
    </row>
    <row r="248" spans="1:23" ht="13.9" customHeight="1">
      <c r="A248" s="132">
        <v>248</v>
      </c>
      <c r="B248" s="49" t="s">
        <v>1678</v>
      </c>
      <c r="C248" s="49" t="s">
        <v>665</v>
      </c>
      <c r="D248" s="145" t="s">
        <v>756</v>
      </c>
      <c r="E248" s="146" t="s">
        <v>775</v>
      </c>
      <c r="F248" s="146"/>
      <c r="G248" s="145"/>
      <c r="H248" s="147" t="s">
        <v>776</v>
      </c>
      <c r="I248" s="145" t="s">
        <v>285</v>
      </c>
      <c r="J248" s="145" t="s">
        <v>352</v>
      </c>
      <c r="K248" s="145"/>
      <c r="L248" s="135">
        <v>6</v>
      </c>
      <c r="M248" s="136">
        <f t="shared" si="20"/>
        <v>190</v>
      </c>
      <c r="N248" s="2">
        <v>190</v>
      </c>
      <c r="O248" s="2"/>
      <c r="P248" s="137" t="e">
        <f t="shared" si="21"/>
        <v>#DIV/0!</v>
      </c>
      <c r="Q248" s="137">
        <f t="shared" si="22"/>
        <v>0</v>
      </c>
      <c r="R248" s="138">
        <f>IF(N248="nio",0,IF(N248&gt;0,VLOOKUP(I248,'3-Productie normen'!A:V,VLOOKUP(N248,'3-Productie normen'!$B$35:$C$56,2,FALSE),FALSE)))/VLOOKUP(B248,'2-Kosten per locatie'!$A$11:$C$18,3,FALSE)</f>
        <v>0</v>
      </c>
      <c r="S248" s="138">
        <f t="shared" si="23"/>
        <v>0</v>
      </c>
      <c r="T248" s="139" t="str">
        <f>VLOOKUP(I248,'3-Productie normen'!A:AF,28,FALSE)</f>
        <v>L</v>
      </c>
      <c r="U248" s="140"/>
      <c r="W248" s="141">
        <f t="shared" si="24"/>
        <v>1140</v>
      </c>
    </row>
    <row r="249" spans="1:23" ht="13.9" customHeight="1">
      <c r="A249" s="118">
        <v>249</v>
      </c>
      <c r="B249" s="49" t="s">
        <v>1678</v>
      </c>
      <c r="C249" s="49" t="s">
        <v>665</v>
      </c>
      <c r="D249" s="145" t="s">
        <v>756</v>
      </c>
      <c r="E249" s="146" t="s">
        <v>777</v>
      </c>
      <c r="F249" s="146"/>
      <c r="G249" s="145"/>
      <c r="H249" s="145" t="s">
        <v>778</v>
      </c>
      <c r="I249" s="49" t="s">
        <v>242</v>
      </c>
      <c r="J249" s="145" t="s">
        <v>352</v>
      </c>
      <c r="K249" s="145"/>
      <c r="L249" s="135">
        <v>7</v>
      </c>
      <c r="M249" s="136">
        <f t="shared" si="20"/>
        <v>2</v>
      </c>
      <c r="N249" s="2">
        <v>2</v>
      </c>
      <c r="O249" s="2"/>
      <c r="P249" s="137" t="e">
        <f t="shared" si="21"/>
        <v>#DIV/0!</v>
      </c>
      <c r="Q249" s="137">
        <f t="shared" si="22"/>
        <v>0</v>
      </c>
      <c r="R249" s="138">
        <f>IF(N249="nio",0,IF(N249&gt;0,VLOOKUP(I249,'3-Productie normen'!A:V,VLOOKUP(N249,'3-Productie normen'!$B$35:$C$56,2,FALSE),FALSE)))/VLOOKUP(B249,'2-Kosten per locatie'!$A$11:$C$18,3,FALSE)</f>
        <v>0</v>
      </c>
      <c r="S249" s="138">
        <f t="shared" si="23"/>
        <v>0</v>
      </c>
      <c r="T249" s="139" t="str">
        <f>VLOOKUP(I249,'3-Productie normen'!A:AF,28,FALSE)</f>
        <v>V</v>
      </c>
      <c r="U249" s="140"/>
      <c r="W249" s="141">
        <f t="shared" si="24"/>
        <v>14</v>
      </c>
    </row>
    <row r="250" spans="1:23" ht="13.9" customHeight="1">
      <c r="A250" s="132">
        <v>250</v>
      </c>
      <c r="B250" s="49" t="s">
        <v>1678</v>
      </c>
      <c r="C250" s="49" t="s">
        <v>665</v>
      </c>
      <c r="D250" s="145" t="s">
        <v>756</v>
      </c>
      <c r="E250" s="146" t="s">
        <v>779</v>
      </c>
      <c r="F250" s="146"/>
      <c r="G250" s="145"/>
      <c r="H250" s="145" t="s">
        <v>780</v>
      </c>
      <c r="I250" s="145" t="s">
        <v>284</v>
      </c>
      <c r="J250" s="145" t="s">
        <v>352</v>
      </c>
      <c r="K250" s="145"/>
      <c r="L250" s="135">
        <v>14</v>
      </c>
      <c r="M250" s="136">
        <f t="shared" si="20"/>
        <v>76</v>
      </c>
      <c r="N250" s="2">
        <v>76</v>
      </c>
      <c r="O250" s="2"/>
      <c r="P250" s="137" t="e">
        <f t="shared" si="21"/>
        <v>#DIV/0!</v>
      </c>
      <c r="Q250" s="137">
        <f t="shared" si="22"/>
        <v>0</v>
      </c>
      <c r="R250" s="138">
        <f>IF(N250="nio",0,IF(N250&gt;0,VLOOKUP(I250,'3-Productie normen'!A:V,VLOOKUP(N250,'3-Productie normen'!$B$35:$C$56,2,FALSE),FALSE)))/VLOOKUP(B250,'2-Kosten per locatie'!$A$11:$C$18,3,FALSE)</f>
        <v>0</v>
      </c>
      <c r="S250" s="138">
        <f t="shared" si="23"/>
        <v>0</v>
      </c>
      <c r="T250" s="139" t="str">
        <f>VLOOKUP(I250,'3-Productie normen'!A:AF,28,FALSE)</f>
        <v>L</v>
      </c>
      <c r="U250" s="140"/>
      <c r="W250" s="141">
        <f t="shared" si="24"/>
        <v>1064</v>
      </c>
    </row>
    <row r="251" spans="1:23" ht="13.9" customHeight="1">
      <c r="A251" s="132">
        <v>251</v>
      </c>
      <c r="B251" s="49" t="s">
        <v>1678</v>
      </c>
      <c r="C251" s="49" t="s">
        <v>665</v>
      </c>
      <c r="D251" s="145" t="s">
        <v>756</v>
      </c>
      <c r="E251" s="146" t="s">
        <v>781</v>
      </c>
      <c r="F251" s="146"/>
      <c r="G251" s="145"/>
      <c r="H251" s="145" t="s">
        <v>782</v>
      </c>
      <c r="I251" s="1" t="s">
        <v>242</v>
      </c>
      <c r="J251" s="145" t="s">
        <v>352</v>
      </c>
      <c r="K251" s="145"/>
      <c r="L251" s="135">
        <v>12</v>
      </c>
      <c r="M251" s="136">
        <f t="shared" si="20"/>
        <v>2</v>
      </c>
      <c r="N251" s="2">
        <v>2</v>
      </c>
      <c r="O251" s="2"/>
      <c r="P251" s="137" t="e">
        <f t="shared" si="21"/>
        <v>#DIV/0!</v>
      </c>
      <c r="Q251" s="137">
        <f t="shared" si="22"/>
        <v>0</v>
      </c>
      <c r="R251" s="138">
        <f>IF(N251="nio",0,IF(N251&gt;0,VLOOKUP(I251,'3-Productie normen'!A:V,VLOOKUP(N251,'3-Productie normen'!$B$35:$C$56,2,FALSE),FALSE)))/VLOOKUP(B251,'2-Kosten per locatie'!$A$11:$C$18,3,FALSE)</f>
        <v>0</v>
      </c>
      <c r="S251" s="138">
        <f t="shared" si="23"/>
        <v>0</v>
      </c>
      <c r="T251" s="139" t="str">
        <f>VLOOKUP(I251,'3-Productie normen'!A:AF,28,FALSE)</f>
        <v>V</v>
      </c>
      <c r="U251" s="140"/>
      <c r="W251" s="141">
        <f t="shared" si="24"/>
        <v>24</v>
      </c>
    </row>
    <row r="252" spans="1:23" ht="13.9" customHeight="1">
      <c r="A252" s="118">
        <v>252</v>
      </c>
      <c r="B252" s="49" t="s">
        <v>1678</v>
      </c>
      <c r="C252" s="49" t="s">
        <v>665</v>
      </c>
      <c r="D252" s="145" t="s">
        <v>756</v>
      </c>
      <c r="E252" s="146" t="s">
        <v>783</v>
      </c>
      <c r="F252" s="146"/>
      <c r="G252" s="145"/>
      <c r="H252" s="145" t="s">
        <v>782</v>
      </c>
      <c r="I252" s="1" t="s">
        <v>242</v>
      </c>
      <c r="J252" s="145" t="s">
        <v>352</v>
      </c>
      <c r="K252" s="145"/>
      <c r="L252" s="135">
        <v>9</v>
      </c>
      <c r="M252" s="136">
        <f t="shared" si="20"/>
        <v>2</v>
      </c>
      <c r="N252" s="2">
        <v>2</v>
      </c>
      <c r="O252" s="2"/>
      <c r="P252" s="137" t="e">
        <f t="shared" si="21"/>
        <v>#DIV/0!</v>
      </c>
      <c r="Q252" s="137">
        <f t="shared" si="22"/>
        <v>0</v>
      </c>
      <c r="R252" s="138">
        <f>IF(N252="nio",0,IF(N252&gt;0,VLOOKUP(I252,'3-Productie normen'!A:V,VLOOKUP(N252,'3-Productie normen'!$B$35:$C$56,2,FALSE),FALSE)))/VLOOKUP(B252,'2-Kosten per locatie'!$A$11:$C$18,3,FALSE)</f>
        <v>0</v>
      </c>
      <c r="S252" s="138">
        <f t="shared" si="23"/>
        <v>0</v>
      </c>
      <c r="T252" s="139" t="str">
        <f>VLOOKUP(I252,'3-Productie normen'!A:AF,28,FALSE)</f>
        <v>V</v>
      </c>
      <c r="U252" s="140"/>
      <c r="W252" s="141">
        <f t="shared" si="24"/>
        <v>18</v>
      </c>
    </row>
    <row r="253" spans="1:23" ht="13.9" customHeight="1">
      <c r="A253" s="132">
        <v>253</v>
      </c>
      <c r="B253" s="49" t="s">
        <v>1678</v>
      </c>
      <c r="C253" s="49" t="s">
        <v>665</v>
      </c>
      <c r="D253" s="145" t="s">
        <v>756</v>
      </c>
      <c r="E253" s="146" t="s">
        <v>784</v>
      </c>
      <c r="F253" s="146"/>
      <c r="G253" s="145"/>
      <c r="H253" s="147" t="s">
        <v>785</v>
      </c>
      <c r="I253" s="145" t="s">
        <v>285</v>
      </c>
      <c r="J253" s="145" t="s">
        <v>352</v>
      </c>
      <c r="K253" s="145"/>
      <c r="L253" s="135">
        <v>96</v>
      </c>
      <c r="M253" s="136">
        <f t="shared" si="20"/>
        <v>190</v>
      </c>
      <c r="N253" s="2">
        <v>190</v>
      </c>
      <c r="O253" s="2"/>
      <c r="P253" s="137" t="e">
        <f t="shared" si="21"/>
        <v>#DIV/0!</v>
      </c>
      <c r="Q253" s="137">
        <f t="shared" si="22"/>
        <v>0</v>
      </c>
      <c r="R253" s="138">
        <f>IF(N253="nio",0,IF(N253&gt;0,VLOOKUP(I253,'3-Productie normen'!A:V,VLOOKUP(N253,'3-Productie normen'!$B$35:$C$56,2,FALSE),FALSE)))/VLOOKUP(B253,'2-Kosten per locatie'!$A$11:$C$18,3,FALSE)</f>
        <v>0</v>
      </c>
      <c r="S253" s="138">
        <f t="shared" si="23"/>
        <v>0</v>
      </c>
      <c r="T253" s="139" t="str">
        <f>VLOOKUP(I253,'3-Productie normen'!A:AF,28,FALSE)</f>
        <v>L</v>
      </c>
      <c r="U253" s="140"/>
      <c r="W253" s="141">
        <f t="shared" si="24"/>
        <v>18240</v>
      </c>
    </row>
    <row r="254" spans="1:23" ht="13.9" customHeight="1">
      <c r="A254" s="132">
        <v>254</v>
      </c>
      <c r="B254" s="49" t="s">
        <v>1678</v>
      </c>
      <c r="C254" s="49" t="s">
        <v>665</v>
      </c>
      <c r="D254" s="145" t="s">
        <v>756</v>
      </c>
      <c r="E254" s="146" t="s">
        <v>786</v>
      </c>
      <c r="F254" s="146"/>
      <c r="G254" s="145"/>
      <c r="H254" s="145" t="s">
        <v>301</v>
      </c>
      <c r="I254" s="1" t="s">
        <v>233</v>
      </c>
      <c r="J254" s="145" t="s">
        <v>352</v>
      </c>
      <c r="K254" s="145"/>
      <c r="L254" s="135">
        <v>27</v>
      </c>
      <c r="M254" s="136">
        <f t="shared" si="20"/>
        <v>190</v>
      </c>
      <c r="N254" s="2">
        <v>190</v>
      </c>
      <c r="O254" s="2"/>
      <c r="P254" s="137" t="e">
        <f t="shared" si="21"/>
        <v>#DIV/0!</v>
      </c>
      <c r="Q254" s="137">
        <f t="shared" si="22"/>
        <v>0</v>
      </c>
      <c r="R254" s="138">
        <f>IF(N254="nio",0,IF(N254&gt;0,VLOOKUP(I254,'3-Productie normen'!A:V,VLOOKUP(N254,'3-Productie normen'!$B$35:$C$56,2,FALSE),FALSE)))/VLOOKUP(B254,'2-Kosten per locatie'!$A$11:$C$18,3,FALSE)</f>
        <v>0</v>
      </c>
      <c r="S254" s="138">
        <f t="shared" si="23"/>
        <v>0</v>
      </c>
      <c r="T254" s="139" t="str">
        <f>VLOOKUP(I254,'3-Productie normen'!A:AF,28,FALSE)</f>
        <v>V</v>
      </c>
      <c r="U254" s="140"/>
      <c r="W254" s="141">
        <f t="shared" si="24"/>
        <v>5130</v>
      </c>
    </row>
    <row r="255" spans="1:23" ht="13.9" customHeight="1">
      <c r="A255" s="118">
        <v>255</v>
      </c>
      <c r="B255" s="49" t="s">
        <v>1678</v>
      </c>
      <c r="C255" s="49" t="s">
        <v>665</v>
      </c>
      <c r="D255" s="145" t="s">
        <v>756</v>
      </c>
      <c r="E255" s="146" t="s">
        <v>787</v>
      </c>
      <c r="F255" s="146"/>
      <c r="G255" s="145"/>
      <c r="H255" s="145" t="s">
        <v>304</v>
      </c>
      <c r="I255" s="49" t="s">
        <v>1486</v>
      </c>
      <c r="J255" s="145" t="s">
        <v>352</v>
      </c>
      <c r="K255" s="145"/>
      <c r="L255" s="135">
        <v>242</v>
      </c>
      <c r="M255" s="136">
        <f t="shared" si="20"/>
        <v>190</v>
      </c>
      <c r="N255" s="2">
        <v>190</v>
      </c>
      <c r="O255" s="2"/>
      <c r="P255" s="137" t="e">
        <f t="shared" si="21"/>
        <v>#DIV/0!</v>
      </c>
      <c r="Q255" s="137">
        <f t="shared" si="22"/>
        <v>0</v>
      </c>
      <c r="R255" s="138">
        <f>IF(N255="nio",0,IF(N255&gt;0,VLOOKUP(I255,'3-Productie normen'!A:V,VLOOKUP(N255,'3-Productie normen'!$B$35:$C$56,2,FALSE),FALSE)))/VLOOKUP(B255,'2-Kosten per locatie'!$A$11:$C$18,3,FALSE)</f>
        <v>0</v>
      </c>
      <c r="S255" s="138">
        <f t="shared" si="23"/>
        <v>0</v>
      </c>
      <c r="T255" s="139" t="str">
        <f>VLOOKUP(I255,'3-Productie normen'!A:AF,28,FALSE)</f>
        <v>V</v>
      </c>
      <c r="U255" s="140"/>
      <c r="W255" s="141">
        <f t="shared" si="24"/>
        <v>45980</v>
      </c>
    </row>
    <row r="256" spans="1:23" ht="13.9" customHeight="1">
      <c r="A256" s="132">
        <v>256</v>
      </c>
      <c r="B256" s="49" t="s">
        <v>1678</v>
      </c>
      <c r="C256" s="49" t="s">
        <v>665</v>
      </c>
      <c r="D256" s="145" t="s">
        <v>756</v>
      </c>
      <c r="E256" s="146" t="s">
        <v>788</v>
      </c>
      <c r="F256" s="146"/>
      <c r="G256" s="145"/>
      <c r="H256" s="145" t="s">
        <v>304</v>
      </c>
      <c r="I256" s="49" t="s">
        <v>1486</v>
      </c>
      <c r="J256" s="145" t="s">
        <v>352</v>
      </c>
      <c r="K256" s="145"/>
      <c r="L256" s="135">
        <v>125</v>
      </c>
      <c r="M256" s="136">
        <f t="shared" si="20"/>
        <v>190</v>
      </c>
      <c r="N256" s="2">
        <v>190</v>
      </c>
      <c r="O256" s="2"/>
      <c r="P256" s="137" t="e">
        <f t="shared" si="21"/>
        <v>#DIV/0!</v>
      </c>
      <c r="Q256" s="137">
        <f t="shared" si="22"/>
        <v>0</v>
      </c>
      <c r="R256" s="138">
        <f>IF(N256="nio",0,IF(N256&gt;0,VLOOKUP(I256,'3-Productie normen'!A:V,VLOOKUP(N256,'3-Productie normen'!$B$35:$C$56,2,FALSE),FALSE)))/VLOOKUP(B256,'2-Kosten per locatie'!$A$11:$C$18,3,FALSE)</f>
        <v>0</v>
      </c>
      <c r="S256" s="138">
        <f t="shared" si="23"/>
        <v>0</v>
      </c>
      <c r="T256" s="139" t="str">
        <f>VLOOKUP(I256,'3-Productie normen'!A:AF,28,FALSE)</f>
        <v>V</v>
      </c>
      <c r="U256" s="140"/>
      <c r="W256" s="141">
        <f t="shared" si="24"/>
        <v>23750</v>
      </c>
    </row>
    <row r="257" spans="1:23" ht="13.9" customHeight="1">
      <c r="A257" s="132">
        <v>257</v>
      </c>
      <c r="B257" s="49" t="s">
        <v>1678</v>
      </c>
      <c r="C257" s="49" t="s">
        <v>665</v>
      </c>
      <c r="D257" s="145" t="s">
        <v>756</v>
      </c>
      <c r="E257" s="146" t="s">
        <v>789</v>
      </c>
      <c r="F257" s="146"/>
      <c r="G257" s="145"/>
      <c r="H257" s="145" t="s">
        <v>356</v>
      </c>
      <c r="I257" s="145" t="s">
        <v>284</v>
      </c>
      <c r="J257" s="145" t="s">
        <v>352</v>
      </c>
      <c r="K257" s="145"/>
      <c r="L257" s="135">
        <v>91.34</v>
      </c>
      <c r="M257" s="136">
        <f t="shared" si="20"/>
        <v>76</v>
      </c>
      <c r="N257" s="2">
        <v>76</v>
      </c>
      <c r="O257" s="2"/>
      <c r="P257" s="137" t="e">
        <f t="shared" si="21"/>
        <v>#DIV/0!</v>
      </c>
      <c r="Q257" s="137">
        <f t="shared" si="22"/>
        <v>0</v>
      </c>
      <c r="R257" s="138">
        <f>IF(N257="nio",0,IF(N257&gt;0,VLOOKUP(I257,'3-Productie normen'!A:V,VLOOKUP(N257,'3-Productie normen'!$B$35:$C$56,2,FALSE),FALSE)))/VLOOKUP(B257,'2-Kosten per locatie'!$A$11:$C$18,3,FALSE)</f>
        <v>0</v>
      </c>
      <c r="S257" s="138">
        <f t="shared" si="23"/>
        <v>0</v>
      </c>
      <c r="T257" s="139" t="str">
        <f>VLOOKUP(I257,'3-Productie normen'!A:AF,28,FALSE)</f>
        <v>L</v>
      </c>
      <c r="U257" s="140"/>
      <c r="W257" s="141">
        <f t="shared" si="24"/>
        <v>6941.84</v>
      </c>
    </row>
    <row r="258" spans="1:23" ht="13.9" customHeight="1">
      <c r="A258" s="118">
        <v>258</v>
      </c>
      <c r="B258" s="49" t="s">
        <v>1678</v>
      </c>
      <c r="C258" s="49" t="s">
        <v>665</v>
      </c>
      <c r="D258" s="145" t="s">
        <v>756</v>
      </c>
      <c r="E258" s="146" t="s">
        <v>790</v>
      </c>
      <c r="F258" s="146"/>
      <c r="G258" s="145"/>
      <c r="H258" s="145" t="s">
        <v>356</v>
      </c>
      <c r="I258" s="145" t="s">
        <v>284</v>
      </c>
      <c r="J258" s="145" t="s">
        <v>352</v>
      </c>
      <c r="K258" s="145"/>
      <c r="L258" s="135">
        <v>62.6</v>
      </c>
      <c r="M258" s="136">
        <f t="shared" si="20"/>
        <v>76</v>
      </c>
      <c r="N258" s="2">
        <v>76</v>
      </c>
      <c r="O258" s="2"/>
      <c r="P258" s="137" t="e">
        <f t="shared" si="21"/>
        <v>#DIV/0!</v>
      </c>
      <c r="Q258" s="137">
        <f t="shared" si="22"/>
        <v>0</v>
      </c>
      <c r="R258" s="138">
        <f>IF(N258="nio",0,IF(N258&gt;0,VLOOKUP(I258,'3-Productie normen'!A:V,VLOOKUP(N258,'3-Productie normen'!$B$35:$C$56,2,FALSE),FALSE)))/VLOOKUP(B258,'2-Kosten per locatie'!$A$11:$C$18,3,FALSE)</f>
        <v>0</v>
      </c>
      <c r="S258" s="138">
        <f t="shared" si="23"/>
        <v>0</v>
      </c>
      <c r="T258" s="139" t="str">
        <f>VLOOKUP(I258,'3-Productie normen'!A:AF,28,FALSE)</f>
        <v>L</v>
      </c>
      <c r="U258" s="140"/>
      <c r="W258" s="141">
        <f t="shared" si="24"/>
        <v>4757.6000000000004</v>
      </c>
    </row>
    <row r="259" spans="1:23" ht="13.9" customHeight="1">
      <c r="A259" s="132">
        <v>259</v>
      </c>
      <c r="B259" s="49" t="s">
        <v>1678</v>
      </c>
      <c r="C259" s="49" t="s">
        <v>665</v>
      </c>
      <c r="D259" s="145" t="s">
        <v>756</v>
      </c>
      <c r="E259" s="146" t="s">
        <v>791</v>
      </c>
      <c r="F259" s="146"/>
      <c r="G259" s="145"/>
      <c r="H259" s="145" t="s">
        <v>356</v>
      </c>
      <c r="I259" s="145" t="s">
        <v>284</v>
      </c>
      <c r="J259" s="145" t="s">
        <v>352</v>
      </c>
      <c r="K259" s="145"/>
      <c r="L259" s="135">
        <v>226.93</v>
      </c>
      <c r="M259" s="136">
        <f t="shared" si="20"/>
        <v>76</v>
      </c>
      <c r="N259" s="2">
        <v>76</v>
      </c>
      <c r="O259" s="2"/>
      <c r="P259" s="137" t="e">
        <f t="shared" si="21"/>
        <v>#DIV/0!</v>
      </c>
      <c r="Q259" s="137">
        <f t="shared" si="22"/>
        <v>0</v>
      </c>
      <c r="R259" s="138">
        <f>IF(N259="nio",0,IF(N259&gt;0,VLOOKUP(I259,'3-Productie normen'!A:V,VLOOKUP(N259,'3-Productie normen'!$B$35:$C$56,2,FALSE),FALSE)))/VLOOKUP(B259,'2-Kosten per locatie'!$A$11:$C$18,3,FALSE)</f>
        <v>0</v>
      </c>
      <c r="S259" s="138">
        <f t="shared" si="23"/>
        <v>0</v>
      </c>
      <c r="T259" s="139" t="str">
        <f>VLOOKUP(I259,'3-Productie normen'!A:AF,28,FALSE)</f>
        <v>L</v>
      </c>
      <c r="U259" s="140"/>
      <c r="W259" s="141">
        <f t="shared" si="24"/>
        <v>17246.68</v>
      </c>
    </row>
    <row r="260" spans="1:23" ht="13.9" customHeight="1">
      <c r="A260" s="132">
        <v>260</v>
      </c>
      <c r="B260" s="49" t="s">
        <v>1678</v>
      </c>
      <c r="C260" s="49" t="s">
        <v>665</v>
      </c>
      <c r="D260" s="145" t="s">
        <v>756</v>
      </c>
      <c r="E260" s="146" t="s">
        <v>792</v>
      </c>
      <c r="F260" s="146"/>
      <c r="G260" s="145"/>
      <c r="H260" s="145" t="s">
        <v>793</v>
      </c>
      <c r="I260" s="145" t="s">
        <v>259</v>
      </c>
      <c r="J260" s="145" t="s">
        <v>744</v>
      </c>
      <c r="K260" s="145"/>
      <c r="L260" s="135">
        <v>6.22</v>
      </c>
      <c r="M260" s="136">
        <f t="shared" si="20"/>
        <v>190</v>
      </c>
      <c r="N260" s="2">
        <v>190</v>
      </c>
      <c r="O260" s="2"/>
      <c r="P260" s="137" t="e">
        <f t="shared" si="21"/>
        <v>#DIV/0!</v>
      </c>
      <c r="Q260" s="137">
        <f t="shared" si="22"/>
        <v>0</v>
      </c>
      <c r="R260" s="138">
        <f>IF(N260="nio",0,IF(N260&gt;0,VLOOKUP(I260,'3-Productie normen'!A:V,VLOOKUP(N260,'3-Productie normen'!$B$35:$C$56,2,FALSE),FALSE)))/VLOOKUP(B260,'2-Kosten per locatie'!$A$11:$C$18,3,FALSE)</f>
        <v>0</v>
      </c>
      <c r="S260" s="138">
        <f t="shared" si="23"/>
        <v>0</v>
      </c>
      <c r="T260" s="139" t="str">
        <f>VLOOKUP(I260,'3-Productie normen'!A:AF,28,FALSE)</f>
        <v>S</v>
      </c>
      <c r="U260" s="140"/>
      <c r="W260" s="141">
        <f t="shared" si="24"/>
        <v>1181.8</v>
      </c>
    </row>
    <row r="261" spans="1:23" ht="13.9" customHeight="1">
      <c r="A261" s="118">
        <v>261</v>
      </c>
      <c r="B261" s="49" t="s">
        <v>1678</v>
      </c>
      <c r="C261" s="49" t="s">
        <v>665</v>
      </c>
      <c r="D261" s="145" t="s">
        <v>756</v>
      </c>
      <c r="E261" s="146" t="s">
        <v>794</v>
      </c>
      <c r="F261" s="146"/>
      <c r="G261" s="145"/>
      <c r="H261" s="145" t="s">
        <v>793</v>
      </c>
      <c r="I261" s="145" t="s">
        <v>259</v>
      </c>
      <c r="J261" s="145" t="s">
        <v>744</v>
      </c>
      <c r="K261" s="145"/>
      <c r="L261" s="135">
        <v>6.22</v>
      </c>
      <c r="M261" s="136">
        <f t="shared" si="20"/>
        <v>190</v>
      </c>
      <c r="N261" s="2">
        <v>190</v>
      </c>
      <c r="O261" s="2"/>
      <c r="P261" s="137" t="e">
        <f t="shared" si="21"/>
        <v>#DIV/0!</v>
      </c>
      <c r="Q261" s="137">
        <f t="shared" si="22"/>
        <v>0</v>
      </c>
      <c r="R261" s="138">
        <f>IF(N261="nio",0,IF(N261&gt;0,VLOOKUP(I261,'3-Productie normen'!A:V,VLOOKUP(N261,'3-Productie normen'!$B$35:$C$56,2,FALSE),FALSE)))/VLOOKUP(B261,'2-Kosten per locatie'!$A$11:$C$18,3,FALSE)</f>
        <v>0</v>
      </c>
      <c r="S261" s="138">
        <f t="shared" si="23"/>
        <v>0</v>
      </c>
      <c r="T261" s="139" t="str">
        <f>VLOOKUP(I261,'3-Productie normen'!A:AF,28,FALSE)</f>
        <v>S</v>
      </c>
      <c r="U261" s="140"/>
      <c r="W261" s="141">
        <f t="shared" si="24"/>
        <v>1181.8</v>
      </c>
    </row>
    <row r="262" spans="1:23" ht="13.9" customHeight="1">
      <c r="A262" s="132">
        <v>262</v>
      </c>
      <c r="B262" s="49" t="s">
        <v>1678</v>
      </c>
      <c r="C262" s="49" t="s">
        <v>665</v>
      </c>
      <c r="D262" s="145" t="s">
        <v>373</v>
      </c>
      <c r="E262" s="146" t="s">
        <v>795</v>
      </c>
      <c r="F262" s="146"/>
      <c r="G262" s="145"/>
      <c r="H262" s="147" t="s">
        <v>796</v>
      </c>
      <c r="I262" s="145" t="s">
        <v>285</v>
      </c>
      <c r="J262" s="145" t="s">
        <v>352</v>
      </c>
      <c r="K262" s="145"/>
      <c r="L262" s="135">
        <v>205</v>
      </c>
      <c r="M262" s="136">
        <f t="shared" si="20"/>
        <v>190</v>
      </c>
      <c r="N262" s="2">
        <v>190</v>
      </c>
      <c r="O262" s="2"/>
      <c r="P262" s="137" t="e">
        <f t="shared" si="21"/>
        <v>#DIV/0!</v>
      </c>
      <c r="Q262" s="137">
        <f t="shared" si="22"/>
        <v>0</v>
      </c>
      <c r="R262" s="138">
        <f>IF(N262="nio",0,IF(N262&gt;0,VLOOKUP(I262,'3-Productie normen'!A:V,VLOOKUP(N262,'3-Productie normen'!$B$35:$C$56,2,FALSE),FALSE)))/VLOOKUP(B262,'2-Kosten per locatie'!$A$11:$C$18,3,FALSE)</f>
        <v>0</v>
      </c>
      <c r="S262" s="138">
        <f t="shared" si="23"/>
        <v>0</v>
      </c>
      <c r="T262" s="139" t="str">
        <f>VLOOKUP(I262,'3-Productie normen'!A:AF,28,FALSE)</f>
        <v>L</v>
      </c>
      <c r="U262" s="140"/>
      <c r="W262" s="141">
        <f t="shared" si="24"/>
        <v>38950</v>
      </c>
    </row>
    <row r="263" spans="1:23" ht="13.9" customHeight="1">
      <c r="A263" s="132">
        <v>263</v>
      </c>
      <c r="B263" s="49" t="s">
        <v>1678</v>
      </c>
      <c r="C263" s="49" t="s">
        <v>665</v>
      </c>
      <c r="D263" s="145" t="s">
        <v>373</v>
      </c>
      <c r="E263" s="146" t="s">
        <v>797</v>
      </c>
      <c r="F263" s="146"/>
      <c r="G263" s="145"/>
      <c r="H263" s="145" t="s">
        <v>798</v>
      </c>
      <c r="I263" s="145" t="s">
        <v>284</v>
      </c>
      <c r="J263" s="145" t="s">
        <v>352</v>
      </c>
      <c r="K263" s="145"/>
      <c r="L263" s="135">
        <v>63</v>
      </c>
      <c r="M263" s="136">
        <f t="shared" si="20"/>
        <v>76</v>
      </c>
      <c r="N263" s="2">
        <v>76</v>
      </c>
      <c r="O263" s="2"/>
      <c r="P263" s="137" t="e">
        <f t="shared" si="21"/>
        <v>#DIV/0!</v>
      </c>
      <c r="Q263" s="137">
        <f t="shared" si="22"/>
        <v>0</v>
      </c>
      <c r="R263" s="138">
        <f>IF(N263="nio",0,IF(N263&gt;0,VLOOKUP(I263,'3-Productie normen'!A:V,VLOOKUP(N263,'3-Productie normen'!$B$35:$C$56,2,FALSE),FALSE)))/VLOOKUP(B263,'2-Kosten per locatie'!$A$11:$C$18,3,FALSE)</f>
        <v>0</v>
      </c>
      <c r="S263" s="138">
        <f t="shared" si="23"/>
        <v>0</v>
      </c>
      <c r="T263" s="139" t="str">
        <f>VLOOKUP(I263,'3-Productie normen'!A:AF,28,FALSE)</f>
        <v>L</v>
      </c>
      <c r="U263" s="140"/>
      <c r="W263" s="141">
        <f t="shared" si="24"/>
        <v>4788</v>
      </c>
    </row>
    <row r="264" spans="1:23" ht="13.9" customHeight="1">
      <c r="A264" s="118">
        <v>264</v>
      </c>
      <c r="B264" s="49" t="s">
        <v>1678</v>
      </c>
      <c r="C264" s="49" t="s">
        <v>665</v>
      </c>
      <c r="D264" s="145" t="s">
        <v>373</v>
      </c>
      <c r="E264" s="146" t="s">
        <v>799</v>
      </c>
      <c r="F264" s="146"/>
      <c r="G264" s="145"/>
      <c r="H264" s="145" t="s">
        <v>800</v>
      </c>
      <c r="I264" s="92" t="s">
        <v>274</v>
      </c>
      <c r="J264" s="145" t="s">
        <v>352</v>
      </c>
      <c r="K264" s="145"/>
      <c r="L264" s="135">
        <v>12</v>
      </c>
      <c r="M264" s="136">
        <f t="shared" si="20"/>
        <v>76</v>
      </c>
      <c r="N264" s="2">
        <v>76</v>
      </c>
      <c r="O264" s="2"/>
      <c r="P264" s="137" t="e">
        <f t="shared" si="21"/>
        <v>#DIV/0!</v>
      </c>
      <c r="Q264" s="137">
        <f t="shared" si="22"/>
        <v>0</v>
      </c>
      <c r="R264" s="138">
        <f>IF(N264="nio",0,IF(N264&gt;0,VLOOKUP(I264,'3-Productie normen'!A:V,VLOOKUP(N264,'3-Productie normen'!$B$35:$C$56,2,FALSE),FALSE)))/VLOOKUP(B264,'2-Kosten per locatie'!$A$11:$C$18,3,FALSE)</f>
        <v>0</v>
      </c>
      <c r="S264" s="138">
        <f t="shared" si="23"/>
        <v>0</v>
      </c>
      <c r="T264" s="139" t="str">
        <f>VLOOKUP(I264,'3-Productie normen'!A:AF,28,FALSE)</f>
        <v>B</v>
      </c>
      <c r="U264" s="140"/>
      <c r="W264" s="141">
        <f t="shared" si="24"/>
        <v>912</v>
      </c>
    </row>
    <row r="265" spans="1:23" ht="13.9" customHeight="1">
      <c r="A265" s="132">
        <v>265</v>
      </c>
      <c r="B265" s="49" t="s">
        <v>1678</v>
      </c>
      <c r="C265" s="49" t="s">
        <v>665</v>
      </c>
      <c r="D265" s="145" t="s">
        <v>373</v>
      </c>
      <c r="E265" s="146" t="s">
        <v>801</v>
      </c>
      <c r="F265" s="146"/>
      <c r="G265" s="145"/>
      <c r="H265" s="145" t="s">
        <v>691</v>
      </c>
      <c r="I265" s="1" t="s">
        <v>242</v>
      </c>
      <c r="J265" s="145" t="s">
        <v>352</v>
      </c>
      <c r="K265" s="145"/>
      <c r="L265" s="135">
        <v>11</v>
      </c>
      <c r="M265" s="136">
        <f t="shared" si="20"/>
        <v>2</v>
      </c>
      <c r="N265" s="2">
        <v>2</v>
      </c>
      <c r="O265" s="2"/>
      <c r="P265" s="137" t="e">
        <f t="shared" si="21"/>
        <v>#DIV/0!</v>
      </c>
      <c r="Q265" s="137">
        <f t="shared" si="22"/>
        <v>0</v>
      </c>
      <c r="R265" s="138">
        <f>IF(N265="nio",0,IF(N265&gt;0,VLOOKUP(I265,'3-Productie normen'!A:V,VLOOKUP(N265,'3-Productie normen'!$B$35:$C$56,2,FALSE),FALSE)))/VLOOKUP(B265,'2-Kosten per locatie'!$A$11:$C$18,3,FALSE)</f>
        <v>0</v>
      </c>
      <c r="S265" s="138">
        <f t="shared" si="23"/>
        <v>0</v>
      </c>
      <c r="T265" s="139" t="str">
        <f>VLOOKUP(I265,'3-Productie normen'!A:AF,28,FALSE)</f>
        <v>V</v>
      </c>
      <c r="U265" s="140"/>
      <c r="W265" s="141">
        <f t="shared" si="24"/>
        <v>22</v>
      </c>
    </row>
    <row r="266" spans="1:23" ht="13.9" customHeight="1">
      <c r="A266" s="132">
        <v>266</v>
      </c>
      <c r="B266" s="49" t="s">
        <v>1678</v>
      </c>
      <c r="C266" s="49" t="s">
        <v>665</v>
      </c>
      <c r="D266" s="145" t="s">
        <v>373</v>
      </c>
      <c r="E266" s="146" t="s">
        <v>802</v>
      </c>
      <c r="F266" s="146"/>
      <c r="G266" s="145"/>
      <c r="H266" s="145" t="s">
        <v>803</v>
      </c>
      <c r="I266" s="145" t="s">
        <v>253</v>
      </c>
      <c r="J266" s="145" t="s">
        <v>352</v>
      </c>
      <c r="K266" s="145"/>
      <c r="L266" s="135">
        <v>133</v>
      </c>
      <c r="M266" s="136">
        <f t="shared" si="20"/>
        <v>190</v>
      </c>
      <c r="N266" s="2">
        <v>190</v>
      </c>
      <c r="O266" s="2"/>
      <c r="P266" s="137" t="e">
        <f t="shared" si="21"/>
        <v>#DIV/0!</v>
      </c>
      <c r="Q266" s="137">
        <f t="shared" si="22"/>
        <v>0</v>
      </c>
      <c r="R266" s="138">
        <f>IF(N266="nio",0,IF(N266&gt;0,VLOOKUP(I266,'3-Productie normen'!A:V,VLOOKUP(N266,'3-Productie normen'!$B$35:$C$56,2,FALSE),FALSE)))/VLOOKUP(B266,'2-Kosten per locatie'!$A$11:$C$18,3,FALSE)</f>
        <v>0</v>
      </c>
      <c r="S266" s="138">
        <f t="shared" si="23"/>
        <v>0</v>
      </c>
      <c r="T266" s="139" t="str">
        <f>VLOOKUP(I266,'3-Productie normen'!A:AF,28,FALSE)</f>
        <v>V</v>
      </c>
      <c r="U266" s="140"/>
      <c r="W266" s="141">
        <f t="shared" si="24"/>
        <v>25270</v>
      </c>
    </row>
    <row r="267" spans="1:23" ht="13.9" customHeight="1">
      <c r="A267" s="118">
        <v>267</v>
      </c>
      <c r="B267" s="49" t="s">
        <v>1678</v>
      </c>
      <c r="C267" s="49" t="s">
        <v>665</v>
      </c>
      <c r="D267" s="145" t="s">
        <v>373</v>
      </c>
      <c r="E267" s="146" t="s">
        <v>804</v>
      </c>
      <c r="F267" s="146"/>
      <c r="G267" s="145"/>
      <c r="H267" s="147" t="s">
        <v>805</v>
      </c>
      <c r="I267" s="145" t="s">
        <v>285</v>
      </c>
      <c r="J267" s="145" t="s">
        <v>352</v>
      </c>
      <c r="K267" s="145"/>
      <c r="L267" s="135">
        <v>63</v>
      </c>
      <c r="M267" s="136">
        <f t="shared" si="20"/>
        <v>190</v>
      </c>
      <c r="N267" s="2">
        <v>190</v>
      </c>
      <c r="O267" s="2"/>
      <c r="P267" s="137" t="e">
        <f t="shared" si="21"/>
        <v>#DIV/0!</v>
      </c>
      <c r="Q267" s="137">
        <f t="shared" si="22"/>
        <v>0</v>
      </c>
      <c r="R267" s="138">
        <f>IF(N267="nio",0,IF(N267&gt;0,VLOOKUP(I267,'3-Productie normen'!A:V,VLOOKUP(N267,'3-Productie normen'!$B$35:$C$56,2,FALSE),FALSE)))/VLOOKUP(B267,'2-Kosten per locatie'!$A$11:$C$18,3,FALSE)</f>
        <v>0</v>
      </c>
      <c r="S267" s="138">
        <f t="shared" si="23"/>
        <v>0</v>
      </c>
      <c r="T267" s="139" t="str">
        <f>VLOOKUP(I267,'3-Productie normen'!A:AF,28,FALSE)</f>
        <v>L</v>
      </c>
      <c r="U267" s="140"/>
      <c r="W267" s="141">
        <f t="shared" si="24"/>
        <v>11970</v>
      </c>
    </row>
    <row r="268" spans="1:23" ht="13.9" customHeight="1">
      <c r="A268" s="132">
        <v>268</v>
      </c>
      <c r="B268" s="49" t="s">
        <v>1678</v>
      </c>
      <c r="C268" s="49" t="s">
        <v>665</v>
      </c>
      <c r="D268" s="145" t="s">
        <v>373</v>
      </c>
      <c r="E268" s="146" t="s">
        <v>806</v>
      </c>
      <c r="F268" s="146"/>
      <c r="G268" s="145"/>
      <c r="H268" s="147" t="s">
        <v>785</v>
      </c>
      <c r="I268" s="145" t="s">
        <v>285</v>
      </c>
      <c r="J268" s="145" t="s">
        <v>352</v>
      </c>
      <c r="K268" s="145"/>
      <c r="L268" s="135">
        <v>112</v>
      </c>
      <c r="M268" s="136">
        <f t="shared" si="20"/>
        <v>190</v>
      </c>
      <c r="N268" s="2">
        <v>190</v>
      </c>
      <c r="O268" s="2"/>
      <c r="P268" s="137" t="e">
        <f t="shared" si="21"/>
        <v>#DIV/0!</v>
      </c>
      <c r="Q268" s="137">
        <f t="shared" si="22"/>
        <v>0</v>
      </c>
      <c r="R268" s="138">
        <f>IF(N268="nio",0,IF(N268&gt;0,VLOOKUP(I268,'3-Productie normen'!A:V,VLOOKUP(N268,'3-Productie normen'!$B$35:$C$56,2,FALSE),FALSE)))/VLOOKUP(B268,'2-Kosten per locatie'!$A$11:$C$18,3,FALSE)</f>
        <v>0</v>
      </c>
      <c r="S268" s="138">
        <f t="shared" si="23"/>
        <v>0</v>
      </c>
      <c r="T268" s="139" t="str">
        <f>VLOOKUP(I268,'3-Productie normen'!A:AF,28,FALSE)</f>
        <v>L</v>
      </c>
      <c r="U268" s="140"/>
      <c r="W268" s="141">
        <f t="shared" si="24"/>
        <v>21280</v>
      </c>
    </row>
    <row r="269" spans="1:23" ht="13.9" customHeight="1">
      <c r="A269" s="132">
        <v>269</v>
      </c>
      <c r="B269" s="49" t="s">
        <v>1678</v>
      </c>
      <c r="C269" s="49" t="s">
        <v>665</v>
      </c>
      <c r="D269" s="145" t="s">
        <v>373</v>
      </c>
      <c r="E269" s="146" t="s">
        <v>807</v>
      </c>
      <c r="F269" s="146"/>
      <c r="G269" s="145"/>
      <c r="H269" s="145" t="s">
        <v>304</v>
      </c>
      <c r="I269" s="49" t="s">
        <v>1486</v>
      </c>
      <c r="J269" s="145" t="s">
        <v>352</v>
      </c>
      <c r="K269" s="145"/>
      <c r="L269" s="135">
        <v>54</v>
      </c>
      <c r="M269" s="136">
        <f t="shared" si="20"/>
        <v>190</v>
      </c>
      <c r="N269" s="2">
        <v>190</v>
      </c>
      <c r="O269" s="2"/>
      <c r="P269" s="137" t="e">
        <f t="shared" si="21"/>
        <v>#DIV/0!</v>
      </c>
      <c r="Q269" s="137">
        <f t="shared" si="22"/>
        <v>0</v>
      </c>
      <c r="R269" s="138">
        <f>IF(N269="nio",0,IF(N269&gt;0,VLOOKUP(I269,'3-Productie normen'!A:V,VLOOKUP(N269,'3-Productie normen'!$B$35:$C$56,2,FALSE),FALSE)))/VLOOKUP(B269,'2-Kosten per locatie'!$A$11:$C$18,3,FALSE)</f>
        <v>0</v>
      </c>
      <c r="S269" s="138">
        <f t="shared" si="23"/>
        <v>0</v>
      </c>
      <c r="T269" s="139" t="str">
        <f>VLOOKUP(I269,'3-Productie normen'!A:AF,28,FALSE)</f>
        <v>V</v>
      </c>
      <c r="U269" s="140"/>
      <c r="W269" s="141">
        <f t="shared" si="24"/>
        <v>10260</v>
      </c>
    </row>
    <row r="270" spans="1:23" ht="13.9" customHeight="1">
      <c r="A270" s="118">
        <v>270</v>
      </c>
      <c r="B270" s="49" t="s">
        <v>1678</v>
      </c>
      <c r="C270" s="49" t="s">
        <v>665</v>
      </c>
      <c r="D270" s="145" t="s">
        <v>373</v>
      </c>
      <c r="E270" s="146" t="s">
        <v>808</v>
      </c>
      <c r="F270" s="146"/>
      <c r="G270" s="145"/>
      <c r="H270" s="145" t="s">
        <v>304</v>
      </c>
      <c r="I270" s="49" t="s">
        <v>1486</v>
      </c>
      <c r="J270" s="145" t="s">
        <v>352</v>
      </c>
      <c r="K270" s="145"/>
      <c r="L270" s="135">
        <v>38</v>
      </c>
      <c r="M270" s="136">
        <f t="shared" si="20"/>
        <v>190</v>
      </c>
      <c r="N270" s="2">
        <v>190</v>
      </c>
      <c r="O270" s="2"/>
      <c r="P270" s="137" t="e">
        <f t="shared" si="21"/>
        <v>#DIV/0!</v>
      </c>
      <c r="Q270" s="137">
        <f t="shared" si="22"/>
        <v>0</v>
      </c>
      <c r="R270" s="138">
        <f>IF(N270="nio",0,IF(N270&gt;0,VLOOKUP(I270,'3-Productie normen'!A:V,VLOOKUP(N270,'3-Productie normen'!$B$35:$C$56,2,FALSE),FALSE)))/VLOOKUP(B270,'2-Kosten per locatie'!$A$11:$C$18,3,FALSE)</f>
        <v>0</v>
      </c>
      <c r="S270" s="138">
        <f t="shared" si="23"/>
        <v>0</v>
      </c>
      <c r="T270" s="139" t="str">
        <f>VLOOKUP(I270,'3-Productie normen'!A:AF,28,FALSE)</f>
        <v>V</v>
      </c>
      <c r="U270" s="140"/>
      <c r="W270" s="141">
        <f t="shared" si="24"/>
        <v>7220</v>
      </c>
    </row>
    <row r="271" spans="1:23" ht="13.9" customHeight="1">
      <c r="A271" s="132">
        <v>271</v>
      </c>
      <c r="B271" s="49" t="s">
        <v>1678</v>
      </c>
      <c r="C271" s="49" t="s">
        <v>665</v>
      </c>
      <c r="D271" s="145" t="s">
        <v>373</v>
      </c>
      <c r="E271" s="146" t="s">
        <v>809</v>
      </c>
      <c r="F271" s="146"/>
      <c r="G271" s="145"/>
      <c r="H271" s="145" t="s">
        <v>301</v>
      </c>
      <c r="I271" s="1" t="s">
        <v>233</v>
      </c>
      <c r="J271" s="145" t="s">
        <v>352</v>
      </c>
      <c r="K271" s="145"/>
      <c r="L271" s="135">
        <v>100</v>
      </c>
      <c r="M271" s="136">
        <f t="shared" si="20"/>
        <v>190</v>
      </c>
      <c r="N271" s="2">
        <v>190</v>
      </c>
      <c r="O271" s="2"/>
      <c r="P271" s="137" t="e">
        <f t="shared" si="21"/>
        <v>#DIV/0!</v>
      </c>
      <c r="Q271" s="137">
        <f t="shared" si="22"/>
        <v>0</v>
      </c>
      <c r="R271" s="138">
        <f>IF(N271="nio",0,IF(N271&gt;0,VLOOKUP(I271,'3-Productie normen'!A:V,VLOOKUP(N271,'3-Productie normen'!$B$35:$C$56,2,FALSE),FALSE)))/VLOOKUP(B271,'2-Kosten per locatie'!$A$11:$C$18,3,FALSE)</f>
        <v>0</v>
      </c>
      <c r="S271" s="138">
        <f t="shared" si="23"/>
        <v>0</v>
      </c>
      <c r="T271" s="139" t="str">
        <f>VLOOKUP(I271,'3-Productie normen'!A:AF,28,FALSE)</f>
        <v>V</v>
      </c>
      <c r="U271" s="140"/>
      <c r="W271" s="141">
        <f t="shared" si="24"/>
        <v>19000</v>
      </c>
    </row>
    <row r="272" spans="1:23" ht="13.9" customHeight="1">
      <c r="A272" s="132">
        <v>272</v>
      </c>
      <c r="B272" s="49" t="s">
        <v>1678</v>
      </c>
      <c r="C272" s="49" t="s">
        <v>665</v>
      </c>
      <c r="D272" s="145" t="s">
        <v>373</v>
      </c>
      <c r="E272" s="146" t="s">
        <v>810</v>
      </c>
      <c r="F272" s="146"/>
      <c r="G272" s="145"/>
      <c r="H272" s="145" t="s">
        <v>301</v>
      </c>
      <c r="I272" s="1" t="s">
        <v>233</v>
      </c>
      <c r="J272" s="145" t="s">
        <v>352</v>
      </c>
      <c r="K272" s="145"/>
      <c r="L272" s="135">
        <v>29</v>
      </c>
      <c r="M272" s="136">
        <f t="shared" si="20"/>
        <v>190</v>
      </c>
      <c r="N272" s="2">
        <v>190</v>
      </c>
      <c r="O272" s="2"/>
      <c r="P272" s="137" t="e">
        <f t="shared" si="21"/>
        <v>#DIV/0!</v>
      </c>
      <c r="Q272" s="137">
        <f t="shared" si="22"/>
        <v>0</v>
      </c>
      <c r="R272" s="138">
        <f>IF(N272="nio",0,IF(N272&gt;0,VLOOKUP(I272,'3-Productie normen'!A:V,VLOOKUP(N272,'3-Productie normen'!$B$35:$C$56,2,FALSE),FALSE)))/VLOOKUP(B272,'2-Kosten per locatie'!$A$11:$C$18,3,FALSE)</f>
        <v>0</v>
      </c>
      <c r="S272" s="138">
        <f t="shared" si="23"/>
        <v>0</v>
      </c>
      <c r="T272" s="139" t="str">
        <f>VLOOKUP(I272,'3-Productie normen'!A:AF,28,FALSE)</f>
        <v>V</v>
      </c>
      <c r="U272" s="140"/>
      <c r="W272" s="141">
        <f t="shared" si="24"/>
        <v>5510</v>
      </c>
    </row>
    <row r="273" spans="1:23" ht="13.9" customHeight="1">
      <c r="A273" s="118">
        <v>273</v>
      </c>
      <c r="B273" s="49" t="s">
        <v>1678</v>
      </c>
      <c r="C273" s="49" t="s">
        <v>665</v>
      </c>
      <c r="D273" s="145" t="s">
        <v>373</v>
      </c>
      <c r="E273" s="146" t="s">
        <v>811</v>
      </c>
      <c r="F273" s="146"/>
      <c r="G273" s="145"/>
      <c r="H273" s="145" t="s">
        <v>301</v>
      </c>
      <c r="I273" s="1" t="s">
        <v>233</v>
      </c>
      <c r="J273" s="145" t="s">
        <v>352</v>
      </c>
      <c r="K273" s="145"/>
      <c r="L273" s="135">
        <v>37</v>
      </c>
      <c r="M273" s="136">
        <f t="shared" si="20"/>
        <v>190</v>
      </c>
      <c r="N273" s="2">
        <v>190</v>
      </c>
      <c r="O273" s="2"/>
      <c r="P273" s="137" t="e">
        <f t="shared" si="21"/>
        <v>#DIV/0!</v>
      </c>
      <c r="Q273" s="137">
        <f t="shared" si="22"/>
        <v>0</v>
      </c>
      <c r="R273" s="138">
        <f>IF(N273="nio",0,IF(N273&gt;0,VLOOKUP(I273,'3-Productie normen'!A:V,VLOOKUP(N273,'3-Productie normen'!$B$35:$C$56,2,FALSE),FALSE)))/VLOOKUP(B273,'2-Kosten per locatie'!$A$11:$C$18,3,FALSE)</f>
        <v>0</v>
      </c>
      <c r="S273" s="138">
        <f t="shared" si="23"/>
        <v>0</v>
      </c>
      <c r="T273" s="139" t="str">
        <f>VLOOKUP(I273,'3-Productie normen'!A:AF,28,FALSE)</f>
        <v>V</v>
      </c>
      <c r="U273" s="140"/>
      <c r="W273" s="141">
        <f t="shared" si="24"/>
        <v>7030</v>
      </c>
    </row>
    <row r="274" spans="1:23" ht="13.9" customHeight="1">
      <c r="A274" s="132">
        <v>274</v>
      </c>
      <c r="B274" s="49" t="s">
        <v>1678</v>
      </c>
      <c r="C274" s="49" t="s">
        <v>665</v>
      </c>
      <c r="D274" s="145" t="s">
        <v>373</v>
      </c>
      <c r="E274" s="146" t="s">
        <v>812</v>
      </c>
      <c r="F274" s="146"/>
      <c r="G274" s="145"/>
      <c r="H274" s="145" t="s">
        <v>348</v>
      </c>
      <c r="I274" s="145" t="s">
        <v>270</v>
      </c>
      <c r="J274" s="145" t="s">
        <v>352</v>
      </c>
      <c r="K274" s="145"/>
      <c r="L274" s="135">
        <v>26.14</v>
      </c>
      <c r="M274" s="136">
        <f t="shared" si="20"/>
        <v>76</v>
      </c>
      <c r="N274" s="2">
        <v>76</v>
      </c>
      <c r="O274" s="2"/>
      <c r="P274" s="137" t="e">
        <f t="shared" si="21"/>
        <v>#DIV/0!</v>
      </c>
      <c r="Q274" s="137">
        <f t="shared" si="22"/>
        <v>0</v>
      </c>
      <c r="R274" s="138">
        <f>IF(N274="nio",0,IF(N274&gt;0,VLOOKUP(I274,'3-Productie normen'!A:V,VLOOKUP(N274,'3-Productie normen'!$B$35:$C$56,2,FALSE),FALSE)))/VLOOKUP(B274,'2-Kosten per locatie'!$A$11:$C$18,3,FALSE)</f>
        <v>0</v>
      </c>
      <c r="S274" s="138">
        <f t="shared" si="23"/>
        <v>0</v>
      </c>
      <c r="T274" s="139" t="str">
        <f>VLOOKUP(I274,'3-Productie normen'!A:AF,28,FALSE)</f>
        <v>B</v>
      </c>
      <c r="U274" s="140"/>
      <c r="W274" s="141">
        <f t="shared" si="24"/>
        <v>1986.64</v>
      </c>
    </row>
    <row r="275" spans="1:23" ht="13.9" customHeight="1">
      <c r="A275" s="132">
        <v>275</v>
      </c>
      <c r="B275" s="49" t="s">
        <v>1678</v>
      </c>
      <c r="C275" s="49" t="s">
        <v>665</v>
      </c>
      <c r="D275" s="145" t="s">
        <v>373</v>
      </c>
      <c r="E275" s="146" t="s">
        <v>813</v>
      </c>
      <c r="F275" s="146"/>
      <c r="G275" s="145"/>
      <c r="H275" s="145" t="s">
        <v>361</v>
      </c>
      <c r="I275" s="145" t="s">
        <v>284</v>
      </c>
      <c r="J275" s="145" t="s">
        <v>352</v>
      </c>
      <c r="K275" s="145"/>
      <c r="L275" s="135">
        <v>201.33</v>
      </c>
      <c r="M275" s="136">
        <f t="shared" si="20"/>
        <v>76</v>
      </c>
      <c r="N275" s="2">
        <v>76</v>
      </c>
      <c r="O275" s="2"/>
      <c r="P275" s="137" t="e">
        <f t="shared" si="21"/>
        <v>#DIV/0!</v>
      </c>
      <c r="Q275" s="137">
        <f t="shared" si="22"/>
        <v>0</v>
      </c>
      <c r="R275" s="138">
        <f>IF(N275="nio",0,IF(N275&gt;0,VLOOKUP(I275,'3-Productie normen'!A:V,VLOOKUP(N275,'3-Productie normen'!$B$35:$C$56,2,FALSE),FALSE)))/VLOOKUP(B275,'2-Kosten per locatie'!$A$11:$C$18,3,FALSE)</f>
        <v>0</v>
      </c>
      <c r="S275" s="138">
        <f t="shared" si="23"/>
        <v>0</v>
      </c>
      <c r="T275" s="139" t="str">
        <f>VLOOKUP(I275,'3-Productie normen'!A:AF,28,FALSE)</f>
        <v>L</v>
      </c>
      <c r="U275" s="140"/>
      <c r="W275" s="141">
        <f t="shared" si="24"/>
        <v>15301.080000000002</v>
      </c>
    </row>
    <row r="276" spans="1:23" ht="13.9" customHeight="1">
      <c r="A276" s="118">
        <v>276</v>
      </c>
      <c r="B276" s="49" t="s">
        <v>1678</v>
      </c>
      <c r="C276" s="49" t="s">
        <v>665</v>
      </c>
      <c r="D276" s="145" t="s">
        <v>373</v>
      </c>
      <c r="E276" s="146" t="s">
        <v>814</v>
      </c>
      <c r="F276" s="146"/>
      <c r="G276" s="145"/>
      <c r="H276" s="145" t="s">
        <v>361</v>
      </c>
      <c r="I276" s="145" t="s">
        <v>284</v>
      </c>
      <c r="J276" s="145" t="s">
        <v>352</v>
      </c>
      <c r="K276" s="145"/>
      <c r="L276" s="135">
        <v>61.28</v>
      </c>
      <c r="M276" s="136">
        <f t="shared" si="20"/>
        <v>76</v>
      </c>
      <c r="N276" s="2">
        <v>76</v>
      </c>
      <c r="O276" s="2"/>
      <c r="P276" s="137" t="e">
        <f t="shared" si="21"/>
        <v>#DIV/0!</v>
      </c>
      <c r="Q276" s="137">
        <f t="shared" si="22"/>
        <v>0</v>
      </c>
      <c r="R276" s="138">
        <f>IF(N276="nio",0,IF(N276&gt;0,VLOOKUP(I276,'3-Productie normen'!A:V,VLOOKUP(N276,'3-Productie normen'!$B$35:$C$56,2,FALSE),FALSE)))/VLOOKUP(B276,'2-Kosten per locatie'!$A$11:$C$18,3,FALSE)</f>
        <v>0</v>
      </c>
      <c r="S276" s="138">
        <f t="shared" si="23"/>
        <v>0</v>
      </c>
      <c r="T276" s="139" t="str">
        <f>VLOOKUP(I276,'3-Productie normen'!A:AF,28,FALSE)</f>
        <v>L</v>
      </c>
      <c r="U276" s="140"/>
      <c r="W276" s="141">
        <f t="shared" si="24"/>
        <v>4657.28</v>
      </c>
    </row>
    <row r="277" spans="1:23" ht="13.9" customHeight="1">
      <c r="A277" s="132">
        <v>277</v>
      </c>
      <c r="B277" s="49" t="s">
        <v>1678</v>
      </c>
      <c r="C277" s="49" t="s">
        <v>665</v>
      </c>
      <c r="D277" s="145" t="s">
        <v>373</v>
      </c>
      <c r="E277" s="146" t="s">
        <v>815</v>
      </c>
      <c r="F277" s="146"/>
      <c r="G277" s="145"/>
      <c r="H277" s="145" t="s">
        <v>816</v>
      </c>
      <c r="I277" s="145" t="s">
        <v>259</v>
      </c>
      <c r="J277" s="145" t="s">
        <v>744</v>
      </c>
      <c r="K277" s="145"/>
      <c r="L277" s="135">
        <v>6.22</v>
      </c>
      <c r="M277" s="136">
        <f t="shared" si="20"/>
        <v>190</v>
      </c>
      <c r="N277" s="2">
        <v>190</v>
      </c>
      <c r="O277" s="2"/>
      <c r="P277" s="137" t="e">
        <f t="shared" si="21"/>
        <v>#DIV/0!</v>
      </c>
      <c r="Q277" s="137">
        <f t="shared" si="22"/>
        <v>0</v>
      </c>
      <c r="R277" s="138">
        <f>IF(N277="nio",0,IF(N277&gt;0,VLOOKUP(I277,'3-Productie normen'!A:V,VLOOKUP(N277,'3-Productie normen'!$B$35:$C$56,2,FALSE),FALSE)))/VLOOKUP(B277,'2-Kosten per locatie'!$A$11:$C$18,3,FALSE)</f>
        <v>0</v>
      </c>
      <c r="S277" s="138">
        <f t="shared" si="23"/>
        <v>0</v>
      </c>
      <c r="T277" s="139" t="str">
        <f>VLOOKUP(I277,'3-Productie normen'!A:AF,28,FALSE)</f>
        <v>S</v>
      </c>
      <c r="U277" s="140"/>
      <c r="W277" s="141">
        <f t="shared" si="24"/>
        <v>1181.8</v>
      </c>
    </row>
    <row r="278" spans="1:23" ht="13.9" customHeight="1">
      <c r="A278" s="132">
        <v>278</v>
      </c>
      <c r="B278" s="49" t="s">
        <v>1678</v>
      </c>
      <c r="C278" s="49" t="s">
        <v>665</v>
      </c>
      <c r="D278" s="145" t="s">
        <v>373</v>
      </c>
      <c r="E278" s="146" t="s">
        <v>817</v>
      </c>
      <c r="F278" s="146"/>
      <c r="G278" s="145"/>
      <c r="H278" s="145" t="s">
        <v>816</v>
      </c>
      <c r="I278" s="145" t="s">
        <v>259</v>
      </c>
      <c r="J278" s="145" t="s">
        <v>744</v>
      </c>
      <c r="K278" s="145"/>
      <c r="L278" s="135">
        <v>6.22</v>
      </c>
      <c r="M278" s="136">
        <f t="shared" si="20"/>
        <v>190</v>
      </c>
      <c r="N278" s="2">
        <v>190</v>
      </c>
      <c r="O278" s="2"/>
      <c r="P278" s="137" t="e">
        <f t="shared" si="21"/>
        <v>#DIV/0!</v>
      </c>
      <c r="Q278" s="137">
        <f t="shared" si="22"/>
        <v>0</v>
      </c>
      <c r="R278" s="138">
        <f>IF(N278="nio",0,IF(N278&gt;0,VLOOKUP(I278,'3-Productie normen'!A:V,VLOOKUP(N278,'3-Productie normen'!$B$35:$C$56,2,FALSE),FALSE)))/VLOOKUP(B278,'2-Kosten per locatie'!$A$11:$C$18,3,FALSE)</f>
        <v>0</v>
      </c>
      <c r="S278" s="138">
        <f t="shared" si="23"/>
        <v>0</v>
      </c>
      <c r="T278" s="139" t="str">
        <f>VLOOKUP(I278,'3-Productie normen'!A:AF,28,FALSE)</f>
        <v>S</v>
      </c>
      <c r="U278" s="140"/>
      <c r="W278" s="141">
        <f t="shared" si="24"/>
        <v>1181.8</v>
      </c>
    </row>
    <row r="279" spans="1:23" ht="13.9" customHeight="1">
      <c r="A279" s="118">
        <v>279</v>
      </c>
      <c r="B279" s="49" t="s">
        <v>1678</v>
      </c>
      <c r="C279" s="49" t="s">
        <v>665</v>
      </c>
      <c r="D279" s="145" t="s">
        <v>373</v>
      </c>
      <c r="E279" s="146" t="s">
        <v>818</v>
      </c>
      <c r="F279" s="146"/>
      <c r="G279" s="145"/>
      <c r="H279" s="145" t="s">
        <v>819</v>
      </c>
      <c r="I279" s="1" t="s">
        <v>233</v>
      </c>
      <c r="J279" s="145" t="s">
        <v>374</v>
      </c>
      <c r="K279" s="145"/>
      <c r="L279" s="135">
        <v>55</v>
      </c>
      <c r="M279" s="136">
        <f t="shared" ref="M279:M342" si="25">SUM(N279:O279)</f>
        <v>190</v>
      </c>
      <c r="N279" s="2">
        <v>190</v>
      </c>
      <c r="O279" s="2"/>
      <c r="P279" s="137" t="e">
        <f t="shared" ref="P279:P342" si="26">IF(N279="nio",0,IF(N279&gt;0,N279*L279/R279,0))</f>
        <v>#DIV/0!</v>
      </c>
      <c r="Q279" s="137">
        <f t="shared" ref="Q279:Q342" si="27">IF(O279&gt;0,O279*L279/S279,0)</f>
        <v>0</v>
      </c>
      <c r="R279" s="138">
        <f>IF(N279="nio",0,IF(N279&gt;0,VLOOKUP(I279,'3-Productie normen'!A:V,VLOOKUP(N279,'3-Productie normen'!$B$35:$C$56,2,FALSE),FALSE)))/VLOOKUP(B279,'2-Kosten per locatie'!$A$11:$C$18,3,FALSE)</f>
        <v>0</v>
      </c>
      <c r="S279" s="138">
        <f t="shared" ref="S279:S342" si="28">IF(O279&gt;0,R279*$S$8,0)</f>
        <v>0</v>
      </c>
      <c r="T279" s="139" t="str">
        <f>VLOOKUP(I279,'3-Productie normen'!A:AF,28,FALSE)</f>
        <v>V</v>
      </c>
      <c r="U279" s="140"/>
      <c r="W279" s="141">
        <f t="shared" ref="W279:W342" si="29">M279*L279</f>
        <v>10450</v>
      </c>
    </row>
    <row r="280" spans="1:23" ht="13.9" customHeight="1">
      <c r="A280" s="132">
        <v>280</v>
      </c>
      <c r="B280" s="49" t="s">
        <v>1678</v>
      </c>
      <c r="C280" s="49" t="s">
        <v>665</v>
      </c>
      <c r="D280" s="145" t="s">
        <v>373</v>
      </c>
      <c r="E280" s="146" t="s">
        <v>820</v>
      </c>
      <c r="F280" s="146"/>
      <c r="G280" s="145"/>
      <c r="H280" s="145" t="s">
        <v>819</v>
      </c>
      <c r="I280" s="1" t="s">
        <v>233</v>
      </c>
      <c r="J280" s="145" t="s">
        <v>374</v>
      </c>
      <c r="K280" s="145"/>
      <c r="L280" s="135">
        <v>26.56</v>
      </c>
      <c r="M280" s="136">
        <f t="shared" si="25"/>
        <v>190</v>
      </c>
      <c r="N280" s="2">
        <v>190</v>
      </c>
      <c r="O280" s="2"/>
      <c r="P280" s="137" t="e">
        <f t="shared" si="26"/>
        <v>#DIV/0!</v>
      </c>
      <c r="Q280" s="137">
        <f t="shared" si="27"/>
        <v>0</v>
      </c>
      <c r="R280" s="138">
        <f>IF(N280="nio",0,IF(N280&gt;0,VLOOKUP(I280,'3-Productie normen'!A:V,VLOOKUP(N280,'3-Productie normen'!$B$35:$C$56,2,FALSE),FALSE)))/VLOOKUP(B280,'2-Kosten per locatie'!$A$11:$C$18,3,FALSE)</f>
        <v>0</v>
      </c>
      <c r="S280" s="138">
        <f t="shared" si="28"/>
        <v>0</v>
      </c>
      <c r="T280" s="139" t="str">
        <f>VLOOKUP(I280,'3-Productie normen'!A:AF,28,FALSE)</f>
        <v>V</v>
      </c>
      <c r="U280" s="140"/>
      <c r="W280" s="141">
        <f t="shared" si="29"/>
        <v>5046.3999999999996</v>
      </c>
    </row>
    <row r="281" spans="1:23" ht="13.9" customHeight="1">
      <c r="A281" s="132">
        <v>281</v>
      </c>
      <c r="B281" s="49" t="s">
        <v>1678</v>
      </c>
      <c r="C281" s="49" t="s">
        <v>665</v>
      </c>
      <c r="D281" s="145" t="s">
        <v>373</v>
      </c>
      <c r="E281" s="146" t="s">
        <v>821</v>
      </c>
      <c r="F281" s="146"/>
      <c r="G281" s="145"/>
      <c r="H281" s="145" t="s">
        <v>361</v>
      </c>
      <c r="I281" s="145" t="s">
        <v>284</v>
      </c>
      <c r="J281" s="145" t="s">
        <v>374</v>
      </c>
      <c r="K281" s="145"/>
      <c r="L281" s="135">
        <v>63</v>
      </c>
      <c r="M281" s="136">
        <f t="shared" si="25"/>
        <v>76</v>
      </c>
      <c r="N281" s="2">
        <v>76</v>
      </c>
      <c r="O281" s="2"/>
      <c r="P281" s="137" t="e">
        <f t="shared" si="26"/>
        <v>#DIV/0!</v>
      </c>
      <c r="Q281" s="137">
        <f t="shared" si="27"/>
        <v>0</v>
      </c>
      <c r="R281" s="138">
        <f>IF(N281="nio",0,IF(N281&gt;0,VLOOKUP(I281,'3-Productie normen'!A:V,VLOOKUP(N281,'3-Productie normen'!$B$35:$C$56,2,FALSE),FALSE)))/VLOOKUP(B281,'2-Kosten per locatie'!$A$11:$C$18,3,FALSE)</f>
        <v>0</v>
      </c>
      <c r="S281" s="138">
        <f t="shared" si="28"/>
        <v>0</v>
      </c>
      <c r="T281" s="139" t="str">
        <f>VLOOKUP(I281,'3-Productie normen'!A:AF,28,FALSE)</f>
        <v>L</v>
      </c>
      <c r="U281" s="140"/>
      <c r="W281" s="141">
        <f t="shared" si="29"/>
        <v>4788</v>
      </c>
    </row>
    <row r="282" spans="1:23" ht="13.9" customHeight="1">
      <c r="A282" s="118">
        <v>282</v>
      </c>
      <c r="B282" s="49" t="s">
        <v>1678</v>
      </c>
      <c r="C282" s="49" t="s">
        <v>665</v>
      </c>
      <c r="D282" s="145" t="s">
        <v>822</v>
      </c>
      <c r="E282" s="146" t="s">
        <v>823</v>
      </c>
      <c r="F282" s="146"/>
      <c r="G282" s="145"/>
      <c r="H282" s="147" t="s">
        <v>1591</v>
      </c>
      <c r="I282" s="145" t="s">
        <v>285</v>
      </c>
      <c r="J282" s="145" t="s">
        <v>352</v>
      </c>
      <c r="K282" s="145"/>
      <c r="L282" s="135">
        <v>38</v>
      </c>
      <c r="M282" s="136">
        <f t="shared" si="25"/>
        <v>190</v>
      </c>
      <c r="N282" s="2">
        <v>190</v>
      </c>
      <c r="O282" s="2"/>
      <c r="P282" s="137" t="e">
        <f t="shared" si="26"/>
        <v>#DIV/0!</v>
      </c>
      <c r="Q282" s="137">
        <f t="shared" si="27"/>
        <v>0</v>
      </c>
      <c r="R282" s="138">
        <f>IF(N282="nio",0,IF(N282&gt;0,VLOOKUP(I282,'3-Productie normen'!A:V,VLOOKUP(N282,'3-Productie normen'!$B$35:$C$56,2,FALSE),FALSE)))/VLOOKUP(B282,'2-Kosten per locatie'!$A$11:$C$18,3,FALSE)</f>
        <v>0</v>
      </c>
      <c r="S282" s="138">
        <f t="shared" si="28"/>
        <v>0</v>
      </c>
      <c r="T282" s="139" t="str">
        <f>VLOOKUP(I282,'3-Productie normen'!A:AF,28,FALSE)</f>
        <v>L</v>
      </c>
      <c r="U282" s="140"/>
      <c r="W282" s="141">
        <f t="shared" si="29"/>
        <v>7220</v>
      </c>
    </row>
    <row r="283" spans="1:23" ht="13.9" customHeight="1">
      <c r="A283" s="132">
        <v>283</v>
      </c>
      <c r="B283" s="49" t="s">
        <v>1678</v>
      </c>
      <c r="C283" s="49" t="s">
        <v>665</v>
      </c>
      <c r="D283" s="145" t="s">
        <v>822</v>
      </c>
      <c r="E283" s="146" t="s">
        <v>824</v>
      </c>
      <c r="F283" s="146"/>
      <c r="G283" s="145"/>
      <c r="H283" s="145" t="s">
        <v>825</v>
      </c>
      <c r="I283" s="49" t="s">
        <v>1486</v>
      </c>
      <c r="J283" s="145" t="s">
        <v>352</v>
      </c>
      <c r="K283" s="145"/>
      <c r="L283" s="135">
        <v>28</v>
      </c>
      <c r="M283" s="136">
        <f t="shared" si="25"/>
        <v>190</v>
      </c>
      <c r="N283" s="2">
        <v>190</v>
      </c>
      <c r="O283" s="2"/>
      <c r="P283" s="137" t="e">
        <f t="shared" si="26"/>
        <v>#DIV/0!</v>
      </c>
      <c r="Q283" s="137">
        <f t="shared" si="27"/>
        <v>0</v>
      </c>
      <c r="R283" s="138">
        <f>IF(N283="nio",0,IF(N283&gt;0,VLOOKUP(I283,'3-Productie normen'!A:V,VLOOKUP(N283,'3-Productie normen'!$B$35:$C$56,2,FALSE),FALSE)))/VLOOKUP(B283,'2-Kosten per locatie'!$A$11:$C$18,3,FALSE)</f>
        <v>0</v>
      </c>
      <c r="S283" s="138">
        <f t="shared" si="28"/>
        <v>0</v>
      </c>
      <c r="T283" s="139" t="str">
        <f>VLOOKUP(I283,'3-Productie normen'!A:AF,28,FALSE)</f>
        <v>V</v>
      </c>
      <c r="U283" s="140"/>
      <c r="W283" s="141">
        <f t="shared" si="29"/>
        <v>5320</v>
      </c>
    </row>
    <row r="284" spans="1:23" ht="13.9" customHeight="1">
      <c r="A284" s="132">
        <v>284</v>
      </c>
      <c r="B284" s="49" t="s">
        <v>1678</v>
      </c>
      <c r="C284" s="49" t="s">
        <v>665</v>
      </c>
      <c r="D284" s="145" t="s">
        <v>822</v>
      </c>
      <c r="E284" s="146" t="s">
        <v>826</v>
      </c>
      <c r="F284" s="146"/>
      <c r="G284" s="145"/>
      <c r="H284" s="145" t="s">
        <v>301</v>
      </c>
      <c r="I284" s="1" t="s">
        <v>233</v>
      </c>
      <c r="J284" s="145" t="s">
        <v>352</v>
      </c>
      <c r="K284" s="145"/>
      <c r="L284" s="135">
        <v>29</v>
      </c>
      <c r="M284" s="136">
        <f t="shared" si="25"/>
        <v>190</v>
      </c>
      <c r="N284" s="2">
        <v>190</v>
      </c>
      <c r="O284" s="2"/>
      <c r="P284" s="137" t="e">
        <f t="shared" si="26"/>
        <v>#DIV/0!</v>
      </c>
      <c r="Q284" s="137">
        <f t="shared" si="27"/>
        <v>0</v>
      </c>
      <c r="R284" s="138">
        <f>IF(N284="nio",0,IF(N284&gt;0,VLOOKUP(I284,'3-Productie normen'!A:V,VLOOKUP(N284,'3-Productie normen'!$B$35:$C$56,2,FALSE),FALSE)))/VLOOKUP(B284,'2-Kosten per locatie'!$A$11:$C$18,3,FALSE)</f>
        <v>0</v>
      </c>
      <c r="S284" s="138">
        <f t="shared" si="28"/>
        <v>0</v>
      </c>
      <c r="T284" s="139" t="str">
        <f>VLOOKUP(I284,'3-Productie normen'!A:AF,28,FALSE)</f>
        <v>V</v>
      </c>
      <c r="U284" s="140"/>
      <c r="W284" s="141">
        <f t="shared" si="29"/>
        <v>5510</v>
      </c>
    </row>
    <row r="285" spans="1:23" ht="13.9" customHeight="1">
      <c r="A285" s="118">
        <v>285</v>
      </c>
      <c r="B285" s="49" t="s">
        <v>1678</v>
      </c>
      <c r="C285" s="49" t="s">
        <v>665</v>
      </c>
      <c r="D285" s="145" t="s">
        <v>822</v>
      </c>
      <c r="E285" s="146" t="s">
        <v>827</v>
      </c>
      <c r="F285" s="146"/>
      <c r="G285" s="145"/>
      <c r="H285" s="147" t="s">
        <v>828</v>
      </c>
      <c r="I285" s="145" t="s">
        <v>285</v>
      </c>
      <c r="J285" s="145" t="s">
        <v>352</v>
      </c>
      <c r="K285" s="145"/>
      <c r="L285" s="135">
        <v>353</v>
      </c>
      <c r="M285" s="136">
        <f t="shared" si="25"/>
        <v>190</v>
      </c>
      <c r="N285" s="2">
        <v>190</v>
      </c>
      <c r="O285" s="2"/>
      <c r="P285" s="137" t="e">
        <f t="shared" si="26"/>
        <v>#DIV/0!</v>
      </c>
      <c r="Q285" s="137">
        <f t="shared" si="27"/>
        <v>0</v>
      </c>
      <c r="R285" s="138">
        <f>IF(N285="nio",0,IF(N285&gt;0,VLOOKUP(I285,'3-Productie normen'!A:V,VLOOKUP(N285,'3-Productie normen'!$B$35:$C$56,2,FALSE),FALSE)))/VLOOKUP(B285,'2-Kosten per locatie'!$A$11:$C$18,3,FALSE)</f>
        <v>0</v>
      </c>
      <c r="S285" s="138">
        <f t="shared" si="28"/>
        <v>0</v>
      </c>
      <c r="T285" s="139" t="str">
        <f>VLOOKUP(I285,'3-Productie normen'!A:AF,28,FALSE)</f>
        <v>L</v>
      </c>
      <c r="U285" s="140"/>
      <c r="W285" s="141">
        <f t="shared" si="29"/>
        <v>67070</v>
      </c>
    </row>
    <row r="286" spans="1:23" ht="13.9" customHeight="1">
      <c r="A286" s="132">
        <v>286</v>
      </c>
      <c r="B286" s="49" t="s">
        <v>1678</v>
      </c>
      <c r="C286" s="49" t="s">
        <v>665</v>
      </c>
      <c r="D286" s="145" t="s">
        <v>822</v>
      </c>
      <c r="E286" s="146" t="s">
        <v>829</v>
      </c>
      <c r="F286" s="146"/>
      <c r="G286" s="145"/>
      <c r="H286" s="147" t="s">
        <v>830</v>
      </c>
      <c r="I286" s="145" t="s">
        <v>285</v>
      </c>
      <c r="J286" s="145" t="s">
        <v>352</v>
      </c>
      <c r="K286" s="145"/>
      <c r="L286" s="135">
        <v>62</v>
      </c>
      <c r="M286" s="136">
        <f t="shared" si="25"/>
        <v>190</v>
      </c>
      <c r="N286" s="2">
        <v>190</v>
      </c>
      <c r="O286" s="2"/>
      <c r="P286" s="137" t="e">
        <f t="shared" si="26"/>
        <v>#DIV/0!</v>
      </c>
      <c r="Q286" s="137">
        <f t="shared" si="27"/>
        <v>0</v>
      </c>
      <c r="R286" s="138">
        <f>IF(N286="nio",0,IF(N286&gt;0,VLOOKUP(I286,'3-Productie normen'!A:V,VLOOKUP(N286,'3-Productie normen'!$B$35:$C$56,2,FALSE),FALSE)))/VLOOKUP(B286,'2-Kosten per locatie'!$A$11:$C$18,3,FALSE)</f>
        <v>0</v>
      </c>
      <c r="S286" s="138">
        <f t="shared" si="28"/>
        <v>0</v>
      </c>
      <c r="T286" s="139" t="str">
        <f>VLOOKUP(I286,'3-Productie normen'!A:AF,28,FALSE)</f>
        <v>L</v>
      </c>
      <c r="U286" s="140"/>
      <c r="W286" s="141">
        <f t="shared" si="29"/>
        <v>11780</v>
      </c>
    </row>
    <row r="287" spans="1:23" ht="13.9" customHeight="1">
      <c r="A287" s="132">
        <v>287</v>
      </c>
      <c r="B287" s="49" t="s">
        <v>1678</v>
      </c>
      <c r="C287" s="49" t="s">
        <v>665</v>
      </c>
      <c r="D287" s="145" t="s">
        <v>822</v>
      </c>
      <c r="E287" s="146" t="s">
        <v>831</v>
      </c>
      <c r="F287" s="146"/>
      <c r="G287" s="145"/>
      <c r="H287" s="147" t="s">
        <v>832</v>
      </c>
      <c r="I287" s="145" t="s">
        <v>285</v>
      </c>
      <c r="J287" s="145" t="s">
        <v>352</v>
      </c>
      <c r="K287" s="145"/>
      <c r="L287" s="135">
        <v>34</v>
      </c>
      <c r="M287" s="136">
        <f t="shared" si="25"/>
        <v>190</v>
      </c>
      <c r="N287" s="2">
        <v>190</v>
      </c>
      <c r="O287" s="2"/>
      <c r="P287" s="137" t="e">
        <f t="shared" si="26"/>
        <v>#DIV/0!</v>
      </c>
      <c r="Q287" s="137">
        <f t="shared" si="27"/>
        <v>0</v>
      </c>
      <c r="R287" s="138">
        <f>IF(N287="nio",0,IF(N287&gt;0,VLOOKUP(I287,'3-Productie normen'!A:V,VLOOKUP(N287,'3-Productie normen'!$B$35:$C$56,2,FALSE),FALSE)))/VLOOKUP(B287,'2-Kosten per locatie'!$A$11:$C$18,3,FALSE)</f>
        <v>0</v>
      </c>
      <c r="S287" s="138">
        <f t="shared" si="28"/>
        <v>0</v>
      </c>
      <c r="T287" s="139" t="str">
        <f>VLOOKUP(I287,'3-Productie normen'!A:AF,28,FALSE)</f>
        <v>L</v>
      </c>
      <c r="U287" s="140"/>
      <c r="W287" s="141">
        <f t="shared" si="29"/>
        <v>6460</v>
      </c>
    </row>
    <row r="288" spans="1:23" ht="13.9" customHeight="1">
      <c r="A288" s="118">
        <v>288</v>
      </c>
      <c r="B288" s="49" t="s">
        <v>1678</v>
      </c>
      <c r="C288" s="49" t="s">
        <v>665</v>
      </c>
      <c r="D288" s="145" t="s">
        <v>822</v>
      </c>
      <c r="E288" s="146" t="s">
        <v>833</v>
      </c>
      <c r="F288" s="146"/>
      <c r="G288" s="145"/>
      <c r="H288" s="147" t="s">
        <v>834</v>
      </c>
      <c r="I288" s="145" t="s">
        <v>285</v>
      </c>
      <c r="J288" s="145" t="s">
        <v>352</v>
      </c>
      <c r="K288" s="145"/>
      <c r="L288" s="135">
        <v>21</v>
      </c>
      <c r="M288" s="136">
        <f t="shared" si="25"/>
        <v>190</v>
      </c>
      <c r="N288" s="2">
        <v>190</v>
      </c>
      <c r="O288" s="2"/>
      <c r="P288" s="137" t="e">
        <f t="shared" si="26"/>
        <v>#DIV/0!</v>
      </c>
      <c r="Q288" s="137">
        <f t="shared" si="27"/>
        <v>0</v>
      </c>
      <c r="R288" s="138">
        <f>IF(N288="nio",0,IF(N288&gt;0,VLOOKUP(I288,'3-Productie normen'!A:V,VLOOKUP(N288,'3-Productie normen'!$B$35:$C$56,2,FALSE),FALSE)))/VLOOKUP(B288,'2-Kosten per locatie'!$A$11:$C$18,3,FALSE)</f>
        <v>0</v>
      </c>
      <c r="S288" s="138">
        <f t="shared" si="28"/>
        <v>0</v>
      </c>
      <c r="T288" s="139" t="str">
        <f>VLOOKUP(I288,'3-Productie normen'!A:AF,28,FALSE)</f>
        <v>L</v>
      </c>
      <c r="U288" s="140"/>
      <c r="W288" s="141">
        <f t="shared" si="29"/>
        <v>3990</v>
      </c>
    </row>
    <row r="289" spans="1:23" ht="13.9" customHeight="1">
      <c r="A289" s="132">
        <v>289</v>
      </c>
      <c r="B289" s="49" t="s">
        <v>1678</v>
      </c>
      <c r="C289" s="49" t="s">
        <v>665</v>
      </c>
      <c r="D289" s="145" t="s">
        <v>822</v>
      </c>
      <c r="E289" s="146" t="s">
        <v>835</v>
      </c>
      <c r="F289" s="146"/>
      <c r="G289" s="145"/>
      <c r="H289" s="147" t="s">
        <v>836</v>
      </c>
      <c r="I289" s="145" t="s">
        <v>285</v>
      </c>
      <c r="J289" s="145" t="s">
        <v>352</v>
      </c>
      <c r="K289" s="145"/>
      <c r="L289" s="135">
        <v>28</v>
      </c>
      <c r="M289" s="136">
        <f t="shared" si="25"/>
        <v>190</v>
      </c>
      <c r="N289" s="2">
        <v>190</v>
      </c>
      <c r="O289" s="2"/>
      <c r="P289" s="137" t="e">
        <f t="shared" si="26"/>
        <v>#DIV/0!</v>
      </c>
      <c r="Q289" s="137">
        <f t="shared" si="27"/>
        <v>0</v>
      </c>
      <c r="R289" s="138">
        <f>IF(N289="nio",0,IF(N289&gt;0,VLOOKUP(I289,'3-Productie normen'!A:V,VLOOKUP(N289,'3-Productie normen'!$B$35:$C$56,2,FALSE),FALSE)))/VLOOKUP(B289,'2-Kosten per locatie'!$A$11:$C$18,3,FALSE)</f>
        <v>0</v>
      </c>
      <c r="S289" s="138">
        <f t="shared" si="28"/>
        <v>0</v>
      </c>
      <c r="T289" s="139" t="str">
        <f>VLOOKUP(I289,'3-Productie normen'!A:AF,28,FALSE)</f>
        <v>L</v>
      </c>
      <c r="U289" s="140"/>
      <c r="W289" s="141">
        <f t="shared" si="29"/>
        <v>5320</v>
      </c>
    </row>
    <row r="290" spans="1:23" ht="13.9" customHeight="1">
      <c r="A290" s="132">
        <v>290</v>
      </c>
      <c r="B290" s="49" t="s">
        <v>1678</v>
      </c>
      <c r="C290" s="49" t="s">
        <v>665</v>
      </c>
      <c r="D290" s="145" t="s">
        <v>822</v>
      </c>
      <c r="E290" s="146" t="s">
        <v>837</v>
      </c>
      <c r="F290" s="146"/>
      <c r="G290" s="145"/>
      <c r="H290" s="145" t="s">
        <v>838</v>
      </c>
      <c r="I290" s="49" t="s">
        <v>1486</v>
      </c>
      <c r="J290" s="145" t="s">
        <v>352</v>
      </c>
      <c r="K290" s="145"/>
      <c r="L290" s="135">
        <v>19</v>
      </c>
      <c r="M290" s="136">
        <f t="shared" si="25"/>
        <v>190</v>
      </c>
      <c r="N290" s="2">
        <v>190</v>
      </c>
      <c r="O290" s="2"/>
      <c r="P290" s="137" t="e">
        <f t="shared" si="26"/>
        <v>#DIV/0!</v>
      </c>
      <c r="Q290" s="137">
        <f t="shared" si="27"/>
        <v>0</v>
      </c>
      <c r="R290" s="138">
        <f>IF(N290="nio",0,IF(N290&gt;0,VLOOKUP(I290,'3-Productie normen'!A:V,VLOOKUP(N290,'3-Productie normen'!$B$35:$C$56,2,FALSE),FALSE)))/VLOOKUP(B290,'2-Kosten per locatie'!$A$11:$C$18,3,FALSE)</f>
        <v>0</v>
      </c>
      <c r="S290" s="138">
        <f t="shared" si="28"/>
        <v>0</v>
      </c>
      <c r="T290" s="139" t="str">
        <f>VLOOKUP(I290,'3-Productie normen'!A:AF,28,FALSE)</f>
        <v>V</v>
      </c>
      <c r="U290" s="140"/>
      <c r="W290" s="141">
        <f t="shared" si="29"/>
        <v>3610</v>
      </c>
    </row>
    <row r="291" spans="1:23" ht="13.9" customHeight="1">
      <c r="A291" s="118">
        <v>291</v>
      </c>
      <c r="B291" s="49" t="s">
        <v>1678</v>
      </c>
      <c r="C291" s="49" t="s">
        <v>665</v>
      </c>
      <c r="D291" s="145" t="s">
        <v>822</v>
      </c>
      <c r="E291" s="146" t="s">
        <v>839</v>
      </c>
      <c r="F291" s="146"/>
      <c r="G291" s="145"/>
      <c r="H291" s="145" t="s">
        <v>749</v>
      </c>
      <c r="I291" s="145" t="s">
        <v>284</v>
      </c>
      <c r="J291" s="145" t="s">
        <v>352</v>
      </c>
      <c r="K291" s="145"/>
      <c r="L291" s="135">
        <v>7</v>
      </c>
      <c r="M291" s="136">
        <f t="shared" si="25"/>
        <v>76</v>
      </c>
      <c r="N291" s="2">
        <v>76</v>
      </c>
      <c r="O291" s="2"/>
      <c r="P291" s="137" t="e">
        <f t="shared" si="26"/>
        <v>#DIV/0!</v>
      </c>
      <c r="Q291" s="137">
        <f t="shared" si="27"/>
        <v>0</v>
      </c>
      <c r="R291" s="138">
        <f>IF(N291="nio",0,IF(N291&gt;0,VLOOKUP(I291,'3-Productie normen'!A:V,VLOOKUP(N291,'3-Productie normen'!$B$35:$C$56,2,FALSE),FALSE)))/VLOOKUP(B291,'2-Kosten per locatie'!$A$11:$C$18,3,FALSE)</f>
        <v>0</v>
      </c>
      <c r="S291" s="138">
        <f t="shared" si="28"/>
        <v>0</v>
      </c>
      <c r="T291" s="139" t="str">
        <f>VLOOKUP(I291,'3-Productie normen'!A:AF,28,FALSE)</f>
        <v>L</v>
      </c>
      <c r="U291" s="140"/>
      <c r="W291" s="141">
        <f t="shared" si="29"/>
        <v>532</v>
      </c>
    </row>
    <row r="292" spans="1:23" ht="13.9" customHeight="1">
      <c r="A292" s="132">
        <v>292</v>
      </c>
      <c r="B292" s="49" t="s">
        <v>1678</v>
      </c>
      <c r="C292" s="49" t="s">
        <v>665</v>
      </c>
      <c r="D292" s="145" t="s">
        <v>822</v>
      </c>
      <c r="E292" s="146" t="s">
        <v>840</v>
      </c>
      <c r="F292" s="146"/>
      <c r="G292" s="145"/>
      <c r="H292" s="145" t="s">
        <v>800</v>
      </c>
      <c r="I292" s="92" t="s">
        <v>274</v>
      </c>
      <c r="J292" s="145" t="s">
        <v>352</v>
      </c>
      <c r="K292" s="145"/>
      <c r="L292" s="135">
        <v>14</v>
      </c>
      <c r="M292" s="136">
        <f t="shared" si="25"/>
        <v>76</v>
      </c>
      <c r="N292" s="2">
        <v>76</v>
      </c>
      <c r="O292" s="2"/>
      <c r="P292" s="137" t="e">
        <f t="shared" si="26"/>
        <v>#DIV/0!</v>
      </c>
      <c r="Q292" s="137">
        <f t="shared" si="27"/>
        <v>0</v>
      </c>
      <c r="R292" s="138">
        <f>IF(N292="nio",0,IF(N292&gt;0,VLOOKUP(I292,'3-Productie normen'!A:V,VLOOKUP(N292,'3-Productie normen'!$B$35:$C$56,2,FALSE),FALSE)))/VLOOKUP(B292,'2-Kosten per locatie'!$A$11:$C$18,3,FALSE)</f>
        <v>0</v>
      </c>
      <c r="S292" s="138">
        <f t="shared" si="28"/>
        <v>0</v>
      </c>
      <c r="T292" s="139" t="str">
        <f>VLOOKUP(I292,'3-Productie normen'!A:AF,28,FALSE)</f>
        <v>B</v>
      </c>
      <c r="U292" s="140"/>
      <c r="W292" s="141">
        <f t="shared" si="29"/>
        <v>1064</v>
      </c>
    </row>
    <row r="293" spans="1:23" ht="13.9" customHeight="1">
      <c r="A293" s="132">
        <v>293</v>
      </c>
      <c r="B293" s="49" t="s">
        <v>1678</v>
      </c>
      <c r="C293" s="49" t="s">
        <v>665</v>
      </c>
      <c r="D293" s="145" t="s">
        <v>822</v>
      </c>
      <c r="E293" s="146" t="s">
        <v>841</v>
      </c>
      <c r="F293" s="146"/>
      <c r="G293" s="145"/>
      <c r="H293" s="145" t="s">
        <v>800</v>
      </c>
      <c r="I293" s="92" t="s">
        <v>274</v>
      </c>
      <c r="J293" s="145" t="s">
        <v>352</v>
      </c>
      <c r="K293" s="145"/>
      <c r="L293" s="135">
        <v>15</v>
      </c>
      <c r="M293" s="136">
        <f t="shared" si="25"/>
        <v>76</v>
      </c>
      <c r="N293" s="2">
        <v>76</v>
      </c>
      <c r="O293" s="2"/>
      <c r="P293" s="137" t="e">
        <f t="shared" si="26"/>
        <v>#DIV/0!</v>
      </c>
      <c r="Q293" s="137">
        <f t="shared" si="27"/>
        <v>0</v>
      </c>
      <c r="R293" s="138">
        <f>IF(N293="nio",0,IF(N293&gt;0,VLOOKUP(I293,'3-Productie normen'!A:V,VLOOKUP(N293,'3-Productie normen'!$B$35:$C$56,2,FALSE),FALSE)))/VLOOKUP(B293,'2-Kosten per locatie'!$A$11:$C$18,3,FALSE)</f>
        <v>0</v>
      </c>
      <c r="S293" s="138">
        <f t="shared" si="28"/>
        <v>0</v>
      </c>
      <c r="T293" s="139" t="str">
        <f>VLOOKUP(I293,'3-Productie normen'!A:AF,28,FALSE)</f>
        <v>B</v>
      </c>
      <c r="U293" s="140"/>
      <c r="W293" s="141">
        <f t="shared" si="29"/>
        <v>1140</v>
      </c>
    </row>
    <row r="294" spans="1:23" ht="13.9" customHeight="1">
      <c r="A294" s="118">
        <v>294</v>
      </c>
      <c r="B294" s="49" t="s">
        <v>1678</v>
      </c>
      <c r="C294" s="49" t="s">
        <v>665</v>
      </c>
      <c r="D294" s="145" t="s">
        <v>822</v>
      </c>
      <c r="E294" s="146" t="s">
        <v>842</v>
      </c>
      <c r="F294" s="146"/>
      <c r="G294" s="145"/>
      <c r="H294" s="145" t="s">
        <v>334</v>
      </c>
      <c r="I294" s="145" t="s">
        <v>270</v>
      </c>
      <c r="J294" s="145" t="s">
        <v>352</v>
      </c>
      <c r="K294" s="145"/>
      <c r="L294" s="135">
        <v>8</v>
      </c>
      <c r="M294" s="136">
        <f t="shared" si="25"/>
        <v>76</v>
      </c>
      <c r="N294" s="2">
        <v>76</v>
      </c>
      <c r="O294" s="2"/>
      <c r="P294" s="137" t="e">
        <f t="shared" si="26"/>
        <v>#DIV/0!</v>
      </c>
      <c r="Q294" s="137">
        <f t="shared" si="27"/>
        <v>0</v>
      </c>
      <c r="R294" s="138">
        <f>IF(N294="nio",0,IF(N294&gt;0,VLOOKUP(I294,'3-Productie normen'!A:V,VLOOKUP(N294,'3-Productie normen'!$B$35:$C$56,2,FALSE),FALSE)))/VLOOKUP(B294,'2-Kosten per locatie'!$A$11:$C$18,3,FALSE)</f>
        <v>0</v>
      </c>
      <c r="S294" s="138">
        <f t="shared" si="28"/>
        <v>0</v>
      </c>
      <c r="T294" s="139" t="str">
        <f>VLOOKUP(I294,'3-Productie normen'!A:AF,28,FALSE)</f>
        <v>B</v>
      </c>
      <c r="U294" s="140"/>
      <c r="W294" s="141">
        <f t="shared" si="29"/>
        <v>608</v>
      </c>
    </row>
    <row r="295" spans="1:23" ht="13.9" customHeight="1">
      <c r="A295" s="132">
        <v>295</v>
      </c>
      <c r="B295" s="49" t="s">
        <v>1678</v>
      </c>
      <c r="C295" s="49" t="s">
        <v>665</v>
      </c>
      <c r="D295" s="145" t="s">
        <v>822</v>
      </c>
      <c r="E295" s="146" t="s">
        <v>843</v>
      </c>
      <c r="F295" s="146"/>
      <c r="G295" s="145"/>
      <c r="H295" s="145" t="s">
        <v>702</v>
      </c>
      <c r="I295" s="92" t="s">
        <v>274</v>
      </c>
      <c r="J295" s="145" t="s">
        <v>352</v>
      </c>
      <c r="K295" s="145"/>
      <c r="L295" s="135">
        <v>9</v>
      </c>
      <c r="M295" s="136">
        <f t="shared" si="25"/>
        <v>76</v>
      </c>
      <c r="N295" s="2">
        <v>76</v>
      </c>
      <c r="O295" s="2"/>
      <c r="P295" s="137" t="e">
        <f t="shared" si="26"/>
        <v>#DIV/0!</v>
      </c>
      <c r="Q295" s="137">
        <f t="shared" si="27"/>
        <v>0</v>
      </c>
      <c r="R295" s="138">
        <f>IF(N295="nio",0,IF(N295&gt;0,VLOOKUP(I295,'3-Productie normen'!A:V,VLOOKUP(N295,'3-Productie normen'!$B$35:$C$56,2,FALSE),FALSE)))/VLOOKUP(B295,'2-Kosten per locatie'!$A$11:$C$18,3,FALSE)</f>
        <v>0</v>
      </c>
      <c r="S295" s="138">
        <f t="shared" si="28"/>
        <v>0</v>
      </c>
      <c r="T295" s="139" t="str">
        <f>VLOOKUP(I295,'3-Productie normen'!A:AF,28,FALSE)</f>
        <v>B</v>
      </c>
      <c r="U295" s="140"/>
      <c r="W295" s="141">
        <f t="shared" si="29"/>
        <v>684</v>
      </c>
    </row>
    <row r="296" spans="1:23" ht="13.9" customHeight="1">
      <c r="A296" s="132">
        <v>296</v>
      </c>
      <c r="B296" s="49" t="s">
        <v>1678</v>
      </c>
      <c r="C296" s="49" t="s">
        <v>665</v>
      </c>
      <c r="D296" s="145" t="s">
        <v>822</v>
      </c>
      <c r="E296" s="146" t="s">
        <v>844</v>
      </c>
      <c r="F296" s="146"/>
      <c r="G296" s="145"/>
      <c r="H296" s="145" t="s">
        <v>845</v>
      </c>
      <c r="I296" s="92" t="s">
        <v>274</v>
      </c>
      <c r="J296" s="145" t="s">
        <v>352</v>
      </c>
      <c r="K296" s="145"/>
      <c r="L296" s="135">
        <v>15</v>
      </c>
      <c r="M296" s="136">
        <f t="shared" si="25"/>
        <v>76</v>
      </c>
      <c r="N296" s="2">
        <v>76</v>
      </c>
      <c r="O296" s="2"/>
      <c r="P296" s="137" t="e">
        <f t="shared" si="26"/>
        <v>#DIV/0!</v>
      </c>
      <c r="Q296" s="137">
        <f t="shared" si="27"/>
        <v>0</v>
      </c>
      <c r="R296" s="138">
        <f>IF(N296="nio",0,IF(N296&gt;0,VLOOKUP(I296,'3-Productie normen'!A:V,VLOOKUP(N296,'3-Productie normen'!$B$35:$C$56,2,FALSE),FALSE)))/VLOOKUP(B296,'2-Kosten per locatie'!$A$11:$C$18,3,FALSE)</f>
        <v>0</v>
      </c>
      <c r="S296" s="138">
        <f t="shared" si="28"/>
        <v>0</v>
      </c>
      <c r="T296" s="139" t="str">
        <f>VLOOKUP(I296,'3-Productie normen'!A:AF,28,FALSE)</f>
        <v>B</v>
      </c>
      <c r="U296" s="140"/>
      <c r="W296" s="141">
        <f t="shared" si="29"/>
        <v>1140</v>
      </c>
    </row>
    <row r="297" spans="1:23" ht="13.9" customHeight="1">
      <c r="A297" s="118">
        <v>297</v>
      </c>
      <c r="B297" s="49" t="s">
        <v>1678</v>
      </c>
      <c r="C297" s="49" t="s">
        <v>665</v>
      </c>
      <c r="D297" s="145" t="s">
        <v>822</v>
      </c>
      <c r="E297" s="146" t="s">
        <v>846</v>
      </c>
      <c r="F297" s="146"/>
      <c r="G297" s="145"/>
      <c r="H297" s="145" t="s">
        <v>845</v>
      </c>
      <c r="I297" s="92" t="s">
        <v>274</v>
      </c>
      <c r="J297" s="145" t="s">
        <v>352</v>
      </c>
      <c r="K297" s="145"/>
      <c r="L297" s="135">
        <v>15</v>
      </c>
      <c r="M297" s="136">
        <f t="shared" si="25"/>
        <v>76</v>
      </c>
      <c r="N297" s="2">
        <v>76</v>
      </c>
      <c r="O297" s="2"/>
      <c r="P297" s="137" t="e">
        <f t="shared" si="26"/>
        <v>#DIV/0!</v>
      </c>
      <c r="Q297" s="137">
        <f t="shared" si="27"/>
        <v>0</v>
      </c>
      <c r="R297" s="138">
        <f>IF(N297="nio",0,IF(N297&gt;0,VLOOKUP(I297,'3-Productie normen'!A:V,VLOOKUP(N297,'3-Productie normen'!$B$35:$C$56,2,FALSE),FALSE)))/VLOOKUP(B297,'2-Kosten per locatie'!$A$11:$C$18,3,FALSE)</f>
        <v>0</v>
      </c>
      <c r="S297" s="138">
        <f t="shared" si="28"/>
        <v>0</v>
      </c>
      <c r="T297" s="139" t="str">
        <f>VLOOKUP(I297,'3-Productie normen'!A:AF,28,FALSE)</f>
        <v>B</v>
      </c>
      <c r="U297" s="140"/>
      <c r="W297" s="141">
        <f t="shared" si="29"/>
        <v>1140</v>
      </c>
    </row>
    <row r="298" spans="1:23" ht="13.9" customHeight="1">
      <c r="A298" s="132">
        <v>298</v>
      </c>
      <c r="B298" s="49" t="s">
        <v>1678</v>
      </c>
      <c r="C298" s="49" t="s">
        <v>665</v>
      </c>
      <c r="D298" s="145" t="s">
        <v>822</v>
      </c>
      <c r="E298" s="146" t="s">
        <v>847</v>
      </c>
      <c r="F298" s="146"/>
      <c r="G298" s="145"/>
      <c r="H298" s="145" t="s">
        <v>691</v>
      </c>
      <c r="I298" s="1" t="s">
        <v>242</v>
      </c>
      <c r="J298" s="145" t="s">
        <v>352</v>
      </c>
      <c r="K298" s="145"/>
      <c r="L298" s="135">
        <v>9</v>
      </c>
      <c r="M298" s="136">
        <f t="shared" si="25"/>
        <v>2</v>
      </c>
      <c r="N298" s="2">
        <v>2</v>
      </c>
      <c r="O298" s="2"/>
      <c r="P298" s="137" t="e">
        <f t="shared" si="26"/>
        <v>#DIV/0!</v>
      </c>
      <c r="Q298" s="137">
        <f t="shared" si="27"/>
        <v>0</v>
      </c>
      <c r="R298" s="138">
        <f>IF(N298="nio",0,IF(N298&gt;0,VLOOKUP(I298,'3-Productie normen'!A:V,VLOOKUP(N298,'3-Productie normen'!$B$35:$C$56,2,FALSE),FALSE)))/VLOOKUP(B298,'2-Kosten per locatie'!$A$11:$C$18,3,FALSE)</f>
        <v>0</v>
      </c>
      <c r="S298" s="138">
        <f t="shared" si="28"/>
        <v>0</v>
      </c>
      <c r="T298" s="139" t="str">
        <f>VLOOKUP(I298,'3-Productie normen'!A:AF,28,FALSE)</f>
        <v>V</v>
      </c>
      <c r="U298" s="140"/>
      <c r="W298" s="141">
        <f t="shared" si="29"/>
        <v>18</v>
      </c>
    </row>
    <row r="299" spans="1:23" ht="13.9" customHeight="1">
      <c r="A299" s="132">
        <v>299</v>
      </c>
      <c r="B299" s="49" t="s">
        <v>1678</v>
      </c>
      <c r="C299" s="49" t="s">
        <v>665</v>
      </c>
      <c r="D299" s="145" t="s">
        <v>822</v>
      </c>
      <c r="E299" s="146" t="s">
        <v>848</v>
      </c>
      <c r="F299" s="146"/>
      <c r="G299" s="145"/>
      <c r="H299" s="145" t="s">
        <v>849</v>
      </c>
      <c r="I299" s="1" t="s">
        <v>247</v>
      </c>
      <c r="J299" s="145" t="s">
        <v>352</v>
      </c>
      <c r="K299" s="145"/>
      <c r="L299" s="135">
        <v>11</v>
      </c>
      <c r="M299" s="136">
        <f t="shared" si="25"/>
        <v>190</v>
      </c>
      <c r="N299" s="2">
        <v>190</v>
      </c>
      <c r="O299" s="2"/>
      <c r="P299" s="137" t="e">
        <f t="shared" si="26"/>
        <v>#DIV/0!</v>
      </c>
      <c r="Q299" s="137">
        <f t="shared" si="27"/>
        <v>0</v>
      </c>
      <c r="R299" s="138">
        <f>IF(N299="nio",0,IF(N299&gt;0,VLOOKUP(I299,'3-Productie normen'!A:V,VLOOKUP(N299,'3-Productie normen'!$B$35:$C$56,2,FALSE),FALSE)))/VLOOKUP(B299,'2-Kosten per locatie'!$A$11:$C$18,3,FALSE)</f>
        <v>0</v>
      </c>
      <c r="S299" s="138">
        <f t="shared" si="28"/>
        <v>0</v>
      </c>
      <c r="T299" s="139" t="str">
        <f>VLOOKUP(I299,'3-Productie normen'!A:AF,28,FALSE)</f>
        <v>V</v>
      </c>
      <c r="U299" s="140"/>
      <c r="W299" s="141">
        <f t="shared" si="29"/>
        <v>2090</v>
      </c>
    </row>
    <row r="300" spans="1:23" ht="13.9" customHeight="1">
      <c r="A300" s="118">
        <v>300</v>
      </c>
      <c r="B300" s="49" t="s">
        <v>1678</v>
      </c>
      <c r="C300" s="49" t="s">
        <v>665</v>
      </c>
      <c r="D300" s="145" t="s">
        <v>822</v>
      </c>
      <c r="E300" s="146" t="s">
        <v>850</v>
      </c>
      <c r="F300" s="146"/>
      <c r="G300" s="145"/>
      <c r="H300" s="145" t="s">
        <v>304</v>
      </c>
      <c r="I300" s="49" t="s">
        <v>1486</v>
      </c>
      <c r="J300" s="145" t="s">
        <v>352</v>
      </c>
      <c r="K300" s="145"/>
      <c r="L300" s="135">
        <v>95</v>
      </c>
      <c r="M300" s="136">
        <f t="shared" si="25"/>
        <v>190</v>
      </c>
      <c r="N300" s="2">
        <v>190</v>
      </c>
      <c r="O300" s="2"/>
      <c r="P300" s="137" t="e">
        <f t="shared" si="26"/>
        <v>#DIV/0!</v>
      </c>
      <c r="Q300" s="137">
        <f t="shared" si="27"/>
        <v>0</v>
      </c>
      <c r="R300" s="138">
        <f>IF(N300="nio",0,IF(N300&gt;0,VLOOKUP(I300,'3-Productie normen'!A:V,VLOOKUP(N300,'3-Productie normen'!$B$35:$C$56,2,FALSE),FALSE)))/VLOOKUP(B300,'2-Kosten per locatie'!$A$11:$C$18,3,FALSE)</f>
        <v>0</v>
      </c>
      <c r="S300" s="138">
        <f t="shared" si="28"/>
        <v>0</v>
      </c>
      <c r="T300" s="139" t="str">
        <f>VLOOKUP(I300,'3-Productie normen'!A:AF,28,FALSE)</f>
        <v>V</v>
      </c>
      <c r="U300" s="140"/>
      <c r="W300" s="141">
        <f t="shared" si="29"/>
        <v>18050</v>
      </c>
    </row>
    <row r="301" spans="1:23" ht="13.9" customHeight="1">
      <c r="A301" s="132">
        <v>301</v>
      </c>
      <c r="B301" s="49" t="s">
        <v>1678</v>
      </c>
      <c r="C301" s="49" t="s">
        <v>665</v>
      </c>
      <c r="D301" s="145" t="s">
        <v>822</v>
      </c>
      <c r="E301" s="146" t="s">
        <v>851</v>
      </c>
      <c r="F301" s="146"/>
      <c r="G301" s="145"/>
      <c r="H301" s="145" t="s">
        <v>304</v>
      </c>
      <c r="I301" s="49" t="s">
        <v>1486</v>
      </c>
      <c r="J301" s="145" t="s">
        <v>352</v>
      </c>
      <c r="K301" s="145"/>
      <c r="L301" s="135">
        <v>12</v>
      </c>
      <c r="M301" s="136">
        <f t="shared" si="25"/>
        <v>190</v>
      </c>
      <c r="N301" s="2">
        <v>190</v>
      </c>
      <c r="O301" s="2"/>
      <c r="P301" s="137" t="e">
        <f t="shared" si="26"/>
        <v>#DIV/0!</v>
      </c>
      <c r="Q301" s="137">
        <f t="shared" si="27"/>
        <v>0</v>
      </c>
      <c r="R301" s="138">
        <f>IF(N301="nio",0,IF(N301&gt;0,VLOOKUP(I301,'3-Productie normen'!A:V,VLOOKUP(N301,'3-Productie normen'!$B$35:$C$56,2,FALSE),FALSE)))/VLOOKUP(B301,'2-Kosten per locatie'!$A$11:$C$18,3,FALSE)</f>
        <v>0</v>
      </c>
      <c r="S301" s="138">
        <f t="shared" si="28"/>
        <v>0</v>
      </c>
      <c r="T301" s="139" t="str">
        <f>VLOOKUP(I301,'3-Productie normen'!A:AF,28,FALSE)</f>
        <v>V</v>
      </c>
      <c r="U301" s="140"/>
      <c r="W301" s="141">
        <f t="shared" si="29"/>
        <v>2280</v>
      </c>
    </row>
    <row r="302" spans="1:23" ht="13.9" customHeight="1">
      <c r="A302" s="132">
        <v>302</v>
      </c>
      <c r="B302" s="49" t="s">
        <v>1678</v>
      </c>
      <c r="C302" s="49" t="s">
        <v>665</v>
      </c>
      <c r="D302" s="145" t="s">
        <v>822</v>
      </c>
      <c r="E302" s="146" t="s">
        <v>852</v>
      </c>
      <c r="F302" s="146"/>
      <c r="G302" s="145"/>
      <c r="H302" s="145" t="s">
        <v>304</v>
      </c>
      <c r="I302" s="49" t="s">
        <v>1486</v>
      </c>
      <c r="J302" s="145" t="s">
        <v>352</v>
      </c>
      <c r="K302" s="145"/>
      <c r="L302" s="135">
        <v>92</v>
      </c>
      <c r="M302" s="136">
        <f t="shared" si="25"/>
        <v>190</v>
      </c>
      <c r="N302" s="2">
        <v>190</v>
      </c>
      <c r="O302" s="2"/>
      <c r="P302" s="137" t="e">
        <f t="shared" si="26"/>
        <v>#DIV/0!</v>
      </c>
      <c r="Q302" s="137">
        <f t="shared" si="27"/>
        <v>0</v>
      </c>
      <c r="R302" s="138">
        <f>IF(N302="nio",0,IF(N302&gt;0,VLOOKUP(I302,'3-Productie normen'!A:V,VLOOKUP(N302,'3-Productie normen'!$B$35:$C$56,2,FALSE),FALSE)))/VLOOKUP(B302,'2-Kosten per locatie'!$A$11:$C$18,3,FALSE)</f>
        <v>0</v>
      </c>
      <c r="S302" s="138">
        <f t="shared" si="28"/>
        <v>0</v>
      </c>
      <c r="T302" s="139" t="str">
        <f>VLOOKUP(I302,'3-Productie normen'!A:AF,28,FALSE)</f>
        <v>V</v>
      </c>
      <c r="U302" s="140"/>
      <c r="W302" s="141">
        <f t="shared" si="29"/>
        <v>17480</v>
      </c>
    </row>
    <row r="303" spans="1:23" ht="13.9" customHeight="1">
      <c r="A303" s="118">
        <v>303</v>
      </c>
      <c r="B303" s="49" t="s">
        <v>1678</v>
      </c>
      <c r="C303" s="49" t="s">
        <v>665</v>
      </c>
      <c r="D303" s="145" t="s">
        <v>822</v>
      </c>
      <c r="E303" s="146" t="s">
        <v>853</v>
      </c>
      <c r="F303" s="146"/>
      <c r="G303" s="145"/>
      <c r="H303" s="145" t="s">
        <v>301</v>
      </c>
      <c r="I303" s="1" t="s">
        <v>233</v>
      </c>
      <c r="J303" s="145" t="s">
        <v>352</v>
      </c>
      <c r="K303" s="145"/>
      <c r="L303" s="135">
        <v>169</v>
      </c>
      <c r="M303" s="136">
        <f t="shared" si="25"/>
        <v>190</v>
      </c>
      <c r="N303" s="2">
        <v>190</v>
      </c>
      <c r="O303" s="2"/>
      <c r="P303" s="137" t="e">
        <f t="shared" si="26"/>
        <v>#DIV/0!</v>
      </c>
      <c r="Q303" s="137">
        <f t="shared" si="27"/>
        <v>0</v>
      </c>
      <c r="R303" s="138">
        <f>IF(N303="nio",0,IF(N303&gt;0,VLOOKUP(I303,'3-Productie normen'!A:V,VLOOKUP(N303,'3-Productie normen'!$B$35:$C$56,2,FALSE),FALSE)))/VLOOKUP(B303,'2-Kosten per locatie'!$A$11:$C$18,3,FALSE)</f>
        <v>0</v>
      </c>
      <c r="S303" s="138">
        <f t="shared" si="28"/>
        <v>0</v>
      </c>
      <c r="T303" s="139" t="str">
        <f>VLOOKUP(I303,'3-Productie normen'!A:AF,28,FALSE)</f>
        <v>V</v>
      </c>
      <c r="U303" s="140"/>
      <c r="W303" s="141">
        <f t="shared" si="29"/>
        <v>32110</v>
      </c>
    </row>
    <row r="304" spans="1:23" ht="13.9" customHeight="1">
      <c r="A304" s="132">
        <v>304</v>
      </c>
      <c r="B304" s="49" t="s">
        <v>1678</v>
      </c>
      <c r="C304" s="49" t="s">
        <v>665</v>
      </c>
      <c r="D304" s="145" t="s">
        <v>822</v>
      </c>
      <c r="E304" s="146" t="s">
        <v>854</v>
      </c>
      <c r="F304" s="146"/>
      <c r="G304" s="145"/>
      <c r="H304" s="145" t="s">
        <v>301</v>
      </c>
      <c r="I304" s="1" t="s">
        <v>233</v>
      </c>
      <c r="J304" s="145" t="s">
        <v>352</v>
      </c>
      <c r="K304" s="145"/>
      <c r="L304" s="135">
        <v>37</v>
      </c>
      <c r="M304" s="136">
        <f t="shared" si="25"/>
        <v>190</v>
      </c>
      <c r="N304" s="2">
        <v>190</v>
      </c>
      <c r="O304" s="2"/>
      <c r="P304" s="137" t="e">
        <f t="shared" si="26"/>
        <v>#DIV/0!</v>
      </c>
      <c r="Q304" s="137">
        <f t="shared" si="27"/>
        <v>0</v>
      </c>
      <c r="R304" s="138">
        <f>IF(N304="nio",0,IF(N304&gt;0,VLOOKUP(I304,'3-Productie normen'!A:V,VLOOKUP(N304,'3-Productie normen'!$B$35:$C$56,2,FALSE),FALSE)))/VLOOKUP(B304,'2-Kosten per locatie'!$A$11:$C$18,3,FALSE)</f>
        <v>0</v>
      </c>
      <c r="S304" s="138">
        <f t="shared" si="28"/>
        <v>0</v>
      </c>
      <c r="T304" s="139" t="str">
        <f>VLOOKUP(I304,'3-Productie normen'!A:AF,28,FALSE)</f>
        <v>V</v>
      </c>
      <c r="U304" s="140"/>
      <c r="W304" s="141">
        <f t="shared" si="29"/>
        <v>7030</v>
      </c>
    </row>
    <row r="305" spans="1:23" ht="13.9" customHeight="1">
      <c r="A305" s="132">
        <v>305</v>
      </c>
      <c r="B305" s="49" t="s">
        <v>1678</v>
      </c>
      <c r="C305" s="49" t="s">
        <v>665</v>
      </c>
      <c r="D305" s="145" t="s">
        <v>822</v>
      </c>
      <c r="E305" s="146" t="s">
        <v>855</v>
      </c>
      <c r="F305" s="146"/>
      <c r="G305" s="145"/>
      <c r="H305" s="145" t="s">
        <v>856</v>
      </c>
      <c r="I305" s="49" t="s">
        <v>1486</v>
      </c>
      <c r="J305" s="145" t="s">
        <v>352</v>
      </c>
      <c r="K305" s="145"/>
      <c r="L305" s="135">
        <v>8</v>
      </c>
      <c r="M305" s="136">
        <f t="shared" si="25"/>
        <v>190</v>
      </c>
      <c r="N305" s="2">
        <v>190</v>
      </c>
      <c r="O305" s="2"/>
      <c r="P305" s="137" t="e">
        <f t="shared" si="26"/>
        <v>#DIV/0!</v>
      </c>
      <c r="Q305" s="137">
        <f t="shared" si="27"/>
        <v>0</v>
      </c>
      <c r="R305" s="138">
        <f>IF(N305="nio",0,IF(N305&gt;0,VLOOKUP(I305,'3-Productie normen'!A:V,VLOOKUP(N305,'3-Productie normen'!$B$35:$C$56,2,FALSE),FALSE)))/VLOOKUP(B305,'2-Kosten per locatie'!$A$11:$C$18,3,FALSE)</f>
        <v>0</v>
      </c>
      <c r="S305" s="138">
        <f t="shared" si="28"/>
        <v>0</v>
      </c>
      <c r="T305" s="139" t="str">
        <f>VLOOKUP(I305,'3-Productie normen'!A:AF,28,FALSE)</f>
        <v>V</v>
      </c>
      <c r="U305" s="140"/>
      <c r="W305" s="141">
        <f t="shared" si="29"/>
        <v>1520</v>
      </c>
    </row>
    <row r="306" spans="1:23" ht="13.9" customHeight="1">
      <c r="A306" s="118">
        <v>306</v>
      </c>
      <c r="B306" s="49" t="s">
        <v>1678</v>
      </c>
      <c r="C306" s="49" t="s">
        <v>665</v>
      </c>
      <c r="D306" s="145" t="s">
        <v>822</v>
      </c>
      <c r="E306" s="146" t="s">
        <v>857</v>
      </c>
      <c r="F306" s="146"/>
      <c r="G306" s="145"/>
      <c r="H306" s="145" t="s">
        <v>858</v>
      </c>
      <c r="I306" s="145" t="s">
        <v>284</v>
      </c>
      <c r="J306" s="145" t="s">
        <v>352</v>
      </c>
      <c r="K306" s="145"/>
      <c r="L306" s="135">
        <v>94.13</v>
      </c>
      <c r="M306" s="136">
        <f t="shared" si="25"/>
        <v>76</v>
      </c>
      <c r="N306" s="2">
        <v>76</v>
      </c>
      <c r="O306" s="2"/>
      <c r="P306" s="137" t="e">
        <f t="shared" si="26"/>
        <v>#DIV/0!</v>
      </c>
      <c r="Q306" s="137">
        <f t="shared" si="27"/>
        <v>0</v>
      </c>
      <c r="R306" s="138">
        <f>IF(N306="nio",0,IF(N306&gt;0,VLOOKUP(I306,'3-Productie normen'!A:V,VLOOKUP(N306,'3-Productie normen'!$B$35:$C$56,2,FALSE),FALSE)))/VLOOKUP(B306,'2-Kosten per locatie'!$A$11:$C$18,3,FALSE)</f>
        <v>0</v>
      </c>
      <c r="S306" s="138">
        <f t="shared" si="28"/>
        <v>0</v>
      </c>
      <c r="T306" s="139" t="str">
        <f>VLOOKUP(I306,'3-Productie normen'!A:AF,28,FALSE)</f>
        <v>L</v>
      </c>
      <c r="U306" s="140"/>
      <c r="W306" s="141">
        <f t="shared" si="29"/>
        <v>7153.8799999999992</v>
      </c>
    </row>
    <row r="307" spans="1:23" ht="13.9" customHeight="1">
      <c r="A307" s="132">
        <v>307</v>
      </c>
      <c r="B307" s="49" t="s">
        <v>1678</v>
      </c>
      <c r="C307" s="49" t="s">
        <v>665</v>
      </c>
      <c r="D307" s="145" t="s">
        <v>822</v>
      </c>
      <c r="E307" s="146" t="s">
        <v>859</v>
      </c>
      <c r="F307" s="146"/>
      <c r="G307" s="145"/>
      <c r="H307" s="145" t="s">
        <v>858</v>
      </c>
      <c r="I307" s="145" t="s">
        <v>284</v>
      </c>
      <c r="J307" s="145" t="s">
        <v>352</v>
      </c>
      <c r="K307" s="145"/>
      <c r="L307" s="135">
        <v>61.76</v>
      </c>
      <c r="M307" s="136">
        <f t="shared" si="25"/>
        <v>76</v>
      </c>
      <c r="N307" s="2">
        <v>76</v>
      </c>
      <c r="O307" s="2"/>
      <c r="P307" s="137" t="e">
        <f t="shared" si="26"/>
        <v>#DIV/0!</v>
      </c>
      <c r="Q307" s="137">
        <f t="shared" si="27"/>
        <v>0</v>
      </c>
      <c r="R307" s="138">
        <f>IF(N307="nio",0,IF(N307&gt;0,VLOOKUP(I307,'3-Productie normen'!A:V,VLOOKUP(N307,'3-Productie normen'!$B$35:$C$56,2,FALSE),FALSE)))/VLOOKUP(B307,'2-Kosten per locatie'!$A$11:$C$18,3,FALSE)</f>
        <v>0</v>
      </c>
      <c r="S307" s="138">
        <f t="shared" si="28"/>
        <v>0</v>
      </c>
      <c r="T307" s="139" t="str">
        <f>VLOOKUP(I307,'3-Productie normen'!A:AF,28,FALSE)</f>
        <v>L</v>
      </c>
      <c r="U307" s="140"/>
      <c r="W307" s="141">
        <f t="shared" si="29"/>
        <v>4693.76</v>
      </c>
    </row>
    <row r="308" spans="1:23" ht="13.9" customHeight="1">
      <c r="A308" s="132">
        <v>308</v>
      </c>
      <c r="B308" s="49" t="s">
        <v>1678</v>
      </c>
      <c r="C308" s="49" t="s">
        <v>665</v>
      </c>
      <c r="D308" s="145" t="s">
        <v>822</v>
      </c>
      <c r="E308" s="146" t="s">
        <v>860</v>
      </c>
      <c r="F308" s="146"/>
      <c r="G308" s="145"/>
      <c r="H308" s="145" t="s">
        <v>858</v>
      </c>
      <c r="I308" s="145" t="s">
        <v>284</v>
      </c>
      <c r="J308" s="145" t="s">
        <v>352</v>
      </c>
      <c r="K308" s="145"/>
      <c r="L308" s="135">
        <v>126.23</v>
      </c>
      <c r="M308" s="136">
        <f t="shared" si="25"/>
        <v>76</v>
      </c>
      <c r="N308" s="2">
        <v>76</v>
      </c>
      <c r="O308" s="2"/>
      <c r="P308" s="137" t="e">
        <f t="shared" si="26"/>
        <v>#DIV/0!</v>
      </c>
      <c r="Q308" s="137">
        <f t="shared" si="27"/>
        <v>0</v>
      </c>
      <c r="R308" s="138">
        <f>IF(N308="nio",0,IF(N308&gt;0,VLOOKUP(I308,'3-Productie normen'!A:V,VLOOKUP(N308,'3-Productie normen'!$B$35:$C$56,2,FALSE),FALSE)))/VLOOKUP(B308,'2-Kosten per locatie'!$A$11:$C$18,3,FALSE)</f>
        <v>0</v>
      </c>
      <c r="S308" s="138">
        <f t="shared" si="28"/>
        <v>0</v>
      </c>
      <c r="T308" s="139" t="str">
        <f>VLOOKUP(I308,'3-Productie normen'!A:AF,28,FALSE)</f>
        <v>L</v>
      </c>
      <c r="U308" s="140"/>
      <c r="W308" s="141">
        <f t="shared" si="29"/>
        <v>9593.48</v>
      </c>
    </row>
    <row r="309" spans="1:23" ht="13.9" customHeight="1">
      <c r="A309" s="118">
        <v>309</v>
      </c>
      <c r="B309" s="49" t="s">
        <v>1678</v>
      </c>
      <c r="C309" s="49" t="s">
        <v>665</v>
      </c>
      <c r="D309" s="145" t="s">
        <v>822</v>
      </c>
      <c r="E309" s="146" t="s">
        <v>861</v>
      </c>
      <c r="F309" s="146"/>
      <c r="G309" s="145"/>
      <c r="H309" s="145" t="s">
        <v>816</v>
      </c>
      <c r="I309" s="145" t="s">
        <v>259</v>
      </c>
      <c r="J309" s="145" t="s">
        <v>744</v>
      </c>
      <c r="K309" s="145"/>
      <c r="L309" s="135">
        <v>6.7</v>
      </c>
      <c r="M309" s="136">
        <f t="shared" si="25"/>
        <v>190</v>
      </c>
      <c r="N309" s="2">
        <v>190</v>
      </c>
      <c r="O309" s="2"/>
      <c r="P309" s="137" t="e">
        <f t="shared" si="26"/>
        <v>#DIV/0!</v>
      </c>
      <c r="Q309" s="137">
        <f t="shared" si="27"/>
        <v>0</v>
      </c>
      <c r="R309" s="138">
        <f>IF(N309="nio",0,IF(N309&gt;0,VLOOKUP(I309,'3-Productie normen'!A:V,VLOOKUP(N309,'3-Productie normen'!$B$35:$C$56,2,FALSE),FALSE)))/VLOOKUP(B309,'2-Kosten per locatie'!$A$11:$C$18,3,FALSE)</f>
        <v>0</v>
      </c>
      <c r="S309" s="138">
        <f t="shared" si="28"/>
        <v>0</v>
      </c>
      <c r="T309" s="139" t="str">
        <f>VLOOKUP(I309,'3-Productie normen'!A:AF,28,FALSE)</f>
        <v>S</v>
      </c>
      <c r="U309" s="140"/>
      <c r="W309" s="141">
        <f t="shared" si="29"/>
        <v>1273</v>
      </c>
    </row>
    <row r="310" spans="1:23" ht="13.9" customHeight="1">
      <c r="A310" s="132">
        <v>310</v>
      </c>
      <c r="B310" s="49" t="s">
        <v>1678</v>
      </c>
      <c r="C310" s="49" t="s">
        <v>665</v>
      </c>
      <c r="D310" s="145" t="s">
        <v>822</v>
      </c>
      <c r="E310" s="146" t="s">
        <v>862</v>
      </c>
      <c r="F310" s="146"/>
      <c r="G310" s="145"/>
      <c r="H310" s="145" t="s">
        <v>816</v>
      </c>
      <c r="I310" s="145" t="s">
        <v>259</v>
      </c>
      <c r="J310" s="145" t="s">
        <v>744</v>
      </c>
      <c r="K310" s="145"/>
      <c r="L310" s="135">
        <v>6.7</v>
      </c>
      <c r="M310" s="136">
        <f t="shared" si="25"/>
        <v>190</v>
      </c>
      <c r="N310" s="2">
        <v>190</v>
      </c>
      <c r="O310" s="2"/>
      <c r="P310" s="137" t="e">
        <f t="shared" si="26"/>
        <v>#DIV/0!</v>
      </c>
      <c r="Q310" s="137">
        <f t="shared" si="27"/>
        <v>0</v>
      </c>
      <c r="R310" s="138">
        <f>IF(N310="nio",0,IF(N310&gt;0,VLOOKUP(I310,'3-Productie normen'!A:V,VLOOKUP(N310,'3-Productie normen'!$B$35:$C$56,2,FALSE),FALSE)))/VLOOKUP(B310,'2-Kosten per locatie'!$A$11:$C$18,3,FALSE)</f>
        <v>0</v>
      </c>
      <c r="S310" s="138">
        <f t="shared" si="28"/>
        <v>0</v>
      </c>
      <c r="T310" s="139" t="str">
        <f>VLOOKUP(I310,'3-Productie normen'!A:AF,28,FALSE)</f>
        <v>S</v>
      </c>
      <c r="U310" s="140"/>
      <c r="W310" s="141">
        <f t="shared" si="29"/>
        <v>1273</v>
      </c>
    </row>
    <row r="311" spans="1:23" ht="13.9" customHeight="1">
      <c r="A311" s="132">
        <v>311</v>
      </c>
      <c r="B311" s="49" t="s">
        <v>1678</v>
      </c>
      <c r="C311" s="49" t="s">
        <v>665</v>
      </c>
      <c r="D311" s="145" t="s">
        <v>822</v>
      </c>
      <c r="E311" s="146" t="s">
        <v>863</v>
      </c>
      <c r="F311" s="146"/>
      <c r="G311" s="145"/>
      <c r="H311" s="145" t="s">
        <v>816</v>
      </c>
      <c r="I311" s="145" t="s">
        <v>259</v>
      </c>
      <c r="J311" s="145" t="s">
        <v>744</v>
      </c>
      <c r="K311" s="145"/>
      <c r="L311" s="135">
        <v>6.31</v>
      </c>
      <c r="M311" s="136">
        <f t="shared" si="25"/>
        <v>190</v>
      </c>
      <c r="N311" s="2">
        <v>190</v>
      </c>
      <c r="O311" s="2"/>
      <c r="P311" s="137" t="e">
        <f t="shared" si="26"/>
        <v>#DIV/0!</v>
      </c>
      <c r="Q311" s="137">
        <f t="shared" si="27"/>
        <v>0</v>
      </c>
      <c r="R311" s="138">
        <f>IF(N311="nio",0,IF(N311&gt;0,VLOOKUP(I311,'3-Productie normen'!A:V,VLOOKUP(N311,'3-Productie normen'!$B$35:$C$56,2,FALSE),FALSE)))/VLOOKUP(B311,'2-Kosten per locatie'!$A$11:$C$18,3,FALSE)</f>
        <v>0</v>
      </c>
      <c r="S311" s="138">
        <f t="shared" si="28"/>
        <v>0</v>
      </c>
      <c r="T311" s="139" t="str">
        <f>VLOOKUP(I311,'3-Productie normen'!A:AF,28,FALSE)</f>
        <v>S</v>
      </c>
      <c r="U311" s="140"/>
      <c r="W311" s="141">
        <f t="shared" si="29"/>
        <v>1198.8999999999999</v>
      </c>
    </row>
    <row r="312" spans="1:23" ht="13.9" customHeight="1">
      <c r="A312" s="118">
        <v>312</v>
      </c>
      <c r="B312" s="49" t="s">
        <v>1678</v>
      </c>
      <c r="C312" s="49" t="s">
        <v>665</v>
      </c>
      <c r="D312" s="145" t="s">
        <v>822</v>
      </c>
      <c r="E312" s="146" t="s">
        <v>864</v>
      </c>
      <c r="F312" s="146"/>
      <c r="G312" s="145"/>
      <c r="H312" s="145" t="s">
        <v>816</v>
      </c>
      <c r="I312" s="145" t="s">
        <v>259</v>
      </c>
      <c r="J312" s="145" t="s">
        <v>744</v>
      </c>
      <c r="K312" s="145"/>
      <c r="L312" s="135">
        <v>6.31</v>
      </c>
      <c r="M312" s="136">
        <f t="shared" si="25"/>
        <v>190</v>
      </c>
      <c r="N312" s="2">
        <v>190</v>
      </c>
      <c r="O312" s="2"/>
      <c r="P312" s="137" t="e">
        <f t="shared" si="26"/>
        <v>#DIV/0!</v>
      </c>
      <c r="Q312" s="137">
        <f t="shared" si="27"/>
        <v>0</v>
      </c>
      <c r="R312" s="138">
        <f>IF(N312="nio",0,IF(N312&gt;0,VLOOKUP(I312,'3-Productie normen'!A:V,VLOOKUP(N312,'3-Productie normen'!$B$35:$C$56,2,FALSE),FALSE)))/VLOOKUP(B312,'2-Kosten per locatie'!$A$11:$C$18,3,FALSE)</f>
        <v>0</v>
      </c>
      <c r="S312" s="138">
        <f t="shared" si="28"/>
        <v>0</v>
      </c>
      <c r="T312" s="139" t="str">
        <f>VLOOKUP(I312,'3-Productie normen'!A:AF,28,FALSE)</f>
        <v>S</v>
      </c>
      <c r="U312" s="140"/>
      <c r="W312" s="141">
        <f t="shared" si="29"/>
        <v>1198.8999999999999</v>
      </c>
    </row>
    <row r="313" spans="1:23" ht="13.9" customHeight="1">
      <c r="A313" s="132">
        <v>313</v>
      </c>
      <c r="B313" s="49" t="s">
        <v>1678</v>
      </c>
      <c r="C313" s="49" t="s">
        <v>665</v>
      </c>
      <c r="D313" s="145" t="s">
        <v>865</v>
      </c>
      <c r="E313" s="146" t="s">
        <v>866</v>
      </c>
      <c r="F313" s="146"/>
      <c r="G313" s="145"/>
      <c r="H313" s="145" t="s">
        <v>867</v>
      </c>
      <c r="I313" s="86" t="s">
        <v>51</v>
      </c>
      <c r="J313" s="145" t="s">
        <v>868</v>
      </c>
      <c r="K313" s="145"/>
      <c r="L313" s="135">
        <v>511</v>
      </c>
      <c r="M313" s="136">
        <f t="shared" si="25"/>
        <v>190</v>
      </c>
      <c r="N313" s="2">
        <v>190</v>
      </c>
      <c r="O313" s="2"/>
      <c r="P313" s="137" t="e">
        <f t="shared" si="26"/>
        <v>#DIV/0!</v>
      </c>
      <c r="Q313" s="137">
        <f t="shared" si="27"/>
        <v>0</v>
      </c>
      <c r="R313" s="138">
        <f>IF(N313="nio",0,IF(N313&gt;0,VLOOKUP(I313,'3-Productie normen'!A:V,VLOOKUP(N313,'3-Productie normen'!$B$35:$C$56,2,FALSE),FALSE)))/VLOOKUP(B313,'2-Kosten per locatie'!$A$11:$C$18,3,FALSE)</f>
        <v>0</v>
      </c>
      <c r="S313" s="138">
        <f t="shared" si="28"/>
        <v>0</v>
      </c>
      <c r="T313" s="139" t="str">
        <f>VLOOKUP(I313,'3-Productie normen'!A:AF,28,FALSE)</f>
        <v>V</v>
      </c>
      <c r="U313" s="140"/>
      <c r="W313" s="141">
        <f t="shared" si="29"/>
        <v>97090</v>
      </c>
    </row>
    <row r="314" spans="1:23" ht="13.9" customHeight="1">
      <c r="A314" s="132">
        <v>314</v>
      </c>
      <c r="B314" s="49" t="s">
        <v>1678</v>
      </c>
      <c r="C314" s="49" t="s">
        <v>665</v>
      </c>
      <c r="D314" s="145" t="s">
        <v>865</v>
      </c>
      <c r="E314" s="146" t="s">
        <v>869</v>
      </c>
      <c r="F314" s="146"/>
      <c r="G314" s="145"/>
      <c r="H314" s="145" t="s">
        <v>870</v>
      </c>
      <c r="I314" s="49" t="s">
        <v>1486</v>
      </c>
      <c r="J314" s="145" t="s">
        <v>352</v>
      </c>
      <c r="K314" s="145"/>
      <c r="L314" s="135">
        <v>62</v>
      </c>
      <c r="M314" s="136">
        <f t="shared" si="25"/>
        <v>190</v>
      </c>
      <c r="N314" s="2">
        <v>190</v>
      </c>
      <c r="O314" s="2"/>
      <c r="P314" s="137" t="e">
        <f t="shared" si="26"/>
        <v>#DIV/0!</v>
      </c>
      <c r="Q314" s="137">
        <f t="shared" si="27"/>
        <v>0</v>
      </c>
      <c r="R314" s="138">
        <f>IF(N314="nio",0,IF(N314&gt;0,VLOOKUP(I314,'3-Productie normen'!A:V,VLOOKUP(N314,'3-Productie normen'!$B$35:$C$56,2,FALSE),FALSE)))/VLOOKUP(B314,'2-Kosten per locatie'!$A$11:$C$18,3,FALSE)</f>
        <v>0</v>
      </c>
      <c r="S314" s="138">
        <f t="shared" si="28"/>
        <v>0</v>
      </c>
      <c r="T314" s="139" t="str">
        <f>VLOOKUP(I314,'3-Productie normen'!A:AF,28,FALSE)</f>
        <v>V</v>
      </c>
      <c r="U314" s="140"/>
      <c r="W314" s="141">
        <f t="shared" si="29"/>
        <v>11780</v>
      </c>
    </row>
    <row r="315" spans="1:23" ht="13.9" customHeight="1">
      <c r="A315" s="118">
        <v>315</v>
      </c>
      <c r="B315" s="49" t="s">
        <v>1678</v>
      </c>
      <c r="C315" s="49" t="s">
        <v>665</v>
      </c>
      <c r="D315" s="145" t="s">
        <v>865</v>
      </c>
      <c r="E315" s="146" t="s">
        <v>871</v>
      </c>
      <c r="F315" s="146"/>
      <c r="G315" s="145"/>
      <c r="H315" s="145" t="s">
        <v>872</v>
      </c>
      <c r="I315" s="134" t="s">
        <v>49</v>
      </c>
      <c r="J315" s="145" t="s">
        <v>744</v>
      </c>
      <c r="K315" s="145"/>
      <c r="L315" s="135">
        <v>48</v>
      </c>
      <c r="M315" s="136">
        <f t="shared" si="25"/>
        <v>190</v>
      </c>
      <c r="N315" s="2">
        <v>190</v>
      </c>
      <c r="O315" s="2"/>
      <c r="P315" s="137" t="e">
        <f t="shared" si="26"/>
        <v>#DIV/0!</v>
      </c>
      <c r="Q315" s="137">
        <f t="shared" si="27"/>
        <v>0</v>
      </c>
      <c r="R315" s="138">
        <f>IF(N315="nio",0,IF(N315&gt;0,VLOOKUP(I315,'3-Productie normen'!A:V,VLOOKUP(N315,'3-Productie normen'!$B$35:$C$56,2,FALSE),FALSE)))/VLOOKUP(B315,'2-Kosten per locatie'!$A$11:$C$18,3,FALSE)</f>
        <v>0</v>
      </c>
      <c r="S315" s="138">
        <f t="shared" si="28"/>
        <v>0</v>
      </c>
      <c r="T315" s="139" t="str">
        <f>VLOOKUP(I315,'3-Productie normen'!A:AF,28,FALSE)</f>
        <v>V</v>
      </c>
      <c r="U315" s="140"/>
      <c r="W315" s="141">
        <f t="shared" si="29"/>
        <v>9120</v>
      </c>
    </row>
    <row r="316" spans="1:23" ht="13.9" customHeight="1">
      <c r="A316" s="132">
        <v>316</v>
      </c>
      <c r="B316" s="49" t="s">
        <v>1678</v>
      </c>
      <c r="C316" s="49" t="s">
        <v>665</v>
      </c>
      <c r="D316" s="145" t="s">
        <v>865</v>
      </c>
      <c r="E316" s="146" t="s">
        <v>873</v>
      </c>
      <c r="F316" s="146"/>
      <c r="G316" s="145"/>
      <c r="H316" s="145" t="s">
        <v>872</v>
      </c>
      <c r="I316" s="134" t="s">
        <v>49</v>
      </c>
      <c r="J316" s="145" t="s">
        <v>744</v>
      </c>
      <c r="K316" s="145"/>
      <c r="L316" s="135">
        <v>49</v>
      </c>
      <c r="M316" s="136">
        <f t="shared" si="25"/>
        <v>190</v>
      </c>
      <c r="N316" s="2">
        <v>190</v>
      </c>
      <c r="O316" s="2"/>
      <c r="P316" s="137" t="e">
        <f t="shared" si="26"/>
        <v>#DIV/0!</v>
      </c>
      <c r="Q316" s="137">
        <f t="shared" si="27"/>
        <v>0</v>
      </c>
      <c r="R316" s="138">
        <f>IF(N316="nio",0,IF(N316&gt;0,VLOOKUP(I316,'3-Productie normen'!A:V,VLOOKUP(N316,'3-Productie normen'!$B$35:$C$56,2,FALSE),FALSE)))/VLOOKUP(B316,'2-Kosten per locatie'!$A$11:$C$18,3,FALSE)</f>
        <v>0</v>
      </c>
      <c r="S316" s="138">
        <f t="shared" si="28"/>
        <v>0</v>
      </c>
      <c r="T316" s="139" t="str">
        <f>VLOOKUP(I316,'3-Productie normen'!A:AF,28,FALSE)</f>
        <v>V</v>
      </c>
      <c r="U316" s="140"/>
      <c r="W316" s="141">
        <f t="shared" si="29"/>
        <v>9310</v>
      </c>
    </row>
    <row r="317" spans="1:23" ht="13.9" customHeight="1">
      <c r="A317" s="132">
        <v>317</v>
      </c>
      <c r="B317" s="49" t="s">
        <v>1678</v>
      </c>
      <c r="C317" s="49" t="s">
        <v>665</v>
      </c>
      <c r="D317" s="145" t="s">
        <v>865</v>
      </c>
      <c r="E317" s="146" t="s">
        <v>874</v>
      </c>
      <c r="F317" s="146"/>
      <c r="G317" s="145"/>
      <c r="H317" s="145" t="s">
        <v>872</v>
      </c>
      <c r="I317" s="134" t="s">
        <v>49</v>
      </c>
      <c r="J317" s="145" t="s">
        <v>744</v>
      </c>
      <c r="K317" s="145"/>
      <c r="L317" s="135">
        <v>49</v>
      </c>
      <c r="M317" s="136">
        <f t="shared" si="25"/>
        <v>190</v>
      </c>
      <c r="N317" s="2">
        <v>190</v>
      </c>
      <c r="O317" s="2"/>
      <c r="P317" s="137" t="e">
        <f t="shared" si="26"/>
        <v>#DIV/0!</v>
      </c>
      <c r="Q317" s="137">
        <f t="shared" si="27"/>
        <v>0</v>
      </c>
      <c r="R317" s="138">
        <f>IF(N317="nio",0,IF(N317&gt;0,VLOOKUP(I317,'3-Productie normen'!A:V,VLOOKUP(N317,'3-Productie normen'!$B$35:$C$56,2,FALSE),FALSE)))/VLOOKUP(B317,'2-Kosten per locatie'!$A$11:$C$18,3,FALSE)</f>
        <v>0</v>
      </c>
      <c r="S317" s="138">
        <f t="shared" si="28"/>
        <v>0</v>
      </c>
      <c r="T317" s="139" t="str">
        <f>VLOOKUP(I317,'3-Productie normen'!A:AF,28,FALSE)</f>
        <v>V</v>
      </c>
      <c r="U317" s="140"/>
      <c r="W317" s="141">
        <f t="shared" si="29"/>
        <v>9310</v>
      </c>
    </row>
    <row r="318" spans="1:23" ht="13.9" customHeight="1">
      <c r="A318" s="118">
        <v>318</v>
      </c>
      <c r="B318" s="49" t="s">
        <v>1678</v>
      </c>
      <c r="C318" s="49" t="s">
        <v>665</v>
      </c>
      <c r="D318" s="145" t="s">
        <v>865</v>
      </c>
      <c r="E318" s="146" t="s">
        <v>875</v>
      </c>
      <c r="F318" s="146"/>
      <c r="G318" s="145"/>
      <c r="H318" s="145" t="s">
        <v>872</v>
      </c>
      <c r="I318" s="134" t="s">
        <v>49</v>
      </c>
      <c r="J318" s="145" t="s">
        <v>744</v>
      </c>
      <c r="K318" s="145"/>
      <c r="L318" s="135">
        <v>47</v>
      </c>
      <c r="M318" s="136">
        <f t="shared" si="25"/>
        <v>190</v>
      </c>
      <c r="N318" s="2">
        <v>190</v>
      </c>
      <c r="O318" s="2"/>
      <c r="P318" s="137" t="e">
        <f t="shared" si="26"/>
        <v>#DIV/0!</v>
      </c>
      <c r="Q318" s="137">
        <f t="shared" si="27"/>
        <v>0</v>
      </c>
      <c r="R318" s="138">
        <f>IF(N318="nio",0,IF(N318&gt;0,VLOOKUP(I318,'3-Productie normen'!A:V,VLOOKUP(N318,'3-Productie normen'!$B$35:$C$56,2,FALSE),FALSE)))/VLOOKUP(B318,'2-Kosten per locatie'!$A$11:$C$18,3,FALSE)</f>
        <v>0</v>
      </c>
      <c r="S318" s="138">
        <f t="shared" si="28"/>
        <v>0</v>
      </c>
      <c r="T318" s="139" t="str">
        <f>VLOOKUP(I318,'3-Productie normen'!A:AF,28,FALSE)</f>
        <v>V</v>
      </c>
      <c r="U318" s="140"/>
      <c r="W318" s="141">
        <f t="shared" si="29"/>
        <v>8930</v>
      </c>
    </row>
    <row r="319" spans="1:23" ht="13.9" customHeight="1">
      <c r="A319" s="132">
        <v>319</v>
      </c>
      <c r="B319" s="49" t="s">
        <v>1678</v>
      </c>
      <c r="C319" s="49" t="s">
        <v>665</v>
      </c>
      <c r="D319" s="145" t="s">
        <v>865</v>
      </c>
      <c r="E319" s="146" t="s">
        <v>876</v>
      </c>
      <c r="F319" s="146"/>
      <c r="G319" s="145"/>
      <c r="H319" s="145" t="s">
        <v>749</v>
      </c>
      <c r="I319" s="145" t="s">
        <v>284</v>
      </c>
      <c r="J319" s="145" t="s">
        <v>352</v>
      </c>
      <c r="K319" s="145"/>
      <c r="L319" s="135">
        <v>29</v>
      </c>
      <c r="M319" s="136">
        <f t="shared" si="25"/>
        <v>76</v>
      </c>
      <c r="N319" s="2">
        <v>76</v>
      </c>
      <c r="O319" s="2"/>
      <c r="P319" s="137" t="e">
        <f t="shared" si="26"/>
        <v>#DIV/0!</v>
      </c>
      <c r="Q319" s="137">
        <f t="shared" si="27"/>
        <v>0</v>
      </c>
      <c r="R319" s="138">
        <f>IF(N319="nio",0,IF(N319&gt;0,VLOOKUP(I319,'3-Productie normen'!A:V,VLOOKUP(N319,'3-Productie normen'!$B$35:$C$56,2,FALSE),FALSE)))/VLOOKUP(B319,'2-Kosten per locatie'!$A$11:$C$18,3,FALSE)</f>
        <v>0</v>
      </c>
      <c r="S319" s="138">
        <f t="shared" si="28"/>
        <v>0</v>
      </c>
      <c r="T319" s="139" t="str">
        <f>VLOOKUP(I319,'3-Productie normen'!A:AF,28,FALSE)</f>
        <v>L</v>
      </c>
      <c r="U319" s="140"/>
      <c r="W319" s="141">
        <f t="shared" si="29"/>
        <v>2204</v>
      </c>
    </row>
    <row r="320" spans="1:23" ht="13.9" customHeight="1">
      <c r="A320" s="132">
        <v>320</v>
      </c>
      <c r="B320" s="49" t="s">
        <v>1678</v>
      </c>
      <c r="C320" s="49" t="s">
        <v>665</v>
      </c>
      <c r="D320" s="145" t="s">
        <v>865</v>
      </c>
      <c r="E320" s="146" t="s">
        <v>877</v>
      </c>
      <c r="F320" s="146"/>
      <c r="G320" s="145"/>
      <c r="H320" s="145" t="s">
        <v>878</v>
      </c>
      <c r="I320" s="145" t="s">
        <v>284</v>
      </c>
      <c r="J320" s="145" t="s">
        <v>352</v>
      </c>
      <c r="K320" s="145"/>
      <c r="L320" s="135">
        <v>66</v>
      </c>
      <c r="M320" s="136">
        <f t="shared" si="25"/>
        <v>76</v>
      </c>
      <c r="N320" s="2">
        <v>76</v>
      </c>
      <c r="O320" s="2"/>
      <c r="P320" s="137" t="e">
        <f t="shared" si="26"/>
        <v>#DIV/0!</v>
      </c>
      <c r="Q320" s="137">
        <f t="shared" si="27"/>
        <v>0</v>
      </c>
      <c r="R320" s="138">
        <f>IF(N320="nio",0,IF(N320&gt;0,VLOOKUP(I320,'3-Productie normen'!A:V,VLOOKUP(N320,'3-Productie normen'!$B$35:$C$56,2,FALSE),FALSE)))/VLOOKUP(B320,'2-Kosten per locatie'!$A$11:$C$18,3,FALSE)</f>
        <v>0</v>
      </c>
      <c r="S320" s="138">
        <f t="shared" si="28"/>
        <v>0</v>
      </c>
      <c r="T320" s="139" t="str">
        <f>VLOOKUP(I320,'3-Productie normen'!A:AF,28,FALSE)</f>
        <v>L</v>
      </c>
      <c r="U320" s="140"/>
      <c r="W320" s="141">
        <f t="shared" si="29"/>
        <v>5016</v>
      </c>
    </row>
    <row r="321" spans="1:23" ht="13.9" customHeight="1">
      <c r="A321" s="118">
        <v>321</v>
      </c>
      <c r="B321" s="49" t="s">
        <v>1678</v>
      </c>
      <c r="C321" s="49" t="s">
        <v>665</v>
      </c>
      <c r="D321" s="145" t="s">
        <v>865</v>
      </c>
      <c r="E321" s="146" t="s">
        <v>879</v>
      </c>
      <c r="F321" s="146"/>
      <c r="G321" s="145"/>
      <c r="H321" s="145" t="s">
        <v>348</v>
      </c>
      <c r="I321" s="145" t="s">
        <v>270</v>
      </c>
      <c r="J321" s="145" t="s">
        <v>352</v>
      </c>
      <c r="K321" s="145"/>
      <c r="L321" s="135">
        <v>23</v>
      </c>
      <c r="M321" s="136">
        <f t="shared" si="25"/>
        <v>76</v>
      </c>
      <c r="N321" s="2">
        <v>76</v>
      </c>
      <c r="O321" s="2"/>
      <c r="P321" s="137" t="e">
        <f t="shared" si="26"/>
        <v>#DIV/0!</v>
      </c>
      <c r="Q321" s="137">
        <f t="shared" si="27"/>
        <v>0</v>
      </c>
      <c r="R321" s="138">
        <f>IF(N321="nio",0,IF(N321&gt;0,VLOOKUP(I321,'3-Productie normen'!A:V,VLOOKUP(N321,'3-Productie normen'!$B$35:$C$56,2,FALSE),FALSE)))/VLOOKUP(B321,'2-Kosten per locatie'!$A$11:$C$18,3,FALSE)</f>
        <v>0</v>
      </c>
      <c r="S321" s="138">
        <f t="shared" si="28"/>
        <v>0</v>
      </c>
      <c r="T321" s="139" t="str">
        <f>VLOOKUP(I321,'3-Productie normen'!A:AF,28,FALSE)</f>
        <v>B</v>
      </c>
      <c r="U321" s="140"/>
      <c r="W321" s="141">
        <f t="shared" si="29"/>
        <v>1748</v>
      </c>
    </row>
    <row r="322" spans="1:23" ht="13.9" customHeight="1">
      <c r="A322" s="132">
        <v>322</v>
      </c>
      <c r="B322" s="49" t="s">
        <v>1678</v>
      </c>
      <c r="C322" s="49" t="s">
        <v>665</v>
      </c>
      <c r="D322" s="145" t="s">
        <v>865</v>
      </c>
      <c r="E322" s="146" t="s">
        <v>880</v>
      </c>
      <c r="F322" s="146"/>
      <c r="G322" s="145"/>
      <c r="H322" s="145" t="s">
        <v>304</v>
      </c>
      <c r="I322" s="49" t="s">
        <v>1486</v>
      </c>
      <c r="J322" s="145" t="s">
        <v>352</v>
      </c>
      <c r="K322" s="145"/>
      <c r="L322" s="135">
        <v>48</v>
      </c>
      <c r="M322" s="136">
        <f t="shared" si="25"/>
        <v>190</v>
      </c>
      <c r="N322" s="2">
        <v>190</v>
      </c>
      <c r="O322" s="2"/>
      <c r="P322" s="137" t="e">
        <f t="shared" si="26"/>
        <v>#DIV/0!</v>
      </c>
      <c r="Q322" s="137">
        <f t="shared" si="27"/>
        <v>0</v>
      </c>
      <c r="R322" s="138">
        <f>IF(N322="nio",0,IF(N322&gt;0,VLOOKUP(I322,'3-Productie normen'!A:V,VLOOKUP(N322,'3-Productie normen'!$B$35:$C$56,2,FALSE),FALSE)))/VLOOKUP(B322,'2-Kosten per locatie'!$A$11:$C$18,3,FALSE)</f>
        <v>0</v>
      </c>
      <c r="S322" s="138">
        <f t="shared" si="28"/>
        <v>0</v>
      </c>
      <c r="T322" s="139" t="str">
        <f>VLOOKUP(I322,'3-Productie normen'!A:AF,28,FALSE)</f>
        <v>V</v>
      </c>
      <c r="U322" s="140"/>
      <c r="W322" s="141">
        <f t="shared" si="29"/>
        <v>9120</v>
      </c>
    </row>
    <row r="323" spans="1:23" ht="13.9" customHeight="1">
      <c r="A323" s="132">
        <v>323</v>
      </c>
      <c r="B323" s="49" t="s">
        <v>1678</v>
      </c>
      <c r="C323" s="49" t="s">
        <v>665</v>
      </c>
      <c r="D323" s="145" t="s">
        <v>865</v>
      </c>
      <c r="E323" s="146" t="s">
        <v>881</v>
      </c>
      <c r="F323" s="146"/>
      <c r="G323" s="145"/>
      <c r="H323" s="145" t="s">
        <v>301</v>
      </c>
      <c r="I323" s="1" t="s">
        <v>233</v>
      </c>
      <c r="J323" s="145" t="s">
        <v>352</v>
      </c>
      <c r="K323" s="145"/>
      <c r="L323" s="135">
        <v>36</v>
      </c>
      <c r="M323" s="136">
        <f t="shared" si="25"/>
        <v>190</v>
      </c>
      <c r="N323" s="2">
        <v>190</v>
      </c>
      <c r="O323" s="2"/>
      <c r="P323" s="137" t="e">
        <f t="shared" si="26"/>
        <v>#DIV/0!</v>
      </c>
      <c r="Q323" s="137">
        <f t="shared" si="27"/>
        <v>0</v>
      </c>
      <c r="R323" s="138">
        <f>IF(N323="nio",0,IF(N323&gt;0,VLOOKUP(I323,'3-Productie normen'!A:V,VLOOKUP(N323,'3-Productie normen'!$B$35:$C$56,2,FALSE),FALSE)))/VLOOKUP(B323,'2-Kosten per locatie'!$A$11:$C$18,3,FALSE)</f>
        <v>0</v>
      </c>
      <c r="S323" s="138">
        <f t="shared" si="28"/>
        <v>0</v>
      </c>
      <c r="T323" s="139" t="str">
        <f>VLOOKUP(I323,'3-Productie normen'!A:AF,28,FALSE)</f>
        <v>V</v>
      </c>
      <c r="U323" s="140"/>
      <c r="W323" s="141">
        <f t="shared" si="29"/>
        <v>6840</v>
      </c>
    </row>
    <row r="324" spans="1:23" ht="13.9" customHeight="1">
      <c r="A324" s="118">
        <v>324</v>
      </c>
      <c r="B324" s="49" t="s">
        <v>1678</v>
      </c>
      <c r="C324" s="49" t="s">
        <v>665</v>
      </c>
      <c r="D324" s="145" t="s">
        <v>865</v>
      </c>
      <c r="E324" s="146" t="s">
        <v>882</v>
      </c>
      <c r="F324" s="146"/>
      <c r="G324" s="145"/>
      <c r="H324" s="145" t="s">
        <v>301</v>
      </c>
      <c r="I324" s="1" t="s">
        <v>233</v>
      </c>
      <c r="J324" s="145" t="s">
        <v>352</v>
      </c>
      <c r="K324" s="145"/>
      <c r="L324" s="135">
        <v>20</v>
      </c>
      <c r="M324" s="136">
        <f t="shared" si="25"/>
        <v>190</v>
      </c>
      <c r="N324" s="2">
        <v>190</v>
      </c>
      <c r="O324" s="2"/>
      <c r="P324" s="137" t="e">
        <f t="shared" si="26"/>
        <v>#DIV/0!</v>
      </c>
      <c r="Q324" s="137">
        <f t="shared" si="27"/>
        <v>0</v>
      </c>
      <c r="R324" s="138">
        <f>IF(N324="nio",0,IF(N324&gt;0,VLOOKUP(I324,'3-Productie normen'!A:V,VLOOKUP(N324,'3-Productie normen'!$B$35:$C$56,2,FALSE),FALSE)))/VLOOKUP(B324,'2-Kosten per locatie'!$A$11:$C$18,3,FALSE)</f>
        <v>0</v>
      </c>
      <c r="S324" s="138">
        <f t="shared" si="28"/>
        <v>0</v>
      </c>
      <c r="T324" s="139" t="str">
        <f>VLOOKUP(I324,'3-Productie normen'!A:AF,28,FALSE)</f>
        <v>V</v>
      </c>
      <c r="U324" s="140"/>
      <c r="W324" s="141">
        <f t="shared" si="29"/>
        <v>3800</v>
      </c>
    </row>
    <row r="325" spans="1:23" ht="13.9" customHeight="1">
      <c r="A325" s="132">
        <v>325</v>
      </c>
      <c r="B325" s="49" t="s">
        <v>1678</v>
      </c>
      <c r="C325" s="49" t="s">
        <v>665</v>
      </c>
      <c r="D325" s="145" t="s">
        <v>883</v>
      </c>
      <c r="E325" s="146" t="s">
        <v>884</v>
      </c>
      <c r="F325" s="146"/>
      <c r="G325" s="145"/>
      <c r="H325" s="145" t="s">
        <v>885</v>
      </c>
      <c r="I325" s="92" t="s">
        <v>274</v>
      </c>
      <c r="J325" s="145" t="s">
        <v>352</v>
      </c>
      <c r="K325" s="145"/>
      <c r="L325" s="135">
        <v>24</v>
      </c>
      <c r="M325" s="136">
        <f t="shared" si="25"/>
        <v>76</v>
      </c>
      <c r="N325" s="2">
        <v>76</v>
      </c>
      <c r="O325" s="2"/>
      <c r="P325" s="137" t="e">
        <f t="shared" si="26"/>
        <v>#DIV/0!</v>
      </c>
      <c r="Q325" s="137">
        <f t="shared" si="27"/>
        <v>0</v>
      </c>
      <c r="R325" s="138">
        <f>IF(N325="nio",0,IF(N325&gt;0,VLOOKUP(I325,'3-Productie normen'!A:V,VLOOKUP(N325,'3-Productie normen'!$B$35:$C$56,2,FALSE),FALSE)))/VLOOKUP(B325,'2-Kosten per locatie'!$A$11:$C$18,3,FALSE)</f>
        <v>0</v>
      </c>
      <c r="S325" s="138">
        <f t="shared" si="28"/>
        <v>0</v>
      </c>
      <c r="T325" s="139" t="str">
        <f>VLOOKUP(I325,'3-Productie normen'!A:AF,28,FALSE)</f>
        <v>B</v>
      </c>
      <c r="U325" s="140"/>
      <c r="W325" s="141">
        <f t="shared" si="29"/>
        <v>1824</v>
      </c>
    </row>
    <row r="326" spans="1:23" ht="13.9" customHeight="1">
      <c r="A326" s="132">
        <v>326</v>
      </c>
      <c r="B326" s="49" t="s">
        <v>1678</v>
      </c>
      <c r="C326" s="49" t="s">
        <v>665</v>
      </c>
      <c r="D326" s="145" t="s">
        <v>883</v>
      </c>
      <c r="E326" s="146" t="s">
        <v>886</v>
      </c>
      <c r="F326" s="146"/>
      <c r="G326" s="145"/>
      <c r="H326" s="145" t="s">
        <v>887</v>
      </c>
      <c r="I326" s="145" t="s">
        <v>259</v>
      </c>
      <c r="J326" s="149" t="s">
        <v>744</v>
      </c>
      <c r="K326" s="150"/>
      <c r="L326" s="151">
        <v>5</v>
      </c>
      <c r="M326" s="136">
        <f t="shared" si="25"/>
        <v>190</v>
      </c>
      <c r="N326" s="2">
        <v>190</v>
      </c>
      <c r="O326" s="2"/>
      <c r="P326" s="137" t="e">
        <f t="shared" si="26"/>
        <v>#DIV/0!</v>
      </c>
      <c r="Q326" s="137">
        <f t="shared" si="27"/>
        <v>0</v>
      </c>
      <c r="R326" s="138">
        <f>IF(N326="nio",0,IF(N326&gt;0,VLOOKUP(I326,'3-Productie normen'!A:V,VLOOKUP(N326,'3-Productie normen'!$B$35:$C$56,2,FALSE),FALSE)))/VLOOKUP(B326,'2-Kosten per locatie'!$A$11:$C$18,3,FALSE)</f>
        <v>0</v>
      </c>
      <c r="S326" s="138">
        <f t="shared" si="28"/>
        <v>0</v>
      </c>
      <c r="T326" s="139" t="str">
        <f>VLOOKUP(I326,'3-Productie normen'!A:AF,28,FALSE)</f>
        <v>S</v>
      </c>
      <c r="U326" s="140"/>
      <c r="W326" s="141">
        <f t="shared" si="29"/>
        <v>950</v>
      </c>
    </row>
    <row r="327" spans="1:23" ht="13.9" customHeight="1">
      <c r="A327" s="118">
        <v>327</v>
      </c>
      <c r="B327" s="49" t="s">
        <v>1679</v>
      </c>
      <c r="C327" s="49" t="s">
        <v>1505</v>
      </c>
      <c r="D327" s="145" t="s">
        <v>246</v>
      </c>
      <c r="E327" s="146" t="s">
        <v>888</v>
      </c>
      <c r="F327" s="146"/>
      <c r="G327" s="145" t="s">
        <v>275</v>
      </c>
      <c r="H327" s="145" t="s">
        <v>53</v>
      </c>
      <c r="I327" s="1" t="s">
        <v>233</v>
      </c>
      <c r="J327" s="149" t="s">
        <v>251</v>
      </c>
      <c r="K327" s="152" t="s">
        <v>1522</v>
      </c>
      <c r="L327" s="151">
        <v>6.95</v>
      </c>
      <c r="M327" s="136">
        <f t="shared" si="25"/>
        <v>190</v>
      </c>
      <c r="N327" s="2">
        <v>190</v>
      </c>
      <c r="O327" s="2"/>
      <c r="P327" s="137" t="e">
        <f>IF(N327="nio",0,IF(N327&gt;0,N327*L327/R327,0))</f>
        <v>#DIV/0!</v>
      </c>
      <c r="Q327" s="137">
        <f t="shared" si="27"/>
        <v>0</v>
      </c>
      <c r="R327" s="138">
        <f>IF(N327="nio",0,IF(N327&gt;0,VLOOKUP(I327,'3-Productie normen'!A:V,VLOOKUP(N327,'3-Productie normen'!$B$35:$C$56,2,FALSE),FALSE)))/VLOOKUP(B327,'2-Kosten per locatie'!$A$11:$C$18,3,FALSE)</f>
        <v>0</v>
      </c>
      <c r="S327" s="138">
        <f t="shared" si="28"/>
        <v>0</v>
      </c>
      <c r="T327" s="139" t="str">
        <f>VLOOKUP(I327,'3-Productie normen'!A:AF,28,FALSE)</f>
        <v>V</v>
      </c>
      <c r="U327" s="140"/>
      <c r="W327" s="141">
        <f t="shared" si="29"/>
        <v>1320.5</v>
      </c>
    </row>
    <row r="328" spans="1:23" ht="13.9" customHeight="1">
      <c r="A328" s="132">
        <v>328</v>
      </c>
      <c r="B328" s="49" t="s">
        <v>1679</v>
      </c>
      <c r="C328" s="49" t="s">
        <v>1505</v>
      </c>
      <c r="D328" s="145" t="s">
        <v>246</v>
      </c>
      <c r="E328" s="146" t="s">
        <v>889</v>
      </c>
      <c r="F328" s="146"/>
      <c r="G328" s="145" t="s">
        <v>275</v>
      </c>
      <c r="H328" s="145" t="s">
        <v>53</v>
      </c>
      <c r="I328" s="1" t="s">
        <v>233</v>
      </c>
      <c r="J328" s="149" t="s">
        <v>251</v>
      </c>
      <c r="K328" s="152" t="s">
        <v>1522</v>
      </c>
      <c r="L328" s="151">
        <v>2.29</v>
      </c>
      <c r="M328" s="136">
        <f t="shared" si="25"/>
        <v>190</v>
      </c>
      <c r="N328" s="2">
        <v>190</v>
      </c>
      <c r="O328" s="2"/>
      <c r="P328" s="137" t="e">
        <f t="shared" si="26"/>
        <v>#DIV/0!</v>
      </c>
      <c r="Q328" s="137">
        <f t="shared" si="27"/>
        <v>0</v>
      </c>
      <c r="R328" s="138">
        <f>IF(N328="nio",0,IF(N328&gt;0,VLOOKUP(I328,'3-Productie normen'!A:V,VLOOKUP(N328,'3-Productie normen'!$B$35:$C$56,2,FALSE),FALSE)))/VLOOKUP(B328,'2-Kosten per locatie'!$A$11:$C$18,3,FALSE)</f>
        <v>0</v>
      </c>
      <c r="S328" s="138">
        <f t="shared" si="28"/>
        <v>0</v>
      </c>
      <c r="T328" s="139" t="str">
        <f>VLOOKUP(I328,'3-Productie normen'!A:AF,28,FALSE)</f>
        <v>V</v>
      </c>
      <c r="U328" s="140"/>
      <c r="W328" s="141">
        <f t="shared" si="29"/>
        <v>435.1</v>
      </c>
    </row>
    <row r="329" spans="1:23" ht="13.9" customHeight="1">
      <c r="A329" s="132">
        <v>329</v>
      </c>
      <c r="B329" s="49" t="s">
        <v>1679</v>
      </c>
      <c r="C329" s="49" t="s">
        <v>1505</v>
      </c>
      <c r="D329" s="145" t="s">
        <v>246</v>
      </c>
      <c r="E329" s="146" t="s">
        <v>890</v>
      </c>
      <c r="F329" s="146"/>
      <c r="G329" s="145" t="s">
        <v>276</v>
      </c>
      <c r="H329" s="145" t="s">
        <v>236</v>
      </c>
      <c r="I329" s="49" t="s">
        <v>1486</v>
      </c>
      <c r="J329" s="149" t="s">
        <v>300</v>
      </c>
      <c r="K329" s="150"/>
      <c r="L329" s="151">
        <v>21.04</v>
      </c>
      <c r="M329" s="136">
        <f t="shared" si="25"/>
        <v>190</v>
      </c>
      <c r="N329" s="2">
        <v>190</v>
      </c>
      <c r="O329" s="2"/>
      <c r="P329" s="137" t="e">
        <f t="shared" si="26"/>
        <v>#DIV/0!</v>
      </c>
      <c r="Q329" s="137">
        <f t="shared" si="27"/>
        <v>0</v>
      </c>
      <c r="R329" s="138">
        <f>IF(N329="nio",0,IF(N329&gt;0,VLOOKUP(I329,'3-Productie normen'!A:V,VLOOKUP(N329,'3-Productie normen'!$B$35:$C$56,2,FALSE),FALSE)))/VLOOKUP(B329,'2-Kosten per locatie'!$A$11:$C$18,3,FALSE)</f>
        <v>0</v>
      </c>
      <c r="S329" s="138">
        <f t="shared" si="28"/>
        <v>0</v>
      </c>
      <c r="T329" s="139" t="str">
        <f>VLOOKUP(I329,'3-Productie normen'!A:AF,28,FALSE)</f>
        <v>V</v>
      </c>
      <c r="U329" s="140"/>
      <c r="W329" s="141">
        <f t="shared" si="29"/>
        <v>3997.6</v>
      </c>
    </row>
    <row r="330" spans="1:23" ht="13.9" customHeight="1">
      <c r="A330" s="118">
        <v>330</v>
      </c>
      <c r="B330" s="49" t="s">
        <v>1679</v>
      </c>
      <c r="C330" s="49" t="s">
        <v>1505</v>
      </c>
      <c r="D330" s="145" t="s">
        <v>246</v>
      </c>
      <c r="E330" s="146" t="s">
        <v>891</v>
      </c>
      <c r="F330" s="146"/>
      <c r="G330" s="145" t="s">
        <v>276</v>
      </c>
      <c r="H330" s="145" t="s">
        <v>236</v>
      </c>
      <c r="I330" s="49" t="s">
        <v>1486</v>
      </c>
      <c r="J330" s="149" t="s">
        <v>251</v>
      </c>
      <c r="K330" s="152" t="s">
        <v>1522</v>
      </c>
      <c r="L330" s="151">
        <v>43</v>
      </c>
      <c r="M330" s="136">
        <f t="shared" si="25"/>
        <v>190</v>
      </c>
      <c r="N330" s="2">
        <v>190</v>
      </c>
      <c r="O330" s="2"/>
      <c r="P330" s="137" t="e">
        <f t="shared" si="26"/>
        <v>#DIV/0!</v>
      </c>
      <c r="Q330" s="137">
        <f t="shared" si="27"/>
        <v>0</v>
      </c>
      <c r="R330" s="138">
        <f>IF(N330="nio",0,IF(N330&gt;0,VLOOKUP(I330,'3-Productie normen'!A:V,VLOOKUP(N330,'3-Productie normen'!$B$35:$C$56,2,FALSE),FALSE)))/VLOOKUP(B330,'2-Kosten per locatie'!$A$11:$C$18,3,FALSE)</f>
        <v>0</v>
      </c>
      <c r="S330" s="138">
        <f t="shared" si="28"/>
        <v>0</v>
      </c>
      <c r="T330" s="139" t="str">
        <f>VLOOKUP(I330,'3-Productie normen'!A:AF,28,FALSE)</f>
        <v>V</v>
      </c>
      <c r="U330" s="140"/>
      <c r="W330" s="141">
        <f t="shared" si="29"/>
        <v>8170</v>
      </c>
    </row>
    <row r="331" spans="1:23" ht="13.9" customHeight="1">
      <c r="A331" s="132">
        <v>331</v>
      </c>
      <c r="B331" s="49" t="s">
        <v>1679</v>
      </c>
      <c r="C331" s="49" t="s">
        <v>1505</v>
      </c>
      <c r="D331" s="145" t="s">
        <v>246</v>
      </c>
      <c r="E331" s="146" t="s">
        <v>891</v>
      </c>
      <c r="F331" s="146"/>
      <c r="G331" s="145" t="s">
        <v>276</v>
      </c>
      <c r="H331" s="145" t="s">
        <v>236</v>
      </c>
      <c r="I331" s="49" t="s">
        <v>1486</v>
      </c>
      <c r="J331" s="149" t="s">
        <v>251</v>
      </c>
      <c r="K331" s="152" t="s">
        <v>1522</v>
      </c>
      <c r="L331" s="151">
        <v>15.31</v>
      </c>
      <c r="M331" s="136">
        <f t="shared" si="25"/>
        <v>190</v>
      </c>
      <c r="N331" s="2">
        <v>190</v>
      </c>
      <c r="O331" s="2"/>
      <c r="P331" s="137" t="e">
        <f t="shared" si="26"/>
        <v>#DIV/0!</v>
      </c>
      <c r="Q331" s="137">
        <f t="shared" si="27"/>
        <v>0</v>
      </c>
      <c r="R331" s="138">
        <f>IF(N331="nio",0,IF(N331&gt;0,VLOOKUP(I331,'3-Productie normen'!A:V,VLOOKUP(N331,'3-Productie normen'!$B$35:$C$56,2,FALSE),FALSE)))/VLOOKUP(B331,'2-Kosten per locatie'!$A$11:$C$18,3,FALSE)</f>
        <v>0</v>
      </c>
      <c r="S331" s="138">
        <f t="shared" si="28"/>
        <v>0</v>
      </c>
      <c r="T331" s="139" t="str">
        <f>VLOOKUP(I331,'3-Productie normen'!A:AF,28,FALSE)</f>
        <v>V</v>
      </c>
      <c r="U331" s="140"/>
      <c r="W331" s="141">
        <f t="shared" si="29"/>
        <v>2908.9</v>
      </c>
    </row>
    <row r="332" spans="1:23" ht="13.9" customHeight="1">
      <c r="A332" s="132">
        <v>332</v>
      </c>
      <c r="B332" s="49" t="s">
        <v>1679</v>
      </c>
      <c r="C332" s="49" t="s">
        <v>1505</v>
      </c>
      <c r="D332" s="145" t="s">
        <v>246</v>
      </c>
      <c r="E332" s="146" t="s">
        <v>892</v>
      </c>
      <c r="F332" s="146"/>
      <c r="G332" s="145" t="s">
        <v>276</v>
      </c>
      <c r="H332" s="145" t="s">
        <v>236</v>
      </c>
      <c r="I332" s="49" t="s">
        <v>1486</v>
      </c>
      <c r="J332" s="149" t="s">
        <v>302</v>
      </c>
      <c r="K332" s="152" t="s">
        <v>1522</v>
      </c>
      <c r="L332" s="151">
        <v>13.68</v>
      </c>
      <c r="M332" s="136">
        <f t="shared" si="25"/>
        <v>190</v>
      </c>
      <c r="N332" s="2">
        <v>190</v>
      </c>
      <c r="O332" s="2"/>
      <c r="P332" s="137" t="e">
        <f t="shared" si="26"/>
        <v>#DIV/0!</v>
      </c>
      <c r="Q332" s="137">
        <f t="shared" si="27"/>
        <v>0</v>
      </c>
      <c r="R332" s="138">
        <f>IF(N332="nio",0,IF(N332&gt;0,VLOOKUP(I332,'3-Productie normen'!A:V,VLOOKUP(N332,'3-Productie normen'!$B$35:$C$56,2,FALSE),FALSE)))/VLOOKUP(B332,'2-Kosten per locatie'!$A$11:$C$18,3,FALSE)</f>
        <v>0</v>
      </c>
      <c r="S332" s="138">
        <f t="shared" si="28"/>
        <v>0</v>
      </c>
      <c r="T332" s="139" t="str">
        <f>VLOOKUP(I332,'3-Productie normen'!A:AF,28,FALSE)</f>
        <v>V</v>
      </c>
      <c r="U332" s="140"/>
      <c r="W332" s="141">
        <f t="shared" si="29"/>
        <v>2599.1999999999998</v>
      </c>
    </row>
    <row r="333" spans="1:23" ht="13.9" customHeight="1">
      <c r="A333" s="118">
        <v>333</v>
      </c>
      <c r="B333" s="49" t="s">
        <v>1679</v>
      </c>
      <c r="C333" s="49" t="s">
        <v>1505</v>
      </c>
      <c r="D333" s="145" t="s">
        <v>246</v>
      </c>
      <c r="E333" s="146" t="s">
        <v>893</v>
      </c>
      <c r="F333" s="146"/>
      <c r="G333" s="145" t="s">
        <v>276</v>
      </c>
      <c r="H333" s="145" t="s">
        <v>236</v>
      </c>
      <c r="I333" s="49" t="s">
        <v>1486</v>
      </c>
      <c r="J333" s="149" t="s">
        <v>251</v>
      </c>
      <c r="K333" s="152" t="s">
        <v>1522</v>
      </c>
      <c r="L333" s="151">
        <v>32.11</v>
      </c>
      <c r="M333" s="136">
        <f t="shared" si="25"/>
        <v>190</v>
      </c>
      <c r="N333" s="2">
        <v>190</v>
      </c>
      <c r="O333" s="2"/>
      <c r="P333" s="137" t="e">
        <f t="shared" si="26"/>
        <v>#DIV/0!</v>
      </c>
      <c r="Q333" s="137">
        <f t="shared" si="27"/>
        <v>0</v>
      </c>
      <c r="R333" s="138">
        <f>IF(N333="nio",0,IF(N333&gt;0,VLOOKUP(I333,'3-Productie normen'!A:V,VLOOKUP(N333,'3-Productie normen'!$B$35:$C$56,2,FALSE),FALSE)))/VLOOKUP(B333,'2-Kosten per locatie'!$A$11:$C$18,3,FALSE)</f>
        <v>0</v>
      </c>
      <c r="S333" s="138">
        <f t="shared" si="28"/>
        <v>0</v>
      </c>
      <c r="T333" s="139" t="str">
        <f>VLOOKUP(I333,'3-Productie normen'!A:AF,28,FALSE)</f>
        <v>V</v>
      </c>
      <c r="U333" s="140"/>
      <c r="W333" s="141">
        <f t="shared" si="29"/>
        <v>6100.9</v>
      </c>
    </row>
    <row r="334" spans="1:23" ht="13.9" customHeight="1">
      <c r="A334" s="132">
        <v>334</v>
      </c>
      <c r="B334" s="49" t="s">
        <v>1679</v>
      </c>
      <c r="C334" s="49" t="s">
        <v>1505</v>
      </c>
      <c r="D334" s="145" t="s">
        <v>246</v>
      </c>
      <c r="E334" s="146" t="s">
        <v>894</v>
      </c>
      <c r="F334" s="146"/>
      <c r="G334" s="145" t="s">
        <v>237</v>
      </c>
      <c r="H334" s="145" t="s">
        <v>277</v>
      </c>
      <c r="I334" s="91" t="s">
        <v>239</v>
      </c>
      <c r="J334" s="149" t="s">
        <v>231</v>
      </c>
      <c r="K334" s="150"/>
      <c r="L334" s="151">
        <v>0.86</v>
      </c>
      <c r="M334" s="136">
        <f t="shared" si="25"/>
        <v>0</v>
      </c>
      <c r="N334" s="2" t="s">
        <v>273</v>
      </c>
      <c r="O334" s="2"/>
      <c r="P334" s="137">
        <f t="shared" si="26"/>
        <v>0</v>
      </c>
      <c r="Q334" s="137">
        <f t="shared" si="27"/>
        <v>0</v>
      </c>
      <c r="R334" s="138">
        <f>IF(N334="nio",0,IF(N334&gt;0,VLOOKUP(I334,'3-Productie normen'!A:V,VLOOKUP(N334,'3-Productie normen'!$B$35:$C$56,2,FALSE),FALSE)))/VLOOKUP(B334,'2-Kosten per locatie'!$A$11:$C$18,3,FALSE)</f>
        <v>0</v>
      </c>
      <c r="S334" s="138">
        <f t="shared" si="28"/>
        <v>0</v>
      </c>
      <c r="T334" s="139">
        <f>VLOOKUP(I334,'3-Productie normen'!A:AF,28,FALSE)</f>
        <v>0</v>
      </c>
      <c r="U334" s="140"/>
      <c r="W334" s="141">
        <f t="shared" si="29"/>
        <v>0</v>
      </c>
    </row>
    <row r="335" spans="1:23" ht="13.9" customHeight="1">
      <c r="A335" s="132">
        <v>335</v>
      </c>
      <c r="B335" s="49" t="s">
        <v>1679</v>
      </c>
      <c r="C335" s="49" t="s">
        <v>1505</v>
      </c>
      <c r="D335" s="145" t="s">
        <v>246</v>
      </c>
      <c r="E335" s="146" t="s">
        <v>895</v>
      </c>
      <c r="F335" s="146"/>
      <c r="G335" s="145" t="s">
        <v>44</v>
      </c>
      <c r="H335" s="145" t="s">
        <v>255</v>
      </c>
      <c r="I335" s="145" t="s">
        <v>239</v>
      </c>
      <c r="J335" s="149" t="s">
        <v>896</v>
      </c>
      <c r="K335" s="150"/>
      <c r="L335" s="151">
        <v>2.04</v>
      </c>
      <c r="M335" s="136">
        <f t="shared" si="25"/>
        <v>0</v>
      </c>
      <c r="N335" s="2" t="s">
        <v>273</v>
      </c>
      <c r="O335" s="2"/>
      <c r="P335" s="137">
        <f t="shared" si="26"/>
        <v>0</v>
      </c>
      <c r="Q335" s="137">
        <f t="shared" si="27"/>
        <v>0</v>
      </c>
      <c r="R335" s="138">
        <f>IF(N335="nio",0,IF(N335&gt;0,VLOOKUP(I335,'3-Productie normen'!A:V,VLOOKUP(N335,'3-Productie normen'!$B$35:$C$56,2,FALSE),FALSE)))/VLOOKUP(B335,'2-Kosten per locatie'!$A$11:$C$18,3,FALSE)</f>
        <v>0</v>
      </c>
      <c r="S335" s="138">
        <f t="shared" si="28"/>
        <v>0</v>
      </c>
      <c r="T335" s="139">
        <f>VLOOKUP(I335,'3-Productie normen'!A:AF,28,FALSE)</f>
        <v>0</v>
      </c>
      <c r="U335" s="140"/>
      <c r="W335" s="141">
        <f t="shared" si="29"/>
        <v>0</v>
      </c>
    </row>
    <row r="336" spans="1:23" ht="13.9" customHeight="1">
      <c r="A336" s="118">
        <v>336</v>
      </c>
      <c r="B336" s="49" t="s">
        <v>1679</v>
      </c>
      <c r="C336" s="49" t="s">
        <v>1505</v>
      </c>
      <c r="D336" s="145" t="s">
        <v>246</v>
      </c>
      <c r="E336" s="146" t="s">
        <v>897</v>
      </c>
      <c r="F336" s="146"/>
      <c r="G336" s="145" t="s">
        <v>243</v>
      </c>
      <c r="H336" s="148" t="s">
        <v>254</v>
      </c>
      <c r="I336" s="86" t="s">
        <v>47</v>
      </c>
      <c r="J336" s="149" t="s">
        <v>251</v>
      </c>
      <c r="K336" s="152" t="s">
        <v>1522</v>
      </c>
      <c r="L336" s="151">
        <v>17.09</v>
      </c>
      <c r="M336" s="136">
        <f t="shared" si="25"/>
        <v>190</v>
      </c>
      <c r="N336" s="2">
        <v>190</v>
      </c>
      <c r="O336" s="2"/>
      <c r="P336" s="137" t="e">
        <f t="shared" si="26"/>
        <v>#DIV/0!</v>
      </c>
      <c r="Q336" s="137">
        <f t="shared" si="27"/>
        <v>0</v>
      </c>
      <c r="R336" s="138">
        <f>IF(N336="nio",0,IF(N336&gt;0,VLOOKUP(I336,'3-Productie normen'!A:V,VLOOKUP(N336,'3-Productie normen'!$B$35:$C$56,2,FALSE),FALSE)))/VLOOKUP(B336,'2-Kosten per locatie'!$A$11:$C$18,3,FALSE)</f>
        <v>0</v>
      </c>
      <c r="S336" s="138">
        <f t="shared" si="28"/>
        <v>0</v>
      </c>
      <c r="T336" s="139" t="str">
        <f>VLOOKUP(I336,'3-Productie normen'!A:AF,28,FALSE)</f>
        <v>V</v>
      </c>
      <c r="U336" s="140"/>
      <c r="W336" s="141">
        <f t="shared" si="29"/>
        <v>3247.1</v>
      </c>
    </row>
    <row r="337" spans="1:23" ht="13.9" customHeight="1">
      <c r="A337" s="132">
        <v>337</v>
      </c>
      <c r="B337" s="49" t="s">
        <v>1679</v>
      </c>
      <c r="C337" s="49" t="s">
        <v>1505</v>
      </c>
      <c r="D337" s="145" t="s">
        <v>246</v>
      </c>
      <c r="E337" s="146" t="s">
        <v>898</v>
      </c>
      <c r="F337" s="146"/>
      <c r="G337" s="145" t="s">
        <v>243</v>
      </c>
      <c r="H337" s="145" t="s">
        <v>266</v>
      </c>
      <c r="I337" s="145" t="s">
        <v>253</v>
      </c>
      <c r="J337" s="149" t="s">
        <v>251</v>
      </c>
      <c r="K337" s="152" t="s">
        <v>1522</v>
      </c>
      <c r="L337" s="151">
        <v>171.1</v>
      </c>
      <c r="M337" s="136">
        <f t="shared" si="25"/>
        <v>190</v>
      </c>
      <c r="N337" s="2">
        <v>190</v>
      </c>
      <c r="O337" s="2"/>
      <c r="P337" s="137" t="e">
        <f t="shared" si="26"/>
        <v>#DIV/0!</v>
      </c>
      <c r="Q337" s="137">
        <f t="shared" si="27"/>
        <v>0</v>
      </c>
      <c r="R337" s="138">
        <f>IF(N337="nio",0,IF(N337&gt;0,VLOOKUP(I337,'3-Productie normen'!A:V,VLOOKUP(N337,'3-Productie normen'!$B$35:$C$56,2,FALSE),FALSE)))/VLOOKUP(B337,'2-Kosten per locatie'!$A$11:$C$18,3,FALSE)</f>
        <v>0</v>
      </c>
      <c r="S337" s="138">
        <f t="shared" si="28"/>
        <v>0</v>
      </c>
      <c r="T337" s="139" t="str">
        <f>VLOOKUP(I337,'3-Productie normen'!A:AF,28,FALSE)</f>
        <v>V</v>
      </c>
      <c r="U337" s="140"/>
      <c r="W337" s="141">
        <f t="shared" si="29"/>
        <v>32509</v>
      </c>
    </row>
    <row r="338" spans="1:23" ht="13.9" customHeight="1">
      <c r="A338" s="132">
        <v>338</v>
      </c>
      <c r="B338" s="49" t="s">
        <v>1679</v>
      </c>
      <c r="C338" s="49" t="s">
        <v>1505</v>
      </c>
      <c r="D338" s="145" t="s">
        <v>246</v>
      </c>
      <c r="E338" s="146" t="s">
        <v>899</v>
      </c>
      <c r="F338" s="146" t="s">
        <v>309</v>
      </c>
      <c r="G338" s="145" t="s">
        <v>237</v>
      </c>
      <c r="H338" s="145" t="s">
        <v>900</v>
      </c>
      <c r="I338" s="91" t="s">
        <v>239</v>
      </c>
      <c r="J338" s="149" t="s">
        <v>251</v>
      </c>
      <c r="K338" s="150"/>
      <c r="L338" s="151">
        <v>3.98</v>
      </c>
      <c r="M338" s="136">
        <f t="shared" si="25"/>
        <v>0</v>
      </c>
      <c r="N338" s="2" t="s">
        <v>273</v>
      </c>
      <c r="O338" s="2"/>
      <c r="P338" s="137">
        <f t="shared" si="26"/>
        <v>0</v>
      </c>
      <c r="Q338" s="137">
        <f t="shared" si="27"/>
        <v>0</v>
      </c>
      <c r="R338" s="138">
        <f>IF(N338="nio",0,IF(N338&gt;0,VLOOKUP(I338,'3-Productie normen'!A:V,VLOOKUP(N338,'3-Productie normen'!$B$35:$C$56,2,FALSE),FALSE)))/VLOOKUP(B338,'2-Kosten per locatie'!$A$11:$C$18,3,FALSE)</f>
        <v>0</v>
      </c>
      <c r="S338" s="138">
        <f t="shared" si="28"/>
        <v>0</v>
      </c>
      <c r="T338" s="139">
        <f>VLOOKUP(I338,'3-Productie normen'!A:AF,28,FALSE)</f>
        <v>0</v>
      </c>
      <c r="U338" s="140"/>
      <c r="W338" s="141">
        <f t="shared" si="29"/>
        <v>0</v>
      </c>
    </row>
    <row r="339" spans="1:23" ht="13.9" customHeight="1">
      <c r="A339" s="118">
        <v>339</v>
      </c>
      <c r="B339" s="49" t="s">
        <v>1679</v>
      </c>
      <c r="C339" s="49" t="s">
        <v>1505</v>
      </c>
      <c r="D339" s="145" t="s">
        <v>246</v>
      </c>
      <c r="E339" s="146" t="s">
        <v>901</v>
      </c>
      <c r="F339" s="146"/>
      <c r="G339" s="145" t="s">
        <v>237</v>
      </c>
      <c r="H339" s="145" t="s">
        <v>277</v>
      </c>
      <c r="I339" s="91" t="s">
        <v>239</v>
      </c>
      <c r="J339" s="149" t="s">
        <v>231</v>
      </c>
      <c r="K339" s="150"/>
      <c r="L339" s="151">
        <v>0</v>
      </c>
      <c r="M339" s="136">
        <f t="shared" si="25"/>
        <v>0</v>
      </c>
      <c r="N339" s="2" t="s">
        <v>273</v>
      </c>
      <c r="O339" s="2"/>
      <c r="P339" s="137">
        <f t="shared" si="26"/>
        <v>0</v>
      </c>
      <c r="Q339" s="137">
        <f t="shared" si="27"/>
        <v>0</v>
      </c>
      <c r="R339" s="138">
        <f>IF(N339="nio",0,IF(N339&gt;0,VLOOKUP(I339,'3-Productie normen'!A:V,VLOOKUP(N339,'3-Productie normen'!$B$35:$C$56,2,FALSE),FALSE)))/VLOOKUP(B339,'2-Kosten per locatie'!$A$11:$C$18,3,FALSE)</f>
        <v>0</v>
      </c>
      <c r="S339" s="138">
        <f t="shared" si="28"/>
        <v>0</v>
      </c>
      <c r="T339" s="139">
        <f>VLOOKUP(I339,'3-Productie normen'!A:AF,28,FALSE)</f>
        <v>0</v>
      </c>
      <c r="U339" s="140"/>
      <c r="W339" s="141">
        <f t="shared" si="29"/>
        <v>0</v>
      </c>
    </row>
    <row r="340" spans="1:23" ht="13.9" customHeight="1">
      <c r="A340" s="132">
        <v>340</v>
      </c>
      <c r="B340" s="49" t="s">
        <v>1679</v>
      </c>
      <c r="C340" s="49" t="s">
        <v>1505</v>
      </c>
      <c r="D340" s="145" t="s">
        <v>246</v>
      </c>
      <c r="E340" s="146" t="s">
        <v>902</v>
      </c>
      <c r="F340" s="146"/>
      <c r="G340" s="145" t="s">
        <v>237</v>
      </c>
      <c r="H340" s="145" t="s">
        <v>257</v>
      </c>
      <c r="I340" s="91" t="s">
        <v>239</v>
      </c>
      <c r="J340" s="149" t="s">
        <v>231</v>
      </c>
      <c r="K340" s="150"/>
      <c r="L340" s="151">
        <v>0</v>
      </c>
      <c r="M340" s="136">
        <f t="shared" si="25"/>
        <v>0</v>
      </c>
      <c r="N340" s="2" t="s">
        <v>273</v>
      </c>
      <c r="O340" s="2"/>
      <c r="P340" s="137">
        <f t="shared" si="26"/>
        <v>0</v>
      </c>
      <c r="Q340" s="137">
        <f t="shared" si="27"/>
        <v>0</v>
      </c>
      <c r="R340" s="138">
        <f>IF(N340="nio",0,IF(N340&gt;0,VLOOKUP(I340,'3-Productie normen'!A:V,VLOOKUP(N340,'3-Productie normen'!$B$35:$C$56,2,FALSE),FALSE)))/VLOOKUP(B340,'2-Kosten per locatie'!$A$11:$C$18,3,FALSE)</f>
        <v>0</v>
      </c>
      <c r="S340" s="138">
        <f t="shared" si="28"/>
        <v>0</v>
      </c>
      <c r="T340" s="139">
        <f>VLOOKUP(I340,'3-Productie normen'!A:AF,28,FALSE)</f>
        <v>0</v>
      </c>
      <c r="U340" s="140"/>
      <c r="W340" s="141">
        <f t="shared" si="29"/>
        <v>0</v>
      </c>
    </row>
    <row r="341" spans="1:23" ht="13.9" customHeight="1">
      <c r="A341" s="132">
        <v>341</v>
      </c>
      <c r="B341" s="49" t="s">
        <v>1679</v>
      </c>
      <c r="C341" s="49" t="s">
        <v>1505</v>
      </c>
      <c r="D341" s="145" t="s">
        <v>246</v>
      </c>
      <c r="E341" s="146" t="s">
        <v>903</v>
      </c>
      <c r="F341" s="146"/>
      <c r="G341" s="145" t="s">
        <v>237</v>
      </c>
      <c r="H341" s="145" t="s">
        <v>257</v>
      </c>
      <c r="I341" s="91" t="s">
        <v>239</v>
      </c>
      <c r="J341" s="149" t="s">
        <v>231</v>
      </c>
      <c r="K341" s="150"/>
      <c r="L341" s="151">
        <v>0</v>
      </c>
      <c r="M341" s="136">
        <f t="shared" si="25"/>
        <v>0</v>
      </c>
      <c r="N341" s="2" t="s">
        <v>273</v>
      </c>
      <c r="O341" s="2"/>
      <c r="P341" s="137">
        <f t="shared" si="26"/>
        <v>0</v>
      </c>
      <c r="Q341" s="137">
        <f t="shared" si="27"/>
        <v>0</v>
      </c>
      <c r="R341" s="138">
        <f>IF(N341="nio",0,IF(N341&gt;0,VLOOKUP(I341,'3-Productie normen'!A:V,VLOOKUP(N341,'3-Productie normen'!$B$35:$C$56,2,FALSE),FALSE)))/VLOOKUP(B341,'2-Kosten per locatie'!$A$11:$C$18,3,FALSE)</f>
        <v>0</v>
      </c>
      <c r="S341" s="138">
        <f t="shared" si="28"/>
        <v>0</v>
      </c>
      <c r="T341" s="139">
        <f>VLOOKUP(I341,'3-Productie normen'!A:AF,28,FALSE)</f>
        <v>0</v>
      </c>
      <c r="U341" s="140"/>
      <c r="W341" s="141">
        <f t="shared" si="29"/>
        <v>0</v>
      </c>
    </row>
    <row r="342" spans="1:23" ht="13.9" customHeight="1">
      <c r="A342" s="118">
        <v>342</v>
      </c>
      <c r="B342" s="49" t="s">
        <v>1679</v>
      </c>
      <c r="C342" s="49" t="s">
        <v>1505</v>
      </c>
      <c r="D342" s="145" t="s">
        <v>246</v>
      </c>
      <c r="E342" s="146" t="s">
        <v>904</v>
      </c>
      <c r="F342" s="146"/>
      <c r="G342" s="145" t="s">
        <v>237</v>
      </c>
      <c r="H342" s="145" t="s">
        <v>257</v>
      </c>
      <c r="I342" s="91" t="s">
        <v>239</v>
      </c>
      <c r="J342" s="149" t="s">
        <v>231</v>
      </c>
      <c r="K342" s="150"/>
      <c r="L342" s="151">
        <v>0</v>
      </c>
      <c r="M342" s="136">
        <f t="shared" si="25"/>
        <v>0</v>
      </c>
      <c r="N342" s="2" t="s">
        <v>273</v>
      </c>
      <c r="O342" s="2"/>
      <c r="P342" s="137">
        <f t="shared" si="26"/>
        <v>0</v>
      </c>
      <c r="Q342" s="137">
        <f t="shared" si="27"/>
        <v>0</v>
      </c>
      <c r="R342" s="138">
        <f>IF(N342="nio",0,IF(N342&gt;0,VLOOKUP(I342,'3-Productie normen'!A:V,VLOOKUP(N342,'3-Productie normen'!$B$35:$C$56,2,FALSE),FALSE)))/VLOOKUP(B342,'2-Kosten per locatie'!$A$11:$C$18,3,FALSE)</f>
        <v>0</v>
      </c>
      <c r="S342" s="138">
        <f t="shared" si="28"/>
        <v>0</v>
      </c>
      <c r="T342" s="139">
        <f>VLOOKUP(I342,'3-Productie normen'!A:AF,28,FALSE)</f>
        <v>0</v>
      </c>
      <c r="U342" s="140"/>
      <c r="W342" s="141">
        <f t="shared" si="29"/>
        <v>0</v>
      </c>
    </row>
    <row r="343" spans="1:23" ht="13.9" customHeight="1">
      <c r="A343" s="132">
        <v>343</v>
      </c>
      <c r="B343" s="49" t="s">
        <v>1679</v>
      </c>
      <c r="C343" s="49" t="s">
        <v>1505</v>
      </c>
      <c r="D343" s="145" t="s">
        <v>246</v>
      </c>
      <c r="E343" s="146" t="s">
        <v>905</v>
      </c>
      <c r="F343" s="146"/>
      <c r="G343" s="145" t="s">
        <v>237</v>
      </c>
      <c r="H343" s="145" t="s">
        <v>257</v>
      </c>
      <c r="I343" s="91" t="s">
        <v>239</v>
      </c>
      <c r="J343" s="149" t="s">
        <v>231</v>
      </c>
      <c r="K343" s="150"/>
      <c r="L343" s="151">
        <v>0</v>
      </c>
      <c r="M343" s="136">
        <f t="shared" ref="M343:M406" si="30">SUM(N343:O343)</f>
        <v>0</v>
      </c>
      <c r="N343" s="2" t="s">
        <v>273</v>
      </c>
      <c r="O343" s="2"/>
      <c r="P343" s="137">
        <f t="shared" ref="P343:P406" si="31">IF(N343="nio",0,IF(N343&gt;0,N343*L343/R343,0))</f>
        <v>0</v>
      </c>
      <c r="Q343" s="137">
        <f t="shared" ref="Q343:Q406" si="32">IF(O343&gt;0,O343*L343/S343,0)</f>
        <v>0</v>
      </c>
      <c r="R343" s="138">
        <f>IF(N343="nio",0,IF(N343&gt;0,VLOOKUP(I343,'3-Productie normen'!A:V,VLOOKUP(N343,'3-Productie normen'!$B$35:$C$56,2,FALSE),FALSE)))/VLOOKUP(B343,'2-Kosten per locatie'!$A$11:$C$18,3,FALSE)</f>
        <v>0</v>
      </c>
      <c r="S343" s="138">
        <f t="shared" ref="S343:S406" si="33">IF(O343&gt;0,R343*$S$8,0)</f>
        <v>0</v>
      </c>
      <c r="T343" s="139">
        <f>VLOOKUP(I343,'3-Productie normen'!A:AF,28,FALSE)</f>
        <v>0</v>
      </c>
      <c r="U343" s="140"/>
      <c r="W343" s="141">
        <f t="shared" ref="W343:W406" si="34">M343*L343</f>
        <v>0</v>
      </c>
    </row>
    <row r="344" spans="1:23" ht="13.9" customHeight="1">
      <c r="A344" s="132">
        <v>344</v>
      </c>
      <c r="B344" s="49" t="s">
        <v>1679</v>
      </c>
      <c r="C344" s="49" t="s">
        <v>1505</v>
      </c>
      <c r="D344" s="145" t="s">
        <v>246</v>
      </c>
      <c r="E344" s="146" t="s">
        <v>906</v>
      </c>
      <c r="F344" s="146"/>
      <c r="G344" s="145" t="s">
        <v>237</v>
      </c>
      <c r="H344" s="145" t="s">
        <v>257</v>
      </c>
      <c r="I344" s="91" t="s">
        <v>239</v>
      </c>
      <c r="J344" s="149" t="s">
        <v>231</v>
      </c>
      <c r="K344" s="150"/>
      <c r="L344" s="151">
        <v>0</v>
      </c>
      <c r="M344" s="136">
        <f t="shared" si="30"/>
        <v>0</v>
      </c>
      <c r="N344" s="2" t="s">
        <v>273</v>
      </c>
      <c r="O344" s="2"/>
      <c r="P344" s="137">
        <f t="shared" si="31"/>
        <v>0</v>
      </c>
      <c r="Q344" s="137">
        <f t="shared" si="32"/>
        <v>0</v>
      </c>
      <c r="R344" s="138">
        <f>IF(N344="nio",0,IF(N344&gt;0,VLOOKUP(I344,'3-Productie normen'!A:V,VLOOKUP(N344,'3-Productie normen'!$B$35:$C$56,2,FALSE),FALSE)))/VLOOKUP(B344,'2-Kosten per locatie'!$A$11:$C$18,3,FALSE)</f>
        <v>0</v>
      </c>
      <c r="S344" s="138">
        <f t="shared" si="33"/>
        <v>0</v>
      </c>
      <c r="T344" s="139">
        <f>VLOOKUP(I344,'3-Productie normen'!A:AF,28,FALSE)</f>
        <v>0</v>
      </c>
      <c r="U344" s="140"/>
      <c r="W344" s="141">
        <f t="shared" si="34"/>
        <v>0</v>
      </c>
    </row>
    <row r="345" spans="1:23" ht="13.9" customHeight="1">
      <c r="A345" s="118">
        <v>345</v>
      </c>
      <c r="B345" s="49" t="s">
        <v>1679</v>
      </c>
      <c r="C345" s="49" t="s">
        <v>1505</v>
      </c>
      <c r="D345" s="145" t="s">
        <v>246</v>
      </c>
      <c r="E345" s="146" t="s">
        <v>907</v>
      </c>
      <c r="F345" s="146"/>
      <c r="G345" s="145" t="s">
        <v>237</v>
      </c>
      <c r="H345" s="145" t="s">
        <v>257</v>
      </c>
      <c r="I345" s="91" t="s">
        <v>239</v>
      </c>
      <c r="J345" s="149" t="s">
        <v>231</v>
      </c>
      <c r="K345" s="150"/>
      <c r="L345" s="151">
        <v>0</v>
      </c>
      <c r="M345" s="136">
        <f t="shared" si="30"/>
        <v>0</v>
      </c>
      <c r="N345" s="2" t="s">
        <v>273</v>
      </c>
      <c r="O345" s="2"/>
      <c r="P345" s="137">
        <f t="shared" si="31"/>
        <v>0</v>
      </c>
      <c r="Q345" s="137">
        <f t="shared" si="32"/>
        <v>0</v>
      </c>
      <c r="R345" s="138">
        <f>IF(N345="nio",0,IF(N345&gt;0,VLOOKUP(I345,'3-Productie normen'!A:V,VLOOKUP(N345,'3-Productie normen'!$B$35:$C$56,2,FALSE),FALSE)))/VLOOKUP(B345,'2-Kosten per locatie'!$A$11:$C$18,3,FALSE)</f>
        <v>0</v>
      </c>
      <c r="S345" s="138">
        <f t="shared" si="33"/>
        <v>0</v>
      </c>
      <c r="T345" s="139">
        <f>VLOOKUP(I345,'3-Productie normen'!A:AF,28,FALSE)</f>
        <v>0</v>
      </c>
      <c r="U345" s="140"/>
      <c r="W345" s="141">
        <f t="shared" si="34"/>
        <v>0</v>
      </c>
    </row>
    <row r="346" spans="1:23" ht="13.9" customHeight="1">
      <c r="A346" s="132">
        <v>346</v>
      </c>
      <c r="B346" s="49" t="s">
        <v>1679</v>
      </c>
      <c r="C346" s="49" t="s">
        <v>1505</v>
      </c>
      <c r="D346" s="145" t="s">
        <v>246</v>
      </c>
      <c r="E346" s="146" t="s">
        <v>908</v>
      </c>
      <c r="F346" s="146"/>
      <c r="G346" s="145" t="s">
        <v>237</v>
      </c>
      <c r="H346" s="145" t="s">
        <v>257</v>
      </c>
      <c r="I346" s="91" t="s">
        <v>239</v>
      </c>
      <c r="J346" s="149" t="s">
        <v>231</v>
      </c>
      <c r="K346" s="150"/>
      <c r="L346" s="151">
        <v>0</v>
      </c>
      <c r="M346" s="136">
        <f t="shared" si="30"/>
        <v>0</v>
      </c>
      <c r="N346" s="2" t="s">
        <v>273</v>
      </c>
      <c r="O346" s="2"/>
      <c r="P346" s="137">
        <f t="shared" si="31"/>
        <v>0</v>
      </c>
      <c r="Q346" s="137">
        <f t="shared" si="32"/>
        <v>0</v>
      </c>
      <c r="R346" s="138">
        <f>IF(N346="nio",0,IF(N346&gt;0,VLOOKUP(I346,'3-Productie normen'!A:V,VLOOKUP(N346,'3-Productie normen'!$B$35:$C$56,2,FALSE),FALSE)))/VLOOKUP(B346,'2-Kosten per locatie'!$A$11:$C$18,3,FALSE)</f>
        <v>0</v>
      </c>
      <c r="S346" s="138">
        <f t="shared" si="33"/>
        <v>0</v>
      </c>
      <c r="T346" s="139">
        <f>VLOOKUP(I346,'3-Productie normen'!A:AF,28,FALSE)</f>
        <v>0</v>
      </c>
      <c r="U346" s="140"/>
      <c r="W346" s="141">
        <f t="shared" si="34"/>
        <v>0</v>
      </c>
    </row>
    <row r="347" spans="1:23" ht="13.9" customHeight="1">
      <c r="A347" s="132">
        <v>347</v>
      </c>
      <c r="B347" s="49" t="s">
        <v>1679</v>
      </c>
      <c r="C347" s="49" t="s">
        <v>1505</v>
      </c>
      <c r="D347" s="145" t="s">
        <v>246</v>
      </c>
      <c r="E347" s="146" t="s">
        <v>909</v>
      </c>
      <c r="F347" s="146"/>
      <c r="G347" s="145" t="s">
        <v>237</v>
      </c>
      <c r="H347" s="145" t="s">
        <v>257</v>
      </c>
      <c r="I347" s="91" t="s">
        <v>239</v>
      </c>
      <c r="J347" s="149" t="s">
        <v>231</v>
      </c>
      <c r="K347" s="150"/>
      <c r="L347" s="151">
        <v>0</v>
      </c>
      <c r="M347" s="136">
        <f t="shared" si="30"/>
        <v>0</v>
      </c>
      <c r="N347" s="2" t="s">
        <v>273</v>
      </c>
      <c r="O347" s="2"/>
      <c r="P347" s="137">
        <f t="shared" si="31"/>
        <v>0</v>
      </c>
      <c r="Q347" s="137">
        <f t="shared" si="32"/>
        <v>0</v>
      </c>
      <c r="R347" s="138">
        <f>IF(N347="nio",0,IF(N347&gt;0,VLOOKUP(I347,'3-Productie normen'!A:V,VLOOKUP(N347,'3-Productie normen'!$B$35:$C$56,2,FALSE),FALSE)))/VLOOKUP(B347,'2-Kosten per locatie'!$A$11:$C$18,3,FALSE)</f>
        <v>0</v>
      </c>
      <c r="S347" s="138">
        <f t="shared" si="33"/>
        <v>0</v>
      </c>
      <c r="T347" s="139">
        <f>VLOOKUP(I347,'3-Productie normen'!A:AF,28,FALSE)</f>
        <v>0</v>
      </c>
      <c r="U347" s="140"/>
      <c r="W347" s="141">
        <f t="shared" si="34"/>
        <v>0</v>
      </c>
    </row>
    <row r="348" spans="1:23" ht="13.9" customHeight="1">
      <c r="A348" s="118">
        <v>348</v>
      </c>
      <c r="B348" s="49" t="s">
        <v>1679</v>
      </c>
      <c r="C348" s="49" t="s">
        <v>1505</v>
      </c>
      <c r="D348" s="145" t="s">
        <v>246</v>
      </c>
      <c r="E348" s="146" t="s">
        <v>910</v>
      </c>
      <c r="F348" s="146" t="s">
        <v>263</v>
      </c>
      <c r="G348" s="145" t="s">
        <v>44</v>
      </c>
      <c r="H348" s="145" t="s">
        <v>360</v>
      </c>
      <c r="I348" s="91" t="s">
        <v>1488</v>
      </c>
      <c r="J348" s="149" t="s">
        <v>896</v>
      </c>
      <c r="K348" s="150"/>
      <c r="L348" s="151">
        <v>2.57</v>
      </c>
      <c r="M348" s="136">
        <f t="shared" si="30"/>
        <v>190</v>
      </c>
      <c r="N348" s="2">
        <v>190</v>
      </c>
      <c r="O348" s="2"/>
      <c r="P348" s="137" t="e">
        <f t="shared" si="31"/>
        <v>#DIV/0!</v>
      </c>
      <c r="Q348" s="137">
        <f t="shared" si="32"/>
        <v>0</v>
      </c>
      <c r="R348" s="138">
        <f>IF(N348="nio",0,IF(N348&gt;0,VLOOKUP(I348,'3-Productie normen'!A:V,VLOOKUP(N348,'3-Productie normen'!$B$35:$C$56,2,FALSE),FALSE)))/VLOOKUP(B348,'2-Kosten per locatie'!$A$11:$C$18,3,FALSE)</f>
        <v>0</v>
      </c>
      <c r="S348" s="138">
        <f t="shared" si="33"/>
        <v>0</v>
      </c>
      <c r="T348" s="139" t="str">
        <f>VLOOKUP(I348,'3-Productie normen'!A:AF,28,FALSE)</f>
        <v>S</v>
      </c>
      <c r="U348" s="140"/>
      <c r="W348" s="141">
        <f t="shared" si="34"/>
        <v>488.29999999999995</v>
      </c>
    </row>
    <row r="349" spans="1:23" ht="13.9" customHeight="1">
      <c r="A349" s="132">
        <v>349</v>
      </c>
      <c r="B349" s="49" t="s">
        <v>1679</v>
      </c>
      <c r="C349" s="49" t="s">
        <v>1505</v>
      </c>
      <c r="D349" s="145" t="s">
        <v>246</v>
      </c>
      <c r="E349" s="146" t="s">
        <v>911</v>
      </c>
      <c r="F349" s="146" t="s">
        <v>307</v>
      </c>
      <c r="G349" s="145" t="s">
        <v>44</v>
      </c>
      <c r="H349" s="145" t="s">
        <v>258</v>
      </c>
      <c r="I349" s="145" t="s">
        <v>259</v>
      </c>
      <c r="J349" s="149" t="s">
        <v>256</v>
      </c>
      <c r="K349" s="150"/>
      <c r="L349" s="151">
        <v>4.29</v>
      </c>
      <c r="M349" s="136">
        <f t="shared" si="30"/>
        <v>190</v>
      </c>
      <c r="N349" s="2">
        <v>190</v>
      </c>
      <c r="O349" s="2"/>
      <c r="P349" s="137" t="e">
        <f t="shared" si="31"/>
        <v>#DIV/0!</v>
      </c>
      <c r="Q349" s="137">
        <f t="shared" si="32"/>
        <v>0</v>
      </c>
      <c r="R349" s="138">
        <f>IF(N349="nio",0,IF(N349&gt;0,VLOOKUP(I349,'3-Productie normen'!A:V,VLOOKUP(N349,'3-Productie normen'!$B$35:$C$56,2,FALSE),FALSE)))/VLOOKUP(B349,'2-Kosten per locatie'!$A$11:$C$18,3,FALSE)</f>
        <v>0</v>
      </c>
      <c r="S349" s="138">
        <f t="shared" si="33"/>
        <v>0</v>
      </c>
      <c r="T349" s="139" t="str">
        <f>VLOOKUP(I349,'3-Productie normen'!A:AF,28,FALSE)</f>
        <v>S</v>
      </c>
      <c r="U349" s="140"/>
      <c r="W349" s="141">
        <f t="shared" si="34"/>
        <v>815.1</v>
      </c>
    </row>
    <row r="350" spans="1:23" ht="13.9" customHeight="1">
      <c r="A350" s="132">
        <v>350</v>
      </c>
      <c r="B350" s="49" t="s">
        <v>1679</v>
      </c>
      <c r="C350" s="49" t="s">
        <v>1505</v>
      </c>
      <c r="D350" s="145" t="s">
        <v>246</v>
      </c>
      <c r="E350" s="146" t="s">
        <v>912</v>
      </c>
      <c r="F350" s="146"/>
      <c r="G350" s="145" t="s">
        <v>44</v>
      </c>
      <c r="H350" s="145" t="s">
        <v>260</v>
      </c>
      <c r="I350" s="145" t="s">
        <v>259</v>
      </c>
      <c r="J350" s="149" t="s">
        <v>256</v>
      </c>
      <c r="K350" s="150"/>
      <c r="L350" s="151">
        <v>1.64</v>
      </c>
      <c r="M350" s="136">
        <f t="shared" si="30"/>
        <v>190</v>
      </c>
      <c r="N350" s="2">
        <v>190</v>
      </c>
      <c r="O350" s="2"/>
      <c r="P350" s="137" t="e">
        <f t="shared" si="31"/>
        <v>#DIV/0!</v>
      </c>
      <c r="Q350" s="137">
        <f t="shared" si="32"/>
        <v>0</v>
      </c>
      <c r="R350" s="138">
        <f>IF(N350="nio",0,IF(N350&gt;0,VLOOKUP(I350,'3-Productie normen'!A:V,VLOOKUP(N350,'3-Productie normen'!$B$35:$C$56,2,FALSE),FALSE)))/VLOOKUP(B350,'2-Kosten per locatie'!$A$11:$C$18,3,FALSE)</f>
        <v>0</v>
      </c>
      <c r="S350" s="138">
        <f t="shared" si="33"/>
        <v>0</v>
      </c>
      <c r="T350" s="139" t="str">
        <f>VLOOKUP(I350,'3-Productie normen'!A:AF,28,FALSE)</f>
        <v>S</v>
      </c>
      <c r="U350" s="140"/>
      <c r="W350" s="141">
        <f t="shared" si="34"/>
        <v>311.59999999999997</v>
      </c>
    </row>
    <row r="351" spans="1:23" ht="13.9" customHeight="1">
      <c r="A351" s="118">
        <v>351</v>
      </c>
      <c r="B351" s="49" t="s">
        <v>1679</v>
      </c>
      <c r="C351" s="49" t="s">
        <v>1505</v>
      </c>
      <c r="D351" s="145" t="s">
        <v>246</v>
      </c>
      <c r="E351" s="146" t="s">
        <v>913</v>
      </c>
      <c r="F351" s="146"/>
      <c r="G351" s="145" t="s">
        <v>44</v>
      </c>
      <c r="H351" s="145" t="s">
        <v>260</v>
      </c>
      <c r="I351" s="145" t="s">
        <v>259</v>
      </c>
      <c r="J351" s="149" t="s">
        <v>256</v>
      </c>
      <c r="K351" s="150"/>
      <c r="L351" s="151">
        <v>1.67</v>
      </c>
      <c r="M351" s="136">
        <f t="shared" si="30"/>
        <v>190</v>
      </c>
      <c r="N351" s="2">
        <v>190</v>
      </c>
      <c r="O351" s="2"/>
      <c r="P351" s="137" t="e">
        <f t="shared" si="31"/>
        <v>#DIV/0!</v>
      </c>
      <c r="Q351" s="137">
        <f t="shared" si="32"/>
        <v>0</v>
      </c>
      <c r="R351" s="138">
        <f>IF(N351="nio",0,IF(N351&gt;0,VLOOKUP(I351,'3-Productie normen'!A:V,VLOOKUP(N351,'3-Productie normen'!$B$35:$C$56,2,FALSE),FALSE)))/VLOOKUP(B351,'2-Kosten per locatie'!$A$11:$C$18,3,FALSE)</f>
        <v>0</v>
      </c>
      <c r="S351" s="138">
        <f t="shared" si="33"/>
        <v>0</v>
      </c>
      <c r="T351" s="139" t="str">
        <f>VLOOKUP(I351,'3-Productie normen'!A:AF,28,FALSE)</f>
        <v>S</v>
      </c>
      <c r="U351" s="140"/>
      <c r="W351" s="141">
        <f t="shared" si="34"/>
        <v>317.3</v>
      </c>
    </row>
    <row r="352" spans="1:23" ht="13.9" customHeight="1">
      <c r="A352" s="132">
        <v>352</v>
      </c>
      <c r="B352" s="49" t="s">
        <v>1679</v>
      </c>
      <c r="C352" s="49" t="s">
        <v>1505</v>
      </c>
      <c r="D352" s="145" t="s">
        <v>246</v>
      </c>
      <c r="E352" s="146" t="s">
        <v>914</v>
      </c>
      <c r="F352" s="146" t="s">
        <v>365</v>
      </c>
      <c r="G352" s="145" t="s">
        <v>44</v>
      </c>
      <c r="H352" s="145" t="s">
        <v>258</v>
      </c>
      <c r="I352" s="145" t="s">
        <v>259</v>
      </c>
      <c r="J352" s="149" t="s">
        <v>256</v>
      </c>
      <c r="K352" s="150"/>
      <c r="L352" s="151">
        <v>5.97</v>
      </c>
      <c r="M352" s="136">
        <f t="shared" si="30"/>
        <v>190</v>
      </c>
      <c r="N352" s="2">
        <v>190</v>
      </c>
      <c r="O352" s="2"/>
      <c r="P352" s="137" t="e">
        <f t="shared" si="31"/>
        <v>#DIV/0!</v>
      </c>
      <c r="Q352" s="137">
        <f t="shared" si="32"/>
        <v>0</v>
      </c>
      <c r="R352" s="138">
        <f>IF(N352="nio",0,IF(N352&gt;0,VLOOKUP(I352,'3-Productie normen'!A:V,VLOOKUP(N352,'3-Productie normen'!$B$35:$C$56,2,FALSE),FALSE)))/VLOOKUP(B352,'2-Kosten per locatie'!$A$11:$C$18,3,FALSE)</f>
        <v>0</v>
      </c>
      <c r="S352" s="138">
        <f t="shared" si="33"/>
        <v>0</v>
      </c>
      <c r="T352" s="139" t="str">
        <f>VLOOKUP(I352,'3-Productie normen'!A:AF,28,FALSE)</f>
        <v>S</v>
      </c>
      <c r="U352" s="140"/>
      <c r="W352" s="141">
        <f t="shared" si="34"/>
        <v>1134.3</v>
      </c>
    </row>
    <row r="353" spans="1:23" ht="13.9" customHeight="1">
      <c r="A353" s="132">
        <v>353</v>
      </c>
      <c r="B353" s="49" t="s">
        <v>1679</v>
      </c>
      <c r="C353" s="49" t="s">
        <v>1505</v>
      </c>
      <c r="D353" s="145" t="s">
        <v>246</v>
      </c>
      <c r="E353" s="146" t="s">
        <v>915</v>
      </c>
      <c r="F353" s="146"/>
      <c r="G353" s="145" t="s">
        <v>44</v>
      </c>
      <c r="H353" s="145" t="s">
        <v>260</v>
      </c>
      <c r="I353" s="145" t="s">
        <v>259</v>
      </c>
      <c r="J353" s="149" t="s">
        <v>256</v>
      </c>
      <c r="K353" s="150"/>
      <c r="L353" s="151">
        <v>1.04</v>
      </c>
      <c r="M353" s="136">
        <f t="shared" si="30"/>
        <v>190</v>
      </c>
      <c r="N353" s="2">
        <v>190</v>
      </c>
      <c r="O353" s="2"/>
      <c r="P353" s="137" t="e">
        <f t="shared" si="31"/>
        <v>#DIV/0!</v>
      </c>
      <c r="Q353" s="137">
        <f t="shared" si="32"/>
        <v>0</v>
      </c>
      <c r="R353" s="138">
        <f>IF(N353="nio",0,IF(N353&gt;0,VLOOKUP(I353,'3-Productie normen'!A:V,VLOOKUP(N353,'3-Productie normen'!$B$35:$C$56,2,FALSE),FALSE)))/VLOOKUP(B353,'2-Kosten per locatie'!$A$11:$C$18,3,FALSE)</f>
        <v>0</v>
      </c>
      <c r="S353" s="138">
        <f t="shared" si="33"/>
        <v>0</v>
      </c>
      <c r="T353" s="139" t="str">
        <f>VLOOKUP(I353,'3-Productie normen'!A:AF,28,FALSE)</f>
        <v>S</v>
      </c>
      <c r="U353" s="140"/>
      <c r="W353" s="141">
        <f t="shared" si="34"/>
        <v>197.6</v>
      </c>
    </row>
    <row r="354" spans="1:23" ht="13.9" customHeight="1">
      <c r="A354" s="118">
        <v>354</v>
      </c>
      <c r="B354" s="49" t="s">
        <v>1679</v>
      </c>
      <c r="C354" s="49" t="s">
        <v>1505</v>
      </c>
      <c r="D354" s="145" t="s">
        <v>246</v>
      </c>
      <c r="E354" s="146" t="s">
        <v>916</v>
      </c>
      <c r="F354" s="146"/>
      <c r="G354" s="145" t="s">
        <v>44</v>
      </c>
      <c r="H354" s="145" t="s">
        <v>260</v>
      </c>
      <c r="I354" s="145" t="s">
        <v>259</v>
      </c>
      <c r="J354" s="149" t="s">
        <v>256</v>
      </c>
      <c r="K354" s="150"/>
      <c r="L354" s="151">
        <v>1.04</v>
      </c>
      <c r="M354" s="136">
        <f t="shared" si="30"/>
        <v>190</v>
      </c>
      <c r="N354" s="2">
        <v>190</v>
      </c>
      <c r="O354" s="2"/>
      <c r="P354" s="137" t="e">
        <f t="shared" si="31"/>
        <v>#DIV/0!</v>
      </c>
      <c r="Q354" s="137">
        <f t="shared" si="32"/>
        <v>0</v>
      </c>
      <c r="R354" s="138">
        <f>IF(N354="nio",0,IF(N354&gt;0,VLOOKUP(I354,'3-Productie normen'!A:V,VLOOKUP(N354,'3-Productie normen'!$B$35:$C$56,2,FALSE),FALSE)))/VLOOKUP(B354,'2-Kosten per locatie'!$A$11:$C$18,3,FALSE)</f>
        <v>0</v>
      </c>
      <c r="S354" s="138">
        <f t="shared" si="33"/>
        <v>0</v>
      </c>
      <c r="T354" s="139" t="str">
        <f>VLOOKUP(I354,'3-Productie normen'!A:AF,28,FALSE)</f>
        <v>S</v>
      </c>
      <c r="U354" s="140"/>
      <c r="W354" s="141">
        <f t="shared" si="34"/>
        <v>197.6</v>
      </c>
    </row>
    <row r="355" spans="1:23" ht="13.9" customHeight="1">
      <c r="A355" s="132">
        <v>355</v>
      </c>
      <c r="B355" s="49" t="s">
        <v>1679</v>
      </c>
      <c r="C355" s="49" t="s">
        <v>1505</v>
      </c>
      <c r="D355" s="145" t="s">
        <v>246</v>
      </c>
      <c r="E355" s="146" t="s">
        <v>917</v>
      </c>
      <c r="F355" s="146" t="s">
        <v>918</v>
      </c>
      <c r="G355" s="145" t="s">
        <v>44</v>
      </c>
      <c r="H355" s="145" t="s">
        <v>260</v>
      </c>
      <c r="I355" s="145" t="s">
        <v>259</v>
      </c>
      <c r="J355" s="149" t="s">
        <v>231</v>
      </c>
      <c r="K355" s="150"/>
      <c r="L355" s="151">
        <v>4.8099999999999996</v>
      </c>
      <c r="M355" s="136">
        <f t="shared" si="30"/>
        <v>190</v>
      </c>
      <c r="N355" s="2">
        <v>190</v>
      </c>
      <c r="O355" s="2"/>
      <c r="P355" s="137" t="e">
        <f t="shared" si="31"/>
        <v>#DIV/0!</v>
      </c>
      <c r="Q355" s="137">
        <f t="shared" si="32"/>
        <v>0</v>
      </c>
      <c r="R355" s="138">
        <f>IF(N355="nio",0,IF(N355&gt;0,VLOOKUP(I355,'3-Productie normen'!A:V,VLOOKUP(N355,'3-Productie normen'!$B$35:$C$56,2,FALSE),FALSE)))/VLOOKUP(B355,'2-Kosten per locatie'!$A$11:$C$18,3,FALSE)</f>
        <v>0</v>
      </c>
      <c r="S355" s="138">
        <f t="shared" si="33"/>
        <v>0</v>
      </c>
      <c r="T355" s="139" t="str">
        <f>VLOOKUP(I355,'3-Productie normen'!A:AF,28,FALSE)</f>
        <v>S</v>
      </c>
      <c r="U355" s="140"/>
      <c r="W355" s="141">
        <f t="shared" si="34"/>
        <v>913.9</v>
      </c>
    </row>
    <row r="356" spans="1:23" ht="13.9" customHeight="1">
      <c r="A356" s="132">
        <v>356</v>
      </c>
      <c r="B356" s="49" t="s">
        <v>1679</v>
      </c>
      <c r="C356" s="49" t="s">
        <v>1505</v>
      </c>
      <c r="D356" s="145" t="s">
        <v>246</v>
      </c>
      <c r="E356" s="146" t="s">
        <v>919</v>
      </c>
      <c r="F356" s="146"/>
      <c r="G356" s="145" t="s">
        <v>920</v>
      </c>
      <c r="H356" s="145" t="s">
        <v>921</v>
      </c>
      <c r="I356" s="145" t="s">
        <v>239</v>
      </c>
      <c r="J356" s="149" t="s">
        <v>922</v>
      </c>
      <c r="K356" s="150"/>
      <c r="L356" s="151">
        <v>13.64</v>
      </c>
      <c r="M356" s="136">
        <f t="shared" si="30"/>
        <v>0</v>
      </c>
      <c r="N356" s="2" t="s">
        <v>273</v>
      </c>
      <c r="O356" s="2"/>
      <c r="P356" s="137">
        <f t="shared" si="31"/>
        <v>0</v>
      </c>
      <c r="Q356" s="137">
        <f t="shared" si="32"/>
        <v>0</v>
      </c>
      <c r="R356" s="138">
        <f>IF(N356="nio",0,IF(N356&gt;0,VLOOKUP(I356,'3-Productie normen'!A:V,VLOOKUP(N356,'3-Productie normen'!$B$35:$C$56,2,FALSE),FALSE)))/VLOOKUP(B356,'2-Kosten per locatie'!$A$11:$C$18,3,FALSE)</f>
        <v>0</v>
      </c>
      <c r="S356" s="138">
        <f t="shared" si="33"/>
        <v>0</v>
      </c>
      <c r="T356" s="139">
        <f>VLOOKUP(I356,'3-Productie normen'!A:AF,28,FALSE)</f>
        <v>0</v>
      </c>
      <c r="U356" s="140"/>
      <c r="W356" s="141">
        <f t="shared" si="34"/>
        <v>0</v>
      </c>
    </row>
    <row r="357" spans="1:23" ht="13.9" customHeight="1">
      <c r="A357" s="118">
        <v>357</v>
      </c>
      <c r="B357" s="49" t="s">
        <v>1679</v>
      </c>
      <c r="C357" s="49" t="s">
        <v>1505</v>
      </c>
      <c r="D357" s="145" t="s">
        <v>246</v>
      </c>
      <c r="E357" s="146" t="s">
        <v>923</v>
      </c>
      <c r="F357" s="146"/>
      <c r="G357" s="145" t="s">
        <v>245</v>
      </c>
      <c r="H357" s="145" t="s">
        <v>261</v>
      </c>
      <c r="I357" s="92" t="s">
        <v>274</v>
      </c>
      <c r="J357" s="149" t="s">
        <v>251</v>
      </c>
      <c r="K357" s="152" t="s">
        <v>1522</v>
      </c>
      <c r="L357" s="151">
        <v>19.77</v>
      </c>
      <c r="M357" s="136">
        <f t="shared" si="30"/>
        <v>76</v>
      </c>
      <c r="N357" s="2">
        <v>76</v>
      </c>
      <c r="O357" s="2"/>
      <c r="P357" s="137" t="e">
        <f t="shared" si="31"/>
        <v>#DIV/0!</v>
      </c>
      <c r="Q357" s="137">
        <f t="shared" si="32"/>
        <v>0</v>
      </c>
      <c r="R357" s="138">
        <f>IF(N357="nio",0,IF(N357&gt;0,VLOOKUP(I357,'3-Productie normen'!A:V,VLOOKUP(N357,'3-Productie normen'!$B$35:$C$56,2,FALSE),FALSE)))/VLOOKUP(B357,'2-Kosten per locatie'!$A$11:$C$18,3,FALSE)</f>
        <v>0</v>
      </c>
      <c r="S357" s="138">
        <f t="shared" si="33"/>
        <v>0</v>
      </c>
      <c r="T357" s="139" t="str">
        <f>VLOOKUP(I357,'3-Productie normen'!A:AF,28,FALSE)</f>
        <v>B</v>
      </c>
      <c r="U357" s="140"/>
      <c r="W357" s="141">
        <f t="shared" si="34"/>
        <v>1502.52</v>
      </c>
    </row>
    <row r="358" spans="1:23" ht="13.9" customHeight="1">
      <c r="A358" s="132">
        <v>358</v>
      </c>
      <c r="B358" s="49" t="s">
        <v>1679</v>
      </c>
      <c r="C358" s="49" t="s">
        <v>1505</v>
      </c>
      <c r="D358" s="145" t="s">
        <v>246</v>
      </c>
      <c r="E358" s="146" t="s">
        <v>924</v>
      </c>
      <c r="F358" s="146"/>
      <c r="G358" s="145" t="s">
        <v>242</v>
      </c>
      <c r="H358" s="145" t="s">
        <v>242</v>
      </c>
      <c r="I358" s="1" t="s">
        <v>242</v>
      </c>
      <c r="J358" s="149" t="s">
        <v>251</v>
      </c>
      <c r="K358" s="152" t="s">
        <v>1522</v>
      </c>
      <c r="L358" s="151">
        <v>4.54</v>
      </c>
      <c r="M358" s="136">
        <f t="shared" si="30"/>
        <v>2</v>
      </c>
      <c r="N358" s="2">
        <v>2</v>
      </c>
      <c r="O358" s="2"/>
      <c r="P358" s="137" t="e">
        <f t="shared" si="31"/>
        <v>#DIV/0!</v>
      </c>
      <c r="Q358" s="137">
        <f t="shared" si="32"/>
        <v>0</v>
      </c>
      <c r="R358" s="138">
        <f>IF(N358="nio",0,IF(N358&gt;0,VLOOKUP(I358,'3-Productie normen'!A:V,VLOOKUP(N358,'3-Productie normen'!$B$35:$C$56,2,FALSE),FALSE)))/VLOOKUP(B358,'2-Kosten per locatie'!$A$11:$C$18,3,FALSE)</f>
        <v>0</v>
      </c>
      <c r="S358" s="138">
        <f t="shared" si="33"/>
        <v>0</v>
      </c>
      <c r="T358" s="139" t="str">
        <f>VLOOKUP(I358,'3-Productie normen'!A:AF,28,FALSE)</f>
        <v>V</v>
      </c>
      <c r="U358" s="140"/>
      <c r="W358" s="141">
        <f t="shared" si="34"/>
        <v>9.08</v>
      </c>
    </row>
    <row r="359" spans="1:23" ht="13.9" customHeight="1">
      <c r="A359" s="132">
        <v>359</v>
      </c>
      <c r="B359" s="49" t="s">
        <v>1679</v>
      </c>
      <c r="C359" s="49" t="s">
        <v>1505</v>
      </c>
      <c r="D359" s="145" t="s">
        <v>246</v>
      </c>
      <c r="E359" s="146" t="s">
        <v>925</v>
      </c>
      <c r="F359" s="146"/>
      <c r="G359" s="145" t="s">
        <v>264</v>
      </c>
      <c r="H359" s="147" t="s">
        <v>1588</v>
      </c>
      <c r="I359" s="134" t="s">
        <v>1589</v>
      </c>
      <c r="J359" s="149" t="s">
        <v>896</v>
      </c>
      <c r="K359" s="150"/>
      <c r="L359" s="151">
        <v>57.63</v>
      </c>
      <c r="M359" s="136">
        <f t="shared" si="30"/>
        <v>190</v>
      </c>
      <c r="N359" s="2">
        <v>190</v>
      </c>
      <c r="O359" s="2"/>
      <c r="P359" s="137" t="e">
        <f t="shared" si="31"/>
        <v>#DIV/0!</v>
      </c>
      <c r="Q359" s="137">
        <f t="shared" si="32"/>
        <v>0</v>
      </c>
      <c r="R359" s="138">
        <f>IF(N359="nio",0,IF(N359&gt;0,VLOOKUP(I359,'3-Productie normen'!A:V,VLOOKUP(N359,'3-Productie normen'!$B$35:$C$56,2,FALSE),FALSE)))/VLOOKUP(B359,'2-Kosten per locatie'!$A$11:$C$18,3,FALSE)</f>
        <v>0</v>
      </c>
      <c r="S359" s="138">
        <f t="shared" si="33"/>
        <v>0</v>
      </c>
      <c r="T359" s="139" t="str">
        <f>VLOOKUP(I359,'3-Productie normen'!A:AF,28,FALSE)</f>
        <v>L</v>
      </c>
      <c r="U359" s="140"/>
      <c r="W359" s="141">
        <f t="shared" si="34"/>
        <v>10949.7</v>
      </c>
    </row>
    <row r="360" spans="1:23" ht="13.9" customHeight="1">
      <c r="A360" s="118">
        <v>360</v>
      </c>
      <c r="B360" s="49" t="s">
        <v>1679</v>
      </c>
      <c r="C360" s="49" t="s">
        <v>1505</v>
      </c>
      <c r="D360" s="145" t="s">
        <v>246</v>
      </c>
      <c r="E360" s="146" t="s">
        <v>926</v>
      </c>
      <c r="F360" s="146"/>
      <c r="G360" s="145" t="s">
        <v>242</v>
      </c>
      <c r="H360" s="145" t="s">
        <v>242</v>
      </c>
      <c r="I360" s="1" t="s">
        <v>242</v>
      </c>
      <c r="J360" s="149" t="s">
        <v>251</v>
      </c>
      <c r="K360" s="152" t="s">
        <v>1522</v>
      </c>
      <c r="L360" s="151">
        <v>7.48</v>
      </c>
      <c r="M360" s="136">
        <f t="shared" si="30"/>
        <v>2</v>
      </c>
      <c r="N360" s="2">
        <v>2</v>
      </c>
      <c r="O360" s="2"/>
      <c r="P360" s="137" t="e">
        <f t="shared" si="31"/>
        <v>#DIV/0!</v>
      </c>
      <c r="Q360" s="137">
        <f t="shared" si="32"/>
        <v>0</v>
      </c>
      <c r="R360" s="138">
        <f>IF(N360="nio",0,IF(N360&gt;0,VLOOKUP(I360,'3-Productie normen'!A:V,VLOOKUP(N360,'3-Productie normen'!$B$35:$C$56,2,FALSE),FALSE)))/VLOOKUP(B360,'2-Kosten per locatie'!$A$11:$C$18,3,FALSE)</f>
        <v>0</v>
      </c>
      <c r="S360" s="138">
        <f t="shared" si="33"/>
        <v>0</v>
      </c>
      <c r="T360" s="139" t="str">
        <f>VLOOKUP(I360,'3-Productie normen'!A:AF,28,FALSE)</f>
        <v>V</v>
      </c>
      <c r="U360" s="140"/>
      <c r="W360" s="141">
        <f t="shared" si="34"/>
        <v>14.96</v>
      </c>
    </row>
    <row r="361" spans="1:23" ht="13.9" customHeight="1">
      <c r="A361" s="132">
        <v>361</v>
      </c>
      <c r="B361" s="49" t="s">
        <v>1679</v>
      </c>
      <c r="C361" s="49" t="s">
        <v>1505</v>
      </c>
      <c r="D361" s="145" t="s">
        <v>246</v>
      </c>
      <c r="E361" s="146" t="s">
        <v>927</v>
      </c>
      <c r="F361" s="146"/>
      <c r="G361" s="145" t="s">
        <v>242</v>
      </c>
      <c r="H361" s="145" t="s">
        <v>242</v>
      </c>
      <c r="I361" s="1" t="s">
        <v>242</v>
      </c>
      <c r="J361" s="149" t="s">
        <v>251</v>
      </c>
      <c r="K361" s="152" t="s">
        <v>1522</v>
      </c>
      <c r="L361" s="151">
        <v>4.57</v>
      </c>
      <c r="M361" s="136">
        <f t="shared" si="30"/>
        <v>2</v>
      </c>
      <c r="N361" s="2">
        <v>2</v>
      </c>
      <c r="O361" s="2"/>
      <c r="P361" s="137" t="e">
        <f t="shared" si="31"/>
        <v>#DIV/0!</v>
      </c>
      <c r="Q361" s="137">
        <f t="shared" si="32"/>
        <v>0</v>
      </c>
      <c r="R361" s="138">
        <f>IF(N361="nio",0,IF(N361&gt;0,VLOOKUP(I361,'3-Productie normen'!A:V,VLOOKUP(N361,'3-Productie normen'!$B$35:$C$56,2,FALSE),FALSE)))/VLOOKUP(B361,'2-Kosten per locatie'!$A$11:$C$18,3,FALSE)</f>
        <v>0</v>
      </c>
      <c r="S361" s="138">
        <f t="shared" si="33"/>
        <v>0</v>
      </c>
      <c r="T361" s="139" t="str">
        <f>VLOOKUP(I361,'3-Productie normen'!A:AF,28,FALSE)</f>
        <v>V</v>
      </c>
      <c r="U361" s="140"/>
      <c r="W361" s="141">
        <f t="shared" si="34"/>
        <v>9.14</v>
      </c>
    </row>
    <row r="362" spans="1:23" ht="13.9" customHeight="1">
      <c r="A362" s="132">
        <v>362</v>
      </c>
      <c r="B362" s="49" t="s">
        <v>1679</v>
      </c>
      <c r="C362" s="49" t="s">
        <v>1505</v>
      </c>
      <c r="D362" s="145" t="s">
        <v>246</v>
      </c>
      <c r="E362" s="146" t="s">
        <v>928</v>
      </c>
      <c r="F362" s="146" t="s">
        <v>308</v>
      </c>
      <c r="G362" s="145" t="s">
        <v>242</v>
      </c>
      <c r="H362" s="145" t="s">
        <v>242</v>
      </c>
      <c r="I362" s="1" t="s">
        <v>242</v>
      </c>
      <c r="J362" s="149" t="s">
        <v>251</v>
      </c>
      <c r="K362" s="152" t="s">
        <v>1522</v>
      </c>
      <c r="L362" s="151">
        <v>2.0499999999999998</v>
      </c>
      <c r="M362" s="136">
        <f t="shared" si="30"/>
        <v>2</v>
      </c>
      <c r="N362" s="2">
        <v>2</v>
      </c>
      <c r="O362" s="2"/>
      <c r="P362" s="137" t="e">
        <f t="shared" si="31"/>
        <v>#DIV/0!</v>
      </c>
      <c r="Q362" s="137">
        <f t="shared" si="32"/>
        <v>0</v>
      </c>
      <c r="R362" s="138">
        <f>IF(N362="nio",0,IF(N362&gt;0,VLOOKUP(I362,'3-Productie normen'!A:V,VLOOKUP(N362,'3-Productie normen'!$B$35:$C$56,2,FALSE),FALSE)))/VLOOKUP(B362,'2-Kosten per locatie'!$A$11:$C$18,3,FALSE)</f>
        <v>0</v>
      </c>
      <c r="S362" s="138">
        <f t="shared" si="33"/>
        <v>0</v>
      </c>
      <c r="T362" s="139" t="str">
        <f>VLOOKUP(I362,'3-Productie normen'!A:AF,28,FALSE)</f>
        <v>V</v>
      </c>
      <c r="U362" s="140"/>
      <c r="W362" s="141">
        <f t="shared" si="34"/>
        <v>4.0999999999999996</v>
      </c>
    </row>
    <row r="363" spans="1:23" ht="13.9" customHeight="1">
      <c r="A363" s="118">
        <v>363</v>
      </c>
      <c r="B363" s="49" t="s">
        <v>1679</v>
      </c>
      <c r="C363" s="49" t="s">
        <v>1505</v>
      </c>
      <c r="D363" s="145" t="s">
        <v>246</v>
      </c>
      <c r="E363" s="146" t="s">
        <v>929</v>
      </c>
      <c r="F363" s="146" t="s">
        <v>930</v>
      </c>
      <c r="G363" s="145" t="s">
        <v>242</v>
      </c>
      <c r="H363" s="145" t="s">
        <v>242</v>
      </c>
      <c r="I363" s="1" t="s">
        <v>242</v>
      </c>
      <c r="J363" s="149" t="s">
        <v>251</v>
      </c>
      <c r="K363" s="152" t="s">
        <v>1522</v>
      </c>
      <c r="L363" s="151">
        <v>7.79</v>
      </c>
      <c r="M363" s="136">
        <f t="shared" si="30"/>
        <v>2</v>
      </c>
      <c r="N363" s="2">
        <v>2</v>
      </c>
      <c r="O363" s="2"/>
      <c r="P363" s="137" t="e">
        <f t="shared" si="31"/>
        <v>#DIV/0!</v>
      </c>
      <c r="Q363" s="137">
        <f t="shared" si="32"/>
        <v>0</v>
      </c>
      <c r="R363" s="138">
        <f>IF(N363="nio",0,IF(N363&gt;0,VLOOKUP(I363,'3-Productie normen'!A:V,VLOOKUP(N363,'3-Productie normen'!$B$35:$C$56,2,FALSE),FALSE)))/VLOOKUP(B363,'2-Kosten per locatie'!$A$11:$C$18,3,FALSE)</f>
        <v>0</v>
      </c>
      <c r="S363" s="138">
        <f t="shared" si="33"/>
        <v>0</v>
      </c>
      <c r="T363" s="139" t="str">
        <f>VLOOKUP(I363,'3-Productie normen'!A:AF,28,FALSE)</f>
        <v>V</v>
      </c>
      <c r="U363" s="140"/>
      <c r="W363" s="141">
        <f t="shared" si="34"/>
        <v>15.58</v>
      </c>
    </row>
    <row r="364" spans="1:23" ht="13.9" customHeight="1">
      <c r="A364" s="132">
        <v>364</v>
      </c>
      <c r="B364" s="49" t="s">
        <v>1679</v>
      </c>
      <c r="C364" s="49" t="s">
        <v>1505</v>
      </c>
      <c r="D364" s="145" t="s">
        <v>246</v>
      </c>
      <c r="E364" s="146" t="s">
        <v>931</v>
      </c>
      <c r="F364" s="146"/>
      <c r="G364" s="145" t="s">
        <v>242</v>
      </c>
      <c r="H364" s="145" t="s">
        <v>242</v>
      </c>
      <c r="I364" s="1" t="s">
        <v>242</v>
      </c>
      <c r="J364" s="149" t="s">
        <v>251</v>
      </c>
      <c r="K364" s="152" t="s">
        <v>1522</v>
      </c>
      <c r="L364" s="151">
        <v>1.29</v>
      </c>
      <c r="M364" s="136">
        <f t="shared" si="30"/>
        <v>2</v>
      </c>
      <c r="N364" s="2">
        <v>2</v>
      </c>
      <c r="O364" s="2"/>
      <c r="P364" s="137" t="e">
        <f t="shared" si="31"/>
        <v>#DIV/0!</v>
      </c>
      <c r="Q364" s="137">
        <f t="shared" si="32"/>
        <v>0</v>
      </c>
      <c r="R364" s="138">
        <f>IF(N364="nio",0,IF(N364&gt;0,VLOOKUP(I364,'3-Productie normen'!A:V,VLOOKUP(N364,'3-Productie normen'!$B$35:$C$56,2,FALSE),FALSE)))/VLOOKUP(B364,'2-Kosten per locatie'!$A$11:$C$18,3,FALSE)</f>
        <v>0</v>
      </c>
      <c r="S364" s="138">
        <f t="shared" si="33"/>
        <v>0</v>
      </c>
      <c r="T364" s="139" t="str">
        <f>VLOOKUP(I364,'3-Productie normen'!A:AF,28,FALSE)</f>
        <v>V</v>
      </c>
      <c r="U364" s="140"/>
      <c r="W364" s="141">
        <f t="shared" si="34"/>
        <v>2.58</v>
      </c>
    </row>
    <row r="365" spans="1:23" ht="13.9" customHeight="1">
      <c r="A365" s="132">
        <v>365</v>
      </c>
      <c r="B365" s="49" t="s">
        <v>1679</v>
      </c>
      <c r="C365" s="49" t="s">
        <v>1505</v>
      </c>
      <c r="D365" s="145" t="s">
        <v>246</v>
      </c>
      <c r="E365" s="146" t="s">
        <v>932</v>
      </c>
      <c r="F365" s="146" t="s">
        <v>933</v>
      </c>
      <c r="G365" s="145" t="s">
        <v>264</v>
      </c>
      <c r="H365" s="147" t="s">
        <v>1591</v>
      </c>
      <c r="I365" s="145" t="s">
        <v>285</v>
      </c>
      <c r="J365" s="149" t="s">
        <v>934</v>
      </c>
      <c r="K365" s="150"/>
      <c r="L365" s="151">
        <v>44.19</v>
      </c>
      <c r="M365" s="136">
        <f t="shared" si="30"/>
        <v>190</v>
      </c>
      <c r="N365" s="2">
        <v>190</v>
      </c>
      <c r="O365" s="2"/>
      <c r="P365" s="137" t="e">
        <f t="shared" si="31"/>
        <v>#DIV/0!</v>
      </c>
      <c r="Q365" s="137">
        <f t="shared" si="32"/>
        <v>0</v>
      </c>
      <c r="R365" s="138">
        <f>IF(N365="nio",0,IF(N365&gt;0,VLOOKUP(I365,'3-Productie normen'!A:V,VLOOKUP(N365,'3-Productie normen'!$B$35:$C$56,2,FALSE),FALSE)))/VLOOKUP(B365,'2-Kosten per locatie'!$A$11:$C$18,3,FALSE)</f>
        <v>0</v>
      </c>
      <c r="S365" s="138">
        <f t="shared" si="33"/>
        <v>0</v>
      </c>
      <c r="T365" s="139" t="str">
        <f>VLOOKUP(I365,'3-Productie normen'!A:AF,28,FALSE)</f>
        <v>L</v>
      </c>
      <c r="U365" s="140"/>
      <c r="W365" s="141">
        <f t="shared" si="34"/>
        <v>8396.1</v>
      </c>
    </row>
    <row r="366" spans="1:23" ht="13.9" customHeight="1">
      <c r="A366" s="118">
        <v>366</v>
      </c>
      <c r="B366" s="49" t="s">
        <v>1679</v>
      </c>
      <c r="C366" s="49" t="s">
        <v>1505</v>
      </c>
      <c r="D366" s="145" t="s">
        <v>246</v>
      </c>
      <c r="E366" s="146" t="s">
        <v>935</v>
      </c>
      <c r="F366" s="146" t="s">
        <v>936</v>
      </c>
      <c r="G366" s="145" t="s">
        <v>264</v>
      </c>
      <c r="H366" s="145" t="s">
        <v>351</v>
      </c>
      <c r="I366" s="145" t="s">
        <v>242</v>
      </c>
      <c r="J366" s="149" t="s">
        <v>251</v>
      </c>
      <c r="K366" s="152" t="s">
        <v>1522</v>
      </c>
      <c r="L366" s="151">
        <v>14.35</v>
      </c>
      <c r="M366" s="136">
        <f t="shared" si="30"/>
        <v>2</v>
      </c>
      <c r="N366" s="2">
        <v>2</v>
      </c>
      <c r="O366" s="2"/>
      <c r="P366" s="137" t="e">
        <f t="shared" si="31"/>
        <v>#DIV/0!</v>
      </c>
      <c r="Q366" s="137">
        <f t="shared" si="32"/>
        <v>0</v>
      </c>
      <c r="R366" s="138">
        <f>IF(N366="nio",0,IF(N366&gt;0,VLOOKUP(I366,'3-Productie normen'!A:V,VLOOKUP(N366,'3-Productie normen'!$B$35:$C$56,2,FALSE),FALSE)))/VLOOKUP(B366,'2-Kosten per locatie'!$A$11:$C$18,3,FALSE)</f>
        <v>0</v>
      </c>
      <c r="S366" s="138">
        <f t="shared" si="33"/>
        <v>0</v>
      </c>
      <c r="T366" s="139" t="str">
        <f>VLOOKUP(I366,'3-Productie normen'!A:AF,28,FALSE)</f>
        <v>V</v>
      </c>
      <c r="U366" s="140"/>
      <c r="W366" s="141">
        <f t="shared" si="34"/>
        <v>28.7</v>
      </c>
    </row>
    <row r="367" spans="1:23" ht="13.9" customHeight="1">
      <c r="A367" s="132">
        <v>367</v>
      </c>
      <c r="B367" s="49" t="s">
        <v>1679</v>
      </c>
      <c r="C367" s="49" t="s">
        <v>1505</v>
      </c>
      <c r="D367" s="145" t="s">
        <v>246</v>
      </c>
      <c r="E367" s="146" t="s">
        <v>937</v>
      </c>
      <c r="F367" s="146" t="s">
        <v>938</v>
      </c>
      <c r="G367" s="145" t="s">
        <v>264</v>
      </c>
      <c r="H367" s="145" t="s">
        <v>1591</v>
      </c>
      <c r="I367" s="145" t="s">
        <v>285</v>
      </c>
      <c r="J367" s="149" t="s">
        <v>939</v>
      </c>
      <c r="K367" s="150"/>
      <c r="L367" s="151">
        <v>70.099999999999994</v>
      </c>
      <c r="M367" s="136">
        <f t="shared" si="30"/>
        <v>190</v>
      </c>
      <c r="N367" s="2">
        <v>190</v>
      </c>
      <c r="O367" s="2"/>
      <c r="P367" s="137" t="e">
        <f t="shared" si="31"/>
        <v>#DIV/0!</v>
      </c>
      <c r="Q367" s="137">
        <f t="shared" si="32"/>
        <v>0</v>
      </c>
      <c r="R367" s="138">
        <f>IF(N367="nio",0,IF(N367&gt;0,VLOOKUP(I367,'3-Productie normen'!A:V,VLOOKUP(N367,'3-Productie normen'!$B$35:$C$56,2,FALSE),FALSE)))/VLOOKUP(B367,'2-Kosten per locatie'!$A$11:$C$18,3,FALSE)</f>
        <v>0</v>
      </c>
      <c r="S367" s="138">
        <f t="shared" si="33"/>
        <v>0</v>
      </c>
      <c r="T367" s="139" t="str">
        <f>VLOOKUP(I367,'3-Productie normen'!A:AF,28,FALSE)</f>
        <v>L</v>
      </c>
      <c r="U367" s="140"/>
      <c r="W367" s="141">
        <f t="shared" si="34"/>
        <v>13318.999999999998</v>
      </c>
    </row>
    <row r="368" spans="1:23" ht="13.9" customHeight="1">
      <c r="A368" s="132">
        <v>368</v>
      </c>
      <c r="B368" s="49" t="s">
        <v>1679</v>
      </c>
      <c r="C368" s="49" t="s">
        <v>1505</v>
      </c>
      <c r="D368" s="145" t="s">
        <v>246</v>
      </c>
      <c r="E368" s="146" t="s">
        <v>940</v>
      </c>
      <c r="F368" s="146" t="s">
        <v>327</v>
      </c>
      <c r="G368" s="145" t="s">
        <v>242</v>
      </c>
      <c r="H368" s="145" t="s">
        <v>242</v>
      </c>
      <c r="I368" s="1" t="s">
        <v>242</v>
      </c>
      <c r="J368" s="149" t="s">
        <v>231</v>
      </c>
      <c r="K368" s="150"/>
      <c r="L368" s="151">
        <v>2.09</v>
      </c>
      <c r="M368" s="136">
        <f t="shared" si="30"/>
        <v>2</v>
      </c>
      <c r="N368" s="2">
        <v>2</v>
      </c>
      <c r="O368" s="2"/>
      <c r="P368" s="137" t="e">
        <f t="shared" si="31"/>
        <v>#DIV/0!</v>
      </c>
      <c r="Q368" s="137">
        <f t="shared" si="32"/>
        <v>0</v>
      </c>
      <c r="R368" s="138">
        <f>IF(N368="nio",0,IF(N368&gt;0,VLOOKUP(I368,'3-Productie normen'!A:V,VLOOKUP(N368,'3-Productie normen'!$B$35:$C$56,2,FALSE),FALSE)))/VLOOKUP(B368,'2-Kosten per locatie'!$A$11:$C$18,3,FALSE)</f>
        <v>0</v>
      </c>
      <c r="S368" s="138">
        <f t="shared" si="33"/>
        <v>0</v>
      </c>
      <c r="T368" s="139" t="str">
        <f>VLOOKUP(I368,'3-Productie normen'!A:AF,28,FALSE)</f>
        <v>V</v>
      </c>
      <c r="U368" s="140"/>
      <c r="W368" s="141">
        <f t="shared" si="34"/>
        <v>4.18</v>
      </c>
    </row>
    <row r="369" spans="1:23" ht="13.9" customHeight="1">
      <c r="A369" s="118">
        <v>369</v>
      </c>
      <c r="B369" s="49" t="s">
        <v>1679</v>
      </c>
      <c r="C369" s="49" t="s">
        <v>1505</v>
      </c>
      <c r="D369" s="145" t="s">
        <v>246</v>
      </c>
      <c r="E369" s="146" t="s">
        <v>941</v>
      </c>
      <c r="F369" s="146" t="s">
        <v>306</v>
      </c>
      <c r="G369" s="145" t="s">
        <v>242</v>
      </c>
      <c r="H369" s="145" t="s">
        <v>242</v>
      </c>
      <c r="I369" s="1" t="s">
        <v>242</v>
      </c>
      <c r="J369" s="149" t="s">
        <v>939</v>
      </c>
      <c r="K369" s="150"/>
      <c r="L369" s="151">
        <v>2.5299999999999998</v>
      </c>
      <c r="M369" s="136">
        <f t="shared" si="30"/>
        <v>2</v>
      </c>
      <c r="N369" s="2">
        <v>2</v>
      </c>
      <c r="O369" s="2"/>
      <c r="P369" s="137" t="e">
        <f t="shared" si="31"/>
        <v>#DIV/0!</v>
      </c>
      <c r="Q369" s="137">
        <f t="shared" si="32"/>
        <v>0</v>
      </c>
      <c r="R369" s="138">
        <f>IF(N369="nio",0,IF(N369&gt;0,VLOOKUP(I369,'3-Productie normen'!A:V,VLOOKUP(N369,'3-Productie normen'!$B$35:$C$56,2,FALSE),FALSE)))/VLOOKUP(B369,'2-Kosten per locatie'!$A$11:$C$18,3,FALSE)</f>
        <v>0</v>
      </c>
      <c r="S369" s="138">
        <f t="shared" si="33"/>
        <v>0</v>
      </c>
      <c r="T369" s="139" t="str">
        <f>VLOOKUP(I369,'3-Productie normen'!A:AF,28,FALSE)</f>
        <v>V</v>
      </c>
      <c r="U369" s="140"/>
      <c r="W369" s="141">
        <f t="shared" si="34"/>
        <v>5.0599999999999996</v>
      </c>
    </row>
    <row r="370" spans="1:23" ht="13.9" customHeight="1">
      <c r="A370" s="132">
        <v>370</v>
      </c>
      <c r="B370" s="49" t="s">
        <v>1679</v>
      </c>
      <c r="C370" s="49" t="s">
        <v>1505</v>
      </c>
      <c r="D370" s="145" t="s">
        <v>246</v>
      </c>
      <c r="E370" s="146" t="s">
        <v>942</v>
      </c>
      <c r="F370" s="146"/>
      <c r="G370" s="145" t="s">
        <v>245</v>
      </c>
      <c r="H370" s="145" t="s">
        <v>245</v>
      </c>
      <c r="I370" s="92" t="s">
        <v>274</v>
      </c>
      <c r="J370" s="149" t="s">
        <v>251</v>
      </c>
      <c r="K370" s="152" t="s">
        <v>1522</v>
      </c>
      <c r="L370" s="151">
        <v>8.9600000000000009</v>
      </c>
      <c r="M370" s="136">
        <f t="shared" si="30"/>
        <v>76</v>
      </c>
      <c r="N370" s="2">
        <v>76</v>
      </c>
      <c r="O370" s="2"/>
      <c r="P370" s="137" t="e">
        <f t="shared" si="31"/>
        <v>#DIV/0!</v>
      </c>
      <c r="Q370" s="137">
        <f t="shared" si="32"/>
        <v>0</v>
      </c>
      <c r="R370" s="138">
        <f>IF(N370="nio",0,IF(N370&gt;0,VLOOKUP(I370,'3-Productie normen'!A:V,VLOOKUP(N370,'3-Productie normen'!$B$35:$C$56,2,FALSE),FALSE)))/VLOOKUP(B370,'2-Kosten per locatie'!$A$11:$C$18,3,FALSE)</f>
        <v>0</v>
      </c>
      <c r="S370" s="138">
        <f t="shared" si="33"/>
        <v>0</v>
      </c>
      <c r="T370" s="139" t="str">
        <f>VLOOKUP(I370,'3-Productie normen'!A:AF,28,FALSE)</f>
        <v>B</v>
      </c>
      <c r="U370" s="140"/>
      <c r="W370" s="141">
        <f t="shared" si="34"/>
        <v>680.96</v>
      </c>
    </row>
    <row r="371" spans="1:23" ht="13.9" customHeight="1">
      <c r="A371" s="132">
        <v>371</v>
      </c>
      <c r="B371" s="49" t="s">
        <v>1679</v>
      </c>
      <c r="C371" s="49" t="s">
        <v>1505</v>
      </c>
      <c r="D371" s="145" t="s">
        <v>246</v>
      </c>
      <c r="E371" s="146" t="s">
        <v>943</v>
      </c>
      <c r="F371" s="146" t="s">
        <v>310</v>
      </c>
      <c r="G371" s="145" t="s">
        <v>245</v>
      </c>
      <c r="H371" s="145" t="s">
        <v>245</v>
      </c>
      <c r="I371" s="92" t="s">
        <v>274</v>
      </c>
      <c r="J371" s="149" t="s">
        <v>251</v>
      </c>
      <c r="K371" s="152" t="s">
        <v>1522</v>
      </c>
      <c r="L371" s="151">
        <v>12.23</v>
      </c>
      <c r="M371" s="136">
        <f t="shared" si="30"/>
        <v>76</v>
      </c>
      <c r="N371" s="2">
        <v>76</v>
      </c>
      <c r="O371" s="2"/>
      <c r="P371" s="137" t="e">
        <f t="shared" si="31"/>
        <v>#DIV/0!</v>
      </c>
      <c r="Q371" s="137">
        <f t="shared" si="32"/>
        <v>0</v>
      </c>
      <c r="R371" s="138">
        <f>IF(N371="nio",0,IF(N371&gt;0,VLOOKUP(I371,'3-Productie normen'!A:V,VLOOKUP(N371,'3-Productie normen'!$B$35:$C$56,2,FALSE),FALSE)))/VLOOKUP(B371,'2-Kosten per locatie'!$A$11:$C$18,3,FALSE)</f>
        <v>0</v>
      </c>
      <c r="S371" s="138">
        <f t="shared" si="33"/>
        <v>0</v>
      </c>
      <c r="T371" s="139" t="str">
        <f>VLOOKUP(I371,'3-Productie normen'!A:AF,28,FALSE)</f>
        <v>B</v>
      </c>
      <c r="U371" s="140"/>
      <c r="W371" s="141">
        <f t="shared" si="34"/>
        <v>929.48</v>
      </c>
    </row>
    <row r="372" spans="1:23" ht="13.9" customHeight="1">
      <c r="A372" s="118">
        <v>372</v>
      </c>
      <c r="B372" s="49" t="s">
        <v>1679</v>
      </c>
      <c r="C372" s="49" t="s">
        <v>1505</v>
      </c>
      <c r="D372" s="145" t="s">
        <v>246</v>
      </c>
      <c r="E372" s="146" t="s">
        <v>944</v>
      </c>
      <c r="F372" s="146" t="s">
        <v>307</v>
      </c>
      <c r="G372" s="145" t="s">
        <v>245</v>
      </c>
      <c r="H372" s="145" t="s">
        <v>50</v>
      </c>
      <c r="I372" s="145" t="s">
        <v>270</v>
      </c>
      <c r="J372" s="149" t="s">
        <v>251</v>
      </c>
      <c r="K372" s="152" t="s">
        <v>1522</v>
      </c>
      <c r="L372" s="151">
        <v>12.62</v>
      </c>
      <c r="M372" s="136">
        <f t="shared" si="30"/>
        <v>76</v>
      </c>
      <c r="N372" s="2">
        <v>76</v>
      </c>
      <c r="O372" s="2"/>
      <c r="P372" s="137" t="e">
        <f t="shared" si="31"/>
        <v>#DIV/0!</v>
      </c>
      <c r="Q372" s="137">
        <f t="shared" si="32"/>
        <v>0</v>
      </c>
      <c r="R372" s="138">
        <f>IF(N372="nio",0,IF(N372&gt;0,VLOOKUP(I372,'3-Productie normen'!A:V,VLOOKUP(N372,'3-Productie normen'!$B$35:$C$56,2,FALSE),FALSE)))/VLOOKUP(B372,'2-Kosten per locatie'!$A$11:$C$18,3,FALSE)</f>
        <v>0</v>
      </c>
      <c r="S372" s="138">
        <f t="shared" si="33"/>
        <v>0</v>
      </c>
      <c r="T372" s="139" t="str">
        <f>VLOOKUP(I372,'3-Productie normen'!A:AF,28,FALSE)</f>
        <v>B</v>
      </c>
      <c r="U372" s="140"/>
      <c r="W372" s="141">
        <f t="shared" si="34"/>
        <v>959.11999999999989</v>
      </c>
    </row>
    <row r="373" spans="1:23" ht="13.9" customHeight="1">
      <c r="A373" s="132">
        <v>373</v>
      </c>
      <c r="B373" s="49" t="s">
        <v>1679</v>
      </c>
      <c r="C373" s="49" t="s">
        <v>1505</v>
      </c>
      <c r="D373" s="145" t="s">
        <v>246</v>
      </c>
      <c r="E373" s="146" t="s">
        <v>945</v>
      </c>
      <c r="F373" s="146" t="s">
        <v>349</v>
      </c>
      <c r="G373" s="145" t="s">
        <v>245</v>
      </c>
      <c r="H373" s="145" t="s">
        <v>245</v>
      </c>
      <c r="I373" s="92" t="s">
        <v>274</v>
      </c>
      <c r="J373" s="149" t="s">
        <v>251</v>
      </c>
      <c r="K373" s="152" t="s">
        <v>1522</v>
      </c>
      <c r="L373" s="151">
        <v>6.8</v>
      </c>
      <c r="M373" s="136">
        <f t="shared" si="30"/>
        <v>76</v>
      </c>
      <c r="N373" s="2">
        <v>76</v>
      </c>
      <c r="O373" s="2"/>
      <c r="P373" s="137" t="e">
        <f t="shared" si="31"/>
        <v>#DIV/0!</v>
      </c>
      <c r="Q373" s="137">
        <f t="shared" si="32"/>
        <v>0</v>
      </c>
      <c r="R373" s="138">
        <f>IF(N373="nio",0,IF(N373&gt;0,VLOOKUP(I373,'3-Productie normen'!A:V,VLOOKUP(N373,'3-Productie normen'!$B$35:$C$56,2,FALSE),FALSE)))/VLOOKUP(B373,'2-Kosten per locatie'!$A$11:$C$18,3,FALSE)</f>
        <v>0</v>
      </c>
      <c r="S373" s="138">
        <f t="shared" si="33"/>
        <v>0</v>
      </c>
      <c r="T373" s="139" t="str">
        <f>VLOOKUP(I373,'3-Productie normen'!A:AF,28,FALSE)</f>
        <v>B</v>
      </c>
      <c r="U373" s="140"/>
      <c r="W373" s="141">
        <f t="shared" si="34"/>
        <v>516.79999999999995</v>
      </c>
    </row>
    <row r="374" spans="1:23" ht="13.9" customHeight="1">
      <c r="A374" s="132">
        <v>374</v>
      </c>
      <c r="B374" s="49" t="s">
        <v>1679</v>
      </c>
      <c r="C374" s="49" t="s">
        <v>1505</v>
      </c>
      <c r="D374" s="145" t="s">
        <v>246</v>
      </c>
      <c r="E374" s="146" t="s">
        <v>946</v>
      </c>
      <c r="F374" s="146" t="s">
        <v>947</v>
      </c>
      <c r="G374" s="145" t="s">
        <v>245</v>
      </c>
      <c r="H374" s="145" t="s">
        <v>245</v>
      </c>
      <c r="I374" s="92" t="s">
        <v>274</v>
      </c>
      <c r="J374" s="149" t="s">
        <v>251</v>
      </c>
      <c r="K374" s="152" t="s">
        <v>1522</v>
      </c>
      <c r="L374" s="151">
        <v>10.07</v>
      </c>
      <c r="M374" s="136">
        <f t="shared" si="30"/>
        <v>76</v>
      </c>
      <c r="N374" s="2">
        <v>76</v>
      </c>
      <c r="O374" s="2"/>
      <c r="P374" s="137" t="e">
        <f t="shared" si="31"/>
        <v>#DIV/0!</v>
      </c>
      <c r="Q374" s="137">
        <f t="shared" si="32"/>
        <v>0</v>
      </c>
      <c r="R374" s="138">
        <f>IF(N374="nio",0,IF(N374&gt;0,VLOOKUP(I374,'3-Productie normen'!A:V,VLOOKUP(N374,'3-Productie normen'!$B$35:$C$56,2,FALSE),FALSE)))/VLOOKUP(B374,'2-Kosten per locatie'!$A$11:$C$18,3,FALSE)</f>
        <v>0</v>
      </c>
      <c r="S374" s="138">
        <f t="shared" si="33"/>
        <v>0</v>
      </c>
      <c r="T374" s="139" t="str">
        <f>VLOOKUP(I374,'3-Productie normen'!A:AF,28,FALSE)</f>
        <v>B</v>
      </c>
      <c r="U374" s="140"/>
      <c r="W374" s="141">
        <f t="shared" si="34"/>
        <v>765.32</v>
      </c>
    </row>
    <row r="375" spans="1:23" ht="13.9" customHeight="1">
      <c r="A375" s="118">
        <v>375</v>
      </c>
      <c r="B375" s="49" t="s">
        <v>1679</v>
      </c>
      <c r="C375" s="49" t="s">
        <v>1505</v>
      </c>
      <c r="D375" s="145" t="s">
        <v>268</v>
      </c>
      <c r="E375" s="146" t="s">
        <v>948</v>
      </c>
      <c r="F375" s="146"/>
      <c r="G375" s="145" t="s">
        <v>275</v>
      </c>
      <c r="H375" s="145" t="s">
        <v>53</v>
      </c>
      <c r="I375" s="1" t="s">
        <v>233</v>
      </c>
      <c r="J375" s="149" t="s">
        <v>251</v>
      </c>
      <c r="K375" s="152" t="s">
        <v>1522</v>
      </c>
      <c r="L375" s="151">
        <v>19.940000000000001</v>
      </c>
      <c r="M375" s="136">
        <f t="shared" si="30"/>
        <v>190</v>
      </c>
      <c r="N375" s="2">
        <v>190</v>
      </c>
      <c r="O375" s="2"/>
      <c r="P375" s="137" t="e">
        <f t="shared" si="31"/>
        <v>#DIV/0!</v>
      </c>
      <c r="Q375" s="137">
        <f t="shared" si="32"/>
        <v>0</v>
      </c>
      <c r="R375" s="138">
        <f>IF(N375="nio",0,IF(N375&gt;0,VLOOKUP(I375,'3-Productie normen'!A:V,VLOOKUP(N375,'3-Productie normen'!$B$35:$C$56,2,FALSE),FALSE)))/VLOOKUP(B375,'2-Kosten per locatie'!$A$11:$C$18,3,FALSE)</f>
        <v>0</v>
      </c>
      <c r="S375" s="138">
        <f t="shared" si="33"/>
        <v>0</v>
      </c>
      <c r="T375" s="139" t="str">
        <f>VLOOKUP(I375,'3-Productie normen'!A:AF,28,FALSE)</f>
        <v>V</v>
      </c>
      <c r="U375" s="140"/>
      <c r="W375" s="141">
        <f t="shared" si="34"/>
        <v>3788.6000000000004</v>
      </c>
    </row>
    <row r="376" spans="1:23" ht="13.9" customHeight="1">
      <c r="A376" s="132">
        <v>376</v>
      </c>
      <c r="B376" s="49" t="s">
        <v>1679</v>
      </c>
      <c r="C376" s="49" t="s">
        <v>1505</v>
      </c>
      <c r="D376" s="145" t="s">
        <v>268</v>
      </c>
      <c r="E376" s="146" t="s">
        <v>949</v>
      </c>
      <c r="F376" s="146"/>
      <c r="G376" s="145" t="s">
        <v>275</v>
      </c>
      <c r="H376" s="145" t="s">
        <v>53</v>
      </c>
      <c r="I376" s="1" t="s">
        <v>233</v>
      </c>
      <c r="J376" s="149" t="s">
        <v>251</v>
      </c>
      <c r="K376" s="152" t="s">
        <v>1522</v>
      </c>
      <c r="L376" s="151">
        <v>20.46</v>
      </c>
      <c r="M376" s="136">
        <f t="shared" si="30"/>
        <v>190</v>
      </c>
      <c r="N376" s="2">
        <v>190</v>
      </c>
      <c r="O376" s="2"/>
      <c r="P376" s="137" t="e">
        <f t="shared" si="31"/>
        <v>#DIV/0!</v>
      </c>
      <c r="Q376" s="137">
        <f t="shared" si="32"/>
        <v>0</v>
      </c>
      <c r="R376" s="138">
        <f>IF(N376="nio",0,IF(N376&gt;0,VLOOKUP(I376,'3-Productie normen'!A:V,VLOOKUP(N376,'3-Productie normen'!$B$35:$C$56,2,FALSE),FALSE)))/VLOOKUP(B376,'2-Kosten per locatie'!$A$11:$C$18,3,FALSE)</f>
        <v>0</v>
      </c>
      <c r="S376" s="138">
        <f t="shared" si="33"/>
        <v>0</v>
      </c>
      <c r="T376" s="139" t="str">
        <f>VLOOKUP(I376,'3-Productie normen'!A:AF,28,FALSE)</f>
        <v>V</v>
      </c>
      <c r="U376" s="140"/>
      <c r="W376" s="141">
        <f t="shared" si="34"/>
        <v>3887.4</v>
      </c>
    </row>
    <row r="377" spans="1:23" ht="13.9" customHeight="1">
      <c r="A377" s="132">
        <v>377</v>
      </c>
      <c r="B377" s="49" t="s">
        <v>1679</v>
      </c>
      <c r="C377" s="49" t="s">
        <v>1505</v>
      </c>
      <c r="D377" s="145" t="s">
        <v>268</v>
      </c>
      <c r="E377" s="146" t="s">
        <v>950</v>
      </c>
      <c r="F377" s="146"/>
      <c r="G377" s="145" t="s">
        <v>276</v>
      </c>
      <c r="H377" s="145" t="s">
        <v>236</v>
      </c>
      <c r="I377" s="49" t="s">
        <v>1486</v>
      </c>
      <c r="J377" s="149" t="s">
        <v>251</v>
      </c>
      <c r="K377" s="152" t="s">
        <v>1522</v>
      </c>
      <c r="L377" s="151">
        <v>137.22999999999999</v>
      </c>
      <c r="M377" s="136">
        <f t="shared" si="30"/>
        <v>190</v>
      </c>
      <c r="N377" s="2">
        <v>190</v>
      </c>
      <c r="O377" s="2"/>
      <c r="P377" s="137" t="e">
        <f t="shared" si="31"/>
        <v>#DIV/0!</v>
      </c>
      <c r="Q377" s="137">
        <f t="shared" si="32"/>
        <v>0</v>
      </c>
      <c r="R377" s="138">
        <f>IF(N377="nio",0,IF(N377&gt;0,VLOOKUP(I377,'3-Productie normen'!A:V,VLOOKUP(N377,'3-Productie normen'!$B$35:$C$56,2,FALSE),FALSE)))/VLOOKUP(B377,'2-Kosten per locatie'!$A$11:$C$18,3,FALSE)</f>
        <v>0</v>
      </c>
      <c r="S377" s="138">
        <f t="shared" si="33"/>
        <v>0</v>
      </c>
      <c r="T377" s="139" t="str">
        <f>VLOOKUP(I377,'3-Productie normen'!A:AF,28,FALSE)</f>
        <v>V</v>
      </c>
      <c r="U377" s="140"/>
      <c r="W377" s="141">
        <f t="shared" si="34"/>
        <v>26073.699999999997</v>
      </c>
    </row>
    <row r="378" spans="1:23" ht="13.9" customHeight="1">
      <c r="A378" s="118">
        <v>378</v>
      </c>
      <c r="B378" s="49" t="s">
        <v>1679</v>
      </c>
      <c r="C378" s="49" t="s">
        <v>1505</v>
      </c>
      <c r="D378" s="145" t="s">
        <v>268</v>
      </c>
      <c r="E378" s="146" t="s">
        <v>951</v>
      </c>
      <c r="F378" s="146"/>
      <c r="G378" s="145" t="s">
        <v>357</v>
      </c>
      <c r="H378" s="145" t="s">
        <v>241</v>
      </c>
      <c r="I378" s="91" t="s">
        <v>239</v>
      </c>
      <c r="J378" s="149" t="s">
        <v>234</v>
      </c>
      <c r="K378" s="150"/>
      <c r="L378" s="151">
        <v>12.83</v>
      </c>
      <c r="M378" s="136">
        <f t="shared" si="30"/>
        <v>0</v>
      </c>
      <c r="N378" s="2" t="s">
        <v>273</v>
      </c>
      <c r="O378" s="2"/>
      <c r="P378" s="137">
        <f t="shared" si="31"/>
        <v>0</v>
      </c>
      <c r="Q378" s="137">
        <f t="shared" si="32"/>
        <v>0</v>
      </c>
      <c r="R378" s="138">
        <f>IF(N378="nio",0,IF(N378&gt;0,VLOOKUP(I378,'3-Productie normen'!A:V,VLOOKUP(N378,'3-Productie normen'!$B$35:$C$56,2,FALSE),FALSE)))/VLOOKUP(B378,'2-Kosten per locatie'!$A$11:$C$18,3,FALSE)</f>
        <v>0</v>
      </c>
      <c r="S378" s="138">
        <f t="shared" si="33"/>
        <v>0</v>
      </c>
      <c r="T378" s="139">
        <f>VLOOKUP(I378,'3-Productie normen'!A:AF,28,FALSE)</f>
        <v>0</v>
      </c>
      <c r="U378" s="140"/>
      <c r="W378" s="141">
        <f t="shared" si="34"/>
        <v>0</v>
      </c>
    </row>
    <row r="379" spans="1:23" ht="13.9" customHeight="1">
      <c r="A379" s="132">
        <v>379</v>
      </c>
      <c r="B379" s="49" t="s">
        <v>1679</v>
      </c>
      <c r="C379" s="49" t="s">
        <v>1505</v>
      </c>
      <c r="D379" s="145" t="s">
        <v>268</v>
      </c>
      <c r="E379" s="146" t="s">
        <v>952</v>
      </c>
      <c r="F379" s="146"/>
      <c r="G379" s="145" t="s">
        <v>357</v>
      </c>
      <c r="H379" s="145" t="s">
        <v>953</v>
      </c>
      <c r="I379" s="91" t="s">
        <v>239</v>
      </c>
      <c r="J379" s="149" t="s">
        <v>231</v>
      </c>
      <c r="K379" s="150"/>
      <c r="L379" s="151">
        <v>0</v>
      </c>
      <c r="M379" s="136">
        <f t="shared" si="30"/>
        <v>0</v>
      </c>
      <c r="N379" s="2" t="s">
        <v>273</v>
      </c>
      <c r="O379" s="2"/>
      <c r="P379" s="137">
        <f t="shared" si="31"/>
        <v>0</v>
      </c>
      <c r="Q379" s="137">
        <f t="shared" si="32"/>
        <v>0</v>
      </c>
      <c r="R379" s="138">
        <f>IF(N379="nio",0,IF(N379&gt;0,VLOOKUP(I379,'3-Productie normen'!A:V,VLOOKUP(N379,'3-Productie normen'!$B$35:$C$56,2,FALSE),FALSE)))/VLOOKUP(B379,'2-Kosten per locatie'!$A$11:$C$18,3,FALSE)</f>
        <v>0</v>
      </c>
      <c r="S379" s="138">
        <f t="shared" si="33"/>
        <v>0</v>
      </c>
      <c r="T379" s="139">
        <f>VLOOKUP(I379,'3-Productie normen'!A:AF,28,FALSE)</f>
        <v>0</v>
      </c>
      <c r="U379" s="140"/>
      <c r="W379" s="141">
        <f t="shared" si="34"/>
        <v>0</v>
      </c>
    </row>
    <row r="380" spans="1:23" ht="13.9" customHeight="1">
      <c r="A380" s="132">
        <v>380</v>
      </c>
      <c r="B380" s="49" t="s">
        <v>1679</v>
      </c>
      <c r="C380" s="49" t="s">
        <v>1505</v>
      </c>
      <c r="D380" s="145" t="s">
        <v>268</v>
      </c>
      <c r="E380" s="146" t="s">
        <v>954</v>
      </c>
      <c r="F380" s="146"/>
      <c r="G380" s="145" t="s">
        <v>357</v>
      </c>
      <c r="H380" s="145" t="s">
        <v>953</v>
      </c>
      <c r="I380" s="91" t="s">
        <v>239</v>
      </c>
      <c r="J380" s="149" t="s">
        <v>231</v>
      </c>
      <c r="K380" s="150"/>
      <c r="L380" s="151">
        <v>0</v>
      </c>
      <c r="M380" s="136">
        <f t="shared" si="30"/>
        <v>0</v>
      </c>
      <c r="N380" s="2" t="s">
        <v>273</v>
      </c>
      <c r="O380" s="2"/>
      <c r="P380" s="137">
        <f t="shared" si="31"/>
        <v>0</v>
      </c>
      <c r="Q380" s="137">
        <f t="shared" si="32"/>
        <v>0</v>
      </c>
      <c r="R380" s="138">
        <f>IF(N380="nio",0,IF(N380&gt;0,VLOOKUP(I380,'3-Productie normen'!A:V,VLOOKUP(N380,'3-Productie normen'!$B$35:$C$56,2,FALSE),FALSE)))/VLOOKUP(B380,'2-Kosten per locatie'!$A$11:$C$18,3,FALSE)</f>
        <v>0</v>
      </c>
      <c r="S380" s="138">
        <f t="shared" si="33"/>
        <v>0</v>
      </c>
      <c r="T380" s="139">
        <f>VLOOKUP(I380,'3-Productie normen'!A:AF,28,FALSE)</f>
        <v>0</v>
      </c>
      <c r="U380" s="140"/>
      <c r="W380" s="141">
        <f t="shared" si="34"/>
        <v>0</v>
      </c>
    </row>
    <row r="381" spans="1:23" ht="13.9" customHeight="1">
      <c r="A381" s="118">
        <v>381</v>
      </c>
      <c r="B381" s="49" t="s">
        <v>1679</v>
      </c>
      <c r="C381" s="49" t="s">
        <v>1505</v>
      </c>
      <c r="D381" s="145" t="s">
        <v>268</v>
      </c>
      <c r="E381" s="146" t="s">
        <v>955</v>
      </c>
      <c r="F381" s="146"/>
      <c r="G381" s="145" t="s">
        <v>357</v>
      </c>
      <c r="H381" s="145" t="s">
        <v>953</v>
      </c>
      <c r="I381" s="91" t="s">
        <v>239</v>
      </c>
      <c r="J381" s="149" t="s">
        <v>231</v>
      </c>
      <c r="K381" s="150"/>
      <c r="L381" s="151">
        <v>0</v>
      </c>
      <c r="M381" s="136">
        <f t="shared" si="30"/>
        <v>0</v>
      </c>
      <c r="N381" s="2" t="s">
        <v>273</v>
      </c>
      <c r="O381" s="2"/>
      <c r="P381" s="137">
        <f t="shared" si="31"/>
        <v>0</v>
      </c>
      <c r="Q381" s="137">
        <f t="shared" si="32"/>
        <v>0</v>
      </c>
      <c r="R381" s="138">
        <f>IF(N381="nio",0,IF(N381&gt;0,VLOOKUP(I381,'3-Productie normen'!A:V,VLOOKUP(N381,'3-Productie normen'!$B$35:$C$56,2,FALSE),FALSE)))/VLOOKUP(B381,'2-Kosten per locatie'!$A$11:$C$18,3,FALSE)</f>
        <v>0</v>
      </c>
      <c r="S381" s="138">
        <f t="shared" si="33"/>
        <v>0</v>
      </c>
      <c r="T381" s="139">
        <f>VLOOKUP(I381,'3-Productie normen'!A:AF,28,FALSE)</f>
        <v>0</v>
      </c>
      <c r="U381" s="140"/>
      <c r="W381" s="141">
        <f t="shared" si="34"/>
        <v>0</v>
      </c>
    </row>
    <row r="382" spans="1:23" ht="13.9" customHeight="1">
      <c r="A382" s="132">
        <v>382</v>
      </c>
      <c r="B382" s="49" t="s">
        <v>1679</v>
      </c>
      <c r="C382" s="49" t="s">
        <v>1505</v>
      </c>
      <c r="D382" s="145" t="s">
        <v>268</v>
      </c>
      <c r="E382" s="146" t="s">
        <v>956</v>
      </c>
      <c r="F382" s="146"/>
      <c r="G382" s="145" t="s">
        <v>357</v>
      </c>
      <c r="H382" s="145" t="s">
        <v>953</v>
      </c>
      <c r="I382" s="91" t="s">
        <v>239</v>
      </c>
      <c r="J382" s="149" t="s">
        <v>231</v>
      </c>
      <c r="K382" s="150"/>
      <c r="L382" s="151">
        <v>0</v>
      </c>
      <c r="M382" s="136">
        <f t="shared" si="30"/>
        <v>0</v>
      </c>
      <c r="N382" s="2" t="s">
        <v>273</v>
      </c>
      <c r="O382" s="2"/>
      <c r="P382" s="137">
        <f t="shared" si="31"/>
        <v>0</v>
      </c>
      <c r="Q382" s="137">
        <f t="shared" si="32"/>
        <v>0</v>
      </c>
      <c r="R382" s="138">
        <f>IF(N382="nio",0,IF(N382&gt;0,VLOOKUP(I382,'3-Productie normen'!A:V,VLOOKUP(N382,'3-Productie normen'!$B$35:$C$56,2,FALSE),FALSE)))/VLOOKUP(B382,'2-Kosten per locatie'!$A$11:$C$18,3,FALSE)</f>
        <v>0</v>
      </c>
      <c r="S382" s="138">
        <f t="shared" si="33"/>
        <v>0</v>
      </c>
      <c r="T382" s="139">
        <f>VLOOKUP(I382,'3-Productie normen'!A:AF,28,FALSE)</f>
        <v>0</v>
      </c>
      <c r="U382" s="140"/>
      <c r="W382" s="141">
        <f t="shared" si="34"/>
        <v>0</v>
      </c>
    </row>
    <row r="383" spans="1:23" ht="13.9" customHeight="1">
      <c r="A383" s="132">
        <v>383</v>
      </c>
      <c r="B383" s="49" t="s">
        <v>1679</v>
      </c>
      <c r="C383" s="49" t="s">
        <v>1505</v>
      </c>
      <c r="D383" s="145" t="s">
        <v>268</v>
      </c>
      <c r="E383" s="146" t="s">
        <v>957</v>
      </c>
      <c r="F383" s="146"/>
      <c r="G383" s="145" t="s">
        <v>357</v>
      </c>
      <c r="H383" s="145" t="s">
        <v>953</v>
      </c>
      <c r="I383" s="91" t="s">
        <v>239</v>
      </c>
      <c r="J383" s="149" t="s">
        <v>231</v>
      </c>
      <c r="K383" s="150"/>
      <c r="L383" s="151">
        <v>0</v>
      </c>
      <c r="M383" s="136">
        <f t="shared" si="30"/>
        <v>0</v>
      </c>
      <c r="N383" s="2" t="s">
        <v>273</v>
      </c>
      <c r="O383" s="2"/>
      <c r="P383" s="137">
        <f t="shared" si="31"/>
        <v>0</v>
      </c>
      <c r="Q383" s="137">
        <f t="shared" si="32"/>
        <v>0</v>
      </c>
      <c r="R383" s="138">
        <f>IF(N383="nio",0,IF(N383&gt;0,VLOOKUP(I383,'3-Productie normen'!A:V,VLOOKUP(N383,'3-Productie normen'!$B$35:$C$56,2,FALSE),FALSE)))/VLOOKUP(B383,'2-Kosten per locatie'!$A$11:$C$18,3,FALSE)</f>
        <v>0</v>
      </c>
      <c r="S383" s="138">
        <f t="shared" si="33"/>
        <v>0</v>
      </c>
      <c r="T383" s="139">
        <f>VLOOKUP(I383,'3-Productie normen'!A:AF,28,FALSE)</f>
        <v>0</v>
      </c>
      <c r="U383" s="140"/>
      <c r="W383" s="141">
        <f t="shared" si="34"/>
        <v>0</v>
      </c>
    </row>
    <row r="384" spans="1:23" ht="13.9" customHeight="1">
      <c r="A384" s="118">
        <v>384</v>
      </c>
      <c r="B384" s="49" t="s">
        <v>1679</v>
      </c>
      <c r="C384" s="49" t="s">
        <v>1505</v>
      </c>
      <c r="D384" s="145" t="s">
        <v>268</v>
      </c>
      <c r="E384" s="146" t="s">
        <v>958</v>
      </c>
      <c r="F384" s="146"/>
      <c r="G384" s="145" t="s">
        <v>357</v>
      </c>
      <c r="H384" s="145" t="s">
        <v>953</v>
      </c>
      <c r="I384" s="91" t="s">
        <v>239</v>
      </c>
      <c r="J384" s="149" t="s">
        <v>231</v>
      </c>
      <c r="K384" s="150"/>
      <c r="L384" s="151">
        <v>0</v>
      </c>
      <c r="M384" s="136">
        <f t="shared" si="30"/>
        <v>0</v>
      </c>
      <c r="N384" s="2" t="s">
        <v>273</v>
      </c>
      <c r="O384" s="2"/>
      <c r="P384" s="137">
        <f t="shared" si="31"/>
        <v>0</v>
      </c>
      <c r="Q384" s="137">
        <f t="shared" si="32"/>
        <v>0</v>
      </c>
      <c r="R384" s="138">
        <f>IF(N384="nio",0,IF(N384&gt;0,VLOOKUP(I384,'3-Productie normen'!A:V,VLOOKUP(N384,'3-Productie normen'!$B$35:$C$56,2,FALSE),FALSE)))/VLOOKUP(B384,'2-Kosten per locatie'!$A$11:$C$18,3,FALSE)</f>
        <v>0</v>
      </c>
      <c r="S384" s="138">
        <f t="shared" si="33"/>
        <v>0</v>
      </c>
      <c r="T384" s="139">
        <f>VLOOKUP(I384,'3-Productie normen'!A:AF,28,FALSE)</f>
        <v>0</v>
      </c>
      <c r="U384" s="140"/>
      <c r="W384" s="141">
        <f t="shared" si="34"/>
        <v>0</v>
      </c>
    </row>
    <row r="385" spans="1:23" ht="13.9" customHeight="1">
      <c r="A385" s="132">
        <v>385</v>
      </c>
      <c r="B385" s="49" t="s">
        <v>1679</v>
      </c>
      <c r="C385" s="49" t="s">
        <v>1505</v>
      </c>
      <c r="D385" s="145" t="s">
        <v>268</v>
      </c>
      <c r="E385" s="146" t="s">
        <v>959</v>
      </c>
      <c r="F385" s="146" t="s">
        <v>329</v>
      </c>
      <c r="G385" s="145" t="s">
        <v>357</v>
      </c>
      <c r="H385" s="145" t="s">
        <v>953</v>
      </c>
      <c r="I385" s="91" t="s">
        <v>239</v>
      </c>
      <c r="J385" s="149" t="s">
        <v>231</v>
      </c>
      <c r="K385" s="150"/>
      <c r="L385" s="151">
        <v>0</v>
      </c>
      <c r="M385" s="136">
        <f t="shared" si="30"/>
        <v>0</v>
      </c>
      <c r="N385" s="2" t="s">
        <v>273</v>
      </c>
      <c r="O385" s="2"/>
      <c r="P385" s="137">
        <f t="shared" si="31"/>
        <v>0</v>
      </c>
      <c r="Q385" s="137">
        <f t="shared" si="32"/>
        <v>0</v>
      </c>
      <c r="R385" s="138">
        <f>IF(N385="nio",0,IF(N385&gt;0,VLOOKUP(I385,'3-Productie normen'!A:V,VLOOKUP(N385,'3-Productie normen'!$B$35:$C$56,2,FALSE),FALSE)))/VLOOKUP(B385,'2-Kosten per locatie'!$A$11:$C$18,3,FALSE)</f>
        <v>0</v>
      </c>
      <c r="S385" s="138">
        <f t="shared" si="33"/>
        <v>0</v>
      </c>
      <c r="T385" s="139">
        <f>VLOOKUP(I385,'3-Productie normen'!A:AF,28,FALSE)</f>
        <v>0</v>
      </c>
      <c r="U385" s="140"/>
      <c r="W385" s="141">
        <f t="shared" si="34"/>
        <v>0</v>
      </c>
    </row>
    <row r="386" spans="1:23" ht="13.9" customHeight="1">
      <c r="A386" s="132">
        <v>386</v>
      </c>
      <c r="B386" s="49" t="s">
        <v>1679</v>
      </c>
      <c r="C386" s="49" t="s">
        <v>1505</v>
      </c>
      <c r="D386" s="145" t="s">
        <v>268</v>
      </c>
      <c r="E386" s="146" t="s">
        <v>960</v>
      </c>
      <c r="F386" s="146"/>
      <c r="G386" s="145" t="s">
        <v>44</v>
      </c>
      <c r="H386" s="145" t="s">
        <v>258</v>
      </c>
      <c r="I386" s="145" t="s">
        <v>259</v>
      </c>
      <c r="J386" s="149" t="s">
        <v>256</v>
      </c>
      <c r="K386" s="150"/>
      <c r="L386" s="151">
        <v>2.39</v>
      </c>
      <c r="M386" s="136">
        <f t="shared" si="30"/>
        <v>190</v>
      </c>
      <c r="N386" s="2">
        <v>190</v>
      </c>
      <c r="O386" s="2"/>
      <c r="P386" s="137" t="e">
        <f t="shared" si="31"/>
        <v>#DIV/0!</v>
      </c>
      <c r="Q386" s="137">
        <f t="shared" si="32"/>
        <v>0</v>
      </c>
      <c r="R386" s="138">
        <f>IF(N386="nio",0,IF(N386&gt;0,VLOOKUP(I386,'3-Productie normen'!A:V,VLOOKUP(N386,'3-Productie normen'!$B$35:$C$56,2,FALSE),FALSE)))/VLOOKUP(B386,'2-Kosten per locatie'!$A$11:$C$18,3,FALSE)</f>
        <v>0</v>
      </c>
      <c r="S386" s="138">
        <f t="shared" si="33"/>
        <v>0</v>
      </c>
      <c r="T386" s="139" t="str">
        <f>VLOOKUP(I386,'3-Productie normen'!A:AF,28,FALSE)</f>
        <v>S</v>
      </c>
      <c r="U386" s="140"/>
      <c r="W386" s="141">
        <f t="shared" si="34"/>
        <v>454.1</v>
      </c>
    </row>
    <row r="387" spans="1:23" ht="13.9" customHeight="1">
      <c r="A387" s="118">
        <v>387</v>
      </c>
      <c r="B387" s="49" t="s">
        <v>1679</v>
      </c>
      <c r="C387" s="49" t="s">
        <v>1505</v>
      </c>
      <c r="D387" s="145" t="s">
        <v>268</v>
      </c>
      <c r="E387" s="146" t="s">
        <v>961</v>
      </c>
      <c r="F387" s="146" t="s">
        <v>331</v>
      </c>
      <c r="G387" s="145" t="s">
        <v>44</v>
      </c>
      <c r="H387" s="145" t="s">
        <v>260</v>
      </c>
      <c r="I387" s="145" t="s">
        <v>259</v>
      </c>
      <c r="J387" s="149" t="s">
        <v>256</v>
      </c>
      <c r="K387" s="150"/>
      <c r="L387" s="151">
        <v>1.25</v>
      </c>
      <c r="M387" s="136">
        <f t="shared" si="30"/>
        <v>190</v>
      </c>
      <c r="N387" s="2">
        <v>190</v>
      </c>
      <c r="O387" s="2"/>
      <c r="P387" s="137" t="e">
        <f t="shared" si="31"/>
        <v>#DIV/0!</v>
      </c>
      <c r="Q387" s="137">
        <f t="shared" si="32"/>
        <v>0</v>
      </c>
      <c r="R387" s="138">
        <f>IF(N387="nio",0,IF(N387&gt;0,VLOOKUP(I387,'3-Productie normen'!A:V,VLOOKUP(N387,'3-Productie normen'!$B$35:$C$56,2,FALSE),FALSE)))/VLOOKUP(B387,'2-Kosten per locatie'!$A$11:$C$18,3,FALSE)</f>
        <v>0</v>
      </c>
      <c r="S387" s="138">
        <f t="shared" si="33"/>
        <v>0</v>
      </c>
      <c r="T387" s="139" t="str">
        <f>VLOOKUP(I387,'3-Productie normen'!A:AF,28,FALSE)</f>
        <v>S</v>
      </c>
      <c r="U387" s="140"/>
      <c r="W387" s="141">
        <f t="shared" si="34"/>
        <v>237.5</v>
      </c>
    </row>
    <row r="388" spans="1:23" ht="13.9" customHeight="1">
      <c r="A388" s="132">
        <v>388</v>
      </c>
      <c r="B388" s="49" t="s">
        <v>1679</v>
      </c>
      <c r="C388" s="49" t="s">
        <v>1505</v>
      </c>
      <c r="D388" s="145" t="s">
        <v>268</v>
      </c>
      <c r="E388" s="146" t="s">
        <v>962</v>
      </c>
      <c r="F388" s="146"/>
      <c r="G388" s="145" t="s">
        <v>44</v>
      </c>
      <c r="H388" s="145" t="s">
        <v>258</v>
      </c>
      <c r="I388" s="145" t="s">
        <v>259</v>
      </c>
      <c r="J388" s="149" t="s">
        <v>256</v>
      </c>
      <c r="K388" s="150"/>
      <c r="L388" s="151">
        <v>2.4700000000000002</v>
      </c>
      <c r="M388" s="136">
        <f t="shared" si="30"/>
        <v>190</v>
      </c>
      <c r="N388" s="2">
        <v>190</v>
      </c>
      <c r="O388" s="2"/>
      <c r="P388" s="137" t="e">
        <f t="shared" si="31"/>
        <v>#DIV/0!</v>
      </c>
      <c r="Q388" s="137">
        <f t="shared" si="32"/>
        <v>0</v>
      </c>
      <c r="R388" s="138">
        <f>IF(N388="nio",0,IF(N388&gt;0,VLOOKUP(I388,'3-Productie normen'!A:V,VLOOKUP(N388,'3-Productie normen'!$B$35:$C$56,2,FALSE),FALSE)))/VLOOKUP(B388,'2-Kosten per locatie'!$A$11:$C$18,3,FALSE)</f>
        <v>0</v>
      </c>
      <c r="S388" s="138">
        <f t="shared" si="33"/>
        <v>0</v>
      </c>
      <c r="T388" s="139" t="str">
        <f>VLOOKUP(I388,'3-Productie normen'!A:AF,28,FALSE)</f>
        <v>S</v>
      </c>
      <c r="U388" s="140"/>
      <c r="W388" s="141">
        <f t="shared" si="34"/>
        <v>469.3</v>
      </c>
    </row>
    <row r="389" spans="1:23" ht="13.9" customHeight="1">
      <c r="A389" s="132">
        <v>389</v>
      </c>
      <c r="B389" s="49" t="s">
        <v>1679</v>
      </c>
      <c r="C389" s="49" t="s">
        <v>1505</v>
      </c>
      <c r="D389" s="145" t="s">
        <v>268</v>
      </c>
      <c r="E389" s="146" t="s">
        <v>963</v>
      </c>
      <c r="F389" s="146" t="s">
        <v>332</v>
      </c>
      <c r="G389" s="145" t="s">
        <v>44</v>
      </c>
      <c r="H389" s="145" t="s">
        <v>260</v>
      </c>
      <c r="I389" s="145" t="s">
        <v>259</v>
      </c>
      <c r="J389" s="149" t="s">
        <v>256</v>
      </c>
      <c r="K389" s="150"/>
      <c r="L389" s="151">
        <v>2.96</v>
      </c>
      <c r="M389" s="136">
        <f t="shared" si="30"/>
        <v>190</v>
      </c>
      <c r="N389" s="2">
        <v>190</v>
      </c>
      <c r="O389" s="2"/>
      <c r="P389" s="137" t="e">
        <f t="shared" si="31"/>
        <v>#DIV/0!</v>
      </c>
      <c r="Q389" s="137">
        <f t="shared" si="32"/>
        <v>0</v>
      </c>
      <c r="R389" s="138">
        <f>IF(N389="nio",0,IF(N389&gt;0,VLOOKUP(I389,'3-Productie normen'!A:V,VLOOKUP(N389,'3-Productie normen'!$B$35:$C$56,2,FALSE),FALSE)))/VLOOKUP(B389,'2-Kosten per locatie'!$A$11:$C$18,3,FALSE)</f>
        <v>0</v>
      </c>
      <c r="S389" s="138">
        <f t="shared" si="33"/>
        <v>0</v>
      </c>
      <c r="T389" s="139" t="str">
        <f>VLOOKUP(I389,'3-Productie normen'!A:AF,28,FALSE)</f>
        <v>S</v>
      </c>
      <c r="U389" s="140"/>
      <c r="W389" s="141">
        <f t="shared" si="34"/>
        <v>562.4</v>
      </c>
    </row>
    <row r="390" spans="1:23" ht="13.9" customHeight="1">
      <c r="A390" s="118">
        <v>390</v>
      </c>
      <c r="B390" s="49" t="s">
        <v>1679</v>
      </c>
      <c r="C390" s="49" t="s">
        <v>1505</v>
      </c>
      <c r="D390" s="145" t="s">
        <v>268</v>
      </c>
      <c r="E390" s="146" t="s">
        <v>964</v>
      </c>
      <c r="F390" s="146"/>
      <c r="G390" s="145" t="s">
        <v>44</v>
      </c>
      <c r="H390" s="145" t="s">
        <v>258</v>
      </c>
      <c r="I390" s="145" t="s">
        <v>259</v>
      </c>
      <c r="J390" s="149" t="s">
        <v>256</v>
      </c>
      <c r="K390" s="150"/>
      <c r="L390" s="151">
        <v>2.86</v>
      </c>
      <c r="M390" s="136">
        <f t="shared" si="30"/>
        <v>190</v>
      </c>
      <c r="N390" s="2">
        <v>190</v>
      </c>
      <c r="O390" s="2"/>
      <c r="P390" s="137" t="e">
        <f t="shared" si="31"/>
        <v>#DIV/0!</v>
      </c>
      <c r="Q390" s="137">
        <f t="shared" si="32"/>
        <v>0</v>
      </c>
      <c r="R390" s="138">
        <f>IF(N390="nio",0,IF(N390&gt;0,VLOOKUP(I390,'3-Productie normen'!A:V,VLOOKUP(N390,'3-Productie normen'!$B$35:$C$56,2,FALSE),FALSE)))/VLOOKUP(B390,'2-Kosten per locatie'!$A$11:$C$18,3,FALSE)</f>
        <v>0</v>
      </c>
      <c r="S390" s="138">
        <f t="shared" si="33"/>
        <v>0</v>
      </c>
      <c r="T390" s="139" t="str">
        <f>VLOOKUP(I390,'3-Productie normen'!A:AF,28,FALSE)</f>
        <v>S</v>
      </c>
      <c r="U390" s="140"/>
      <c r="W390" s="141">
        <f t="shared" si="34"/>
        <v>543.4</v>
      </c>
    </row>
    <row r="391" spans="1:23" ht="13.9" customHeight="1">
      <c r="A391" s="132">
        <v>391</v>
      </c>
      <c r="B391" s="49" t="s">
        <v>1679</v>
      </c>
      <c r="C391" s="49" t="s">
        <v>1505</v>
      </c>
      <c r="D391" s="145" t="s">
        <v>268</v>
      </c>
      <c r="E391" s="146" t="s">
        <v>965</v>
      </c>
      <c r="F391" s="146"/>
      <c r="G391" s="145" t="s">
        <v>44</v>
      </c>
      <c r="H391" s="145" t="s">
        <v>260</v>
      </c>
      <c r="I391" s="145" t="s">
        <v>259</v>
      </c>
      <c r="J391" s="149" t="s">
        <v>256</v>
      </c>
      <c r="K391" s="150"/>
      <c r="L391" s="151">
        <v>1.21</v>
      </c>
      <c r="M391" s="136">
        <f t="shared" si="30"/>
        <v>190</v>
      </c>
      <c r="N391" s="2">
        <v>190</v>
      </c>
      <c r="O391" s="2"/>
      <c r="P391" s="137" t="e">
        <f t="shared" si="31"/>
        <v>#DIV/0!</v>
      </c>
      <c r="Q391" s="137">
        <f t="shared" si="32"/>
        <v>0</v>
      </c>
      <c r="R391" s="138">
        <f>IF(N391="nio",0,IF(N391&gt;0,VLOOKUP(I391,'3-Productie normen'!A:V,VLOOKUP(N391,'3-Productie normen'!$B$35:$C$56,2,FALSE),FALSE)))/VLOOKUP(B391,'2-Kosten per locatie'!$A$11:$C$18,3,FALSE)</f>
        <v>0</v>
      </c>
      <c r="S391" s="138">
        <f t="shared" si="33"/>
        <v>0</v>
      </c>
      <c r="T391" s="139" t="str">
        <f>VLOOKUP(I391,'3-Productie normen'!A:AF,28,FALSE)</f>
        <v>S</v>
      </c>
      <c r="U391" s="140"/>
      <c r="W391" s="141">
        <f t="shared" si="34"/>
        <v>229.9</v>
      </c>
    </row>
    <row r="392" spans="1:23" ht="13.9" customHeight="1">
      <c r="A392" s="132">
        <v>392</v>
      </c>
      <c r="B392" s="49" t="s">
        <v>1679</v>
      </c>
      <c r="C392" s="49" t="s">
        <v>1505</v>
      </c>
      <c r="D392" s="145" t="s">
        <v>268</v>
      </c>
      <c r="E392" s="146" t="s">
        <v>966</v>
      </c>
      <c r="F392" s="146" t="s">
        <v>311</v>
      </c>
      <c r="G392" s="145" t="s">
        <v>44</v>
      </c>
      <c r="H392" s="145" t="s">
        <v>260</v>
      </c>
      <c r="I392" s="145" t="s">
        <v>259</v>
      </c>
      <c r="J392" s="149" t="s">
        <v>256</v>
      </c>
      <c r="K392" s="150"/>
      <c r="L392" s="151">
        <v>1.19</v>
      </c>
      <c r="M392" s="136">
        <f t="shared" si="30"/>
        <v>190</v>
      </c>
      <c r="N392" s="2">
        <v>190</v>
      </c>
      <c r="O392" s="2"/>
      <c r="P392" s="137" t="e">
        <f t="shared" si="31"/>
        <v>#DIV/0!</v>
      </c>
      <c r="Q392" s="137">
        <f t="shared" si="32"/>
        <v>0</v>
      </c>
      <c r="R392" s="138">
        <f>IF(N392="nio",0,IF(N392&gt;0,VLOOKUP(I392,'3-Productie normen'!A:V,VLOOKUP(N392,'3-Productie normen'!$B$35:$C$56,2,FALSE),FALSE)))/VLOOKUP(B392,'2-Kosten per locatie'!$A$11:$C$18,3,FALSE)</f>
        <v>0</v>
      </c>
      <c r="S392" s="138">
        <f t="shared" si="33"/>
        <v>0</v>
      </c>
      <c r="T392" s="139" t="str">
        <f>VLOOKUP(I392,'3-Productie normen'!A:AF,28,FALSE)</f>
        <v>S</v>
      </c>
      <c r="U392" s="140"/>
      <c r="W392" s="141">
        <f t="shared" si="34"/>
        <v>226.1</v>
      </c>
    </row>
    <row r="393" spans="1:23" ht="13.9" customHeight="1">
      <c r="A393" s="118">
        <v>393</v>
      </c>
      <c r="B393" s="49" t="s">
        <v>1679</v>
      </c>
      <c r="C393" s="49" t="s">
        <v>1505</v>
      </c>
      <c r="D393" s="145" t="s">
        <v>268</v>
      </c>
      <c r="E393" s="146" t="s">
        <v>967</v>
      </c>
      <c r="F393" s="146"/>
      <c r="G393" s="145" t="s">
        <v>44</v>
      </c>
      <c r="H393" s="145" t="s">
        <v>258</v>
      </c>
      <c r="I393" s="145" t="s">
        <v>259</v>
      </c>
      <c r="J393" s="149" t="s">
        <v>256</v>
      </c>
      <c r="K393" s="150"/>
      <c r="L393" s="151">
        <v>2.4</v>
      </c>
      <c r="M393" s="136">
        <f t="shared" si="30"/>
        <v>190</v>
      </c>
      <c r="N393" s="2">
        <v>190</v>
      </c>
      <c r="O393" s="2"/>
      <c r="P393" s="137" t="e">
        <f t="shared" si="31"/>
        <v>#DIV/0!</v>
      </c>
      <c r="Q393" s="137">
        <f t="shared" si="32"/>
        <v>0</v>
      </c>
      <c r="R393" s="138">
        <f>IF(N393="nio",0,IF(N393&gt;0,VLOOKUP(I393,'3-Productie normen'!A:V,VLOOKUP(N393,'3-Productie normen'!$B$35:$C$56,2,FALSE),FALSE)))/VLOOKUP(B393,'2-Kosten per locatie'!$A$11:$C$18,3,FALSE)</f>
        <v>0</v>
      </c>
      <c r="S393" s="138">
        <f t="shared" si="33"/>
        <v>0</v>
      </c>
      <c r="T393" s="139" t="str">
        <f>VLOOKUP(I393,'3-Productie normen'!A:AF,28,FALSE)</f>
        <v>S</v>
      </c>
      <c r="U393" s="140"/>
      <c r="W393" s="141">
        <f t="shared" si="34"/>
        <v>456</v>
      </c>
    </row>
    <row r="394" spans="1:23" ht="13.9" customHeight="1">
      <c r="A394" s="132">
        <v>394</v>
      </c>
      <c r="B394" s="49" t="s">
        <v>1679</v>
      </c>
      <c r="C394" s="49" t="s">
        <v>1505</v>
      </c>
      <c r="D394" s="145" t="s">
        <v>268</v>
      </c>
      <c r="E394" s="146" t="s">
        <v>968</v>
      </c>
      <c r="F394" s="146"/>
      <c r="G394" s="145" t="s">
        <v>44</v>
      </c>
      <c r="H394" s="145" t="s">
        <v>260</v>
      </c>
      <c r="I394" s="145" t="s">
        <v>259</v>
      </c>
      <c r="J394" s="149" t="s">
        <v>256</v>
      </c>
      <c r="K394" s="150"/>
      <c r="L394" s="151">
        <v>1.18</v>
      </c>
      <c r="M394" s="136">
        <f t="shared" si="30"/>
        <v>190</v>
      </c>
      <c r="N394" s="2">
        <v>190</v>
      </c>
      <c r="O394" s="2"/>
      <c r="P394" s="137" t="e">
        <f t="shared" si="31"/>
        <v>#DIV/0!</v>
      </c>
      <c r="Q394" s="137">
        <f t="shared" si="32"/>
        <v>0</v>
      </c>
      <c r="R394" s="138">
        <f>IF(N394="nio",0,IF(N394&gt;0,VLOOKUP(I394,'3-Productie normen'!A:V,VLOOKUP(N394,'3-Productie normen'!$B$35:$C$56,2,FALSE),FALSE)))/VLOOKUP(B394,'2-Kosten per locatie'!$A$11:$C$18,3,FALSE)</f>
        <v>0</v>
      </c>
      <c r="S394" s="138">
        <f t="shared" si="33"/>
        <v>0</v>
      </c>
      <c r="T394" s="139" t="str">
        <f>VLOOKUP(I394,'3-Productie normen'!A:AF,28,FALSE)</f>
        <v>S</v>
      </c>
      <c r="U394" s="140"/>
      <c r="W394" s="141">
        <f t="shared" si="34"/>
        <v>224.2</v>
      </c>
    </row>
    <row r="395" spans="1:23" ht="13.9" customHeight="1">
      <c r="A395" s="132">
        <v>395</v>
      </c>
      <c r="B395" s="49" t="s">
        <v>1679</v>
      </c>
      <c r="C395" s="49" t="s">
        <v>1505</v>
      </c>
      <c r="D395" s="145" t="s">
        <v>268</v>
      </c>
      <c r="E395" s="146" t="s">
        <v>969</v>
      </c>
      <c r="F395" s="146" t="s">
        <v>970</v>
      </c>
      <c r="G395" s="145" t="s">
        <v>44</v>
      </c>
      <c r="H395" s="145" t="s">
        <v>260</v>
      </c>
      <c r="I395" s="145" t="s">
        <v>259</v>
      </c>
      <c r="J395" s="149" t="s">
        <v>256</v>
      </c>
      <c r="K395" s="150"/>
      <c r="L395" s="151">
        <v>1.18</v>
      </c>
      <c r="M395" s="136">
        <f t="shared" si="30"/>
        <v>190</v>
      </c>
      <c r="N395" s="2">
        <v>190</v>
      </c>
      <c r="O395" s="2"/>
      <c r="P395" s="137" t="e">
        <f t="shared" si="31"/>
        <v>#DIV/0!</v>
      </c>
      <c r="Q395" s="137">
        <f t="shared" si="32"/>
        <v>0</v>
      </c>
      <c r="R395" s="138">
        <f>IF(N395="nio",0,IF(N395&gt;0,VLOOKUP(I395,'3-Productie normen'!A:V,VLOOKUP(N395,'3-Productie normen'!$B$35:$C$56,2,FALSE),FALSE)))/VLOOKUP(B395,'2-Kosten per locatie'!$A$11:$C$18,3,FALSE)</f>
        <v>0</v>
      </c>
      <c r="S395" s="138">
        <f t="shared" si="33"/>
        <v>0</v>
      </c>
      <c r="T395" s="139" t="str">
        <f>VLOOKUP(I395,'3-Productie normen'!A:AF,28,FALSE)</f>
        <v>S</v>
      </c>
      <c r="U395" s="140"/>
      <c r="W395" s="141">
        <f t="shared" si="34"/>
        <v>224.2</v>
      </c>
    </row>
    <row r="396" spans="1:23" ht="13.9" customHeight="1">
      <c r="A396" s="118">
        <v>396</v>
      </c>
      <c r="B396" s="49" t="s">
        <v>1679</v>
      </c>
      <c r="C396" s="49" t="s">
        <v>1505</v>
      </c>
      <c r="D396" s="145" t="s">
        <v>268</v>
      </c>
      <c r="E396" s="146" t="s">
        <v>971</v>
      </c>
      <c r="F396" s="146"/>
      <c r="G396" s="145" t="s">
        <v>245</v>
      </c>
      <c r="H396" s="145" t="s">
        <v>262</v>
      </c>
      <c r="I396" s="145" t="s">
        <v>253</v>
      </c>
      <c r="J396" s="149" t="s">
        <v>251</v>
      </c>
      <c r="K396" s="152" t="s">
        <v>1522</v>
      </c>
      <c r="L396" s="151">
        <v>36.43</v>
      </c>
      <c r="M396" s="136">
        <f t="shared" si="30"/>
        <v>190</v>
      </c>
      <c r="N396" s="2">
        <v>190</v>
      </c>
      <c r="O396" s="2"/>
      <c r="P396" s="137" t="e">
        <f t="shared" si="31"/>
        <v>#DIV/0!</v>
      </c>
      <c r="Q396" s="137">
        <f t="shared" si="32"/>
        <v>0</v>
      </c>
      <c r="R396" s="138">
        <f>IF(N396="nio",0,IF(N396&gt;0,VLOOKUP(I396,'3-Productie normen'!A:V,VLOOKUP(N396,'3-Productie normen'!$B$35:$C$56,2,FALSE),FALSE)))/VLOOKUP(B396,'2-Kosten per locatie'!$A$11:$C$18,3,FALSE)</f>
        <v>0</v>
      </c>
      <c r="S396" s="138">
        <f t="shared" si="33"/>
        <v>0</v>
      </c>
      <c r="T396" s="139" t="str">
        <f>VLOOKUP(I396,'3-Productie normen'!A:AF,28,FALSE)</f>
        <v>V</v>
      </c>
      <c r="U396" s="140"/>
      <c r="W396" s="141">
        <f t="shared" si="34"/>
        <v>6921.7</v>
      </c>
    </row>
    <row r="397" spans="1:23" ht="13.9" customHeight="1">
      <c r="A397" s="132">
        <v>397</v>
      </c>
      <c r="B397" s="49" t="s">
        <v>1679</v>
      </c>
      <c r="C397" s="49" t="s">
        <v>1505</v>
      </c>
      <c r="D397" s="145" t="s">
        <v>268</v>
      </c>
      <c r="E397" s="146" t="s">
        <v>972</v>
      </c>
      <c r="F397" s="146" t="s">
        <v>973</v>
      </c>
      <c r="G397" s="145" t="s">
        <v>242</v>
      </c>
      <c r="H397" s="145" t="s">
        <v>242</v>
      </c>
      <c r="I397" s="1" t="s">
        <v>242</v>
      </c>
      <c r="J397" s="149" t="s">
        <v>231</v>
      </c>
      <c r="K397" s="150"/>
      <c r="L397" s="151">
        <v>0.37</v>
      </c>
      <c r="M397" s="136">
        <f t="shared" si="30"/>
        <v>2</v>
      </c>
      <c r="N397" s="2">
        <v>2</v>
      </c>
      <c r="O397" s="2"/>
      <c r="P397" s="137" t="e">
        <f t="shared" si="31"/>
        <v>#DIV/0!</v>
      </c>
      <c r="Q397" s="137">
        <f t="shared" si="32"/>
        <v>0</v>
      </c>
      <c r="R397" s="138">
        <f>IF(N397="nio",0,IF(N397&gt;0,VLOOKUP(I397,'3-Productie normen'!A:V,VLOOKUP(N397,'3-Productie normen'!$B$35:$C$56,2,FALSE),FALSE)))/VLOOKUP(B397,'2-Kosten per locatie'!$A$11:$C$18,3,FALSE)</f>
        <v>0</v>
      </c>
      <c r="S397" s="138">
        <f t="shared" si="33"/>
        <v>0</v>
      </c>
      <c r="T397" s="139" t="str">
        <f>VLOOKUP(I397,'3-Productie normen'!A:AF,28,FALSE)</f>
        <v>V</v>
      </c>
      <c r="U397" s="140"/>
      <c r="W397" s="141">
        <f t="shared" si="34"/>
        <v>0.74</v>
      </c>
    </row>
    <row r="398" spans="1:23" ht="13.9" customHeight="1">
      <c r="A398" s="132">
        <v>398</v>
      </c>
      <c r="B398" s="49" t="s">
        <v>1679</v>
      </c>
      <c r="C398" s="49" t="s">
        <v>1505</v>
      </c>
      <c r="D398" s="145" t="s">
        <v>268</v>
      </c>
      <c r="E398" s="146" t="s">
        <v>974</v>
      </c>
      <c r="F398" s="146" t="s">
        <v>975</v>
      </c>
      <c r="G398" s="145" t="s">
        <v>242</v>
      </c>
      <c r="H398" s="145" t="s">
        <v>242</v>
      </c>
      <c r="I398" s="1" t="s">
        <v>242</v>
      </c>
      <c r="J398" s="149" t="s">
        <v>251</v>
      </c>
      <c r="K398" s="152" t="s">
        <v>1522</v>
      </c>
      <c r="L398" s="151">
        <v>4.1100000000000003</v>
      </c>
      <c r="M398" s="136">
        <f t="shared" si="30"/>
        <v>2</v>
      </c>
      <c r="N398" s="2">
        <v>2</v>
      </c>
      <c r="O398" s="2"/>
      <c r="P398" s="137" t="e">
        <f t="shared" si="31"/>
        <v>#DIV/0!</v>
      </c>
      <c r="Q398" s="137">
        <f t="shared" si="32"/>
        <v>0</v>
      </c>
      <c r="R398" s="138">
        <f>IF(N398="nio",0,IF(N398&gt;0,VLOOKUP(I398,'3-Productie normen'!A:V,VLOOKUP(N398,'3-Productie normen'!$B$35:$C$56,2,FALSE),FALSE)))/VLOOKUP(B398,'2-Kosten per locatie'!$A$11:$C$18,3,FALSE)</f>
        <v>0</v>
      </c>
      <c r="S398" s="138">
        <f t="shared" si="33"/>
        <v>0</v>
      </c>
      <c r="T398" s="139" t="str">
        <f>VLOOKUP(I398,'3-Productie normen'!A:AF,28,FALSE)</f>
        <v>V</v>
      </c>
      <c r="U398" s="140"/>
      <c r="W398" s="141">
        <f t="shared" si="34"/>
        <v>8.2200000000000006</v>
      </c>
    </row>
    <row r="399" spans="1:23" ht="13.9" customHeight="1">
      <c r="A399" s="118">
        <v>399</v>
      </c>
      <c r="B399" s="49" t="s">
        <v>1679</v>
      </c>
      <c r="C399" s="49" t="s">
        <v>1505</v>
      </c>
      <c r="D399" s="145" t="s">
        <v>268</v>
      </c>
      <c r="E399" s="146" t="s">
        <v>976</v>
      </c>
      <c r="F399" s="146" t="s">
        <v>977</v>
      </c>
      <c r="G399" s="145" t="s">
        <v>245</v>
      </c>
      <c r="H399" s="145" t="s">
        <v>978</v>
      </c>
      <c r="I399" s="92" t="s">
        <v>274</v>
      </c>
      <c r="J399" s="149" t="s">
        <v>251</v>
      </c>
      <c r="K399" s="152" t="s">
        <v>1522</v>
      </c>
      <c r="L399" s="151">
        <v>9.1300000000000008</v>
      </c>
      <c r="M399" s="136">
        <f t="shared" si="30"/>
        <v>76</v>
      </c>
      <c r="N399" s="2">
        <v>76</v>
      </c>
      <c r="O399" s="2"/>
      <c r="P399" s="137" t="e">
        <f t="shared" si="31"/>
        <v>#DIV/0!</v>
      </c>
      <c r="Q399" s="137">
        <f t="shared" si="32"/>
        <v>0</v>
      </c>
      <c r="R399" s="138">
        <f>IF(N399="nio",0,IF(N399&gt;0,VLOOKUP(I399,'3-Productie normen'!A:V,VLOOKUP(N399,'3-Productie normen'!$B$35:$C$56,2,FALSE),FALSE)))/VLOOKUP(B399,'2-Kosten per locatie'!$A$11:$C$18,3,FALSE)</f>
        <v>0</v>
      </c>
      <c r="S399" s="138">
        <f t="shared" si="33"/>
        <v>0</v>
      </c>
      <c r="T399" s="139" t="str">
        <f>VLOOKUP(I399,'3-Productie normen'!A:AF,28,FALSE)</f>
        <v>B</v>
      </c>
      <c r="U399" s="140"/>
      <c r="W399" s="141">
        <f t="shared" si="34"/>
        <v>693.88000000000011</v>
      </c>
    </row>
    <row r="400" spans="1:23" ht="13.9" customHeight="1">
      <c r="A400" s="132">
        <v>400</v>
      </c>
      <c r="B400" s="49" t="s">
        <v>1679</v>
      </c>
      <c r="C400" s="49" t="s">
        <v>1505</v>
      </c>
      <c r="D400" s="145" t="s">
        <v>268</v>
      </c>
      <c r="E400" s="146" t="s">
        <v>979</v>
      </c>
      <c r="F400" s="146"/>
      <c r="G400" s="145" t="s">
        <v>264</v>
      </c>
      <c r="H400" s="145" t="s">
        <v>265</v>
      </c>
      <c r="I400" s="145" t="s">
        <v>284</v>
      </c>
      <c r="J400" s="149" t="s">
        <v>251</v>
      </c>
      <c r="K400" s="152" t="s">
        <v>1522</v>
      </c>
      <c r="L400" s="151">
        <v>72.510000000000005</v>
      </c>
      <c r="M400" s="136">
        <f t="shared" si="30"/>
        <v>76</v>
      </c>
      <c r="N400" s="2">
        <v>76</v>
      </c>
      <c r="O400" s="2"/>
      <c r="P400" s="137" t="e">
        <f t="shared" si="31"/>
        <v>#DIV/0!</v>
      </c>
      <c r="Q400" s="137">
        <f t="shared" si="32"/>
        <v>0</v>
      </c>
      <c r="R400" s="138">
        <f>IF(N400="nio",0,IF(N400&gt;0,VLOOKUP(I400,'3-Productie normen'!A:V,VLOOKUP(N400,'3-Productie normen'!$B$35:$C$56,2,FALSE),FALSE)))/VLOOKUP(B400,'2-Kosten per locatie'!$A$11:$C$18,3,FALSE)</f>
        <v>0</v>
      </c>
      <c r="S400" s="138">
        <f t="shared" si="33"/>
        <v>0</v>
      </c>
      <c r="T400" s="139" t="str">
        <f>VLOOKUP(I400,'3-Productie normen'!A:AF,28,FALSE)</f>
        <v>L</v>
      </c>
      <c r="U400" s="140"/>
      <c r="W400" s="141">
        <f t="shared" si="34"/>
        <v>5510.76</v>
      </c>
    </row>
    <row r="401" spans="1:23" ht="13.9" customHeight="1">
      <c r="A401" s="132">
        <v>401</v>
      </c>
      <c r="B401" s="49" t="s">
        <v>1679</v>
      </c>
      <c r="C401" s="49" t="s">
        <v>1505</v>
      </c>
      <c r="D401" s="145" t="s">
        <v>268</v>
      </c>
      <c r="E401" s="146" t="s">
        <v>980</v>
      </c>
      <c r="F401" s="146"/>
      <c r="G401" s="145" t="s">
        <v>243</v>
      </c>
      <c r="H401" s="145" t="s">
        <v>981</v>
      </c>
      <c r="I401" s="1" t="s">
        <v>48</v>
      </c>
      <c r="J401" s="149" t="s">
        <v>251</v>
      </c>
      <c r="K401" s="152" t="s">
        <v>1522</v>
      </c>
      <c r="L401" s="151">
        <v>1.65</v>
      </c>
      <c r="M401" s="136">
        <f t="shared" si="30"/>
        <v>190</v>
      </c>
      <c r="N401" s="2">
        <v>190</v>
      </c>
      <c r="O401" s="2"/>
      <c r="P401" s="137" t="e">
        <f t="shared" si="31"/>
        <v>#DIV/0!</v>
      </c>
      <c r="Q401" s="137">
        <f t="shared" si="32"/>
        <v>0</v>
      </c>
      <c r="R401" s="138">
        <f>IF(N401="nio",0,IF(N401&gt;0,VLOOKUP(I401,'3-Productie normen'!A:V,VLOOKUP(N401,'3-Productie normen'!$B$35:$C$56,2,FALSE),FALSE)))/VLOOKUP(B401,'2-Kosten per locatie'!$A$11:$C$18,3,FALSE)</f>
        <v>0</v>
      </c>
      <c r="S401" s="138">
        <f t="shared" si="33"/>
        <v>0</v>
      </c>
      <c r="T401" s="139" t="str">
        <f>VLOOKUP(I401,'3-Productie normen'!A:AF,28,FALSE)</f>
        <v>V</v>
      </c>
      <c r="U401" s="140"/>
      <c r="W401" s="141">
        <f t="shared" si="34"/>
        <v>313.5</v>
      </c>
    </row>
    <row r="402" spans="1:23" ht="13.9" customHeight="1">
      <c r="A402" s="118">
        <v>402</v>
      </c>
      <c r="B402" s="49" t="s">
        <v>1679</v>
      </c>
      <c r="C402" s="49" t="s">
        <v>1505</v>
      </c>
      <c r="D402" s="145" t="s">
        <v>268</v>
      </c>
      <c r="E402" s="146" t="s">
        <v>982</v>
      </c>
      <c r="F402" s="146"/>
      <c r="G402" s="145" t="s">
        <v>242</v>
      </c>
      <c r="H402" s="145" t="s">
        <v>242</v>
      </c>
      <c r="I402" s="1" t="s">
        <v>242</v>
      </c>
      <c r="J402" s="149" t="s">
        <v>251</v>
      </c>
      <c r="K402" s="152" t="s">
        <v>1522</v>
      </c>
      <c r="L402" s="151">
        <v>0.99</v>
      </c>
      <c r="M402" s="136">
        <f t="shared" si="30"/>
        <v>2</v>
      </c>
      <c r="N402" s="2">
        <v>2</v>
      </c>
      <c r="O402" s="2"/>
      <c r="P402" s="137" t="e">
        <f t="shared" si="31"/>
        <v>#DIV/0!</v>
      </c>
      <c r="Q402" s="137">
        <f t="shared" si="32"/>
        <v>0</v>
      </c>
      <c r="R402" s="138">
        <f>IF(N402="nio",0,IF(N402&gt;0,VLOOKUP(I402,'3-Productie normen'!A:V,VLOOKUP(N402,'3-Productie normen'!$B$35:$C$56,2,FALSE),FALSE)))/VLOOKUP(B402,'2-Kosten per locatie'!$A$11:$C$18,3,FALSE)</f>
        <v>0</v>
      </c>
      <c r="S402" s="138">
        <f t="shared" si="33"/>
        <v>0</v>
      </c>
      <c r="T402" s="139" t="str">
        <f>VLOOKUP(I402,'3-Productie normen'!A:AF,28,FALSE)</f>
        <v>V</v>
      </c>
      <c r="U402" s="140"/>
      <c r="W402" s="141">
        <f t="shared" si="34"/>
        <v>1.98</v>
      </c>
    </row>
    <row r="403" spans="1:23" ht="13.9" customHeight="1">
      <c r="A403" s="132">
        <v>403</v>
      </c>
      <c r="B403" s="49" t="s">
        <v>1679</v>
      </c>
      <c r="C403" s="49" t="s">
        <v>1505</v>
      </c>
      <c r="D403" s="145" t="s">
        <v>268</v>
      </c>
      <c r="E403" s="146" t="s">
        <v>983</v>
      </c>
      <c r="F403" s="146"/>
      <c r="G403" s="145" t="s">
        <v>242</v>
      </c>
      <c r="H403" s="145" t="s">
        <v>242</v>
      </c>
      <c r="I403" s="1" t="s">
        <v>242</v>
      </c>
      <c r="J403" s="149" t="s">
        <v>251</v>
      </c>
      <c r="K403" s="152" t="s">
        <v>1522</v>
      </c>
      <c r="L403" s="151">
        <v>0.99</v>
      </c>
      <c r="M403" s="136">
        <f t="shared" si="30"/>
        <v>2</v>
      </c>
      <c r="N403" s="2">
        <v>2</v>
      </c>
      <c r="O403" s="2"/>
      <c r="P403" s="137" t="e">
        <f t="shared" si="31"/>
        <v>#DIV/0!</v>
      </c>
      <c r="Q403" s="137">
        <f t="shared" si="32"/>
        <v>0</v>
      </c>
      <c r="R403" s="138">
        <f>IF(N403="nio",0,IF(N403&gt;0,VLOOKUP(I403,'3-Productie normen'!A:V,VLOOKUP(N403,'3-Productie normen'!$B$35:$C$56,2,FALSE),FALSE)))/VLOOKUP(B403,'2-Kosten per locatie'!$A$11:$C$18,3,FALSE)</f>
        <v>0</v>
      </c>
      <c r="S403" s="138">
        <f t="shared" si="33"/>
        <v>0</v>
      </c>
      <c r="T403" s="139" t="str">
        <f>VLOOKUP(I403,'3-Productie normen'!A:AF,28,FALSE)</f>
        <v>V</v>
      </c>
      <c r="U403" s="140"/>
      <c r="W403" s="141">
        <f t="shared" si="34"/>
        <v>1.98</v>
      </c>
    </row>
    <row r="404" spans="1:23" ht="13.9" customHeight="1">
      <c r="A404" s="132">
        <v>404</v>
      </c>
      <c r="B404" s="49" t="s">
        <v>1679</v>
      </c>
      <c r="C404" s="49" t="s">
        <v>1505</v>
      </c>
      <c r="D404" s="145" t="s">
        <v>268</v>
      </c>
      <c r="E404" s="146" t="s">
        <v>984</v>
      </c>
      <c r="F404" s="146" t="s">
        <v>985</v>
      </c>
      <c r="G404" s="145" t="s">
        <v>242</v>
      </c>
      <c r="H404" s="145" t="s">
        <v>242</v>
      </c>
      <c r="I404" s="1" t="s">
        <v>242</v>
      </c>
      <c r="J404" s="149" t="s">
        <v>231</v>
      </c>
      <c r="K404" s="150"/>
      <c r="L404" s="151">
        <v>1.68</v>
      </c>
      <c r="M404" s="136">
        <f t="shared" si="30"/>
        <v>2</v>
      </c>
      <c r="N404" s="2">
        <v>2</v>
      </c>
      <c r="O404" s="2"/>
      <c r="P404" s="137" t="e">
        <f t="shared" si="31"/>
        <v>#DIV/0!</v>
      </c>
      <c r="Q404" s="137">
        <f t="shared" si="32"/>
        <v>0</v>
      </c>
      <c r="R404" s="138">
        <f>IF(N404="nio",0,IF(N404&gt;0,VLOOKUP(I404,'3-Productie normen'!A:V,VLOOKUP(N404,'3-Productie normen'!$B$35:$C$56,2,FALSE),FALSE)))/VLOOKUP(B404,'2-Kosten per locatie'!$A$11:$C$18,3,FALSE)</f>
        <v>0</v>
      </c>
      <c r="S404" s="138">
        <f t="shared" si="33"/>
        <v>0</v>
      </c>
      <c r="T404" s="139" t="str">
        <f>VLOOKUP(I404,'3-Productie normen'!A:AF,28,FALSE)</f>
        <v>V</v>
      </c>
      <c r="U404" s="140"/>
      <c r="W404" s="141">
        <f t="shared" si="34"/>
        <v>3.36</v>
      </c>
    </row>
    <row r="405" spans="1:23" ht="13.9" customHeight="1">
      <c r="A405" s="118">
        <v>405</v>
      </c>
      <c r="B405" s="49" t="s">
        <v>1679</v>
      </c>
      <c r="C405" s="49" t="s">
        <v>1505</v>
      </c>
      <c r="D405" s="145" t="s">
        <v>268</v>
      </c>
      <c r="E405" s="146" t="s">
        <v>986</v>
      </c>
      <c r="F405" s="146"/>
      <c r="G405" s="145" t="s">
        <v>264</v>
      </c>
      <c r="H405" s="145" t="s">
        <v>265</v>
      </c>
      <c r="I405" s="145" t="s">
        <v>284</v>
      </c>
      <c r="J405" s="149" t="s">
        <v>251</v>
      </c>
      <c r="K405" s="152" t="s">
        <v>1522</v>
      </c>
      <c r="L405" s="151">
        <v>72.09</v>
      </c>
      <c r="M405" s="136">
        <f t="shared" si="30"/>
        <v>76</v>
      </c>
      <c r="N405" s="2">
        <v>76</v>
      </c>
      <c r="O405" s="2"/>
      <c r="P405" s="137" t="e">
        <f t="shared" si="31"/>
        <v>#DIV/0!</v>
      </c>
      <c r="Q405" s="137">
        <f t="shared" si="32"/>
        <v>0</v>
      </c>
      <c r="R405" s="138">
        <f>IF(N405="nio",0,IF(N405&gt;0,VLOOKUP(I405,'3-Productie normen'!A:V,VLOOKUP(N405,'3-Productie normen'!$B$35:$C$56,2,FALSE),FALSE)))/VLOOKUP(B405,'2-Kosten per locatie'!$A$11:$C$18,3,FALSE)</f>
        <v>0</v>
      </c>
      <c r="S405" s="138">
        <f t="shared" si="33"/>
        <v>0</v>
      </c>
      <c r="T405" s="139" t="str">
        <f>VLOOKUP(I405,'3-Productie normen'!A:AF,28,FALSE)</f>
        <v>L</v>
      </c>
      <c r="U405" s="140"/>
      <c r="W405" s="141">
        <f t="shared" si="34"/>
        <v>5478.84</v>
      </c>
    </row>
    <row r="406" spans="1:23" ht="13.9" customHeight="1">
      <c r="A406" s="132">
        <v>406</v>
      </c>
      <c r="B406" s="49" t="s">
        <v>1679</v>
      </c>
      <c r="C406" s="49" t="s">
        <v>1505</v>
      </c>
      <c r="D406" s="145" t="s">
        <v>268</v>
      </c>
      <c r="E406" s="146" t="s">
        <v>987</v>
      </c>
      <c r="F406" s="146"/>
      <c r="G406" s="145" t="s">
        <v>242</v>
      </c>
      <c r="H406" s="145" t="s">
        <v>242</v>
      </c>
      <c r="I406" s="1" t="s">
        <v>242</v>
      </c>
      <c r="J406" s="149" t="s">
        <v>251</v>
      </c>
      <c r="K406" s="152" t="s">
        <v>1522</v>
      </c>
      <c r="L406" s="151">
        <v>1.2</v>
      </c>
      <c r="M406" s="136">
        <f t="shared" si="30"/>
        <v>2</v>
      </c>
      <c r="N406" s="2">
        <v>2</v>
      </c>
      <c r="O406" s="2"/>
      <c r="P406" s="137" t="e">
        <f t="shared" si="31"/>
        <v>#DIV/0!</v>
      </c>
      <c r="Q406" s="137">
        <f t="shared" si="32"/>
        <v>0</v>
      </c>
      <c r="R406" s="138">
        <f>IF(N406="nio",0,IF(N406&gt;0,VLOOKUP(I406,'3-Productie normen'!A:V,VLOOKUP(N406,'3-Productie normen'!$B$35:$C$56,2,FALSE),FALSE)))/VLOOKUP(B406,'2-Kosten per locatie'!$A$11:$C$18,3,FALSE)</f>
        <v>0</v>
      </c>
      <c r="S406" s="138">
        <f t="shared" si="33"/>
        <v>0</v>
      </c>
      <c r="T406" s="139" t="str">
        <f>VLOOKUP(I406,'3-Productie normen'!A:AF,28,FALSE)</f>
        <v>V</v>
      </c>
      <c r="U406" s="140"/>
      <c r="W406" s="141">
        <f t="shared" si="34"/>
        <v>2.4</v>
      </c>
    </row>
    <row r="407" spans="1:23" ht="13.9" customHeight="1">
      <c r="A407" s="132">
        <v>407</v>
      </c>
      <c r="B407" s="49" t="s">
        <v>1679</v>
      </c>
      <c r="C407" s="49" t="s">
        <v>1505</v>
      </c>
      <c r="D407" s="145" t="s">
        <v>268</v>
      </c>
      <c r="E407" s="146" t="s">
        <v>988</v>
      </c>
      <c r="F407" s="146"/>
      <c r="G407" s="145" t="s">
        <v>242</v>
      </c>
      <c r="H407" s="145" t="s">
        <v>242</v>
      </c>
      <c r="I407" s="1" t="s">
        <v>242</v>
      </c>
      <c r="J407" s="149" t="s">
        <v>231</v>
      </c>
      <c r="K407" s="150"/>
      <c r="L407" s="151">
        <v>1.65</v>
      </c>
      <c r="M407" s="136">
        <f t="shared" ref="M407:M470" si="35">SUM(N407:O407)</f>
        <v>2</v>
      </c>
      <c r="N407" s="2">
        <v>2</v>
      </c>
      <c r="O407" s="2"/>
      <c r="P407" s="137" t="e">
        <f t="shared" ref="P407:P470" si="36">IF(N407="nio",0,IF(N407&gt;0,N407*L407/R407,0))</f>
        <v>#DIV/0!</v>
      </c>
      <c r="Q407" s="137">
        <f t="shared" ref="Q407:Q470" si="37">IF(O407&gt;0,O407*L407/S407,0)</f>
        <v>0</v>
      </c>
      <c r="R407" s="138">
        <f>IF(N407="nio",0,IF(N407&gt;0,VLOOKUP(I407,'3-Productie normen'!A:V,VLOOKUP(N407,'3-Productie normen'!$B$35:$C$56,2,FALSE),FALSE)))/VLOOKUP(B407,'2-Kosten per locatie'!$A$11:$C$18,3,FALSE)</f>
        <v>0</v>
      </c>
      <c r="S407" s="138">
        <f t="shared" ref="S407:S470" si="38">IF(O407&gt;0,R407*$S$8,0)</f>
        <v>0</v>
      </c>
      <c r="T407" s="139" t="str">
        <f>VLOOKUP(I407,'3-Productie normen'!A:AF,28,FALSE)</f>
        <v>V</v>
      </c>
      <c r="U407" s="140"/>
      <c r="W407" s="141">
        <f t="shared" ref="W407:W470" si="39">M407*L407</f>
        <v>3.3</v>
      </c>
    </row>
    <row r="408" spans="1:23" ht="13.9" customHeight="1">
      <c r="A408" s="118">
        <v>408</v>
      </c>
      <c r="B408" s="49" t="s">
        <v>1679</v>
      </c>
      <c r="C408" s="49" t="s">
        <v>1505</v>
      </c>
      <c r="D408" s="145" t="s">
        <v>268</v>
      </c>
      <c r="E408" s="146" t="s">
        <v>989</v>
      </c>
      <c r="F408" s="146"/>
      <c r="G408" s="145" t="s">
        <v>242</v>
      </c>
      <c r="H408" s="145" t="s">
        <v>242</v>
      </c>
      <c r="I408" s="1" t="s">
        <v>242</v>
      </c>
      <c r="J408" s="149" t="s">
        <v>251</v>
      </c>
      <c r="K408" s="152" t="s">
        <v>1522</v>
      </c>
      <c r="L408" s="151">
        <v>0.99</v>
      </c>
      <c r="M408" s="136">
        <f t="shared" si="35"/>
        <v>2</v>
      </c>
      <c r="N408" s="2">
        <v>2</v>
      </c>
      <c r="O408" s="2"/>
      <c r="P408" s="137" t="e">
        <f t="shared" si="36"/>
        <v>#DIV/0!</v>
      </c>
      <c r="Q408" s="137">
        <f t="shared" si="37"/>
        <v>0</v>
      </c>
      <c r="R408" s="138">
        <f>IF(N408="nio",0,IF(N408&gt;0,VLOOKUP(I408,'3-Productie normen'!A:V,VLOOKUP(N408,'3-Productie normen'!$B$35:$C$56,2,FALSE),FALSE)))/VLOOKUP(B408,'2-Kosten per locatie'!$A$11:$C$18,3,FALSE)</f>
        <v>0</v>
      </c>
      <c r="S408" s="138">
        <f t="shared" si="38"/>
        <v>0</v>
      </c>
      <c r="T408" s="139" t="str">
        <f>VLOOKUP(I408,'3-Productie normen'!A:AF,28,FALSE)</f>
        <v>V</v>
      </c>
      <c r="U408" s="140"/>
      <c r="W408" s="141">
        <f t="shared" si="39"/>
        <v>1.98</v>
      </c>
    </row>
    <row r="409" spans="1:23" ht="13.9" customHeight="1">
      <c r="A409" s="132">
        <v>409</v>
      </c>
      <c r="B409" s="49" t="s">
        <v>1679</v>
      </c>
      <c r="C409" s="49" t="s">
        <v>1505</v>
      </c>
      <c r="D409" s="145" t="s">
        <v>268</v>
      </c>
      <c r="E409" s="146" t="s">
        <v>990</v>
      </c>
      <c r="F409" s="146" t="s">
        <v>333</v>
      </c>
      <c r="G409" s="145" t="s">
        <v>243</v>
      </c>
      <c r="H409" s="145" t="s">
        <v>981</v>
      </c>
      <c r="I409" s="1" t="s">
        <v>48</v>
      </c>
      <c r="J409" s="149" t="s">
        <v>251</v>
      </c>
      <c r="K409" s="152" t="s">
        <v>1522</v>
      </c>
      <c r="L409" s="151">
        <v>1.65</v>
      </c>
      <c r="M409" s="136">
        <f t="shared" si="35"/>
        <v>190</v>
      </c>
      <c r="N409" s="2">
        <v>190</v>
      </c>
      <c r="O409" s="2"/>
      <c r="P409" s="137" t="e">
        <f t="shared" si="36"/>
        <v>#DIV/0!</v>
      </c>
      <c r="Q409" s="137">
        <f t="shared" si="37"/>
        <v>0</v>
      </c>
      <c r="R409" s="138">
        <f>IF(N409="nio",0,IF(N409&gt;0,VLOOKUP(I409,'3-Productie normen'!A:V,VLOOKUP(N409,'3-Productie normen'!$B$35:$C$56,2,FALSE),FALSE)))/VLOOKUP(B409,'2-Kosten per locatie'!$A$11:$C$18,3,FALSE)</f>
        <v>0</v>
      </c>
      <c r="S409" s="138">
        <f t="shared" si="38"/>
        <v>0</v>
      </c>
      <c r="T409" s="139" t="str">
        <f>VLOOKUP(I409,'3-Productie normen'!A:AF,28,FALSE)</f>
        <v>V</v>
      </c>
      <c r="U409" s="140"/>
      <c r="W409" s="141">
        <f t="shared" si="39"/>
        <v>313.5</v>
      </c>
    </row>
    <row r="410" spans="1:23" ht="13.9" customHeight="1">
      <c r="A410" s="132">
        <v>410</v>
      </c>
      <c r="B410" s="49" t="s">
        <v>1679</v>
      </c>
      <c r="C410" s="49" t="s">
        <v>1505</v>
      </c>
      <c r="D410" s="145" t="s">
        <v>268</v>
      </c>
      <c r="E410" s="146" t="s">
        <v>991</v>
      </c>
      <c r="F410" s="146" t="s">
        <v>992</v>
      </c>
      <c r="G410" s="145" t="s">
        <v>242</v>
      </c>
      <c r="H410" s="145" t="s">
        <v>242</v>
      </c>
      <c r="I410" s="1" t="s">
        <v>242</v>
      </c>
      <c r="J410" s="149" t="s">
        <v>251</v>
      </c>
      <c r="K410" s="152" t="s">
        <v>1522</v>
      </c>
      <c r="L410" s="151">
        <v>3.39</v>
      </c>
      <c r="M410" s="136">
        <f t="shared" si="35"/>
        <v>2</v>
      </c>
      <c r="N410" s="2">
        <v>2</v>
      </c>
      <c r="O410" s="2"/>
      <c r="P410" s="137" t="e">
        <f t="shared" si="36"/>
        <v>#DIV/0!</v>
      </c>
      <c r="Q410" s="137">
        <f t="shared" si="37"/>
        <v>0</v>
      </c>
      <c r="R410" s="138">
        <f>IF(N410="nio",0,IF(N410&gt;0,VLOOKUP(I410,'3-Productie normen'!A:V,VLOOKUP(N410,'3-Productie normen'!$B$35:$C$56,2,FALSE),FALSE)))/VLOOKUP(B410,'2-Kosten per locatie'!$A$11:$C$18,3,FALSE)</f>
        <v>0</v>
      </c>
      <c r="S410" s="138">
        <f t="shared" si="38"/>
        <v>0</v>
      </c>
      <c r="T410" s="139" t="str">
        <f>VLOOKUP(I410,'3-Productie normen'!A:AF,28,FALSE)</f>
        <v>V</v>
      </c>
      <c r="U410" s="140"/>
      <c r="W410" s="141">
        <f t="shared" si="39"/>
        <v>6.78</v>
      </c>
    </row>
    <row r="411" spans="1:23" ht="13.9" customHeight="1">
      <c r="A411" s="118">
        <v>411</v>
      </c>
      <c r="B411" s="49" t="s">
        <v>1679</v>
      </c>
      <c r="C411" s="49" t="s">
        <v>1505</v>
      </c>
      <c r="D411" s="145" t="s">
        <v>268</v>
      </c>
      <c r="E411" s="146" t="s">
        <v>993</v>
      </c>
      <c r="F411" s="146"/>
      <c r="G411" s="145" t="s">
        <v>264</v>
      </c>
      <c r="H411" s="145" t="s">
        <v>265</v>
      </c>
      <c r="I411" s="145" t="s">
        <v>284</v>
      </c>
      <c r="J411" s="149" t="s">
        <v>251</v>
      </c>
      <c r="K411" s="152" t="s">
        <v>1522</v>
      </c>
      <c r="L411" s="151">
        <v>86.87</v>
      </c>
      <c r="M411" s="136">
        <f t="shared" si="35"/>
        <v>76</v>
      </c>
      <c r="N411" s="2">
        <v>76</v>
      </c>
      <c r="O411" s="2"/>
      <c r="P411" s="137" t="e">
        <f t="shared" si="36"/>
        <v>#DIV/0!</v>
      </c>
      <c r="Q411" s="137">
        <f t="shared" si="37"/>
        <v>0</v>
      </c>
      <c r="R411" s="138">
        <f>IF(N411="nio",0,IF(N411&gt;0,VLOOKUP(I411,'3-Productie normen'!A:V,VLOOKUP(N411,'3-Productie normen'!$B$35:$C$56,2,FALSE),FALSE)))/VLOOKUP(B411,'2-Kosten per locatie'!$A$11:$C$18,3,FALSE)</f>
        <v>0</v>
      </c>
      <c r="S411" s="138">
        <f t="shared" si="38"/>
        <v>0</v>
      </c>
      <c r="T411" s="139" t="str">
        <f>VLOOKUP(I411,'3-Productie normen'!A:AF,28,FALSE)</f>
        <v>L</v>
      </c>
      <c r="U411" s="140"/>
      <c r="W411" s="141">
        <f t="shared" si="39"/>
        <v>6602.1200000000008</v>
      </c>
    </row>
    <row r="412" spans="1:23" ht="13.9" customHeight="1">
      <c r="A412" s="132">
        <v>412</v>
      </c>
      <c r="B412" s="49" t="s">
        <v>1679</v>
      </c>
      <c r="C412" s="49" t="s">
        <v>1505</v>
      </c>
      <c r="D412" s="145" t="s">
        <v>268</v>
      </c>
      <c r="E412" s="146" t="s">
        <v>994</v>
      </c>
      <c r="F412" s="146"/>
      <c r="G412" s="145" t="s">
        <v>242</v>
      </c>
      <c r="H412" s="145" t="s">
        <v>242</v>
      </c>
      <c r="I412" s="1" t="s">
        <v>242</v>
      </c>
      <c r="J412" s="149" t="s">
        <v>251</v>
      </c>
      <c r="K412" s="152" t="s">
        <v>1522</v>
      </c>
      <c r="L412" s="151">
        <v>1.22</v>
      </c>
      <c r="M412" s="136">
        <f t="shared" si="35"/>
        <v>2</v>
      </c>
      <c r="N412" s="2">
        <v>2</v>
      </c>
      <c r="O412" s="2"/>
      <c r="P412" s="137" t="e">
        <f t="shared" si="36"/>
        <v>#DIV/0!</v>
      </c>
      <c r="Q412" s="137">
        <f t="shared" si="37"/>
        <v>0</v>
      </c>
      <c r="R412" s="138">
        <f>IF(N412="nio",0,IF(N412&gt;0,VLOOKUP(I412,'3-Productie normen'!A:V,VLOOKUP(N412,'3-Productie normen'!$B$35:$C$56,2,FALSE),FALSE)))/VLOOKUP(B412,'2-Kosten per locatie'!$A$11:$C$18,3,FALSE)</f>
        <v>0</v>
      </c>
      <c r="S412" s="138">
        <f t="shared" si="38"/>
        <v>0</v>
      </c>
      <c r="T412" s="139" t="str">
        <f>VLOOKUP(I412,'3-Productie normen'!A:AF,28,FALSE)</f>
        <v>V</v>
      </c>
      <c r="U412" s="140"/>
      <c r="W412" s="141">
        <f t="shared" si="39"/>
        <v>2.44</v>
      </c>
    </row>
    <row r="413" spans="1:23" ht="13.9" customHeight="1">
      <c r="A413" s="132">
        <v>413</v>
      </c>
      <c r="B413" s="49" t="s">
        <v>1679</v>
      </c>
      <c r="C413" s="49" t="s">
        <v>1505</v>
      </c>
      <c r="D413" s="145" t="s">
        <v>268</v>
      </c>
      <c r="E413" s="146" t="s">
        <v>995</v>
      </c>
      <c r="F413" s="146"/>
      <c r="G413" s="145" t="s">
        <v>243</v>
      </c>
      <c r="H413" s="145" t="s">
        <v>981</v>
      </c>
      <c r="I413" s="1" t="s">
        <v>48</v>
      </c>
      <c r="J413" s="149" t="s">
        <v>251</v>
      </c>
      <c r="K413" s="152" t="s">
        <v>1522</v>
      </c>
      <c r="L413" s="151">
        <v>1.95</v>
      </c>
      <c r="M413" s="136">
        <f t="shared" si="35"/>
        <v>190</v>
      </c>
      <c r="N413" s="2">
        <v>190</v>
      </c>
      <c r="O413" s="2"/>
      <c r="P413" s="137" t="e">
        <f t="shared" si="36"/>
        <v>#DIV/0!</v>
      </c>
      <c r="Q413" s="137">
        <f t="shared" si="37"/>
        <v>0</v>
      </c>
      <c r="R413" s="138">
        <f>IF(N413="nio",0,IF(N413&gt;0,VLOOKUP(I413,'3-Productie normen'!A:V,VLOOKUP(N413,'3-Productie normen'!$B$35:$C$56,2,FALSE),FALSE)))/VLOOKUP(B413,'2-Kosten per locatie'!$A$11:$C$18,3,FALSE)</f>
        <v>0</v>
      </c>
      <c r="S413" s="138">
        <f t="shared" si="38"/>
        <v>0</v>
      </c>
      <c r="T413" s="139" t="str">
        <f>VLOOKUP(I413,'3-Productie normen'!A:AF,28,FALSE)</f>
        <v>V</v>
      </c>
      <c r="U413" s="140"/>
      <c r="W413" s="141">
        <f t="shared" si="39"/>
        <v>370.5</v>
      </c>
    </row>
    <row r="414" spans="1:23" ht="13.9" customHeight="1">
      <c r="A414" s="118">
        <v>414</v>
      </c>
      <c r="B414" s="49" t="s">
        <v>1679</v>
      </c>
      <c r="C414" s="49" t="s">
        <v>1505</v>
      </c>
      <c r="D414" s="145" t="s">
        <v>268</v>
      </c>
      <c r="E414" s="146" t="s">
        <v>996</v>
      </c>
      <c r="F414" s="146"/>
      <c r="G414" s="145" t="s">
        <v>242</v>
      </c>
      <c r="H414" s="145" t="s">
        <v>242</v>
      </c>
      <c r="I414" s="1" t="s">
        <v>242</v>
      </c>
      <c r="J414" s="149" t="s">
        <v>251</v>
      </c>
      <c r="K414" s="152" t="s">
        <v>1522</v>
      </c>
      <c r="L414" s="151">
        <v>1.1200000000000001</v>
      </c>
      <c r="M414" s="136">
        <f t="shared" si="35"/>
        <v>2</v>
      </c>
      <c r="N414" s="2">
        <v>2</v>
      </c>
      <c r="O414" s="2"/>
      <c r="P414" s="137" t="e">
        <f t="shared" si="36"/>
        <v>#DIV/0!</v>
      </c>
      <c r="Q414" s="137">
        <f t="shared" si="37"/>
        <v>0</v>
      </c>
      <c r="R414" s="138">
        <f>IF(N414="nio",0,IF(N414&gt;0,VLOOKUP(I414,'3-Productie normen'!A:V,VLOOKUP(N414,'3-Productie normen'!$B$35:$C$56,2,FALSE),FALSE)))/VLOOKUP(B414,'2-Kosten per locatie'!$A$11:$C$18,3,FALSE)</f>
        <v>0</v>
      </c>
      <c r="S414" s="138">
        <f t="shared" si="38"/>
        <v>0</v>
      </c>
      <c r="T414" s="139" t="str">
        <f>VLOOKUP(I414,'3-Productie normen'!A:AF,28,FALSE)</f>
        <v>V</v>
      </c>
      <c r="U414" s="140"/>
      <c r="W414" s="141">
        <f t="shared" si="39"/>
        <v>2.2400000000000002</v>
      </c>
    </row>
    <row r="415" spans="1:23" ht="13.9" customHeight="1">
      <c r="A415" s="132">
        <v>415</v>
      </c>
      <c r="B415" s="49" t="s">
        <v>1679</v>
      </c>
      <c r="C415" s="49" t="s">
        <v>1505</v>
      </c>
      <c r="D415" s="145" t="s">
        <v>268</v>
      </c>
      <c r="E415" s="146" t="s">
        <v>997</v>
      </c>
      <c r="F415" s="146" t="s">
        <v>312</v>
      </c>
      <c r="G415" s="145" t="s">
        <v>243</v>
      </c>
      <c r="H415" s="145" t="s">
        <v>981</v>
      </c>
      <c r="I415" s="1" t="s">
        <v>48</v>
      </c>
      <c r="J415" s="149" t="s">
        <v>251</v>
      </c>
      <c r="K415" s="152" t="s">
        <v>1522</v>
      </c>
      <c r="L415" s="151">
        <v>1.95</v>
      </c>
      <c r="M415" s="136">
        <f t="shared" si="35"/>
        <v>190</v>
      </c>
      <c r="N415" s="2">
        <v>190</v>
      </c>
      <c r="O415" s="2"/>
      <c r="P415" s="137" t="e">
        <f t="shared" si="36"/>
        <v>#DIV/0!</v>
      </c>
      <c r="Q415" s="137">
        <f t="shared" si="37"/>
        <v>0</v>
      </c>
      <c r="R415" s="138">
        <f>IF(N415="nio",0,IF(N415&gt;0,VLOOKUP(I415,'3-Productie normen'!A:V,VLOOKUP(N415,'3-Productie normen'!$B$35:$C$56,2,FALSE),FALSE)))/VLOOKUP(B415,'2-Kosten per locatie'!$A$11:$C$18,3,FALSE)</f>
        <v>0</v>
      </c>
      <c r="S415" s="138">
        <f t="shared" si="38"/>
        <v>0</v>
      </c>
      <c r="T415" s="139" t="str">
        <f>VLOOKUP(I415,'3-Productie normen'!A:AF,28,FALSE)</f>
        <v>V</v>
      </c>
      <c r="U415" s="140"/>
      <c r="W415" s="141">
        <f t="shared" si="39"/>
        <v>370.5</v>
      </c>
    </row>
    <row r="416" spans="1:23" ht="13.9" customHeight="1">
      <c r="A416" s="132">
        <v>416</v>
      </c>
      <c r="B416" s="49" t="s">
        <v>1679</v>
      </c>
      <c r="C416" s="49" t="s">
        <v>1505</v>
      </c>
      <c r="D416" s="145" t="s">
        <v>268</v>
      </c>
      <c r="E416" s="146" t="s">
        <v>998</v>
      </c>
      <c r="F416" s="146" t="s">
        <v>999</v>
      </c>
      <c r="G416" s="145" t="s">
        <v>245</v>
      </c>
      <c r="H416" s="145" t="s">
        <v>978</v>
      </c>
      <c r="I416" s="92" t="s">
        <v>274</v>
      </c>
      <c r="J416" s="149" t="s">
        <v>251</v>
      </c>
      <c r="K416" s="152" t="s">
        <v>1522</v>
      </c>
      <c r="L416" s="151">
        <v>28.9</v>
      </c>
      <c r="M416" s="136">
        <f t="shared" si="35"/>
        <v>76</v>
      </c>
      <c r="N416" s="2">
        <v>76</v>
      </c>
      <c r="O416" s="2"/>
      <c r="P416" s="137" t="e">
        <f t="shared" si="36"/>
        <v>#DIV/0!</v>
      </c>
      <c r="Q416" s="137">
        <f t="shared" si="37"/>
        <v>0</v>
      </c>
      <c r="R416" s="138">
        <f>IF(N416="nio",0,IF(N416&gt;0,VLOOKUP(I416,'3-Productie normen'!A:V,VLOOKUP(N416,'3-Productie normen'!$B$35:$C$56,2,FALSE),FALSE)))/VLOOKUP(B416,'2-Kosten per locatie'!$A$11:$C$18,3,FALSE)</f>
        <v>0</v>
      </c>
      <c r="S416" s="138">
        <f t="shared" si="38"/>
        <v>0</v>
      </c>
      <c r="T416" s="139" t="str">
        <f>VLOOKUP(I416,'3-Productie normen'!A:AF,28,FALSE)</f>
        <v>B</v>
      </c>
      <c r="U416" s="140"/>
      <c r="W416" s="141">
        <f t="shared" si="39"/>
        <v>2196.4</v>
      </c>
    </row>
    <row r="417" spans="1:23" ht="13.9" customHeight="1">
      <c r="A417" s="118">
        <v>417</v>
      </c>
      <c r="B417" s="49" t="s">
        <v>1679</v>
      </c>
      <c r="C417" s="49" t="s">
        <v>1505</v>
      </c>
      <c r="D417" s="145" t="s">
        <v>268</v>
      </c>
      <c r="E417" s="146" t="s">
        <v>1000</v>
      </c>
      <c r="F417" s="146" t="s">
        <v>335</v>
      </c>
      <c r="G417" s="145" t="s">
        <v>264</v>
      </c>
      <c r="H417" s="145" t="s">
        <v>265</v>
      </c>
      <c r="I417" s="145" t="s">
        <v>284</v>
      </c>
      <c r="J417" s="149" t="s">
        <v>251</v>
      </c>
      <c r="K417" s="152" t="s">
        <v>1522</v>
      </c>
      <c r="L417" s="151">
        <v>63.19</v>
      </c>
      <c r="M417" s="136">
        <f t="shared" si="35"/>
        <v>76</v>
      </c>
      <c r="N417" s="2">
        <v>76</v>
      </c>
      <c r="O417" s="2"/>
      <c r="P417" s="137" t="e">
        <f t="shared" si="36"/>
        <v>#DIV/0!</v>
      </c>
      <c r="Q417" s="137">
        <f t="shared" si="37"/>
        <v>0</v>
      </c>
      <c r="R417" s="138">
        <f>IF(N417="nio",0,IF(N417&gt;0,VLOOKUP(I417,'3-Productie normen'!A:V,VLOOKUP(N417,'3-Productie normen'!$B$35:$C$56,2,FALSE),FALSE)))/VLOOKUP(B417,'2-Kosten per locatie'!$A$11:$C$18,3,FALSE)</f>
        <v>0</v>
      </c>
      <c r="S417" s="138">
        <f t="shared" si="38"/>
        <v>0</v>
      </c>
      <c r="T417" s="139" t="str">
        <f>VLOOKUP(I417,'3-Productie normen'!A:AF,28,FALSE)</f>
        <v>L</v>
      </c>
      <c r="U417" s="140"/>
      <c r="W417" s="141">
        <f t="shared" si="39"/>
        <v>4802.4399999999996</v>
      </c>
    </row>
    <row r="418" spans="1:23" ht="13.9" customHeight="1">
      <c r="A418" s="132">
        <v>418</v>
      </c>
      <c r="B418" s="49" t="s">
        <v>1679</v>
      </c>
      <c r="C418" s="49" t="s">
        <v>1505</v>
      </c>
      <c r="D418" s="145" t="s">
        <v>268</v>
      </c>
      <c r="E418" s="146" t="s">
        <v>1001</v>
      </c>
      <c r="F418" s="146" t="s">
        <v>1002</v>
      </c>
      <c r="G418" s="145" t="s">
        <v>242</v>
      </c>
      <c r="H418" s="145" t="s">
        <v>242</v>
      </c>
      <c r="I418" s="1" t="s">
        <v>242</v>
      </c>
      <c r="J418" s="149" t="s">
        <v>251</v>
      </c>
      <c r="K418" s="152" t="s">
        <v>1522</v>
      </c>
      <c r="L418" s="151">
        <v>2.12</v>
      </c>
      <c r="M418" s="136">
        <f t="shared" si="35"/>
        <v>2</v>
      </c>
      <c r="N418" s="2">
        <v>2</v>
      </c>
      <c r="O418" s="2"/>
      <c r="P418" s="137" t="e">
        <f t="shared" si="36"/>
        <v>#DIV/0!</v>
      </c>
      <c r="Q418" s="137">
        <f t="shared" si="37"/>
        <v>0</v>
      </c>
      <c r="R418" s="138">
        <f>IF(N418="nio",0,IF(N418&gt;0,VLOOKUP(I418,'3-Productie normen'!A:V,VLOOKUP(N418,'3-Productie normen'!$B$35:$C$56,2,FALSE),FALSE)))/VLOOKUP(B418,'2-Kosten per locatie'!$A$11:$C$18,3,FALSE)</f>
        <v>0</v>
      </c>
      <c r="S418" s="138">
        <f t="shared" si="38"/>
        <v>0</v>
      </c>
      <c r="T418" s="139" t="str">
        <f>VLOOKUP(I418,'3-Productie normen'!A:AF,28,FALSE)</f>
        <v>V</v>
      </c>
      <c r="U418" s="140"/>
      <c r="W418" s="141">
        <f t="shared" si="39"/>
        <v>4.24</v>
      </c>
    </row>
    <row r="419" spans="1:23" ht="13.9" customHeight="1">
      <c r="A419" s="132">
        <v>419</v>
      </c>
      <c r="B419" s="49" t="s">
        <v>1679</v>
      </c>
      <c r="C419" s="49" t="s">
        <v>1505</v>
      </c>
      <c r="D419" s="145" t="s">
        <v>268</v>
      </c>
      <c r="E419" s="146" t="s">
        <v>1003</v>
      </c>
      <c r="F419" s="146" t="s">
        <v>1004</v>
      </c>
      <c r="G419" s="145" t="s">
        <v>264</v>
      </c>
      <c r="H419" s="145" t="s">
        <v>265</v>
      </c>
      <c r="I419" s="145" t="s">
        <v>284</v>
      </c>
      <c r="J419" s="149" t="s">
        <v>251</v>
      </c>
      <c r="K419" s="152" t="s">
        <v>1522</v>
      </c>
      <c r="L419" s="151">
        <v>72.22</v>
      </c>
      <c r="M419" s="136">
        <f t="shared" si="35"/>
        <v>76</v>
      </c>
      <c r="N419" s="2">
        <v>76</v>
      </c>
      <c r="O419" s="2"/>
      <c r="P419" s="137" t="e">
        <f t="shared" si="36"/>
        <v>#DIV/0!</v>
      </c>
      <c r="Q419" s="137">
        <f t="shared" si="37"/>
        <v>0</v>
      </c>
      <c r="R419" s="138">
        <f>IF(N419="nio",0,IF(N419&gt;0,VLOOKUP(I419,'3-Productie normen'!A:V,VLOOKUP(N419,'3-Productie normen'!$B$35:$C$56,2,FALSE),FALSE)))/VLOOKUP(B419,'2-Kosten per locatie'!$A$11:$C$18,3,FALSE)</f>
        <v>0</v>
      </c>
      <c r="S419" s="138">
        <f t="shared" si="38"/>
        <v>0</v>
      </c>
      <c r="T419" s="139" t="str">
        <f>VLOOKUP(I419,'3-Productie normen'!A:AF,28,FALSE)</f>
        <v>L</v>
      </c>
      <c r="U419" s="140"/>
      <c r="W419" s="141">
        <f t="shared" si="39"/>
        <v>5488.72</v>
      </c>
    </row>
    <row r="420" spans="1:23" ht="13.9" customHeight="1">
      <c r="A420" s="118">
        <v>420</v>
      </c>
      <c r="B420" s="49" t="s">
        <v>1679</v>
      </c>
      <c r="C420" s="49" t="s">
        <v>1505</v>
      </c>
      <c r="D420" s="145" t="s">
        <v>268</v>
      </c>
      <c r="E420" s="146" t="s">
        <v>1005</v>
      </c>
      <c r="F420" s="146"/>
      <c r="G420" s="145" t="s">
        <v>264</v>
      </c>
      <c r="H420" s="145" t="s">
        <v>265</v>
      </c>
      <c r="I420" s="145" t="s">
        <v>284</v>
      </c>
      <c r="J420" s="149" t="s">
        <v>251</v>
      </c>
      <c r="K420" s="152" t="s">
        <v>1522</v>
      </c>
      <c r="L420" s="151">
        <v>72.88</v>
      </c>
      <c r="M420" s="136">
        <f t="shared" si="35"/>
        <v>76</v>
      </c>
      <c r="N420" s="2">
        <v>76</v>
      </c>
      <c r="O420" s="2"/>
      <c r="P420" s="137" t="e">
        <f t="shared" si="36"/>
        <v>#DIV/0!</v>
      </c>
      <c r="Q420" s="137">
        <f t="shared" si="37"/>
        <v>0</v>
      </c>
      <c r="R420" s="138">
        <f>IF(N420="nio",0,IF(N420&gt;0,VLOOKUP(I420,'3-Productie normen'!A:V,VLOOKUP(N420,'3-Productie normen'!$B$35:$C$56,2,FALSE),FALSE)))/VLOOKUP(B420,'2-Kosten per locatie'!$A$11:$C$18,3,FALSE)</f>
        <v>0</v>
      </c>
      <c r="S420" s="138">
        <f t="shared" si="38"/>
        <v>0</v>
      </c>
      <c r="T420" s="139" t="str">
        <f>VLOOKUP(I420,'3-Productie normen'!A:AF,28,FALSE)</f>
        <v>L</v>
      </c>
      <c r="U420" s="140"/>
      <c r="W420" s="141">
        <f t="shared" si="39"/>
        <v>5538.8799999999992</v>
      </c>
    </row>
    <row r="421" spans="1:23" ht="13.9" customHeight="1">
      <c r="A421" s="132">
        <v>421</v>
      </c>
      <c r="B421" s="49" t="s">
        <v>1679</v>
      </c>
      <c r="C421" s="49" t="s">
        <v>1505</v>
      </c>
      <c r="D421" s="145" t="s">
        <v>268</v>
      </c>
      <c r="E421" s="146" t="s">
        <v>1006</v>
      </c>
      <c r="F421" s="146"/>
      <c r="G421" s="145" t="s">
        <v>242</v>
      </c>
      <c r="H421" s="145" t="s">
        <v>242</v>
      </c>
      <c r="I421" s="1" t="s">
        <v>242</v>
      </c>
      <c r="J421" s="149" t="s">
        <v>251</v>
      </c>
      <c r="K421" s="152" t="s">
        <v>1522</v>
      </c>
      <c r="L421" s="151">
        <v>1.42</v>
      </c>
      <c r="M421" s="136">
        <f t="shared" si="35"/>
        <v>2</v>
      </c>
      <c r="N421" s="2">
        <v>2</v>
      </c>
      <c r="O421" s="2"/>
      <c r="P421" s="137" t="e">
        <f t="shared" si="36"/>
        <v>#DIV/0!</v>
      </c>
      <c r="Q421" s="137">
        <f t="shared" si="37"/>
        <v>0</v>
      </c>
      <c r="R421" s="138">
        <f>IF(N421="nio",0,IF(N421&gt;0,VLOOKUP(I421,'3-Productie normen'!A:V,VLOOKUP(N421,'3-Productie normen'!$B$35:$C$56,2,FALSE),FALSE)))/VLOOKUP(B421,'2-Kosten per locatie'!$A$11:$C$18,3,FALSE)</f>
        <v>0</v>
      </c>
      <c r="S421" s="138">
        <f t="shared" si="38"/>
        <v>0</v>
      </c>
      <c r="T421" s="139" t="str">
        <f>VLOOKUP(I421,'3-Productie normen'!A:AF,28,FALSE)</f>
        <v>V</v>
      </c>
      <c r="U421" s="140"/>
      <c r="W421" s="141">
        <f t="shared" si="39"/>
        <v>2.84</v>
      </c>
    </row>
    <row r="422" spans="1:23" ht="13.9" customHeight="1">
      <c r="A422" s="132">
        <v>422</v>
      </c>
      <c r="B422" s="49" t="s">
        <v>1679</v>
      </c>
      <c r="C422" s="49" t="s">
        <v>1505</v>
      </c>
      <c r="D422" s="145" t="s">
        <v>271</v>
      </c>
      <c r="E422" s="146" t="s">
        <v>1007</v>
      </c>
      <c r="F422" s="146"/>
      <c r="G422" s="145" t="s">
        <v>275</v>
      </c>
      <c r="H422" s="145" t="s">
        <v>53</v>
      </c>
      <c r="I422" s="1" t="s">
        <v>233</v>
      </c>
      <c r="J422" s="149" t="s">
        <v>251</v>
      </c>
      <c r="K422" s="152" t="s">
        <v>1522</v>
      </c>
      <c r="L422" s="151">
        <v>19.97</v>
      </c>
      <c r="M422" s="136">
        <f t="shared" si="35"/>
        <v>190</v>
      </c>
      <c r="N422" s="2">
        <v>190</v>
      </c>
      <c r="O422" s="2"/>
      <c r="P422" s="137" t="e">
        <f t="shared" si="36"/>
        <v>#DIV/0!</v>
      </c>
      <c r="Q422" s="137">
        <f t="shared" si="37"/>
        <v>0</v>
      </c>
      <c r="R422" s="138">
        <f>IF(N422="nio",0,IF(N422&gt;0,VLOOKUP(I422,'3-Productie normen'!A:V,VLOOKUP(N422,'3-Productie normen'!$B$35:$C$56,2,FALSE),FALSE)))/VLOOKUP(B422,'2-Kosten per locatie'!$A$11:$C$18,3,FALSE)</f>
        <v>0</v>
      </c>
      <c r="S422" s="138">
        <f t="shared" si="38"/>
        <v>0</v>
      </c>
      <c r="T422" s="139" t="str">
        <f>VLOOKUP(I422,'3-Productie normen'!A:AF,28,FALSE)</f>
        <v>V</v>
      </c>
      <c r="U422" s="140"/>
      <c r="W422" s="141">
        <f t="shared" si="39"/>
        <v>3794.2999999999997</v>
      </c>
    </row>
    <row r="423" spans="1:23" ht="13.9" customHeight="1">
      <c r="A423" s="118">
        <v>423</v>
      </c>
      <c r="B423" s="49" t="s">
        <v>1679</v>
      </c>
      <c r="C423" s="49" t="s">
        <v>1505</v>
      </c>
      <c r="D423" s="145" t="s">
        <v>271</v>
      </c>
      <c r="E423" s="146" t="s">
        <v>1008</v>
      </c>
      <c r="F423" s="146"/>
      <c r="G423" s="145" t="s">
        <v>275</v>
      </c>
      <c r="H423" s="145" t="s">
        <v>53</v>
      </c>
      <c r="I423" s="1" t="s">
        <v>233</v>
      </c>
      <c r="J423" s="149" t="s">
        <v>251</v>
      </c>
      <c r="K423" s="152" t="s">
        <v>1522</v>
      </c>
      <c r="L423" s="151">
        <v>20.47</v>
      </c>
      <c r="M423" s="136">
        <f t="shared" si="35"/>
        <v>190</v>
      </c>
      <c r="N423" s="2">
        <v>190</v>
      </c>
      <c r="O423" s="2"/>
      <c r="P423" s="137" t="e">
        <f t="shared" si="36"/>
        <v>#DIV/0!</v>
      </c>
      <c r="Q423" s="137">
        <f t="shared" si="37"/>
        <v>0</v>
      </c>
      <c r="R423" s="138">
        <f>IF(N423="nio",0,IF(N423&gt;0,VLOOKUP(I423,'3-Productie normen'!A:V,VLOOKUP(N423,'3-Productie normen'!$B$35:$C$56,2,FALSE),FALSE)))/VLOOKUP(B423,'2-Kosten per locatie'!$A$11:$C$18,3,FALSE)</f>
        <v>0</v>
      </c>
      <c r="S423" s="138">
        <f t="shared" si="38"/>
        <v>0</v>
      </c>
      <c r="T423" s="139" t="str">
        <f>VLOOKUP(I423,'3-Productie normen'!A:AF,28,FALSE)</f>
        <v>V</v>
      </c>
      <c r="U423" s="140"/>
      <c r="W423" s="141">
        <f t="shared" si="39"/>
        <v>3889.2999999999997</v>
      </c>
    </row>
    <row r="424" spans="1:23" ht="13.9" customHeight="1">
      <c r="A424" s="132">
        <v>424</v>
      </c>
      <c r="B424" s="49" t="s">
        <v>1679</v>
      </c>
      <c r="C424" s="49" t="s">
        <v>1505</v>
      </c>
      <c r="D424" s="145" t="s">
        <v>271</v>
      </c>
      <c r="E424" s="146" t="s">
        <v>1009</v>
      </c>
      <c r="F424" s="146"/>
      <c r="G424" s="145" t="s">
        <v>276</v>
      </c>
      <c r="H424" s="145" t="s">
        <v>236</v>
      </c>
      <c r="I424" s="49" t="s">
        <v>1486</v>
      </c>
      <c r="J424" s="149" t="s">
        <v>251</v>
      </c>
      <c r="K424" s="152" t="s">
        <v>1522</v>
      </c>
      <c r="L424" s="151">
        <v>97.22</v>
      </c>
      <c r="M424" s="136">
        <f t="shared" si="35"/>
        <v>190</v>
      </c>
      <c r="N424" s="2">
        <v>190</v>
      </c>
      <c r="O424" s="2"/>
      <c r="P424" s="137" t="e">
        <f t="shared" si="36"/>
        <v>#DIV/0!</v>
      </c>
      <c r="Q424" s="137">
        <f t="shared" si="37"/>
        <v>0</v>
      </c>
      <c r="R424" s="138">
        <f>IF(N424="nio",0,IF(N424&gt;0,VLOOKUP(I424,'3-Productie normen'!A:V,VLOOKUP(N424,'3-Productie normen'!$B$35:$C$56,2,FALSE),FALSE)))/VLOOKUP(B424,'2-Kosten per locatie'!$A$11:$C$18,3,FALSE)</f>
        <v>0</v>
      </c>
      <c r="S424" s="138">
        <f t="shared" si="38"/>
        <v>0</v>
      </c>
      <c r="T424" s="139" t="str">
        <f>VLOOKUP(I424,'3-Productie normen'!A:AF,28,FALSE)</f>
        <v>V</v>
      </c>
      <c r="U424" s="140"/>
      <c r="W424" s="141">
        <f t="shared" si="39"/>
        <v>18471.8</v>
      </c>
    </row>
    <row r="425" spans="1:23" ht="13.9" customHeight="1">
      <c r="A425" s="132">
        <v>425</v>
      </c>
      <c r="B425" s="49" t="s">
        <v>1679</v>
      </c>
      <c r="C425" s="49" t="s">
        <v>1505</v>
      </c>
      <c r="D425" s="145" t="s">
        <v>271</v>
      </c>
      <c r="E425" s="146" t="s">
        <v>1010</v>
      </c>
      <c r="F425" s="146" t="s">
        <v>1011</v>
      </c>
      <c r="G425" s="145" t="s">
        <v>44</v>
      </c>
      <c r="H425" s="145" t="s">
        <v>255</v>
      </c>
      <c r="I425" s="145" t="s">
        <v>239</v>
      </c>
      <c r="J425" s="149" t="s">
        <v>896</v>
      </c>
      <c r="K425" s="150"/>
      <c r="L425" s="151">
        <v>1.78</v>
      </c>
      <c r="M425" s="136">
        <f t="shared" si="35"/>
        <v>0</v>
      </c>
      <c r="N425" s="2" t="s">
        <v>273</v>
      </c>
      <c r="O425" s="2"/>
      <c r="P425" s="137">
        <f t="shared" si="36"/>
        <v>0</v>
      </c>
      <c r="Q425" s="137">
        <f t="shared" si="37"/>
        <v>0</v>
      </c>
      <c r="R425" s="138">
        <f>IF(N425="nio",0,IF(N425&gt;0,VLOOKUP(I425,'3-Productie normen'!A:V,VLOOKUP(N425,'3-Productie normen'!$B$35:$C$56,2,FALSE),FALSE)))/VLOOKUP(B425,'2-Kosten per locatie'!$A$11:$C$18,3,FALSE)</f>
        <v>0</v>
      </c>
      <c r="S425" s="138">
        <f t="shared" si="38"/>
        <v>0</v>
      </c>
      <c r="T425" s="139">
        <f>VLOOKUP(I425,'3-Productie normen'!A:AF,28,FALSE)</f>
        <v>0</v>
      </c>
      <c r="U425" s="140"/>
      <c r="W425" s="141">
        <f t="shared" si="39"/>
        <v>0</v>
      </c>
    </row>
    <row r="426" spans="1:23" ht="13.9" customHeight="1">
      <c r="A426" s="118">
        <v>426</v>
      </c>
      <c r="B426" s="49" t="s">
        <v>1679</v>
      </c>
      <c r="C426" s="49" t="s">
        <v>1505</v>
      </c>
      <c r="D426" s="145" t="s">
        <v>271</v>
      </c>
      <c r="E426" s="146" t="s">
        <v>1012</v>
      </c>
      <c r="F426" s="146"/>
      <c r="G426" s="145" t="s">
        <v>237</v>
      </c>
      <c r="H426" s="145" t="s">
        <v>953</v>
      </c>
      <c r="I426" s="91" t="s">
        <v>239</v>
      </c>
      <c r="J426" s="149" t="s">
        <v>231</v>
      </c>
      <c r="K426" s="150"/>
      <c r="L426" s="151">
        <v>0</v>
      </c>
      <c r="M426" s="136">
        <f t="shared" si="35"/>
        <v>0</v>
      </c>
      <c r="N426" s="2" t="s">
        <v>273</v>
      </c>
      <c r="O426" s="2"/>
      <c r="P426" s="137">
        <f t="shared" si="36"/>
        <v>0</v>
      </c>
      <c r="Q426" s="137">
        <f t="shared" si="37"/>
        <v>0</v>
      </c>
      <c r="R426" s="138">
        <f>IF(N426="nio",0,IF(N426&gt;0,VLOOKUP(I426,'3-Productie normen'!A:V,VLOOKUP(N426,'3-Productie normen'!$B$35:$C$56,2,FALSE),FALSE)))/VLOOKUP(B426,'2-Kosten per locatie'!$A$11:$C$18,3,FALSE)</f>
        <v>0</v>
      </c>
      <c r="S426" s="138">
        <f t="shared" si="38"/>
        <v>0</v>
      </c>
      <c r="T426" s="139">
        <f>VLOOKUP(I426,'3-Productie normen'!A:AF,28,FALSE)</f>
        <v>0</v>
      </c>
      <c r="U426" s="140"/>
      <c r="W426" s="141">
        <f t="shared" si="39"/>
        <v>0</v>
      </c>
    </row>
    <row r="427" spans="1:23" ht="13.9" customHeight="1">
      <c r="A427" s="132">
        <v>427</v>
      </c>
      <c r="B427" s="49" t="s">
        <v>1679</v>
      </c>
      <c r="C427" s="49" t="s">
        <v>1505</v>
      </c>
      <c r="D427" s="145" t="s">
        <v>271</v>
      </c>
      <c r="E427" s="146" t="s">
        <v>1013</v>
      </c>
      <c r="F427" s="146"/>
      <c r="G427" s="145" t="s">
        <v>237</v>
      </c>
      <c r="H427" s="145" t="s">
        <v>953</v>
      </c>
      <c r="I427" s="91" t="s">
        <v>239</v>
      </c>
      <c r="J427" s="149" t="s">
        <v>231</v>
      </c>
      <c r="K427" s="150"/>
      <c r="L427" s="151">
        <v>0</v>
      </c>
      <c r="M427" s="136">
        <f t="shared" si="35"/>
        <v>0</v>
      </c>
      <c r="N427" s="2" t="s">
        <v>273</v>
      </c>
      <c r="O427" s="2"/>
      <c r="P427" s="137">
        <f t="shared" si="36"/>
        <v>0</v>
      </c>
      <c r="Q427" s="137">
        <f t="shared" si="37"/>
        <v>0</v>
      </c>
      <c r="R427" s="138">
        <f>IF(N427="nio",0,IF(N427&gt;0,VLOOKUP(I427,'3-Productie normen'!A:V,VLOOKUP(N427,'3-Productie normen'!$B$35:$C$56,2,FALSE),FALSE)))/VLOOKUP(B427,'2-Kosten per locatie'!$A$11:$C$18,3,FALSE)</f>
        <v>0</v>
      </c>
      <c r="S427" s="138">
        <f t="shared" si="38"/>
        <v>0</v>
      </c>
      <c r="T427" s="139">
        <f>VLOOKUP(I427,'3-Productie normen'!A:AF,28,FALSE)</f>
        <v>0</v>
      </c>
      <c r="U427" s="140"/>
      <c r="W427" s="141">
        <f t="shared" si="39"/>
        <v>0</v>
      </c>
    </row>
    <row r="428" spans="1:23" ht="13.9" customHeight="1">
      <c r="A428" s="132">
        <v>428</v>
      </c>
      <c r="B428" s="49" t="s">
        <v>1679</v>
      </c>
      <c r="C428" s="49" t="s">
        <v>1505</v>
      </c>
      <c r="D428" s="145" t="s">
        <v>271</v>
      </c>
      <c r="E428" s="146" t="s">
        <v>1014</v>
      </c>
      <c r="F428" s="146"/>
      <c r="G428" s="145" t="s">
        <v>237</v>
      </c>
      <c r="H428" s="145" t="s">
        <v>953</v>
      </c>
      <c r="I428" s="91" t="s">
        <v>239</v>
      </c>
      <c r="J428" s="149" t="s">
        <v>231</v>
      </c>
      <c r="K428" s="150"/>
      <c r="L428" s="151">
        <v>0</v>
      </c>
      <c r="M428" s="136">
        <f t="shared" si="35"/>
        <v>0</v>
      </c>
      <c r="N428" s="2" t="s">
        <v>273</v>
      </c>
      <c r="O428" s="2"/>
      <c r="P428" s="137">
        <f t="shared" si="36"/>
        <v>0</v>
      </c>
      <c r="Q428" s="137">
        <f t="shared" si="37"/>
        <v>0</v>
      </c>
      <c r="R428" s="138">
        <f>IF(N428="nio",0,IF(N428&gt;0,VLOOKUP(I428,'3-Productie normen'!A:V,VLOOKUP(N428,'3-Productie normen'!$B$35:$C$56,2,FALSE),FALSE)))/VLOOKUP(B428,'2-Kosten per locatie'!$A$11:$C$18,3,FALSE)</f>
        <v>0</v>
      </c>
      <c r="S428" s="138">
        <f t="shared" si="38"/>
        <v>0</v>
      </c>
      <c r="T428" s="139">
        <f>VLOOKUP(I428,'3-Productie normen'!A:AF,28,FALSE)</f>
        <v>0</v>
      </c>
      <c r="U428" s="140"/>
      <c r="W428" s="141">
        <f t="shared" si="39"/>
        <v>0</v>
      </c>
    </row>
    <row r="429" spans="1:23" ht="13.9" customHeight="1">
      <c r="A429" s="118">
        <v>429</v>
      </c>
      <c r="B429" s="49" t="s">
        <v>1679</v>
      </c>
      <c r="C429" s="49" t="s">
        <v>1505</v>
      </c>
      <c r="D429" s="145" t="s">
        <v>271</v>
      </c>
      <c r="E429" s="146" t="s">
        <v>1015</v>
      </c>
      <c r="F429" s="146" t="s">
        <v>362</v>
      </c>
      <c r="G429" s="145" t="s">
        <v>44</v>
      </c>
      <c r="H429" s="145" t="s">
        <v>258</v>
      </c>
      <c r="I429" s="145" t="s">
        <v>259</v>
      </c>
      <c r="J429" s="149" t="s">
        <v>256</v>
      </c>
      <c r="K429" s="150"/>
      <c r="L429" s="151">
        <v>2.25</v>
      </c>
      <c r="M429" s="136">
        <f t="shared" si="35"/>
        <v>190</v>
      </c>
      <c r="N429" s="2">
        <v>190</v>
      </c>
      <c r="O429" s="2"/>
      <c r="P429" s="137" t="e">
        <f t="shared" si="36"/>
        <v>#DIV/0!</v>
      </c>
      <c r="Q429" s="137">
        <f t="shared" si="37"/>
        <v>0</v>
      </c>
      <c r="R429" s="138">
        <f>IF(N429="nio",0,IF(N429&gt;0,VLOOKUP(I429,'3-Productie normen'!A:V,VLOOKUP(N429,'3-Productie normen'!$B$35:$C$56,2,FALSE),FALSE)))/VLOOKUP(B429,'2-Kosten per locatie'!$A$11:$C$18,3,FALSE)</f>
        <v>0</v>
      </c>
      <c r="S429" s="138">
        <f t="shared" si="38"/>
        <v>0</v>
      </c>
      <c r="T429" s="139" t="str">
        <f>VLOOKUP(I429,'3-Productie normen'!A:AF,28,FALSE)</f>
        <v>S</v>
      </c>
      <c r="U429" s="140"/>
      <c r="W429" s="141">
        <f t="shared" si="39"/>
        <v>427.5</v>
      </c>
    </row>
    <row r="430" spans="1:23" ht="13.9" customHeight="1">
      <c r="A430" s="132">
        <v>430</v>
      </c>
      <c r="B430" s="49" t="s">
        <v>1679</v>
      </c>
      <c r="C430" s="49" t="s">
        <v>1505</v>
      </c>
      <c r="D430" s="145" t="s">
        <v>271</v>
      </c>
      <c r="E430" s="146" t="s">
        <v>1016</v>
      </c>
      <c r="F430" s="146" t="s">
        <v>1017</v>
      </c>
      <c r="G430" s="145" t="s">
        <v>44</v>
      </c>
      <c r="H430" s="145" t="s">
        <v>260</v>
      </c>
      <c r="I430" s="145" t="s">
        <v>259</v>
      </c>
      <c r="J430" s="149" t="s">
        <v>256</v>
      </c>
      <c r="K430" s="150"/>
      <c r="L430" s="151">
        <v>0.91</v>
      </c>
      <c r="M430" s="136">
        <f t="shared" si="35"/>
        <v>190</v>
      </c>
      <c r="N430" s="2">
        <v>190</v>
      </c>
      <c r="O430" s="2"/>
      <c r="P430" s="137" t="e">
        <f t="shared" si="36"/>
        <v>#DIV/0!</v>
      </c>
      <c r="Q430" s="137">
        <f t="shared" si="37"/>
        <v>0</v>
      </c>
      <c r="R430" s="138">
        <f>IF(N430="nio",0,IF(N430&gt;0,VLOOKUP(I430,'3-Productie normen'!A:V,VLOOKUP(N430,'3-Productie normen'!$B$35:$C$56,2,FALSE),FALSE)))/VLOOKUP(B430,'2-Kosten per locatie'!$A$11:$C$18,3,FALSE)</f>
        <v>0</v>
      </c>
      <c r="S430" s="138">
        <f t="shared" si="38"/>
        <v>0</v>
      </c>
      <c r="T430" s="139" t="str">
        <f>VLOOKUP(I430,'3-Productie normen'!A:AF,28,FALSE)</f>
        <v>S</v>
      </c>
      <c r="U430" s="140"/>
      <c r="W430" s="141">
        <f t="shared" si="39"/>
        <v>172.9</v>
      </c>
    </row>
    <row r="431" spans="1:23" ht="13.9" customHeight="1">
      <c r="A431" s="132">
        <v>431</v>
      </c>
      <c r="B431" s="49" t="s">
        <v>1679</v>
      </c>
      <c r="C431" s="49" t="s">
        <v>1505</v>
      </c>
      <c r="D431" s="145" t="s">
        <v>271</v>
      </c>
      <c r="E431" s="146" t="s">
        <v>1018</v>
      </c>
      <c r="F431" s="146" t="s">
        <v>1019</v>
      </c>
      <c r="G431" s="145" t="s">
        <v>44</v>
      </c>
      <c r="H431" s="145" t="s">
        <v>260</v>
      </c>
      <c r="I431" s="145" t="s">
        <v>259</v>
      </c>
      <c r="J431" s="149" t="s">
        <v>256</v>
      </c>
      <c r="K431" s="150"/>
      <c r="L431" s="151">
        <v>0.95</v>
      </c>
      <c r="M431" s="136">
        <f t="shared" si="35"/>
        <v>190</v>
      </c>
      <c r="N431" s="2">
        <v>190</v>
      </c>
      <c r="O431" s="2"/>
      <c r="P431" s="137" t="e">
        <f t="shared" si="36"/>
        <v>#DIV/0!</v>
      </c>
      <c r="Q431" s="137">
        <f t="shared" si="37"/>
        <v>0</v>
      </c>
      <c r="R431" s="138">
        <f>IF(N431="nio",0,IF(N431&gt;0,VLOOKUP(I431,'3-Productie normen'!A:V,VLOOKUP(N431,'3-Productie normen'!$B$35:$C$56,2,FALSE),FALSE)))/VLOOKUP(B431,'2-Kosten per locatie'!$A$11:$C$18,3,FALSE)</f>
        <v>0</v>
      </c>
      <c r="S431" s="138">
        <f t="shared" si="38"/>
        <v>0</v>
      </c>
      <c r="T431" s="139" t="str">
        <f>VLOOKUP(I431,'3-Productie normen'!A:AF,28,FALSE)</f>
        <v>S</v>
      </c>
      <c r="U431" s="140"/>
      <c r="W431" s="141">
        <f t="shared" si="39"/>
        <v>180.5</v>
      </c>
    </row>
    <row r="432" spans="1:23" ht="13.9" customHeight="1">
      <c r="A432" s="118">
        <v>432</v>
      </c>
      <c r="B432" s="49" t="s">
        <v>1679</v>
      </c>
      <c r="C432" s="49" t="s">
        <v>1505</v>
      </c>
      <c r="D432" s="145" t="s">
        <v>271</v>
      </c>
      <c r="E432" s="146" t="s">
        <v>1020</v>
      </c>
      <c r="F432" s="146" t="s">
        <v>1021</v>
      </c>
      <c r="G432" s="145" t="s">
        <v>44</v>
      </c>
      <c r="H432" s="145" t="s">
        <v>258</v>
      </c>
      <c r="I432" s="145" t="s">
        <v>259</v>
      </c>
      <c r="J432" s="149" t="s">
        <v>256</v>
      </c>
      <c r="K432" s="150"/>
      <c r="L432" s="151">
        <v>2.87</v>
      </c>
      <c r="M432" s="136">
        <f t="shared" si="35"/>
        <v>190</v>
      </c>
      <c r="N432" s="2">
        <v>190</v>
      </c>
      <c r="O432" s="2"/>
      <c r="P432" s="137" t="e">
        <f t="shared" si="36"/>
        <v>#DIV/0!</v>
      </c>
      <c r="Q432" s="137">
        <f t="shared" si="37"/>
        <v>0</v>
      </c>
      <c r="R432" s="138">
        <f>IF(N432="nio",0,IF(N432&gt;0,VLOOKUP(I432,'3-Productie normen'!A:V,VLOOKUP(N432,'3-Productie normen'!$B$35:$C$56,2,FALSE),FALSE)))/VLOOKUP(B432,'2-Kosten per locatie'!$A$11:$C$18,3,FALSE)</f>
        <v>0</v>
      </c>
      <c r="S432" s="138">
        <f t="shared" si="38"/>
        <v>0</v>
      </c>
      <c r="T432" s="139" t="str">
        <f>VLOOKUP(I432,'3-Productie normen'!A:AF,28,FALSE)</f>
        <v>S</v>
      </c>
      <c r="U432" s="140"/>
      <c r="W432" s="141">
        <f t="shared" si="39"/>
        <v>545.30000000000007</v>
      </c>
    </row>
    <row r="433" spans="1:23" ht="13.9" customHeight="1">
      <c r="A433" s="132">
        <v>433</v>
      </c>
      <c r="B433" s="49" t="s">
        <v>1679</v>
      </c>
      <c r="C433" s="49" t="s">
        <v>1505</v>
      </c>
      <c r="D433" s="145" t="s">
        <v>271</v>
      </c>
      <c r="E433" s="146" t="s">
        <v>1022</v>
      </c>
      <c r="F433" s="146" t="s">
        <v>1023</v>
      </c>
      <c r="G433" s="145" t="s">
        <v>44</v>
      </c>
      <c r="H433" s="145" t="s">
        <v>260</v>
      </c>
      <c r="I433" s="145" t="s">
        <v>259</v>
      </c>
      <c r="J433" s="149" t="s">
        <v>256</v>
      </c>
      <c r="K433" s="150"/>
      <c r="L433" s="151">
        <v>0.89</v>
      </c>
      <c r="M433" s="136">
        <f t="shared" si="35"/>
        <v>190</v>
      </c>
      <c r="N433" s="2">
        <v>190</v>
      </c>
      <c r="O433" s="2"/>
      <c r="P433" s="137" t="e">
        <f t="shared" si="36"/>
        <v>#DIV/0!</v>
      </c>
      <c r="Q433" s="137">
        <f t="shared" si="37"/>
        <v>0</v>
      </c>
      <c r="R433" s="138">
        <f>IF(N433="nio",0,IF(N433&gt;0,VLOOKUP(I433,'3-Productie normen'!A:V,VLOOKUP(N433,'3-Productie normen'!$B$35:$C$56,2,FALSE),FALSE)))/VLOOKUP(B433,'2-Kosten per locatie'!$A$11:$C$18,3,FALSE)</f>
        <v>0</v>
      </c>
      <c r="S433" s="138">
        <f t="shared" si="38"/>
        <v>0</v>
      </c>
      <c r="T433" s="139" t="str">
        <f>VLOOKUP(I433,'3-Productie normen'!A:AF,28,FALSE)</f>
        <v>S</v>
      </c>
      <c r="U433" s="140"/>
      <c r="W433" s="141">
        <f t="shared" si="39"/>
        <v>169.1</v>
      </c>
    </row>
    <row r="434" spans="1:23" ht="13.9" customHeight="1">
      <c r="A434" s="132">
        <v>434</v>
      </c>
      <c r="B434" s="49" t="s">
        <v>1679</v>
      </c>
      <c r="C434" s="49" t="s">
        <v>1505</v>
      </c>
      <c r="D434" s="145" t="s">
        <v>271</v>
      </c>
      <c r="E434" s="146" t="s">
        <v>1024</v>
      </c>
      <c r="F434" s="146" t="s">
        <v>1023</v>
      </c>
      <c r="G434" s="145" t="s">
        <v>44</v>
      </c>
      <c r="H434" s="145" t="s">
        <v>260</v>
      </c>
      <c r="I434" s="145" t="s">
        <v>259</v>
      </c>
      <c r="J434" s="149" t="s">
        <v>256</v>
      </c>
      <c r="K434" s="150"/>
      <c r="L434" s="151">
        <v>0.89</v>
      </c>
      <c r="M434" s="136">
        <f t="shared" si="35"/>
        <v>190</v>
      </c>
      <c r="N434" s="2">
        <v>190</v>
      </c>
      <c r="O434" s="2"/>
      <c r="P434" s="137" t="e">
        <f t="shared" si="36"/>
        <v>#DIV/0!</v>
      </c>
      <c r="Q434" s="137">
        <f t="shared" si="37"/>
        <v>0</v>
      </c>
      <c r="R434" s="138">
        <f>IF(N434="nio",0,IF(N434&gt;0,VLOOKUP(I434,'3-Productie normen'!A:V,VLOOKUP(N434,'3-Productie normen'!$B$35:$C$56,2,FALSE),FALSE)))/VLOOKUP(B434,'2-Kosten per locatie'!$A$11:$C$18,3,FALSE)</f>
        <v>0</v>
      </c>
      <c r="S434" s="138">
        <f t="shared" si="38"/>
        <v>0</v>
      </c>
      <c r="T434" s="139" t="str">
        <f>VLOOKUP(I434,'3-Productie normen'!A:AF,28,FALSE)</f>
        <v>S</v>
      </c>
      <c r="U434" s="140"/>
      <c r="W434" s="141">
        <f t="shared" si="39"/>
        <v>169.1</v>
      </c>
    </row>
    <row r="435" spans="1:23" ht="13.9" customHeight="1">
      <c r="A435" s="118">
        <v>435</v>
      </c>
      <c r="B435" s="49" t="s">
        <v>1679</v>
      </c>
      <c r="C435" s="49" t="s">
        <v>1505</v>
      </c>
      <c r="D435" s="145" t="s">
        <v>271</v>
      </c>
      <c r="E435" s="146" t="s">
        <v>1025</v>
      </c>
      <c r="F435" s="146" t="s">
        <v>1026</v>
      </c>
      <c r="G435" s="145" t="s">
        <v>264</v>
      </c>
      <c r="H435" s="145" t="s">
        <v>265</v>
      </c>
      <c r="I435" s="145" t="s">
        <v>284</v>
      </c>
      <c r="J435" s="149" t="s">
        <v>251</v>
      </c>
      <c r="K435" s="152" t="s">
        <v>1522</v>
      </c>
      <c r="L435" s="151">
        <v>45.62</v>
      </c>
      <c r="M435" s="136">
        <f t="shared" si="35"/>
        <v>76</v>
      </c>
      <c r="N435" s="2">
        <v>76</v>
      </c>
      <c r="O435" s="2"/>
      <c r="P435" s="137" t="e">
        <f t="shared" si="36"/>
        <v>#DIV/0!</v>
      </c>
      <c r="Q435" s="137">
        <f t="shared" si="37"/>
        <v>0</v>
      </c>
      <c r="R435" s="138">
        <f>IF(N435="nio",0,IF(N435&gt;0,VLOOKUP(I435,'3-Productie normen'!A:V,VLOOKUP(N435,'3-Productie normen'!$B$35:$C$56,2,FALSE),FALSE)))/VLOOKUP(B435,'2-Kosten per locatie'!$A$11:$C$18,3,FALSE)</f>
        <v>0</v>
      </c>
      <c r="S435" s="138">
        <f t="shared" si="38"/>
        <v>0</v>
      </c>
      <c r="T435" s="139" t="str">
        <f>VLOOKUP(I435,'3-Productie normen'!A:AF,28,FALSE)</f>
        <v>L</v>
      </c>
      <c r="U435" s="140"/>
      <c r="W435" s="141">
        <f t="shared" si="39"/>
        <v>3467.12</v>
      </c>
    </row>
    <row r="436" spans="1:23" ht="13.9" customHeight="1">
      <c r="A436" s="132">
        <v>436</v>
      </c>
      <c r="B436" s="49" t="s">
        <v>1679</v>
      </c>
      <c r="C436" s="49" t="s">
        <v>1505</v>
      </c>
      <c r="D436" s="145" t="s">
        <v>271</v>
      </c>
      <c r="E436" s="146" t="s">
        <v>1027</v>
      </c>
      <c r="F436" s="146" t="s">
        <v>1028</v>
      </c>
      <c r="G436" s="145" t="s">
        <v>264</v>
      </c>
      <c r="H436" s="145" t="s">
        <v>265</v>
      </c>
      <c r="I436" s="145" t="s">
        <v>284</v>
      </c>
      <c r="J436" s="149" t="s">
        <v>251</v>
      </c>
      <c r="K436" s="152" t="s">
        <v>1522</v>
      </c>
      <c r="L436" s="151">
        <v>71.98</v>
      </c>
      <c r="M436" s="136">
        <f t="shared" si="35"/>
        <v>76</v>
      </c>
      <c r="N436" s="2">
        <v>76</v>
      </c>
      <c r="O436" s="2"/>
      <c r="P436" s="137" t="e">
        <f t="shared" si="36"/>
        <v>#DIV/0!</v>
      </c>
      <c r="Q436" s="137">
        <f t="shared" si="37"/>
        <v>0</v>
      </c>
      <c r="R436" s="138">
        <f>IF(N436="nio",0,IF(N436&gt;0,VLOOKUP(I436,'3-Productie normen'!A:V,VLOOKUP(N436,'3-Productie normen'!$B$35:$C$56,2,FALSE),FALSE)))/VLOOKUP(B436,'2-Kosten per locatie'!$A$11:$C$18,3,FALSE)</f>
        <v>0</v>
      </c>
      <c r="S436" s="138">
        <f t="shared" si="38"/>
        <v>0</v>
      </c>
      <c r="T436" s="139" t="str">
        <f>VLOOKUP(I436,'3-Productie normen'!A:AF,28,FALSE)</f>
        <v>L</v>
      </c>
      <c r="U436" s="140"/>
      <c r="W436" s="141">
        <f t="shared" si="39"/>
        <v>5470.4800000000005</v>
      </c>
    </row>
    <row r="437" spans="1:23" ht="13.9" customHeight="1">
      <c r="A437" s="132">
        <v>437</v>
      </c>
      <c r="B437" s="49" t="s">
        <v>1679</v>
      </c>
      <c r="C437" s="49" t="s">
        <v>1505</v>
      </c>
      <c r="D437" s="145" t="s">
        <v>271</v>
      </c>
      <c r="E437" s="146" t="s">
        <v>1029</v>
      </c>
      <c r="F437" s="146" t="s">
        <v>1030</v>
      </c>
      <c r="G437" s="145" t="s">
        <v>243</v>
      </c>
      <c r="H437" s="145" t="s">
        <v>252</v>
      </c>
      <c r="I437" s="1" t="s">
        <v>48</v>
      </c>
      <c r="J437" s="149" t="s">
        <v>251</v>
      </c>
      <c r="K437" s="152" t="s">
        <v>1522</v>
      </c>
      <c r="L437" s="151">
        <v>1.65</v>
      </c>
      <c r="M437" s="136">
        <f t="shared" si="35"/>
        <v>190</v>
      </c>
      <c r="N437" s="2">
        <v>190</v>
      </c>
      <c r="O437" s="2"/>
      <c r="P437" s="137" t="e">
        <f t="shared" si="36"/>
        <v>#DIV/0!</v>
      </c>
      <c r="Q437" s="137">
        <f t="shared" si="37"/>
        <v>0</v>
      </c>
      <c r="R437" s="138">
        <f>IF(N437="nio",0,IF(N437&gt;0,VLOOKUP(I437,'3-Productie normen'!A:V,VLOOKUP(N437,'3-Productie normen'!$B$35:$C$56,2,FALSE),FALSE)))/VLOOKUP(B437,'2-Kosten per locatie'!$A$11:$C$18,3,FALSE)</f>
        <v>0</v>
      </c>
      <c r="S437" s="138">
        <f t="shared" si="38"/>
        <v>0</v>
      </c>
      <c r="T437" s="139" t="str">
        <f>VLOOKUP(I437,'3-Productie normen'!A:AF,28,FALSE)</f>
        <v>V</v>
      </c>
      <c r="U437" s="140"/>
      <c r="W437" s="141">
        <f t="shared" si="39"/>
        <v>313.5</v>
      </c>
    </row>
    <row r="438" spans="1:23" ht="13.9" customHeight="1">
      <c r="A438" s="118">
        <v>438</v>
      </c>
      <c r="B438" s="49" t="s">
        <v>1679</v>
      </c>
      <c r="C438" s="49" t="s">
        <v>1505</v>
      </c>
      <c r="D438" s="145" t="s">
        <v>271</v>
      </c>
      <c r="E438" s="146" t="s">
        <v>1031</v>
      </c>
      <c r="F438" s="146" t="s">
        <v>1032</v>
      </c>
      <c r="G438" s="145" t="s">
        <v>242</v>
      </c>
      <c r="H438" s="145" t="s">
        <v>242</v>
      </c>
      <c r="I438" s="1" t="s">
        <v>242</v>
      </c>
      <c r="J438" s="149" t="s">
        <v>251</v>
      </c>
      <c r="K438" s="152" t="s">
        <v>1522</v>
      </c>
      <c r="L438" s="151">
        <v>0.86</v>
      </c>
      <c r="M438" s="136">
        <f t="shared" si="35"/>
        <v>2</v>
      </c>
      <c r="N438" s="2">
        <v>2</v>
      </c>
      <c r="O438" s="2"/>
      <c r="P438" s="137" t="e">
        <f t="shared" si="36"/>
        <v>#DIV/0!</v>
      </c>
      <c r="Q438" s="137">
        <f t="shared" si="37"/>
        <v>0</v>
      </c>
      <c r="R438" s="138">
        <f>IF(N438="nio",0,IF(N438&gt;0,VLOOKUP(I438,'3-Productie normen'!A:V,VLOOKUP(N438,'3-Productie normen'!$B$35:$C$56,2,FALSE),FALSE)))/VLOOKUP(B438,'2-Kosten per locatie'!$A$11:$C$18,3,FALSE)</f>
        <v>0</v>
      </c>
      <c r="S438" s="138">
        <f t="shared" si="38"/>
        <v>0</v>
      </c>
      <c r="T438" s="139" t="str">
        <f>VLOOKUP(I438,'3-Productie normen'!A:AF,28,FALSE)</f>
        <v>V</v>
      </c>
      <c r="U438" s="140"/>
      <c r="W438" s="141">
        <f t="shared" si="39"/>
        <v>1.72</v>
      </c>
    </row>
    <row r="439" spans="1:23" ht="13.9" customHeight="1">
      <c r="A439" s="132">
        <v>439</v>
      </c>
      <c r="B439" s="49" t="s">
        <v>1679</v>
      </c>
      <c r="C439" s="49" t="s">
        <v>1505</v>
      </c>
      <c r="D439" s="145" t="s">
        <v>271</v>
      </c>
      <c r="E439" s="146" t="s">
        <v>1033</v>
      </c>
      <c r="F439" s="146" t="s">
        <v>1032</v>
      </c>
      <c r="G439" s="145" t="s">
        <v>242</v>
      </c>
      <c r="H439" s="145" t="s">
        <v>242</v>
      </c>
      <c r="I439" s="1" t="s">
        <v>242</v>
      </c>
      <c r="J439" s="149" t="s">
        <v>251</v>
      </c>
      <c r="K439" s="152" t="s">
        <v>1522</v>
      </c>
      <c r="L439" s="151">
        <v>0.86</v>
      </c>
      <c r="M439" s="136">
        <f t="shared" si="35"/>
        <v>2</v>
      </c>
      <c r="N439" s="2">
        <v>2</v>
      </c>
      <c r="O439" s="2"/>
      <c r="P439" s="137" t="e">
        <f t="shared" si="36"/>
        <v>#DIV/0!</v>
      </c>
      <c r="Q439" s="137">
        <f t="shared" si="37"/>
        <v>0</v>
      </c>
      <c r="R439" s="138">
        <f>IF(N439="nio",0,IF(N439&gt;0,VLOOKUP(I439,'3-Productie normen'!A:V,VLOOKUP(N439,'3-Productie normen'!$B$35:$C$56,2,FALSE),FALSE)))/VLOOKUP(B439,'2-Kosten per locatie'!$A$11:$C$18,3,FALSE)</f>
        <v>0</v>
      </c>
      <c r="S439" s="138">
        <f t="shared" si="38"/>
        <v>0</v>
      </c>
      <c r="T439" s="139" t="str">
        <f>VLOOKUP(I439,'3-Productie normen'!A:AF,28,FALSE)</f>
        <v>V</v>
      </c>
      <c r="U439" s="140"/>
      <c r="W439" s="141">
        <f t="shared" si="39"/>
        <v>1.72</v>
      </c>
    </row>
    <row r="440" spans="1:23" ht="13.9" customHeight="1">
      <c r="A440" s="132">
        <v>440</v>
      </c>
      <c r="B440" s="49" t="s">
        <v>1679</v>
      </c>
      <c r="C440" s="49" t="s">
        <v>1505</v>
      </c>
      <c r="D440" s="145" t="s">
        <v>271</v>
      </c>
      <c r="E440" s="146" t="s">
        <v>1034</v>
      </c>
      <c r="F440" s="146" t="s">
        <v>372</v>
      </c>
      <c r="G440" s="145" t="s">
        <v>242</v>
      </c>
      <c r="H440" s="145" t="s">
        <v>242</v>
      </c>
      <c r="I440" s="1" t="s">
        <v>242</v>
      </c>
      <c r="J440" s="149" t="s">
        <v>231</v>
      </c>
      <c r="K440" s="150"/>
      <c r="L440" s="151">
        <v>1.48</v>
      </c>
      <c r="M440" s="136">
        <f t="shared" si="35"/>
        <v>2</v>
      </c>
      <c r="N440" s="2">
        <v>2</v>
      </c>
      <c r="O440" s="2"/>
      <c r="P440" s="137" t="e">
        <f t="shared" si="36"/>
        <v>#DIV/0!</v>
      </c>
      <c r="Q440" s="137">
        <f t="shared" si="37"/>
        <v>0</v>
      </c>
      <c r="R440" s="138">
        <f>IF(N440="nio",0,IF(N440&gt;0,VLOOKUP(I440,'3-Productie normen'!A:V,VLOOKUP(N440,'3-Productie normen'!$B$35:$C$56,2,FALSE),FALSE)))/VLOOKUP(B440,'2-Kosten per locatie'!$A$11:$C$18,3,FALSE)</f>
        <v>0</v>
      </c>
      <c r="S440" s="138">
        <f t="shared" si="38"/>
        <v>0</v>
      </c>
      <c r="T440" s="139" t="str">
        <f>VLOOKUP(I440,'3-Productie normen'!A:AF,28,FALSE)</f>
        <v>V</v>
      </c>
      <c r="U440" s="140"/>
      <c r="W440" s="141">
        <f t="shared" si="39"/>
        <v>2.96</v>
      </c>
    </row>
    <row r="441" spans="1:23" ht="13.9" customHeight="1">
      <c r="A441" s="118">
        <v>441</v>
      </c>
      <c r="B441" s="49" t="s">
        <v>1679</v>
      </c>
      <c r="C441" s="49" t="s">
        <v>1505</v>
      </c>
      <c r="D441" s="145" t="s">
        <v>271</v>
      </c>
      <c r="E441" s="146" t="s">
        <v>1035</v>
      </c>
      <c r="F441" s="146" t="s">
        <v>1036</v>
      </c>
      <c r="G441" s="145" t="s">
        <v>264</v>
      </c>
      <c r="H441" s="145" t="s">
        <v>265</v>
      </c>
      <c r="I441" s="145" t="s">
        <v>284</v>
      </c>
      <c r="J441" s="149" t="s">
        <v>251</v>
      </c>
      <c r="K441" s="152" t="s">
        <v>1522</v>
      </c>
      <c r="L441" s="151">
        <v>72.709999999999994</v>
      </c>
      <c r="M441" s="136">
        <f t="shared" si="35"/>
        <v>76</v>
      </c>
      <c r="N441" s="2">
        <v>76</v>
      </c>
      <c r="O441" s="2"/>
      <c r="P441" s="137" t="e">
        <f t="shared" si="36"/>
        <v>#DIV/0!</v>
      </c>
      <c r="Q441" s="137">
        <f t="shared" si="37"/>
        <v>0</v>
      </c>
      <c r="R441" s="138">
        <f>IF(N441="nio",0,IF(N441&gt;0,VLOOKUP(I441,'3-Productie normen'!A:V,VLOOKUP(N441,'3-Productie normen'!$B$35:$C$56,2,FALSE),FALSE)))/VLOOKUP(B441,'2-Kosten per locatie'!$A$11:$C$18,3,FALSE)</f>
        <v>0</v>
      </c>
      <c r="S441" s="138">
        <f t="shared" si="38"/>
        <v>0</v>
      </c>
      <c r="T441" s="139" t="str">
        <f>VLOOKUP(I441,'3-Productie normen'!A:AF,28,FALSE)</f>
        <v>L</v>
      </c>
      <c r="U441" s="140"/>
      <c r="W441" s="141">
        <f t="shared" si="39"/>
        <v>5525.9599999999991</v>
      </c>
    </row>
    <row r="442" spans="1:23" ht="13.9" customHeight="1">
      <c r="A442" s="132">
        <v>442</v>
      </c>
      <c r="B442" s="49" t="s">
        <v>1679</v>
      </c>
      <c r="C442" s="49" t="s">
        <v>1505</v>
      </c>
      <c r="D442" s="145" t="s">
        <v>271</v>
      </c>
      <c r="E442" s="146" t="s">
        <v>1037</v>
      </c>
      <c r="F442" s="146" t="s">
        <v>1017</v>
      </c>
      <c r="G442" s="145" t="s">
        <v>242</v>
      </c>
      <c r="H442" s="145" t="s">
        <v>242</v>
      </c>
      <c r="I442" s="1" t="s">
        <v>242</v>
      </c>
      <c r="J442" s="149" t="s">
        <v>251</v>
      </c>
      <c r="K442" s="152" t="s">
        <v>1522</v>
      </c>
      <c r="L442" s="151">
        <v>0.91</v>
      </c>
      <c r="M442" s="136">
        <f t="shared" si="35"/>
        <v>2</v>
      </c>
      <c r="N442" s="2">
        <v>2</v>
      </c>
      <c r="O442" s="2"/>
      <c r="P442" s="137" t="e">
        <f t="shared" si="36"/>
        <v>#DIV/0!</v>
      </c>
      <c r="Q442" s="137">
        <f t="shared" si="37"/>
        <v>0</v>
      </c>
      <c r="R442" s="138">
        <f>IF(N442="nio",0,IF(N442&gt;0,VLOOKUP(I442,'3-Productie normen'!A:V,VLOOKUP(N442,'3-Productie normen'!$B$35:$C$56,2,FALSE),FALSE)))/VLOOKUP(B442,'2-Kosten per locatie'!$A$11:$C$18,3,FALSE)</f>
        <v>0</v>
      </c>
      <c r="S442" s="138">
        <f t="shared" si="38"/>
        <v>0</v>
      </c>
      <c r="T442" s="139" t="str">
        <f>VLOOKUP(I442,'3-Productie normen'!A:AF,28,FALSE)</f>
        <v>V</v>
      </c>
      <c r="U442" s="140"/>
      <c r="W442" s="141">
        <f t="shared" si="39"/>
        <v>1.82</v>
      </c>
    </row>
    <row r="443" spans="1:23" ht="13.9" customHeight="1">
      <c r="A443" s="132">
        <v>443</v>
      </c>
      <c r="B443" s="49" t="s">
        <v>1679</v>
      </c>
      <c r="C443" s="49" t="s">
        <v>1505</v>
      </c>
      <c r="D443" s="145" t="s">
        <v>271</v>
      </c>
      <c r="E443" s="146" t="s">
        <v>1038</v>
      </c>
      <c r="F443" s="146" t="s">
        <v>372</v>
      </c>
      <c r="G443" s="145" t="s">
        <v>243</v>
      </c>
      <c r="H443" s="145" t="s">
        <v>252</v>
      </c>
      <c r="I443" s="1" t="s">
        <v>48</v>
      </c>
      <c r="J443" s="149" t="s">
        <v>251</v>
      </c>
      <c r="K443" s="152" t="s">
        <v>1522</v>
      </c>
      <c r="L443" s="151">
        <v>1.48</v>
      </c>
      <c r="M443" s="136">
        <f t="shared" si="35"/>
        <v>190</v>
      </c>
      <c r="N443" s="2">
        <v>190</v>
      </c>
      <c r="O443" s="2"/>
      <c r="P443" s="137" t="e">
        <f t="shared" si="36"/>
        <v>#DIV/0!</v>
      </c>
      <c r="Q443" s="137">
        <f t="shared" si="37"/>
        <v>0</v>
      </c>
      <c r="R443" s="138">
        <f>IF(N443="nio",0,IF(N443&gt;0,VLOOKUP(I443,'3-Productie normen'!A:V,VLOOKUP(N443,'3-Productie normen'!$B$35:$C$56,2,FALSE),FALSE)))/VLOOKUP(B443,'2-Kosten per locatie'!$A$11:$C$18,3,FALSE)</f>
        <v>0</v>
      </c>
      <c r="S443" s="138">
        <f t="shared" si="38"/>
        <v>0</v>
      </c>
      <c r="T443" s="139" t="str">
        <f>VLOOKUP(I443,'3-Productie normen'!A:AF,28,FALSE)</f>
        <v>V</v>
      </c>
      <c r="U443" s="140"/>
      <c r="W443" s="141">
        <f t="shared" si="39"/>
        <v>281.2</v>
      </c>
    </row>
    <row r="444" spans="1:23" ht="13.9" customHeight="1">
      <c r="A444" s="118">
        <v>444</v>
      </c>
      <c r="B444" s="49" t="s">
        <v>1679</v>
      </c>
      <c r="C444" s="49" t="s">
        <v>1505</v>
      </c>
      <c r="D444" s="145" t="s">
        <v>271</v>
      </c>
      <c r="E444" s="146" t="s">
        <v>1039</v>
      </c>
      <c r="F444" s="146" t="s">
        <v>1032</v>
      </c>
      <c r="G444" s="145" t="s">
        <v>264</v>
      </c>
      <c r="H444" s="145" t="s">
        <v>265</v>
      </c>
      <c r="I444" s="145" t="s">
        <v>284</v>
      </c>
      <c r="J444" s="149" t="s">
        <v>251</v>
      </c>
      <c r="K444" s="152" t="s">
        <v>1522</v>
      </c>
      <c r="L444" s="151">
        <v>0.86</v>
      </c>
      <c r="M444" s="136">
        <f t="shared" si="35"/>
        <v>76</v>
      </c>
      <c r="N444" s="2">
        <v>76</v>
      </c>
      <c r="O444" s="2"/>
      <c r="P444" s="137" t="e">
        <f t="shared" si="36"/>
        <v>#DIV/0!</v>
      </c>
      <c r="Q444" s="137">
        <f t="shared" si="37"/>
        <v>0</v>
      </c>
      <c r="R444" s="138">
        <f>IF(N444="nio",0,IF(N444&gt;0,VLOOKUP(I444,'3-Productie normen'!A:V,VLOOKUP(N444,'3-Productie normen'!$B$35:$C$56,2,FALSE),FALSE)))/VLOOKUP(B444,'2-Kosten per locatie'!$A$11:$C$18,3,FALSE)</f>
        <v>0</v>
      </c>
      <c r="S444" s="138">
        <f t="shared" si="38"/>
        <v>0</v>
      </c>
      <c r="T444" s="139" t="str">
        <f>VLOOKUP(I444,'3-Productie normen'!A:AF,28,FALSE)</f>
        <v>L</v>
      </c>
      <c r="U444" s="140"/>
      <c r="W444" s="141">
        <f t="shared" si="39"/>
        <v>65.36</v>
      </c>
    </row>
    <row r="445" spans="1:23" ht="13.9" customHeight="1">
      <c r="A445" s="132">
        <v>445</v>
      </c>
      <c r="B445" s="49" t="s">
        <v>1679</v>
      </c>
      <c r="C445" s="49" t="s">
        <v>1505</v>
      </c>
      <c r="D445" s="145" t="s">
        <v>271</v>
      </c>
      <c r="E445" s="146" t="s">
        <v>1040</v>
      </c>
      <c r="F445" s="146" t="s">
        <v>328</v>
      </c>
      <c r="G445" s="145" t="s">
        <v>242</v>
      </c>
      <c r="H445" s="145" t="s">
        <v>242</v>
      </c>
      <c r="I445" s="1" t="s">
        <v>242</v>
      </c>
      <c r="J445" s="149" t="s">
        <v>231</v>
      </c>
      <c r="K445" s="150"/>
      <c r="L445" s="151">
        <v>1.7</v>
      </c>
      <c r="M445" s="136">
        <f t="shared" si="35"/>
        <v>2</v>
      </c>
      <c r="N445" s="2">
        <v>2</v>
      </c>
      <c r="O445" s="2"/>
      <c r="P445" s="137" t="e">
        <f t="shared" si="36"/>
        <v>#DIV/0!</v>
      </c>
      <c r="Q445" s="137">
        <f t="shared" si="37"/>
        <v>0</v>
      </c>
      <c r="R445" s="138">
        <f>IF(N445="nio",0,IF(N445&gt;0,VLOOKUP(I445,'3-Productie normen'!A:V,VLOOKUP(N445,'3-Productie normen'!$B$35:$C$56,2,FALSE),FALSE)))/VLOOKUP(B445,'2-Kosten per locatie'!$A$11:$C$18,3,FALSE)</f>
        <v>0</v>
      </c>
      <c r="S445" s="138">
        <f t="shared" si="38"/>
        <v>0</v>
      </c>
      <c r="T445" s="139" t="str">
        <f>VLOOKUP(I445,'3-Productie normen'!A:AF,28,FALSE)</f>
        <v>V</v>
      </c>
      <c r="U445" s="140"/>
      <c r="W445" s="141">
        <f t="shared" si="39"/>
        <v>3.4</v>
      </c>
    </row>
    <row r="446" spans="1:23" ht="13.9" customHeight="1">
      <c r="A446" s="132">
        <v>446</v>
      </c>
      <c r="B446" s="49" t="s">
        <v>1679</v>
      </c>
      <c r="C446" s="49" t="s">
        <v>1505</v>
      </c>
      <c r="D446" s="145" t="s">
        <v>271</v>
      </c>
      <c r="E446" s="146" t="s">
        <v>1041</v>
      </c>
      <c r="F446" s="146" t="s">
        <v>323</v>
      </c>
      <c r="G446" s="145" t="s">
        <v>242</v>
      </c>
      <c r="H446" s="145" t="s">
        <v>242</v>
      </c>
      <c r="I446" s="1" t="s">
        <v>242</v>
      </c>
      <c r="J446" s="149" t="s">
        <v>251</v>
      </c>
      <c r="K446" s="152" t="s">
        <v>1522</v>
      </c>
      <c r="L446" s="151">
        <v>2.2200000000000002</v>
      </c>
      <c r="M446" s="136">
        <f t="shared" si="35"/>
        <v>2</v>
      </c>
      <c r="N446" s="2">
        <v>2</v>
      </c>
      <c r="O446" s="2"/>
      <c r="P446" s="137" t="e">
        <f t="shared" si="36"/>
        <v>#DIV/0!</v>
      </c>
      <c r="Q446" s="137">
        <f t="shared" si="37"/>
        <v>0</v>
      </c>
      <c r="R446" s="138">
        <f>IF(N446="nio",0,IF(N446&gt;0,VLOOKUP(I446,'3-Productie normen'!A:V,VLOOKUP(N446,'3-Productie normen'!$B$35:$C$56,2,FALSE),FALSE)))/VLOOKUP(B446,'2-Kosten per locatie'!$A$11:$C$18,3,FALSE)</f>
        <v>0</v>
      </c>
      <c r="S446" s="138">
        <f t="shared" si="38"/>
        <v>0</v>
      </c>
      <c r="T446" s="139" t="str">
        <f>VLOOKUP(I446,'3-Productie normen'!A:AF,28,FALSE)</f>
        <v>V</v>
      </c>
      <c r="U446" s="140"/>
      <c r="W446" s="141">
        <f t="shared" si="39"/>
        <v>4.4400000000000004</v>
      </c>
    </row>
    <row r="447" spans="1:23" ht="13.9" customHeight="1">
      <c r="A447" s="118">
        <v>447</v>
      </c>
      <c r="B447" s="49" t="s">
        <v>1679</v>
      </c>
      <c r="C447" s="49" t="s">
        <v>1505</v>
      </c>
      <c r="D447" s="145" t="s">
        <v>271</v>
      </c>
      <c r="E447" s="146" t="s">
        <v>1042</v>
      </c>
      <c r="F447" s="146" t="s">
        <v>1043</v>
      </c>
      <c r="G447" s="145" t="s">
        <v>264</v>
      </c>
      <c r="H447" s="145" t="s">
        <v>265</v>
      </c>
      <c r="I447" s="145" t="s">
        <v>284</v>
      </c>
      <c r="J447" s="149" t="s">
        <v>251</v>
      </c>
      <c r="K447" s="152" t="s">
        <v>1522</v>
      </c>
      <c r="L447" s="151">
        <v>110.75</v>
      </c>
      <c r="M447" s="136">
        <f t="shared" si="35"/>
        <v>76</v>
      </c>
      <c r="N447" s="2">
        <v>76</v>
      </c>
      <c r="O447" s="2"/>
      <c r="P447" s="137" t="e">
        <f t="shared" si="36"/>
        <v>#DIV/0!</v>
      </c>
      <c r="Q447" s="137">
        <f t="shared" si="37"/>
        <v>0</v>
      </c>
      <c r="R447" s="138">
        <f>IF(N447="nio",0,IF(N447&gt;0,VLOOKUP(I447,'3-Productie normen'!A:V,VLOOKUP(N447,'3-Productie normen'!$B$35:$C$56,2,FALSE),FALSE)))/VLOOKUP(B447,'2-Kosten per locatie'!$A$11:$C$18,3,FALSE)</f>
        <v>0</v>
      </c>
      <c r="S447" s="138">
        <f t="shared" si="38"/>
        <v>0</v>
      </c>
      <c r="T447" s="139" t="str">
        <f>VLOOKUP(I447,'3-Productie normen'!A:AF,28,FALSE)</f>
        <v>L</v>
      </c>
      <c r="U447" s="140"/>
      <c r="W447" s="141">
        <f t="shared" si="39"/>
        <v>8417</v>
      </c>
    </row>
    <row r="448" spans="1:23" ht="13.9" customHeight="1">
      <c r="A448" s="132">
        <v>448</v>
      </c>
      <c r="B448" s="49" t="s">
        <v>1679</v>
      </c>
      <c r="C448" s="49" t="s">
        <v>1505</v>
      </c>
      <c r="D448" s="145" t="s">
        <v>271</v>
      </c>
      <c r="E448" s="146" t="s">
        <v>1044</v>
      </c>
      <c r="F448" s="146" t="s">
        <v>329</v>
      </c>
      <c r="G448" s="145" t="s">
        <v>242</v>
      </c>
      <c r="H448" s="145" t="s">
        <v>242</v>
      </c>
      <c r="I448" s="1" t="s">
        <v>242</v>
      </c>
      <c r="J448" s="149" t="s">
        <v>251</v>
      </c>
      <c r="K448" s="152" t="s">
        <v>1522</v>
      </c>
      <c r="L448" s="151">
        <v>1.1000000000000001</v>
      </c>
      <c r="M448" s="136">
        <f t="shared" si="35"/>
        <v>2</v>
      </c>
      <c r="N448" s="2">
        <v>2</v>
      </c>
      <c r="O448" s="2"/>
      <c r="P448" s="137" t="e">
        <f t="shared" si="36"/>
        <v>#DIV/0!</v>
      </c>
      <c r="Q448" s="137">
        <f t="shared" si="37"/>
        <v>0</v>
      </c>
      <c r="R448" s="138">
        <f>IF(N448="nio",0,IF(N448&gt;0,VLOOKUP(I448,'3-Productie normen'!A:V,VLOOKUP(N448,'3-Productie normen'!$B$35:$C$56,2,FALSE),FALSE)))/VLOOKUP(B448,'2-Kosten per locatie'!$A$11:$C$18,3,FALSE)</f>
        <v>0</v>
      </c>
      <c r="S448" s="138">
        <f t="shared" si="38"/>
        <v>0</v>
      </c>
      <c r="T448" s="139" t="str">
        <f>VLOOKUP(I448,'3-Productie normen'!A:AF,28,FALSE)</f>
        <v>V</v>
      </c>
      <c r="U448" s="140"/>
      <c r="W448" s="141">
        <f t="shared" si="39"/>
        <v>2.2000000000000002</v>
      </c>
    </row>
    <row r="449" spans="1:23" ht="13.9" customHeight="1">
      <c r="A449" s="132">
        <v>449</v>
      </c>
      <c r="B449" s="49" t="s">
        <v>1679</v>
      </c>
      <c r="C449" s="49" t="s">
        <v>1505</v>
      </c>
      <c r="D449" s="145" t="s">
        <v>271</v>
      </c>
      <c r="E449" s="146" t="s">
        <v>1045</v>
      </c>
      <c r="F449" s="146" t="s">
        <v>303</v>
      </c>
      <c r="G449" s="145" t="s">
        <v>242</v>
      </c>
      <c r="H449" s="145" t="s">
        <v>242</v>
      </c>
      <c r="I449" s="1" t="s">
        <v>242</v>
      </c>
      <c r="J449" s="149" t="s">
        <v>251</v>
      </c>
      <c r="K449" s="152" t="s">
        <v>1522</v>
      </c>
      <c r="L449" s="151">
        <v>0.74</v>
      </c>
      <c r="M449" s="136">
        <f t="shared" si="35"/>
        <v>2</v>
      </c>
      <c r="N449" s="2">
        <v>2</v>
      </c>
      <c r="O449" s="2"/>
      <c r="P449" s="137" t="e">
        <f t="shared" si="36"/>
        <v>#DIV/0!</v>
      </c>
      <c r="Q449" s="137">
        <f t="shared" si="37"/>
        <v>0</v>
      </c>
      <c r="R449" s="138">
        <f>IF(N449="nio",0,IF(N449&gt;0,VLOOKUP(I449,'3-Productie normen'!A:V,VLOOKUP(N449,'3-Productie normen'!$B$35:$C$56,2,FALSE),FALSE)))/VLOOKUP(B449,'2-Kosten per locatie'!$A$11:$C$18,3,FALSE)</f>
        <v>0</v>
      </c>
      <c r="S449" s="138">
        <f t="shared" si="38"/>
        <v>0</v>
      </c>
      <c r="T449" s="139" t="str">
        <f>VLOOKUP(I449,'3-Productie normen'!A:AF,28,FALSE)</f>
        <v>V</v>
      </c>
      <c r="U449" s="140"/>
      <c r="W449" s="141">
        <f t="shared" si="39"/>
        <v>1.48</v>
      </c>
    </row>
    <row r="450" spans="1:23" ht="13.9" customHeight="1">
      <c r="A450" s="118">
        <v>450</v>
      </c>
      <c r="B450" s="49" t="s">
        <v>1679</v>
      </c>
      <c r="C450" s="49" t="s">
        <v>1505</v>
      </c>
      <c r="D450" s="145" t="s">
        <v>271</v>
      </c>
      <c r="E450" s="146" t="s">
        <v>1046</v>
      </c>
      <c r="F450" s="146" t="s">
        <v>1047</v>
      </c>
      <c r="G450" s="145" t="s">
        <v>264</v>
      </c>
      <c r="H450" s="145" t="s">
        <v>351</v>
      </c>
      <c r="I450" s="145" t="s">
        <v>242</v>
      </c>
      <c r="J450" s="149" t="s">
        <v>251</v>
      </c>
      <c r="K450" s="152" t="s">
        <v>1522</v>
      </c>
      <c r="L450" s="151">
        <v>7.46</v>
      </c>
      <c r="M450" s="136">
        <f t="shared" si="35"/>
        <v>2</v>
      </c>
      <c r="N450" s="2">
        <v>2</v>
      </c>
      <c r="O450" s="2"/>
      <c r="P450" s="137" t="e">
        <f t="shared" si="36"/>
        <v>#DIV/0!</v>
      </c>
      <c r="Q450" s="137">
        <f t="shared" si="37"/>
        <v>0</v>
      </c>
      <c r="R450" s="138">
        <f>IF(N450="nio",0,IF(N450&gt;0,VLOOKUP(I450,'3-Productie normen'!A:V,VLOOKUP(N450,'3-Productie normen'!$B$35:$C$56,2,FALSE),FALSE)))/VLOOKUP(B450,'2-Kosten per locatie'!$A$11:$C$18,3,FALSE)</f>
        <v>0</v>
      </c>
      <c r="S450" s="138">
        <f t="shared" si="38"/>
        <v>0</v>
      </c>
      <c r="T450" s="139" t="str">
        <f>VLOOKUP(I450,'3-Productie normen'!A:AF,28,FALSE)</f>
        <v>V</v>
      </c>
      <c r="U450" s="140"/>
      <c r="W450" s="141">
        <f t="shared" si="39"/>
        <v>14.92</v>
      </c>
    </row>
    <row r="451" spans="1:23" ht="13.9" customHeight="1">
      <c r="A451" s="132">
        <v>451</v>
      </c>
      <c r="B451" s="49" t="s">
        <v>1679</v>
      </c>
      <c r="C451" s="49" t="s">
        <v>1505</v>
      </c>
      <c r="D451" s="145" t="s">
        <v>271</v>
      </c>
      <c r="E451" s="146" t="s">
        <v>1048</v>
      </c>
      <c r="F451" s="146" t="s">
        <v>317</v>
      </c>
      <c r="G451" s="145" t="s">
        <v>242</v>
      </c>
      <c r="H451" s="145" t="s">
        <v>242</v>
      </c>
      <c r="I451" s="1" t="s">
        <v>242</v>
      </c>
      <c r="J451" s="149" t="s">
        <v>251</v>
      </c>
      <c r="K451" s="152" t="s">
        <v>1522</v>
      </c>
      <c r="L451" s="151">
        <v>2.84</v>
      </c>
      <c r="M451" s="136">
        <f t="shared" si="35"/>
        <v>2</v>
      </c>
      <c r="N451" s="2">
        <v>2</v>
      </c>
      <c r="O451" s="2"/>
      <c r="P451" s="137" t="e">
        <f t="shared" si="36"/>
        <v>#DIV/0!</v>
      </c>
      <c r="Q451" s="137">
        <f t="shared" si="37"/>
        <v>0</v>
      </c>
      <c r="R451" s="138">
        <f>IF(N451="nio",0,IF(N451&gt;0,VLOOKUP(I451,'3-Productie normen'!A:V,VLOOKUP(N451,'3-Productie normen'!$B$35:$C$56,2,FALSE),FALSE)))/VLOOKUP(B451,'2-Kosten per locatie'!$A$11:$C$18,3,FALSE)</f>
        <v>0</v>
      </c>
      <c r="S451" s="138">
        <f t="shared" si="38"/>
        <v>0</v>
      </c>
      <c r="T451" s="139" t="str">
        <f>VLOOKUP(I451,'3-Productie normen'!A:AF,28,FALSE)</f>
        <v>V</v>
      </c>
      <c r="U451" s="140"/>
      <c r="W451" s="141">
        <f t="shared" si="39"/>
        <v>5.68</v>
      </c>
    </row>
    <row r="452" spans="1:23" ht="13.9" customHeight="1">
      <c r="A452" s="132">
        <v>452</v>
      </c>
      <c r="B452" s="49" t="s">
        <v>1681</v>
      </c>
      <c r="C452" s="49" t="s">
        <v>667</v>
      </c>
      <c r="D452" s="145" t="s">
        <v>230</v>
      </c>
      <c r="E452" s="146" t="s">
        <v>1049</v>
      </c>
      <c r="F452" s="146"/>
      <c r="G452" s="145" t="s">
        <v>235</v>
      </c>
      <c r="H452" s="145" t="s">
        <v>249</v>
      </c>
      <c r="I452" s="49" t="s">
        <v>1486</v>
      </c>
      <c r="J452" s="149" t="s">
        <v>234</v>
      </c>
      <c r="K452" s="150"/>
      <c r="L452" s="151">
        <v>23.06</v>
      </c>
      <c r="M452" s="136">
        <f t="shared" si="35"/>
        <v>190</v>
      </c>
      <c r="N452" s="2">
        <v>190</v>
      </c>
      <c r="O452" s="2"/>
      <c r="P452" s="137" t="e">
        <f t="shared" si="36"/>
        <v>#DIV/0!</v>
      </c>
      <c r="Q452" s="137">
        <f t="shared" si="37"/>
        <v>0</v>
      </c>
      <c r="R452" s="138">
        <f>IF(N452="nio",0,IF(N452&gt;0,VLOOKUP(I452,'3-Productie normen'!A:V,VLOOKUP(N452,'3-Productie normen'!$B$35:$C$56,2,FALSE),FALSE)))/VLOOKUP(B452,'2-Kosten per locatie'!$A$11:$C$18,3,FALSE)</f>
        <v>0</v>
      </c>
      <c r="S452" s="138">
        <f t="shared" si="38"/>
        <v>0</v>
      </c>
      <c r="T452" s="139" t="str">
        <f>VLOOKUP(I452,'3-Productie normen'!A:AF,28,FALSE)</f>
        <v>V</v>
      </c>
      <c r="U452" s="140"/>
      <c r="W452" s="141">
        <f t="shared" si="39"/>
        <v>4381.3999999999996</v>
      </c>
    </row>
    <row r="453" spans="1:23" ht="13.9" customHeight="1">
      <c r="A453" s="118">
        <v>453</v>
      </c>
      <c r="B453" s="49" t="s">
        <v>1681</v>
      </c>
      <c r="C453" s="49" t="s">
        <v>667</v>
      </c>
      <c r="D453" s="145" t="s">
        <v>230</v>
      </c>
      <c r="E453" s="146" t="s">
        <v>1050</v>
      </c>
      <c r="F453" s="146"/>
      <c r="G453" s="145" t="s">
        <v>237</v>
      </c>
      <c r="H453" s="145" t="s">
        <v>257</v>
      </c>
      <c r="I453" s="91" t="s">
        <v>239</v>
      </c>
      <c r="J453" s="149" t="s">
        <v>231</v>
      </c>
      <c r="K453" s="150"/>
      <c r="L453" s="151">
        <v>0.69</v>
      </c>
      <c r="M453" s="136">
        <f t="shared" si="35"/>
        <v>0</v>
      </c>
      <c r="N453" s="2" t="s">
        <v>273</v>
      </c>
      <c r="O453" s="2"/>
      <c r="P453" s="137">
        <f t="shared" si="36"/>
        <v>0</v>
      </c>
      <c r="Q453" s="137">
        <f t="shared" si="37"/>
        <v>0</v>
      </c>
      <c r="R453" s="138">
        <f>IF(N453="nio",0,IF(N453&gt;0,VLOOKUP(I453,'3-Productie normen'!A:V,VLOOKUP(N453,'3-Productie normen'!$B$35:$C$56,2,FALSE),FALSE)))/VLOOKUP(B453,'2-Kosten per locatie'!$A$11:$C$18,3,FALSE)</f>
        <v>0</v>
      </c>
      <c r="S453" s="138">
        <f t="shared" si="38"/>
        <v>0</v>
      </c>
      <c r="T453" s="139">
        <f>VLOOKUP(I453,'3-Productie normen'!A:AF,28,FALSE)</f>
        <v>0</v>
      </c>
      <c r="U453" s="140"/>
      <c r="W453" s="141">
        <f t="shared" si="39"/>
        <v>0</v>
      </c>
    </row>
    <row r="454" spans="1:23" ht="13.9" customHeight="1">
      <c r="A454" s="132">
        <v>454</v>
      </c>
      <c r="B454" s="49" t="s">
        <v>1681</v>
      </c>
      <c r="C454" s="49" t="s">
        <v>667</v>
      </c>
      <c r="D454" s="145" t="s">
        <v>230</v>
      </c>
      <c r="E454" s="146" t="s">
        <v>1051</v>
      </c>
      <c r="F454" s="146"/>
      <c r="G454" s="145" t="s">
        <v>237</v>
      </c>
      <c r="H454" s="145" t="s">
        <v>257</v>
      </c>
      <c r="I454" s="91" t="s">
        <v>239</v>
      </c>
      <c r="J454" s="149" t="s">
        <v>231</v>
      </c>
      <c r="K454" s="150"/>
      <c r="L454" s="151">
        <v>0.69</v>
      </c>
      <c r="M454" s="136">
        <f t="shared" si="35"/>
        <v>0</v>
      </c>
      <c r="N454" s="2" t="s">
        <v>273</v>
      </c>
      <c r="O454" s="2"/>
      <c r="P454" s="137">
        <f t="shared" si="36"/>
        <v>0</v>
      </c>
      <c r="Q454" s="137">
        <f t="shared" si="37"/>
        <v>0</v>
      </c>
      <c r="R454" s="138">
        <f>IF(N454="nio",0,IF(N454&gt;0,VLOOKUP(I454,'3-Productie normen'!A:V,VLOOKUP(N454,'3-Productie normen'!$B$35:$C$56,2,FALSE),FALSE)))/VLOOKUP(B454,'2-Kosten per locatie'!$A$11:$C$18,3,FALSE)</f>
        <v>0</v>
      </c>
      <c r="S454" s="138">
        <f t="shared" si="38"/>
        <v>0</v>
      </c>
      <c r="T454" s="139">
        <f>VLOOKUP(I454,'3-Productie normen'!A:AF,28,FALSE)</f>
        <v>0</v>
      </c>
      <c r="U454" s="140"/>
      <c r="W454" s="141">
        <f t="shared" si="39"/>
        <v>0</v>
      </c>
    </row>
    <row r="455" spans="1:23" ht="13.9" customHeight="1">
      <c r="A455" s="132">
        <v>455</v>
      </c>
      <c r="B455" s="49" t="s">
        <v>1681</v>
      </c>
      <c r="C455" s="49" t="s">
        <v>667</v>
      </c>
      <c r="D455" s="145" t="s">
        <v>230</v>
      </c>
      <c r="E455" s="146" t="s">
        <v>1052</v>
      </c>
      <c r="F455" s="146"/>
      <c r="G455" s="145" t="s">
        <v>242</v>
      </c>
      <c r="H455" s="145" t="s">
        <v>242</v>
      </c>
      <c r="I455" s="1" t="s">
        <v>242</v>
      </c>
      <c r="J455" s="149" t="s">
        <v>234</v>
      </c>
      <c r="K455" s="150"/>
      <c r="L455" s="151">
        <v>53.78</v>
      </c>
      <c r="M455" s="136">
        <f t="shared" si="35"/>
        <v>2</v>
      </c>
      <c r="N455" s="2">
        <v>2</v>
      </c>
      <c r="O455" s="2"/>
      <c r="P455" s="137" t="e">
        <f t="shared" si="36"/>
        <v>#DIV/0!</v>
      </c>
      <c r="Q455" s="137">
        <f t="shared" si="37"/>
        <v>0</v>
      </c>
      <c r="R455" s="138">
        <f>IF(N455="nio",0,IF(N455&gt;0,VLOOKUP(I455,'3-Productie normen'!A:V,VLOOKUP(N455,'3-Productie normen'!$B$35:$C$56,2,FALSE),FALSE)))/VLOOKUP(B455,'2-Kosten per locatie'!$A$11:$C$18,3,FALSE)</f>
        <v>0</v>
      </c>
      <c r="S455" s="138">
        <f t="shared" si="38"/>
        <v>0</v>
      </c>
      <c r="T455" s="139" t="str">
        <f>VLOOKUP(I455,'3-Productie normen'!A:AF,28,FALSE)</f>
        <v>V</v>
      </c>
      <c r="U455" s="140"/>
      <c r="W455" s="141">
        <f t="shared" si="39"/>
        <v>107.56</v>
      </c>
    </row>
    <row r="456" spans="1:23" ht="13.9" customHeight="1">
      <c r="A456" s="118">
        <v>456</v>
      </c>
      <c r="B456" s="49" t="s">
        <v>1681</v>
      </c>
      <c r="C456" s="49" t="s">
        <v>667</v>
      </c>
      <c r="D456" s="145" t="s">
        <v>230</v>
      </c>
      <c r="E456" s="146" t="s">
        <v>1053</v>
      </c>
      <c r="F456" s="146"/>
      <c r="G456" s="145" t="s">
        <v>242</v>
      </c>
      <c r="H456" s="145" t="s">
        <v>242</v>
      </c>
      <c r="I456" s="1" t="s">
        <v>242</v>
      </c>
      <c r="J456" s="149" t="s">
        <v>234</v>
      </c>
      <c r="K456" s="150"/>
      <c r="L456" s="151">
        <v>28.59</v>
      </c>
      <c r="M456" s="136">
        <f t="shared" si="35"/>
        <v>2</v>
      </c>
      <c r="N456" s="2">
        <v>2</v>
      </c>
      <c r="O456" s="2"/>
      <c r="P456" s="137" t="e">
        <f t="shared" si="36"/>
        <v>#DIV/0!</v>
      </c>
      <c r="Q456" s="137">
        <f t="shared" si="37"/>
        <v>0</v>
      </c>
      <c r="R456" s="138">
        <f>IF(N456="nio",0,IF(N456&gt;0,VLOOKUP(I456,'3-Productie normen'!A:V,VLOOKUP(N456,'3-Productie normen'!$B$35:$C$56,2,FALSE),FALSE)))/VLOOKUP(B456,'2-Kosten per locatie'!$A$11:$C$18,3,FALSE)</f>
        <v>0</v>
      </c>
      <c r="S456" s="138">
        <f t="shared" si="38"/>
        <v>0</v>
      </c>
      <c r="T456" s="139" t="str">
        <f>VLOOKUP(I456,'3-Productie normen'!A:AF,28,FALSE)</f>
        <v>V</v>
      </c>
      <c r="U456" s="140"/>
      <c r="W456" s="141">
        <f t="shared" si="39"/>
        <v>57.18</v>
      </c>
    </row>
    <row r="457" spans="1:23" ht="13.9" customHeight="1">
      <c r="A457" s="132">
        <v>457</v>
      </c>
      <c r="B457" s="49" t="s">
        <v>1681</v>
      </c>
      <c r="C457" s="49" t="s">
        <v>667</v>
      </c>
      <c r="D457" s="145" t="s">
        <v>246</v>
      </c>
      <c r="E457" s="146" t="s">
        <v>1054</v>
      </c>
      <c r="F457" s="146"/>
      <c r="G457" s="145" t="s">
        <v>232</v>
      </c>
      <c r="H457" s="145" t="s">
        <v>53</v>
      </c>
      <c r="I457" s="1" t="s">
        <v>233</v>
      </c>
      <c r="J457" s="149" t="s">
        <v>1055</v>
      </c>
      <c r="K457" s="152" t="s">
        <v>1522</v>
      </c>
      <c r="L457" s="151">
        <v>9.75</v>
      </c>
      <c r="M457" s="136">
        <f t="shared" si="35"/>
        <v>190</v>
      </c>
      <c r="N457" s="2">
        <v>190</v>
      </c>
      <c r="O457" s="2"/>
      <c r="P457" s="137" t="e">
        <f t="shared" si="36"/>
        <v>#DIV/0!</v>
      </c>
      <c r="Q457" s="137">
        <f t="shared" si="37"/>
        <v>0</v>
      </c>
      <c r="R457" s="138">
        <f>IF(N457="nio",0,IF(N457&gt;0,VLOOKUP(I457,'3-Productie normen'!A:V,VLOOKUP(N457,'3-Productie normen'!$B$35:$C$56,2,FALSE),FALSE)))/VLOOKUP(B457,'2-Kosten per locatie'!$A$11:$C$18,3,FALSE)</f>
        <v>0</v>
      </c>
      <c r="S457" s="138">
        <f t="shared" si="38"/>
        <v>0</v>
      </c>
      <c r="T457" s="139" t="str">
        <f>VLOOKUP(I457,'3-Productie normen'!A:AF,28,FALSE)</f>
        <v>V</v>
      </c>
      <c r="U457" s="140"/>
      <c r="W457" s="141">
        <f t="shared" si="39"/>
        <v>1852.5</v>
      </c>
    </row>
    <row r="458" spans="1:23" ht="13.9" customHeight="1">
      <c r="A458" s="132">
        <v>458</v>
      </c>
      <c r="B458" s="49" t="s">
        <v>1681</v>
      </c>
      <c r="C458" s="49" t="s">
        <v>667</v>
      </c>
      <c r="D458" s="145" t="s">
        <v>246</v>
      </c>
      <c r="E458" s="146" t="s">
        <v>1056</v>
      </c>
      <c r="F458" s="146"/>
      <c r="G458" s="145" t="s">
        <v>232</v>
      </c>
      <c r="H458" s="145" t="s">
        <v>53</v>
      </c>
      <c r="I458" s="1" t="s">
        <v>233</v>
      </c>
      <c r="J458" s="149" t="s">
        <v>1055</v>
      </c>
      <c r="K458" s="152" t="s">
        <v>1522</v>
      </c>
      <c r="L458" s="151">
        <v>19.309999999999999</v>
      </c>
      <c r="M458" s="136">
        <f t="shared" si="35"/>
        <v>190</v>
      </c>
      <c r="N458" s="2">
        <v>190</v>
      </c>
      <c r="O458" s="2"/>
      <c r="P458" s="137" t="e">
        <f t="shared" si="36"/>
        <v>#DIV/0!</v>
      </c>
      <c r="Q458" s="137">
        <f t="shared" si="37"/>
        <v>0</v>
      </c>
      <c r="R458" s="138">
        <f>IF(N458="nio",0,IF(N458&gt;0,VLOOKUP(I458,'3-Productie normen'!A:V,VLOOKUP(N458,'3-Productie normen'!$B$35:$C$56,2,FALSE),FALSE)))/VLOOKUP(B458,'2-Kosten per locatie'!$A$11:$C$18,3,FALSE)</f>
        <v>0</v>
      </c>
      <c r="S458" s="138">
        <f t="shared" si="38"/>
        <v>0</v>
      </c>
      <c r="T458" s="139" t="str">
        <f>VLOOKUP(I458,'3-Productie normen'!A:AF,28,FALSE)</f>
        <v>V</v>
      </c>
      <c r="U458" s="140"/>
      <c r="W458" s="141">
        <f t="shared" si="39"/>
        <v>3668.8999999999996</v>
      </c>
    </row>
    <row r="459" spans="1:23" ht="13.9" customHeight="1">
      <c r="A459" s="118">
        <v>459</v>
      </c>
      <c r="B459" s="49" t="s">
        <v>1681</v>
      </c>
      <c r="C459" s="49" t="s">
        <v>667</v>
      </c>
      <c r="D459" s="145" t="s">
        <v>246</v>
      </c>
      <c r="E459" s="146" t="s">
        <v>1057</v>
      </c>
      <c r="F459" s="146"/>
      <c r="G459" s="145" t="s">
        <v>232</v>
      </c>
      <c r="H459" s="145" t="s">
        <v>54</v>
      </c>
      <c r="I459" s="134" t="s">
        <v>54</v>
      </c>
      <c r="J459" s="149" t="s">
        <v>364</v>
      </c>
      <c r="K459" s="150"/>
      <c r="L459" s="151">
        <v>2.15</v>
      </c>
      <c r="M459" s="136">
        <f t="shared" si="35"/>
        <v>190</v>
      </c>
      <c r="N459" s="2">
        <v>190</v>
      </c>
      <c r="O459" s="2"/>
      <c r="P459" s="137" t="e">
        <f t="shared" si="36"/>
        <v>#DIV/0!</v>
      </c>
      <c r="Q459" s="137">
        <f t="shared" si="37"/>
        <v>0</v>
      </c>
      <c r="R459" s="138">
        <f>IF(N459="nio",0,IF(N459&gt;0,VLOOKUP(I459,'3-Productie normen'!A:V,VLOOKUP(N459,'3-Productie normen'!$B$35:$C$56,2,FALSE),FALSE)))/VLOOKUP(B459,'2-Kosten per locatie'!$A$11:$C$18,3,FALSE)</f>
        <v>0</v>
      </c>
      <c r="S459" s="138">
        <f t="shared" si="38"/>
        <v>0</v>
      </c>
      <c r="T459" s="139" t="str">
        <f>VLOOKUP(I459,'3-Productie normen'!A:AF,28,FALSE)</f>
        <v>V</v>
      </c>
      <c r="U459" s="140"/>
      <c r="W459" s="141">
        <f t="shared" si="39"/>
        <v>408.5</v>
      </c>
    </row>
    <row r="460" spans="1:23" ht="13.9" customHeight="1">
      <c r="A460" s="132">
        <v>460</v>
      </c>
      <c r="B460" s="49" t="s">
        <v>1681</v>
      </c>
      <c r="C460" s="49" t="s">
        <v>667</v>
      </c>
      <c r="D460" s="145" t="s">
        <v>246</v>
      </c>
      <c r="E460" s="146" t="s">
        <v>1058</v>
      </c>
      <c r="F460" s="146"/>
      <c r="G460" s="145" t="s">
        <v>235</v>
      </c>
      <c r="H460" s="145" t="s">
        <v>52</v>
      </c>
      <c r="I460" s="1" t="s">
        <v>247</v>
      </c>
      <c r="J460" s="149" t="s">
        <v>248</v>
      </c>
      <c r="K460" s="150"/>
      <c r="L460" s="151">
        <v>19.53</v>
      </c>
      <c r="M460" s="136">
        <f t="shared" si="35"/>
        <v>190</v>
      </c>
      <c r="N460" s="2">
        <v>190</v>
      </c>
      <c r="O460" s="2"/>
      <c r="P460" s="137" t="e">
        <f t="shared" si="36"/>
        <v>#DIV/0!</v>
      </c>
      <c r="Q460" s="137">
        <f t="shared" si="37"/>
        <v>0</v>
      </c>
      <c r="R460" s="138">
        <f>IF(N460="nio",0,IF(N460&gt;0,VLOOKUP(I460,'3-Productie normen'!A:V,VLOOKUP(N460,'3-Productie normen'!$B$35:$C$56,2,FALSE),FALSE)))/VLOOKUP(B460,'2-Kosten per locatie'!$A$11:$C$18,3,FALSE)</f>
        <v>0</v>
      </c>
      <c r="S460" s="138">
        <f t="shared" si="38"/>
        <v>0</v>
      </c>
      <c r="T460" s="139" t="str">
        <f>VLOOKUP(I460,'3-Productie normen'!A:AF,28,FALSE)</f>
        <v>V</v>
      </c>
      <c r="U460" s="140"/>
      <c r="W460" s="141">
        <f t="shared" si="39"/>
        <v>3710.7000000000003</v>
      </c>
    </row>
    <row r="461" spans="1:23" ht="13.9" customHeight="1">
      <c r="A461" s="132">
        <v>461</v>
      </c>
      <c r="B461" s="49" t="s">
        <v>1681</v>
      </c>
      <c r="C461" s="49" t="s">
        <v>667</v>
      </c>
      <c r="D461" s="145" t="s">
        <v>246</v>
      </c>
      <c r="E461" s="146" t="s">
        <v>1059</v>
      </c>
      <c r="F461" s="146"/>
      <c r="G461" s="145" t="s">
        <v>235</v>
      </c>
      <c r="H461" s="145" t="s">
        <v>249</v>
      </c>
      <c r="I461" s="49" t="s">
        <v>1486</v>
      </c>
      <c r="J461" s="149" t="s">
        <v>1055</v>
      </c>
      <c r="K461" s="152" t="s">
        <v>1522</v>
      </c>
      <c r="L461" s="151">
        <v>398.55</v>
      </c>
      <c r="M461" s="136">
        <f t="shared" si="35"/>
        <v>190</v>
      </c>
      <c r="N461" s="2">
        <v>190</v>
      </c>
      <c r="O461" s="2"/>
      <c r="P461" s="137" t="e">
        <f t="shared" si="36"/>
        <v>#DIV/0!</v>
      </c>
      <c r="Q461" s="137">
        <f t="shared" si="37"/>
        <v>0</v>
      </c>
      <c r="R461" s="138">
        <f>IF(N461="nio",0,IF(N461&gt;0,VLOOKUP(I461,'3-Productie normen'!A:V,VLOOKUP(N461,'3-Productie normen'!$B$35:$C$56,2,FALSE),FALSE)))/VLOOKUP(B461,'2-Kosten per locatie'!$A$11:$C$18,3,FALSE)</f>
        <v>0</v>
      </c>
      <c r="S461" s="138">
        <f t="shared" si="38"/>
        <v>0</v>
      </c>
      <c r="T461" s="139" t="str">
        <f>VLOOKUP(I461,'3-Productie normen'!A:AF,28,FALSE)</f>
        <v>V</v>
      </c>
      <c r="U461" s="140"/>
      <c r="W461" s="141">
        <f t="shared" si="39"/>
        <v>75724.5</v>
      </c>
    </row>
    <row r="462" spans="1:23" ht="13.9" customHeight="1">
      <c r="A462" s="118">
        <v>462</v>
      </c>
      <c r="B462" s="49" t="s">
        <v>1681</v>
      </c>
      <c r="C462" s="49" t="s">
        <v>667</v>
      </c>
      <c r="D462" s="145" t="s">
        <v>246</v>
      </c>
      <c r="E462" s="146" t="s">
        <v>1060</v>
      </c>
      <c r="F462" s="146"/>
      <c r="G462" s="145" t="s">
        <v>235</v>
      </c>
      <c r="H462" s="145" t="s">
        <v>52</v>
      </c>
      <c r="I462" s="1" t="s">
        <v>247</v>
      </c>
      <c r="J462" s="149" t="s">
        <v>1061</v>
      </c>
      <c r="K462" s="152" t="s">
        <v>1522</v>
      </c>
      <c r="L462" s="151">
        <v>13.75</v>
      </c>
      <c r="M462" s="136">
        <f t="shared" si="35"/>
        <v>190</v>
      </c>
      <c r="N462" s="2">
        <v>190</v>
      </c>
      <c r="O462" s="2"/>
      <c r="P462" s="137" t="e">
        <f t="shared" si="36"/>
        <v>#DIV/0!</v>
      </c>
      <c r="Q462" s="137">
        <f t="shared" si="37"/>
        <v>0</v>
      </c>
      <c r="R462" s="138">
        <f>IF(N462="nio",0,IF(N462&gt;0,VLOOKUP(I462,'3-Productie normen'!A:V,VLOOKUP(N462,'3-Productie normen'!$B$35:$C$56,2,FALSE),FALSE)))/VLOOKUP(B462,'2-Kosten per locatie'!$A$11:$C$18,3,FALSE)</f>
        <v>0</v>
      </c>
      <c r="S462" s="138">
        <f t="shared" si="38"/>
        <v>0</v>
      </c>
      <c r="T462" s="139" t="str">
        <f>VLOOKUP(I462,'3-Productie normen'!A:AF,28,FALSE)</f>
        <v>V</v>
      </c>
      <c r="U462" s="140"/>
      <c r="W462" s="141">
        <f t="shared" si="39"/>
        <v>2612.5</v>
      </c>
    </row>
    <row r="463" spans="1:23" ht="13.9" customHeight="1">
      <c r="A463" s="132">
        <v>463</v>
      </c>
      <c r="B463" s="49" t="s">
        <v>1681</v>
      </c>
      <c r="C463" s="49" t="s">
        <v>667</v>
      </c>
      <c r="D463" s="145" t="s">
        <v>246</v>
      </c>
      <c r="E463" s="146" t="s">
        <v>1062</v>
      </c>
      <c r="F463" s="146" t="s">
        <v>310</v>
      </c>
      <c r="G463" s="145" t="s">
        <v>235</v>
      </c>
      <c r="H463" s="145" t="s">
        <v>236</v>
      </c>
      <c r="I463" s="49" t="s">
        <v>1486</v>
      </c>
      <c r="J463" s="149" t="s">
        <v>1055</v>
      </c>
      <c r="K463" s="152" t="s">
        <v>1522</v>
      </c>
      <c r="L463" s="151">
        <v>11.23</v>
      </c>
      <c r="M463" s="136">
        <f t="shared" si="35"/>
        <v>190</v>
      </c>
      <c r="N463" s="2">
        <v>190</v>
      </c>
      <c r="O463" s="2"/>
      <c r="P463" s="137" t="e">
        <f t="shared" si="36"/>
        <v>#DIV/0!</v>
      </c>
      <c r="Q463" s="137">
        <f t="shared" si="37"/>
        <v>0</v>
      </c>
      <c r="R463" s="138">
        <f>IF(N463="nio",0,IF(N463&gt;0,VLOOKUP(I463,'3-Productie normen'!A:V,VLOOKUP(N463,'3-Productie normen'!$B$35:$C$56,2,FALSE),FALSE)))/VLOOKUP(B463,'2-Kosten per locatie'!$A$11:$C$18,3,FALSE)</f>
        <v>0</v>
      </c>
      <c r="S463" s="138">
        <f t="shared" si="38"/>
        <v>0</v>
      </c>
      <c r="T463" s="139" t="str">
        <f>VLOOKUP(I463,'3-Productie normen'!A:AF,28,FALSE)</f>
        <v>V</v>
      </c>
      <c r="U463" s="140"/>
      <c r="W463" s="141">
        <f t="shared" si="39"/>
        <v>2133.7000000000003</v>
      </c>
    </row>
    <row r="464" spans="1:23" ht="13.9" customHeight="1">
      <c r="A464" s="132">
        <v>464</v>
      </c>
      <c r="B464" s="49" t="s">
        <v>1681</v>
      </c>
      <c r="C464" s="49" t="s">
        <v>667</v>
      </c>
      <c r="D464" s="145" t="s">
        <v>246</v>
      </c>
      <c r="E464" s="146" t="s">
        <v>1063</v>
      </c>
      <c r="F464" s="146"/>
      <c r="G464" s="145" t="s">
        <v>235</v>
      </c>
      <c r="H464" s="145" t="s">
        <v>236</v>
      </c>
      <c r="I464" s="49" t="s">
        <v>1486</v>
      </c>
      <c r="J464" s="149" t="s">
        <v>1055</v>
      </c>
      <c r="K464" s="152" t="s">
        <v>1522</v>
      </c>
      <c r="L464" s="151">
        <v>64.97</v>
      </c>
      <c r="M464" s="136">
        <f t="shared" si="35"/>
        <v>190</v>
      </c>
      <c r="N464" s="2">
        <v>190</v>
      </c>
      <c r="O464" s="2"/>
      <c r="P464" s="137" t="e">
        <f t="shared" si="36"/>
        <v>#DIV/0!</v>
      </c>
      <c r="Q464" s="137">
        <f t="shared" si="37"/>
        <v>0</v>
      </c>
      <c r="R464" s="138">
        <f>IF(N464="nio",0,IF(N464&gt;0,VLOOKUP(I464,'3-Productie normen'!A:V,VLOOKUP(N464,'3-Productie normen'!$B$35:$C$56,2,FALSE),FALSE)))/VLOOKUP(B464,'2-Kosten per locatie'!$A$11:$C$18,3,FALSE)</f>
        <v>0</v>
      </c>
      <c r="S464" s="138">
        <f t="shared" si="38"/>
        <v>0</v>
      </c>
      <c r="T464" s="139" t="str">
        <f>VLOOKUP(I464,'3-Productie normen'!A:AF,28,FALSE)</f>
        <v>V</v>
      </c>
      <c r="U464" s="140"/>
      <c r="W464" s="141">
        <f t="shared" si="39"/>
        <v>12344.3</v>
      </c>
    </row>
    <row r="465" spans="1:23" ht="13.9" customHeight="1">
      <c r="A465" s="118">
        <v>465</v>
      </c>
      <c r="B465" s="49" t="s">
        <v>1681</v>
      </c>
      <c r="C465" s="49" t="s">
        <v>667</v>
      </c>
      <c r="D465" s="145" t="s">
        <v>246</v>
      </c>
      <c r="E465" s="146" t="s">
        <v>1064</v>
      </c>
      <c r="F465" s="146"/>
      <c r="G465" s="145" t="s">
        <v>235</v>
      </c>
      <c r="H465" s="145" t="s">
        <v>236</v>
      </c>
      <c r="I465" s="49" t="s">
        <v>1486</v>
      </c>
      <c r="J465" s="149" t="s">
        <v>1055</v>
      </c>
      <c r="K465" s="152" t="s">
        <v>1522</v>
      </c>
      <c r="L465" s="151">
        <v>4.1399999999999997</v>
      </c>
      <c r="M465" s="136">
        <f t="shared" si="35"/>
        <v>190</v>
      </c>
      <c r="N465" s="2">
        <v>190</v>
      </c>
      <c r="O465" s="2"/>
      <c r="P465" s="137" t="e">
        <f t="shared" si="36"/>
        <v>#DIV/0!</v>
      </c>
      <c r="Q465" s="137">
        <f t="shared" si="37"/>
        <v>0</v>
      </c>
      <c r="R465" s="138">
        <f>IF(N465="nio",0,IF(N465&gt;0,VLOOKUP(I465,'3-Productie normen'!A:V,VLOOKUP(N465,'3-Productie normen'!$B$35:$C$56,2,FALSE),FALSE)))/VLOOKUP(B465,'2-Kosten per locatie'!$A$11:$C$18,3,FALSE)</f>
        <v>0</v>
      </c>
      <c r="S465" s="138">
        <f t="shared" si="38"/>
        <v>0</v>
      </c>
      <c r="T465" s="139" t="str">
        <f>VLOOKUP(I465,'3-Productie normen'!A:AF,28,FALSE)</f>
        <v>V</v>
      </c>
      <c r="U465" s="140"/>
      <c r="W465" s="141">
        <f t="shared" si="39"/>
        <v>786.59999999999991</v>
      </c>
    </row>
    <row r="466" spans="1:23" ht="13.9" customHeight="1">
      <c r="A466" s="132">
        <v>466</v>
      </c>
      <c r="B466" s="49" t="s">
        <v>1681</v>
      </c>
      <c r="C466" s="49" t="s">
        <v>667</v>
      </c>
      <c r="D466" s="145" t="s">
        <v>246</v>
      </c>
      <c r="E466" s="146" t="s">
        <v>1065</v>
      </c>
      <c r="F466" s="146" t="s">
        <v>267</v>
      </c>
      <c r="G466" s="145" t="s">
        <v>235</v>
      </c>
      <c r="H466" s="145" t="s">
        <v>236</v>
      </c>
      <c r="I466" s="49" t="s">
        <v>1486</v>
      </c>
      <c r="J466" s="149" t="s">
        <v>1055</v>
      </c>
      <c r="K466" s="152" t="s">
        <v>1522</v>
      </c>
      <c r="L466" s="151">
        <v>38.74</v>
      </c>
      <c r="M466" s="136">
        <f t="shared" si="35"/>
        <v>190</v>
      </c>
      <c r="N466" s="2">
        <v>190</v>
      </c>
      <c r="O466" s="2"/>
      <c r="P466" s="137" t="e">
        <f t="shared" si="36"/>
        <v>#DIV/0!</v>
      </c>
      <c r="Q466" s="137">
        <f t="shared" si="37"/>
        <v>0</v>
      </c>
      <c r="R466" s="138">
        <f>IF(N466="nio",0,IF(N466&gt;0,VLOOKUP(I466,'3-Productie normen'!A:V,VLOOKUP(N466,'3-Productie normen'!$B$35:$C$56,2,FALSE),FALSE)))/VLOOKUP(B466,'2-Kosten per locatie'!$A$11:$C$18,3,FALSE)</f>
        <v>0</v>
      </c>
      <c r="S466" s="138">
        <f t="shared" si="38"/>
        <v>0</v>
      </c>
      <c r="T466" s="139" t="str">
        <f>VLOOKUP(I466,'3-Productie normen'!A:AF,28,FALSE)</f>
        <v>V</v>
      </c>
      <c r="U466" s="140"/>
      <c r="W466" s="141">
        <f t="shared" si="39"/>
        <v>7360.6</v>
      </c>
    </row>
    <row r="467" spans="1:23" ht="13.9" customHeight="1">
      <c r="A467" s="132">
        <v>467</v>
      </c>
      <c r="B467" s="49" t="s">
        <v>1681</v>
      </c>
      <c r="C467" s="49" t="s">
        <v>667</v>
      </c>
      <c r="D467" s="145" t="s">
        <v>246</v>
      </c>
      <c r="E467" s="146" t="s">
        <v>1066</v>
      </c>
      <c r="F467" s="146"/>
      <c r="G467" s="145" t="s">
        <v>235</v>
      </c>
      <c r="H467" s="145" t="s">
        <v>236</v>
      </c>
      <c r="I467" s="49" t="s">
        <v>1486</v>
      </c>
      <c r="J467" s="149" t="s">
        <v>1055</v>
      </c>
      <c r="K467" s="152" t="s">
        <v>1522</v>
      </c>
      <c r="L467" s="151">
        <v>22.7</v>
      </c>
      <c r="M467" s="136">
        <f t="shared" si="35"/>
        <v>190</v>
      </c>
      <c r="N467" s="2">
        <v>190</v>
      </c>
      <c r="O467" s="2"/>
      <c r="P467" s="137" t="e">
        <f t="shared" si="36"/>
        <v>#DIV/0!</v>
      </c>
      <c r="Q467" s="137">
        <f t="shared" si="37"/>
        <v>0</v>
      </c>
      <c r="R467" s="138">
        <f>IF(N467="nio",0,IF(N467&gt;0,VLOOKUP(I467,'3-Productie normen'!A:V,VLOOKUP(N467,'3-Productie normen'!$B$35:$C$56,2,FALSE),FALSE)))/VLOOKUP(B467,'2-Kosten per locatie'!$A$11:$C$18,3,FALSE)</f>
        <v>0</v>
      </c>
      <c r="S467" s="138">
        <f t="shared" si="38"/>
        <v>0</v>
      </c>
      <c r="T467" s="139" t="str">
        <f>VLOOKUP(I467,'3-Productie normen'!A:AF,28,FALSE)</f>
        <v>V</v>
      </c>
      <c r="U467" s="140"/>
      <c r="W467" s="141">
        <f t="shared" si="39"/>
        <v>4313</v>
      </c>
    </row>
    <row r="468" spans="1:23" ht="13.9" customHeight="1">
      <c r="A468" s="118">
        <v>468</v>
      </c>
      <c r="B468" s="49" t="s">
        <v>1681</v>
      </c>
      <c r="C468" s="49" t="s">
        <v>667</v>
      </c>
      <c r="D468" s="145" t="s">
        <v>246</v>
      </c>
      <c r="E468" s="146" t="s">
        <v>1067</v>
      </c>
      <c r="F468" s="146"/>
      <c r="G468" s="145" t="s">
        <v>235</v>
      </c>
      <c r="H468" s="145" t="s">
        <v>52</v>
      </c>
      <c r="I468" s="1" t="s">
        <v>247</v>
      </c>
      <c r="J468" s="149" t="s">
        <v>248</v>
      </c>
      <c r="K468" s="150"/>
      <c r="L468" s="151">
        <v>4.46</v>
      </c>
      <c r="M468" s="136">
        <f t="shared" si="35"/>
        <v>190</v>
      </c>
      <c r="N468" s="2">
        <v>190</v>
      </c>
      <c r="O468" s="2"/>
      <c r="P468" s="137" t="e">
        <f t="shared" si="36"/>
        <v>#DIV/0!</v>
      </c>
      <c r="Q468" s="137">
        <f t="shared" si="37"/>
        <v>0</v>
      </c>
      <c r="R468" s="138">
        <f>IF(N468="nio",0,IF(N468&gt;0,VLOOKUP(I468,'3-Productie normen'!A:V,VLOOKUP(N468,'3-Productie normen'!$B$35:$C$56,2,FALSE),FALSE)))/VLOOKUP(B468,'2-Kosten per locatie'!$A$11:$C$18,3,FALSE)</f>
        <v>0</v>
      </c>
      <c r="S468" s="138">
        <f t="shared" si="38"/>
        <v>0</v>
      </c>
      <c r="T468" s="139" t="str">
        <f>VLOOKUP(I468,'3-Productie normen'!A:AF,28,FALSE)</f>
        <v>V</v>
      </c>
      <c r="U468" s="140"/>
      <c r="W468" s="141">
        <f t="shared" si="39"/>
        <v>847.4</v>
      </c>
    </row>
    <row r="469" spans="1:23" ht="13.9" customHeight="1">
      <c r="A469" s="132">
        <v>469</v>
      </c>
      <c r="B469" s="49" t="s">
        <v>1681</v>
      </c>
      <c r="C469" s="49" t="s">
        <v>667</v>
      </c>
      <c r="D469" s="145" t="s">
        <v>246</v>
      </c>
      <c r="E469" s="146" t="s">
        <v>1068</v>
      </c>
      <c r="F469" s="146"/>
      <c r="G469" s="145" t="s">
        <v>235</v>
      </c>
      <c r="H469" s="145" t="s">
        <v>250</v>
      </c>
      <c r="I469" s="49" t="s">
        <v>1486</v>
      </c>
      <c r="J469" s="149" t="s">
        <v>1055</v>
      </c>
      <c r="K469" s="152" t="s">
        <v>1522</v>
      </c>
      <c r="L469" s="151">
        <v>6</v>
      </c>
      <c r="M469" s="136">
        <f t="shared" si="35"/>
        <v>190</v>
      </c>
      <c r="N469" s="2">
        <v>190</v>
      </c>
      <c r="O469" s="2"/>
      <c r="P469" s="137" t="e">
        <f t="shared" si="36"/>
        <v>#DIV/0!</v>
      </c>
      <c r="Q469" s="137">
        <f t="shared" si="37"/>
        <v>0</v>
      </c>
      <c r="R469" s="138">
        <f>IF(N469="nio",0,IF(N469&gt;0,VLOOKUP(I469,'3-Productie normen'!A:V,VLOOKUP(N469,'3-Productie normen'!$B$35:$C$56,2,FALSE),FALSE)))/VLOOKUP(B469,'2-Kosten per locatie'!$A$11:$C$18,3,FALSE)</f>
        <v>0</v>
      </c>
      <c r="S469" s="138">
        <f t="shared" si="38"/>
        <v>0</v>
      </c>
      <c r="T469" s="139" t="str">
        <f>VLOOKUP(I469,'3-Productie normen'!A:AF,28,FALSE)</f>
        <v>V</v>
      </c>
      <c r="U469" s="140"/>
      <c r="W469" s="141">
        <f t="shared" si="39"/>
        <v>1140</v>
      </c>
    </row>
    <row r="470" spans="1:23" ht="13.9" customHeight="1">
      <c r="A470" s="132">
        <v>470</v>
      </c>
      <c r="B470" s="49" t="s">
        <v>1681</v>
      </c>
      <c r="C470" s="49" t="s">
        <v>667</v>
      </c>
      <c r="D470" s="145" t="s">
        <v>246</v>
      </c>
      <c r="E470" s="146" t="s">
        <v>1069</v>
      </c>
      <c r="F470" s="146"/>
      <c r="G470" s="145" t="s">
        <v>235</v>
      </c>
      <c r="H470" s="145" t="s">
        <v>255</v>
      </c>
      <c r="I470" s="145" t="s">
        <v>239</v>
      </c>
      <c r="J470" s="149" t="s">
        <v>1055</v>
      </c>
      <c r="K470" s="150"/>
      <c r="L470" s="151">
        <v>96.75</v>
      </c>
      <c r="M470" s="136">
        <f t="shared" si="35"/>
        <v>0</v>
      </c>
      <c r="N470" s="2" t="s">
        <v>273</v>
      </c>
      <c r="O470" s="2"/>
      <c r="P470" s="137">
        <f t="shared" si="36"/>
        <v>0</v>
      </c>
      <c r="Q470" s="137">
        <f t="shared" si="37"/>
        <v>0</v>
      </c>
      <c r="R470" s="138">
        <f>IF(N470="nio",0,IF(N470&gt;0,VLOOKUP(I470,'3-Productie normen'!A:V,VLOOKUP(N470,'3-Productie normen'!$B$35:$C$56,2,FALSE),FALSE)))/VLOOKUP(B470,'2-Kosten per locatie'!$A$11:$C$18,3,FALSE)</f>
        <v>0</v>
      </c>
      <c r="S470" s="138">
        <f t="shared" si="38"/>
        <v>0</v>
      </c>
      <c r="T470" s="139">
        <f>VLOOKUP(I470,'3-Productie normen'!A:AF,28,FALSE)</f>
        <v>0</v>
      </c>
      <c r="U470" s="140"/>
      <c r="W470" s="141">
        <f t="shared" si="39"/>
        <v>0</v>
      </c>
    </row>
    <row r="471" spans="1:23" ht="13.9" customHeight="1">
      <c r="A471" s="118">
        <v>471</v>
      </c>
      <c r="B471" s="49" t="s">
        <v>1681</v>
      </c>
      <c r="C471" s="49" t="s">
        <v>667</v>
      </c>
      <c r="D471" s="145" t="s">
        <v>246</v>
      </c>
      <c r="E471" s="146" t="s">
        <v>1070</v>
      </c>
      <c r="F471" s="146"/>
      <c r="G471" s="145" t="s">
        <v>237</v>
      </c>
      <c r="H471" s="145" t="s">
        <v>240</v>
      </c>
      <c r="I471" s="91" t="s">
        <v>239</v>
      </c>
      <c r="J471" s="149" t="s">
        <v>234</v>
      </c>
      <c r="K471" s="150"/>
      <c r="L471" s="151">
        <v>1.36</v>
      </c>
      <c r="M471" s="136">
        <f t="shared" ref="M471:M534" si="40">SUM(N471:O471)</f>
        <v>0</v>
      </c>
      <c r="N471" s="2" t="s">
        <v>273</v>
      </c>
      <c r="O471" s="2"/>
      <c r="P471" s="137">
        <f t="shared" ref="P471:P534" si="41">IF(N471="nio",0,IF(N471&gt;0,N471*L471/R471,0))</f>
        <v>0</v>
      </c>
      <c r="Q471" s="137">
        <f t="shared" ref="Q471:Q534" si="42">IF(O471&gt;0,O471*L471/S471,0)</f>
        <v>0</v>
      </c>
      <c r="R471" s="138">
        <f>IF(N471="nio",0,IF(N471&gt;0,VLOOKUP(I471,'3-Productie normen'!A:V,VLOOKUP(N471,'3-Productie normen'!$B$35:$C$56,2,FALSE),FALSE)))/VLOOKUP(B471,'2-Kosten per locatie'!$A$11:$C$18,3,FALSE)</f>
        <v>0</v>
      </c>
      <c r="S471" s="138">
        <f t="shared" ref="S471:S534" si="43">IF(O471&gt;0,R471*$S$8,0)</f>
        <v>0</v>
      </c>
      <c r="T471" s="139">
        <f>VLOOKUP(I471,'3-Productie normen'!A:AF,28,FALSE)</f>
        <v>0</v>
      </c>
      <c r="U471" s="140"/>
      <c r="W471" s="141">
        <f t="shared" ref="W471:W534" si="44">M471*L471</f>
        <v>0</v>
      </c>
    </row>
    <row r="472" spans="1:23" ht="13.9" customHeight="1">
      <c r="A472" s="132">
        <v>472</v>
      </c>
      <c r="B472" s="49" t="s">
        <v>1681</v>
      </c>
      <c r="C472" s="49" t="s">
        <v>667</v>
      </c>
      <c r="D472" s="145" t="s">
        <v>246</v>
      </c>
      <c r="E472" s="146" t="s">
        <v>1071</v>
      </c>
      <c r="F472" s="146"/>
      <c r="G472" s="145" t="s">
        <v>237</v>
      </c>
      <c r="H472" s="145" t="s">
        <v>238</v>
      </c>
      <c r="I472" s="91" t="s">
        <v>239</v>
      </c>
      <c r="J472" s="149" t="s">
        <v>234</v>
      </c>
      <c r="K472" s="150"/>
      <c r="L472" s="151">
        <v>5.0999999999999996</v>
      </c>
      <c r="M472" s="136">
        <f t="shared" si="40"/>
        <v>0</v>
      </c>
      <c r="N472" s="2" t="s">
        <v>273</v>
      </c>
      <c r="O472" s="2"/>
      <c r="P472" s="137">
        <f t="shared" si="41"/>
        <v>0</v>
      </c>
      <c r="Q472" s="137">
        <f t="shared" si="42"/>
        <v>0</v>
      </c>
      <c r="R472" s="138">
        <f>IF(N472="nio",0,IF(N472&gt;0,VLOOKUP(I472,'3-Productie normen'!A:V,VLOOKUP(N472,'3-Productie normen'!$B$35:$C$56,2,FALSE),FALSE)))/VLOOKUP(B472,'2-Kosten per locatie'!$A$11:$C$18,3,FALSE)</f>
        <v>0</v>
      </c>
      <c r="S472" s="138">
        <f t="shared" si="43"/>
        <v>0</v>
      </c>
      <c r="T472" s="139">
        <f>VLOOKUP(I472,'3-Productie normen'!A:AF,28,FALSE)</f>
        <v>0</v>
      </c>
      <c r="U472" s="140"/>
      <c r="W472" s="141">
        <f t="shared" si="44"/>
        <v>0</v>
      </c>
    </row>
    <row r="473" spans="1:23" ht="13.9" customHeight="1">
      <c r="A473" s="132">
        <v>473</v>
      </c>
      <c r="B473" s="49" t="s">
        <v>1681</v>
      </c>
      <c r="C473" s="49" t="s">
        <v>667</v>
      </c>
      <c r="D473" s="145" t="s">
        <v>246</v>
      </c>
      <c r="E473" s="146" t="s">
        <v>1072</v>
      </c>
      <c r="F473" s="146"/>
      <c r="G473" s="145" t="s">
        <v>237</v>
      </c>
      <c r="H473" s="145" t="s">
        <v>240</v>
      </c>
      <c r="I473" s="91" t="s">
        <v>239</v>
      </c>
      <c r="J473" s="149" t="s">
        <v>234</v>
      </c>
      <c r="K473" s="150"/>
      <c r="L473" s="151">
        <v>6.77</v>
      </c>
      <c r="M473" s="136">
        <f t="shared" si="40"/>
        <v>0</v>
      </c>
      <c r="N473" s="2" t="s">
        <v>273</v>
      </c>
      <c r="O473" s="2"/>
      <c r="P473" s="137">
        <f t="shared" si="41"/>
        <v>0</v>
      </c>
      <c r="Q473" s="137">
        <f t="shared" si="42"/>
        <v>0</v>
      </c>
      <c r="R473" s="138">
        <f>IF(N473="nio",0,IF(N473&gt;0,VLOOKUP(I473,'3-Productie normen'!A:V,VLOOKUP(N473,'3-Productie normen'!$B$35:$C$56,2,FALSE),FALSE)))/VLOOKUP(B473,'2-Kosten per locatie'!$A$11:$C$18,3,FALSE)</f>
        <v>0</v>
      </c>
      <c r="S473" s="138">
        <f t="shared" si="43"/>
        <v>0</v>
      </c>
      <c r="T473" s="139">
        <f>VLOOKUP(I473,'3-Productie normen'!A:AF,28,FALSE)</f>
        <v>0</v>
      </c>
      <c r="U473" s="140"/>
      <c r="W473" s="141">
        <f t="shared" si="44"/>
        <v>0</v>
      </c>
    </row>
    <row r="474" spans="1:23" ht="13.9" customHeight="1">
      <c r="A474" s="118">
        <v>474</v>
      </c>
      <c r="B474" s="49" t="s">
        <v>1681</v>
      </c>
      <c r="C474" s="49" t="s">
        <v>667</v>
      </c>
      <c r="D474" s="145" t="s">
        <v>246</v>
      </c>
      <c r="E474" s="146" t="s">
        <v>1073</v>
      </c>
      <c r="F474" s="146"/>
      <c r="G474" s="145" t="s">
        <v>44</v>
      </c>
      <c r="H474" s="145" t="s">
        <v>255</v>
      </c>
      <c r="I474" s="145" t="s">
        <v>239</v>
      </c>
      <c r="J474" s="149" t="s">
        <v>305</v>
      </c>
      <c r="K474" s="150"/>
      <c r="L474" s="151">
        <v>1.3</v>
      </c>
      <c r="M474" s="136">
        <f t="shared" si="40"/>
        <v>0</v>
      </c>
      <c r="N474" s="2" t="s">
        <v>273</v>
      </c>
      <c r="O474" s="2"/>
      <c r="P474" s="137">
        <f t="shared" si="41"/>
        <v>0</v>
      </c>
      <c r="Q474" s="137">
        <f t="shared" si="42"/>
        <v>0</v>
      </c>
      <c r="R474" s="138">
        <f>IF(N474="nio",0,IF(N474&gt;0,VLOOKUP(I474,'3-Productie normen'!A:V,VLOOKUP(N474,'3-Productie normen'!$B$35:$C$56,2,FALSE),FALSE)))/VLOOKUP(B474,'2-Kosten per locatie'!$A$11:$C$18,3,FALSE)</f>
        <v>0</v>
      </c>
      <c r="S474" s="138">
        <f t="shared" si="43"/>
        <v>0</v>
      </c>
      <c r="T474" s="139">
        <f>VLOOKUP(I474,'3-Productie normen'!A:AF,28,FALSE)</f>
        <v>0</v>
      </c>
      <c r="U474" s="140"/>
      <c r="W474" s="141">
        <f t="shared" si="44"/>
        <v>0</v>
      </c>
    </row>
    <row r="475" spans="1:23" ht="13.9" customHeight="1">
      <c r="A475" s="132">
        <v>475</v>
      </c>
      <c r="B475" s="49" t="s">
        <v>1681</v>
      </c>
      <c r="C475" s="49" t="s">
        <v>667</v>
      </c>
      <c r="D475" s="145" t="s">
        <v>246</v>
      </c>
      <c r="E475" s="146" t="s">
        <v>1074</v>
      </c>
      <c r="F475" s="146"/>
      <c r="G475" s="145" t="s">
        <v>237</v>
      </c>
      <c r="H475" s="145" t="s">
        <v>238</v>
      </c>
      <c r="I475" s="91" t="s">
        <v>239</v>
      </c>
      <c r="J475" s="149" t="s">
        <v>234</v>
      </c>
      <c r="K475" s="150"/>
      <c r="L475" s="151">
        <v>12.6</v>
      </c>
      <c r="M475" s="136">
        <f t="shared" si="40"/>
        <v>0</v>
      </c>
      <c r="N475" s="2" t="s">
        <v>273</v>
      </c>
      <c r="O475" s="2"/>
      <c r="P475" s="137">
        <f t="shared" si="41"/>
        <v>0</v>
      </c>
      <c r="Q475" s="137">
        <f t="shared" si="42"/>
        <v>0</v>
      </c>
      <c r="R475" s="138">
        <f>IF(N475="nio",0,IF(N475&gt;0,VLOOKUP(I475,'3-Productie normen'!A:V,VLOOKUP(N475,'3-Productie normen'!$B$35:$C$56,2,FALSE),FALSE)))/VLOOKUP(B475,'2-Kosten per locatie'!$A$11:$C$18,3,FALSE)</f>
        <v>0</v>
      </c>
      <c r="S475" s="138">
        <f t="shared" si="43"/>
        <v>0</v>
      </c>
      <c r="T475" s="139">
        <f>VLOOKUP(I475,'3-Productie normen'!A:AF,28,FALSE)</f>
        <v>0</v>
      </c>
      <c r="U475" s="140"/>
      <c r="W475" s="141">
        <f t="shared" si="44"/>
        <v>0</v>
      </c>
    </row>
    <row r="476" spans="1:23" ht="13.9" customHeight="1">
      <c r="A476" s="132">
        <v>476</v>
      </c>
      <c r="B476" s="49" t="s">
        <v>1681</v>
      </c>
      <c r="C476" s="49" t="s">
        <v>667</v>
      </c>
      <c r="D476" s="145" t="s">
        <v>246</v>
      </c>
      <c r="E476" s="146" t="s">
        <v>1075</v>
      </c>
      <c r="F476" s="146"/>
      <c r="G476" s="145" t="s">
        <v>242</v>
      </c>
      <c r="H476" s="145" t="s">
        <v>242</v>
      </c>
      <c r="I476" s="1" t="s">
        <v>242</v>
      </c>
      <c r="J476" s="149" t="s">
        <v>234</v>
      </c>
      <c r="K476" s="150"/>
      <c r="L476" s="151">
        <v>6.71</v>
      </c>
      <c r="M476" s="136">
        <f t="shared" si="40"/>
        <v>2</v>
      </c>
      <c r="N476" s="2">
        <v>2</v>
      </c>
      <c r="O476" s="2"/>
      <c r="P476" s="137" t="e">
        <f t="shared" si="41"/>
        <v>#DIV/0!</v>
      </c>
      <c r="Q476" s="137">
        <f t="shared" si="42"/>
        <v>0</v>
      </c>
      <c r="R476" s="138">
        <f>IF(N476="nio",0,IF(N476&gt;0,VLOOKUP(I476,'3-Productie normen'!A:V,VLOOKUP(N476,'3-Productie normen'!$B$35:$C$56,2,FALSE),FALSE)))/VLOOKUP(B476,'2-Kosten per locatie'!$A$11:$C$18,3,FALSE)</f>
        <v>0</v>
      </c>
      <c r="S476" s="138">
        <f t="shared" si="43"/>
        <v>0</v>
      </c>
      <c r="T476" s="139" t="str">
        <f>VLOOKUP(I476,'3-Productie normen'!A:AF,28,FALSE)</f>
        <v>V</v>
      </c>
      <c r="U476" s="140"/>
      <c r="W476" s="141">
        <f t="shared" si="44"/>
        <v>13.42</v>
      </c>
    </row>
    <row r="477" spans="1:23" ht="13.9" customHeight="1">
      <c r="A477" s="118">
        <v>477</v>
      </c>
      <c r="B477" s="49" t="s">
        <v>1681</v>
      </c>
      <c r="C477" s="49" t="s">
        <v>667</v>
      </c>
      <c r="D477" s="145" t="s">
        <v>246</v>
      </c>
      <c r="E477" s="146" t="s">
        <v>1076</v>
      </c>
      <c r="F477" s="146"/>
      <c r="G477" s="145" t="s">
        <v>44</v>
      </c>
      <c r="H477" s="145" t="s">
        <v>255</v>
      </c>
      <c r="I477" s="145" t="s">
        <v>239</v>
      </c>
      <c r="J477" s="149" t="s">
        <v>305</v>
      </c>
      <c r="K477" s="150"/>
      <c r="L477" s="151">
        <v>1.68</v>
      </c>
      <c r="M477" s="136">
        <f t="shared" si="40"/>
        <v>0</v>
      </c>
      <c r="N477" s="2" t="s">
        <v>273</v>
      </c>
      <c r="O477" s="2"/>
      <c r="P477" s="137">
        <f t="shared" si="41"/>
        <v>0</v>
      </c>
      <c r="Q477" s="137">
        <f t="shared" si="42"/>
        <v>0</v>
      </c>
      <c r="R477" s="138">
        <f>IF(N477="nio",0,IF(N477&gt;0,VLOOKUP(I477,'3-Productie normen'!A:V,VLOOKUP(N477,'3-Productie normen'!$B$35:$C$56,2,FALSE),FALSE)))/VLOOKUP(B477,'2-Kosten per locatie'!$A$11:$C$18,3,FALSE)</f>
        <v>0</v>
      </c>
      <c r="S477" s="138">
        <f t="shared" si="43"/>
        <v>0</v>
      </c>
      <c r="T477" s="139">
        <f>VLOOKUP(I477,'3-Productie normen'!A:AF,28,FALSE)</f>
        <v>0</v>
      </c>
      <c r="U477" s="140"/>
      <c r="W477" s="141">
        <f t="shared" si="44"/>
        <v>0</v>
      </c>
    </row>
    <row r="478" spans="1:23" ht="13.9" customHeight="1">
      <c r="A478" s="132">
        <v>478</v>
      </c>
      <c r="B478" s="49" t="s">
        <v>1681</v>
      </c>
      <c r="C478" s="49" t="s">
        <v>667</v>
      </c>
      <c r="D478" s="145" t="s">
        <v>246</v>
      </c>
      <c r="E478" s="146" t="s">
        <v>1077</v>
      </c>
      <c r="F478" s="146"/>
      <c r="G478" s="145" t="s">
        <v>237</v>
      </c>
      <c r="H478" s="145" t="s">
        <v>277</v>
      </c>
      <c r="I478" s="91" t="s">
        <v>239</v>
      </c>
      <c r="J478" s="149" t="s">
        <v>1078</v>
      </c>
      <c r="K478" s="150"/>
      <c r="L478" s="151">
        <v>1.93</v>
      </c>
      <c r="M478" s="136">
        <f t="shared" si="40"/>
        <v>0</v>
      </c>
      <c r="N478" s="2" t="s">
        <v>273</v>
      </c>
      <c r="O478" s="2"/>
      <c r="P478" s="137">
        <f t="shared" si="41"/>
        <v>0</v>
      </c>
      <c r="Q478" s="137">
        <f t="shared" si="42"/>
        <v>0</v>
      </c>
      <c r="R478" s="138">
        <f>IF(N478="nio",0,IF(N478&gt;0,VLOOKUP(I478,'3-Productie normen'!A:V,VLOOKUP(N478,'3-Productie normen'!$B$35:$C$56,2,FALSE),FALSE)))/VLOOKUP(B478,'2-Kosten per locatie'!$A$11:$C$18,3,FALSE)</f>
        <v>0</v>
      </c>
      <c r="S478" s="138">
        <f t="shared" si="43"/>
        <v>0</v>
      </c>
      <c r="T478" s="139">
        <f>VLOOKUP(I478,'3-Productie normen'!A:AF,28,FALSE)</f>
        <v>0</v>
      </c>
      <c r="U478" s="140"/>
      <c r="W478" s="141">
        <f t="shared" si="44"/>
        <v>0</v>
      </c>
    </row>
    <row r="479" spans="1:23" ht="13.9" customHeight="1">
      <c r="A479" s="132">
        <v>479</v>
      </c>
      <c r="B479" s="49" t="s">
        <v>1681</v>
      </c>
      <c r="C479" s="49" t="s">
        <v>667</v>
      </c>
      <c r="D479" s="145" t="s">
        <v>246</v>
      </c>
      <c r="E479" s="146" t="s">
        <v>1079</v>
      </c>
      <c r="F479" s="146"/>
      <c r="G479" s="145" t="s">
        <v>242</v>
      </c>
      <c r="H479" s="145" t="s">
        <v>242</v>
      </c>
      <c r="I479" s="1" t="s">
        <v>242</v>
      </c>
      <c r="J479" s="149" t="s">
        <v>234</v>
      </c>
      <c r="K479" s="150"/>
      <c r="L479" s="151">
        <v>3.03</v>
      </c>
      <c r="M479" s="136">
        <f t="shared" si="40"/>
        <v>2</v>
      </c>
      <c r="N479" s="2">
        <v>2</v>
      </c>
      <c r="O479" s="2"/>
      <c r="P479" s="137" t="e">
        <f t="shared" si="41"/>
        <v>#DIV/0!</v>
      </c>
      <c r="Q479" s="137">
        <f t="shared" si="42"/>
        <v>0</v>
      </c>
      <c r="R479" s="138">
        <f>IF(N479="nio",0,IF(N479&gt;0,VLOOKUP(I479,'3-Productie normen'!A:V,VLOOKUP(N479,'3-Productie normen'!$B$35:$C$56,2,FALSE),FALSE)))/VLOOKUP(B479,'2-Kosten per locatie'!$A$11:$C$18,3,FALSE)</f>
        <v>0</v>
      </c>
      <c r="S479" s="138">
        <f t="shared" si="43"/>
        <v>0</v>
      </c>
      <c r="T479" s="139" t="str">
        <f>VLOOKUP(I479,'3-Productie normen'!A:AF,28,FALSE)</f>
        <v>V</v>
      </c>
      <c r="U479" s="140"/>
      <c r="W479" s="141">
        <f t="shared" si="44"/>
        <v>6.06</v>
      </c>
    </row>
    <row r="480" spans="1:23" ht="13.9" customHeight="1">
      <c r="A480" s="118">
        <v>480</v>
      </c>
      <c r="B480" s="49" t="s">
        <v>1681</v>
      </c>
      <c r="C480" s="49" t="s">
        <v>667</v>
      </c>
      <c r="D480" s="145" t="s">
        <v>246</v>
      </c>
      <c r="E480" s="146" t="s">
        <v>1080</v>
      </c>
      <c r="F480" s="146"/>
      <c r="G480" s="145" t="s">
        <v>44</v>
      </c>
      <c r="H480" s="145" t="s">
        <v>258</v>
      </c>
      <c r="I480" s="145" t="s">
        <v>259</v>
      </c>
      <c r="J480" s="149" t="s">
        <v>305</v>
      </c>
      <c r="K480" s="150"/>
      <c r="L480" s="151">
        <v>6.19</v>
      </c>
      <c r="M480" s="136">
        <f t="shared" si="40"/>
        <v>190</v>
      </c>
      <c r="N480" s="2">
        <v>190</v>
      </c>
      <c r="O480" s="2"/>
      <c r="P480" s="137" t="e">
        <f t="shared" si="41"/>
        <v>#DIV/0!</v>
      </c>
      <c r="Q480" s="137">
        <f t="shared" si="42"/>
        <v>0</v>
      </c>
      <c r="R480" s="138">
        <f>IF(N480="nio",0,IF(N480&gt;0,VLOOKUP(I480,'3-Productie normen'!A:V,VLOOKUP(N480,'3-Productie normen'!$B$35:$C$56,2,FALSE),FALSE)))/VLOOKUP(B480,'2-Kosten per locatie'!$A$11:$C$18,3,FALSE)</f>
        <v>0</v>
      </c>
      <c r="S480" s="138">
        <f t="shared" si="43"/>
        <v>0</v>
      </c>
      <c r="T480" s="139" t="str">
        <f>VLOOKUP(I480,'3-Productie normen'!A:AF,28,FALSE)</f>
        <v>S</v>
      </c>
      <c r="U480" s="140"/>
      <c r="W480" s="141">
        <f t="shared" si="44"/>
        <v>1176.1000000000001</v>
      </c>
    </row>
    <row r="481" spans="1:23" ht="13.9" customHeight="1">
      <c r="A481" s="132">
        <v>481</v>
      </c>
      <c r="B481" s="49" t="s">
        <v>1681</v>
      </c>
      <c r="C481" s="49" t="s">
        <v>667</v>
      </c>
      <c r="D481" s="145" t="s">
        <v>246</v>
      </c>
      <c r="E481" s="146" t="s">
        <v>1081</v>
      </c>
      <c r="F481" s="146"/>
      <c r="G481" s="145" t="s">
        <v>44</v>
      </c>
      <c r="H481" s="145" t="s">
        <v>260</v>
      </c>
      <c r="I481" s="145" t="s">
        <v>259</v>
      </c>
      <c r="J481" s="149" t="s">
        <v>305</v>
      </c>
      <c r="K481" s="150"/>
      <c r="L481" s="151">
        <v>1.1100000000000001</v>
      </c>
      <c r="M481" s="136">
        <f t="shared" si="40"/>
        <v>190</v>
      </c>
      <c r="N481" s="2">
        <v>190</v>
      </c>
      <c r="O481" s="2"/>
      <c r="P481" s="137" t="e">
        <f t="shared" si="41"/>
        <v>#DIV/0!</v>
      </c>
      <c r="Q481" s="137">
        <f t="shared" si="42"/>
        <v>0</v>
      </c>
      <c r="R481" s="138">
        <f>IF(N481="nio",0,IF(N481&gt;0,VLOOKUP(I481,'3-Productie normen'!A:V,VLOOKUP(N481,'3-Productie normen'!$B$35:$C$56,2,FALSE),FALSE)))/VLOOKUP(B481,'2-Kosten per locatie'!$A$11:$C$18,3,FALSE)</f>
        <v>0</v>
      </c>
      <c r="S481" s="138">
        <f t="shared" si="43"/>
        <v>0</v>
      </c>
      <c r="T481" s="139" t="str">
        <f>VLOOKUP(I481,'3-Productie normen'!A:AF,28,FALSE)</f>
        <v>S</v>
      </c>
      <c r="U481" s="140"/>
      <c r="W481" s="141">
        <f t="shared" si="44"/>
        <v>210.9</v>
      </c>
    </row>
    <row r="482" spans="1:23" ht="13.9" customHeight="1">
      <c r="A482" s="132">
        <v>482</v>
      </c>
      <c r="B482" s="49" t="s">
        <v>1681</v>
      </c>
      <c r="C482" s="49" t="s">
        <v>667</v>
      </c>
      <c r="D482" s="145" t="s">
        <v>246</v>
      </c>
      <c r="E482" s="146" t="s">
        <v>1082</v>
      </c>
      <c r="F482" s="146"/>
      <c r="G482" s="145" t="s">
        <v>44</v>
      </c>
      <c r="H482" s="145" t="s">
        <v>260</v>
      </c>
      <c r="I482" s="145" t="s">
        <v>259</v>
      </c>
      <c r="J482" s="149" t="s">
        <v>305</v>
      </c>
      <c r="K482" s="150"/>
      <c r="L482" s="151">
        <v>1.1100000000000001</v>
      </c>
      <c r="M482" s="136">
        <f t="shared" si="40"/>
        <v>190</v>
      </c>
      <c r="N482" s="2">
        <v>190</v>
      </c>
      <c r="O482" s="2"/>
      <c r="P482" s="137" t="e">
        <f t="shared" si="41"/>
        <v>#DIV/0!</v>
      </c>
      <c r="Q482" s="137">
        <f t="shared" si="42"/>
        <v>0</v>
      </c>
      <c r="R482" s="138">
        <f>IF(N482="nio",0,IF(N482&gt;0,VLOOKUP(I482,'3-Productie normen'!A:V,VLOOKUP(N482,'3-Productie normen'!$B$35:$C$56,2,FALSE),FALSE)))/VLOOKUP(B482,'2-Kosten per locatie'!$A$11:$C$18,3,FALSE)</f>
        <v>0</v>
      </c>
      <c r="S482" s="138">
        <f t="shared" si="43"/>
        <v>0</v>
      </c>
      <c r="T482" s="139" t="str">
        <f>VLOOKUP(I482,'3-Productie normen'!A:AF,28,FALSE)</f>
        <v>S</v>
      </c>
      <c r="U482" s="140"/>
      <c r="W482" s="141">
        <f t="shared" si="44"/>
        <v>210.9</v>
      </c>
    </row>
    <row r="483" spans="1:23" ht="13.9" customHeight="1">
      <c r="A483" s="118">
        <v>483</v>
      </c>
      <c r="B483" s="49" t="s">
        <v>1681</v>
      </c>
      <c r="C483" s="49" t="s">
        <v>667</v>
      </c>
      <c r="D483" s="145" t="s">
        <v>246</v>
      </c>
      <c r="E483" s="146" t="s">
        <v>1083</v>
      </c>
      <c r="F483" s="146"/>
      <c r="G483" s="145" t="s">
        <v>44</v>
      </c>
      <c r="H483" s="145" t="s">
        <v>258</v>
      </c>
      <c r="I483" s="145" t="s">
        <v>259</v>
      </c>
      <c r="J483" s="149" t="s">
        <v>305</v>
      </c>
      <c r="K483" s="150"/>
      <c r="L483" s="151">
        <v>6.32</v>
      </c>
      <c r="M483" s="136">
        <f t="shared" si="40"/>
        <v>190</v>
      </c>
      <c r="N483" s="2">
        <v>190</v>
      </c>
      <c r="O483" s="2"/>
      <c r="P483" s="137" t="e">
        <f t="shared" si="41"/>
        <v>#DIV/0!</v>
      </c>
      <c r="Q483" s="137">
        <f t="shared" si="42"/>
        <v>0</v>
      </c>
      <c r="R483" s="138">
        <f>IF(N483="nio",0,IF(N483&gt;0,VLOOKUP(I483,'3-Productie normen'!A:V,VLOOKUP(N483,'3-Productie normen'!$B$35:$C$56,2,FALSE),FALSE)))/VLOOKUP(B483,'2-Kosten per locatie'!$A$11:$C$18,3,FALSE)</f>
        <v>0</v>
      </c>
      <c r="S483" s="138">
        <f t="shared" si="43"/>
        <v>0</v>
      </c>
      <c r="T483" s="139" t="str">
        <f>VLOOKUP(I483,'3-Productie normen'!A:AF,28,FALSE)</f>
        <v>S</v>
      </c>
      <c r="U483" s="140"/>
      <c r="W483" s="141">
        <f t="shared" si="44"/>
        <v>1200.8</v>
      </c>
    </row>
    <row r="484" spans="1:23" ht="13.9" customHeight="1">
      <c r="A484" s="132">
        <v>484</v>
      </c>
      <c r="B484" s="49" t="s">
        <v>1681</v>
      </c>
      <c r="C484" s="49" t="s">
        <v>667</v>
      </c>
      <c r="D484" s="145" t="s">
        <v>246</v>
      </c>
      <c r="E484" s="146" t="s">
        <v>1084</v>
      </c>
      <c r="F484" s="146"/>
      <c r="G484" s="145" t="s">
        <v>44</v>
      </c>
      <c r="H484" s="145" t="s">
        <v>260</v>
      </c>
      <c r="I484" s="145" t="s">
        <v>259</v>
      </c>
      <c r="J484" s="149" t="s">
        <v>305</v>
      </c>
      <c r="K484" s="150"/>
      <c r="L484" s="151">
        <v>1.17</v>
      </c>
      <c r="M484" s="136">
        <f t="shared" si="40"/>
        <v>190</v>
      </c>
      <c r="N484" s="2">
        <v>190</v>
      </c>
      <c r="O484" s="2"/>
      <c r="P484" s="137" t="e">
        <f t="shared" si="41"/>
        <v>#DIV/0!</v>
      </c>
      <c r="Q484" s="137">
        <f t="shared" si="42"/>
        <v>0</v>
      </c>
      <c r="R484" s="138">
        <f>IF(N484="nio",0,IF(N484&gt;0,VLOOKUP(I484,'3-Productie normen'!A:V,VLOOKUP(N484,'3-Productie normen'!$B$35:$C$56,2,FALSE),FALSE)))/VLOOKUP(B484,'2-Kosten per locatie'!$A$11:$C$18,3,FALSE)</f>
        <v>0</v>
      </c>
      <c r="S484" s="138">
        <f t="shared" si="43"/>
        <v>0</v>
      </c>
      <c r="T484" s="139" t="str">
        <f>VLOOKUP(I484,'3-Productie normen'!A:AF,28,FALSE)</f>
        <v>S</v>
      </c>
      <c r="U484" s="140"/>
      <c r="W484" s="141">
        <f t="shared" si="44"/>
        <v>222.29999999999998</v>
      </c>
    </row>
    <row r="485" spans="1:23" ht="13.9" customHeight="1">
      <c r="A485" s="132">
        <v>485</v>
      </c>
      <c r="B485" s="49" t="s">
        <v>1681</v>
      </c>
      <c r="C485" s="49" t="s">
        <v>667</v>
      </c>
      <c r="D485" s="145" t="s">
        <v>246</v>
      </c>
      <c r="E485" s="146" t="s">
        <v>1085</v>
      </c>
      <c r="F485" s="146"/>
      <c r="G485" s="145" t="s">
        <v>44</v>
      </c>
      <c r="H485" s="145" t="s">
        <v>260</v>
      </c>
      <c r="I485" s="145" t="s">
        <v>259</v>
      </c>
      <c r="J485" s="149" t="s">
        <v>305</v>
      </c>
      <c r="K485" s="150"/>
      <c r="L485" s="151">
        <v>1.17</v>
      </c>
      <c r="M485" s="136">
        <f t="shared" si="40"/>
        <v>190</v>
      </c>
      <c r="N485" s="2">
        <v>190</v>
      </c>
      <c r="O485" s="2"/>
      <c r="P485" s="137" t="e">
        <f t="shared" si="41"/>
        <v>#DIV/0!</v>
      </c>
      <c r="Q485" s="137">
        <f t="shared" si="42"/>
        <v>0</v>
      </c>
      <c r="R485" s="138">
        <f>IF(N485="nio",0,IF(N485&gt;0,VLOOKUP(I485,'3-Productie normen'!A:V,VLOOKUP(N485,'3-Productie normen'!$B$35:$C$56,2,FALSE),FALSE)))/VLOOKUP(B485,'2-Kosten per locatie'!$A$11:$C$18,3,FALSE)</f>
        <v>0</v>
      </c>
      <c r="S485" s="138">
        <f t="shared" si="43"/>
        <v>0</v>
      </c>
      <c r="T485" s="139" t="str">
        <f>VLOOKUP(I485,'3-Productie normen'!A:AF,28,FALSE)</f>
        <v>S</v>
      </c>
      <c r="U485" s="140"/>
      <c r="W485" s="141">
        <f t="shared" si="44"/>
        <v>222.29999999999998</v>
      </c>
    </row>
    <row r="486" spans="1:23" ht="13.9" customHeight="1">
      <c r="A486" s="118">
        <v>486</v>
      </c>
      <c r="B486" s="49" t="s">
        <v>1681</v>
      </c>
      <c r="C486" s="49" t="s">
        <v>667</v>
      </c>
      <c r="D486" s="145" t="s">
        <v>246</v>
      </c>
      <c r="E486" s="146" t="s">
        <v>1086</v>
      </c>
      <c r="F486" s="146"/>
      <c r="G486" s="145" t="s">
        <v>44</v>
      </c>
      <c r="H486" s="145" t="s">
        <v>258</v>
      </c>
      <c r="I486" s="145" t="s">
        <v>259</v>
      </c>
      <c r="J486" s="149" t="s">
        <v>305</v>
      </c>
      <c r="K486" s="150"/>
      <c r="L486" s="151">
        <v>3.15</v>
      </c>
      <c r="M486" s="136">
        <f t="shared" si="40"/>
        <v>190</v>
      </c>
      <c r="N486" s="2">
        <v>190</v>
      </c>
      <c r="O486" s="2"/>
      <c r="P486" s="137" t="e">
        <f t="shared" si="41"/>
        <v>#DIV/0!</v>
      </c>
      <c r="Q486" s="137">
        <f t="shared" si="42"/>
        <v>0</v>
      </c>
      <c r="R486" s="138">
        <f>IF(N486="nio",0,IF(N486&gt;0,VLOOKUP(I486,'3-Productie normen'!A:V,VLOOKUP(N486,'3-Productie normen'!$B$35:$C$56,2,FALSE),FALSE)))/VLOOKUP(B486,'2-Kosten per locatie'!$A$11:$C$18,3,FALSE)</f>
        <v>0</v>
      </c>
      <c r="S486" s="138">
        <f t="shared" si="43"/>
        <v>0</v>
      </c>
      <c r="T486" s="139" t="str">
        <f>VLOOKUP(I486,'3-Productie normen'!A:AF,28,FALSE)</f>
        <v>S</v>
      </c>
      <c r="U486" s="140"/>
      <c r="W486" s="141">
        <f t="shared" si="44"/>
        <v>598.5</v>
      </c>
    </row>
    <row r="487" spans="1:23" ht="13.9" customHeight="1">
      <c r="A487" s="132">
        <v>487</v>
      </c>
      <c r="B487" s="49" t="s">
        <v>1681</v>
      </c>
      <c r="C487" s="49" t="s">
        <v>667</v>
      </c>
      <c r="D487" s="145" t="s">
        <v>246</v>
      </c>
      <c r="E487" s="146" t="s">
        <v>1087</v>
      </c>
      <c r="F487" s="146"/>
      <c r="G487" s="145" t="s">
        <v>44</v>
      </c>
      <c r="H487" s="145" t="s">
        <v>260</v>
      </c>
      <c r="I487" s="145" t="s">
        <v>259</v>
      </c>
      <c r="J487" s="149" t="s">
        <v>305</v>
      </c>
      <c r="K487" s="150"/>
      <c r="L487" s="151">
        <v>1.18</v>
      </c>
      <c r="M487" s="136">
        <f t="shared" si="40"/>
        <v>190</v>
      </c>
      <c r="N487" s="2">
        <v>190</v>
      </c>
      <c r="O487" s="2"/>
      <c r="P487" s="137" t="e">
        <f t="shared" si="41"/>
        <v>#DIV/0!</v>
      </c>
      <c r="Q487" s="137">
        <f t="shared" si="42"/>
        <v>0</v>
      </c>
      <c r="R487" s="138">
        <f>IF(N487="nio",0,IF(N487&gt;0,VLOOKUP(I487,'3-Productie normen'!A:V,VLOOKUP(N487,'3-Productie normen'!$B$35:$C$56,2,FALSE),FALSE)))/VLOOKUP(B487,'2-Kosten per locatie'!$A$11:$C$18,3,FALSE)</f>
        <v>0</v>
      </c>
      <c r="S487" s="138">
        <f t="shared" si="43"/>
        <v>0</v>
      </c>
      <c r="T487" s="139" t="str">
        <f>VLOOKUP(I487,'3-Productie normen'!A:AF,28,FALSE)</f>
        <v>S</v>
      </c>
      <c r="U487" s="140"/>
      <c r="W487" s="141">
        <f t="shared" si="44"/>
        <v>224.2</v>
      </c>
    </row>
    <row r="488" spans="1:23" ht="13.9" customHeight="1">
      <c r="A488" s="132">
        <v>488</v>
      </c>
      <c r="B488" s="49" t="s">
        <v>1681</v>
      </c>
      <c r="C488" s="49" t="s">
        <v>667</v>
      </c>
      <c r="D488" s="145" t="s">
        <v>246</v>
      </c>
      <c r="E488" s="146" t="s">
        <v>1088</v>
      </c>
      <c r="F488" s="146"/>
      <c r="G488" s="145" t="s">
        <v>44</v>
      </c>
      <c r="H488" s="145" t="s">
        <v>260</v>
      </c>
      <c r="I488" s="145" t="s">
        <v>259</v>
      </c>
      <c r="J488" s="149" t="s">
        <v>305</v>
      </c>
      <c r="K488" s="150"/>
      <c r="L488" s="151">
        <v>1.18</v>
      </c>
      <c r="M488" s="136">
        <f t="shared" si="40"/>
        <v>190</v>
      </c>
      <c r="N488" s="2">
        <v>190</v>
      </c>
      <c r="O488" s="2"/>
      <c r="P488" s="137" t="e">
        <f t="shared" si="41"/>
        <v>#DIV/0!</v>
      </c>
      <c r="Q488" s="137">
        <f t="shared" si="42"/>
        <v>0</v>
      </c>
      <c r="R488" s="138">
        <f>IF(N488="nio",0,IF(N488&gt;0,VLOOKUP(I488,'3-Productie normen'!A:V,VLOOKUP(N488,'3-Productie normen'!$B$35:$C$56,2,FALSE),FALSE)))/VLOOKUP(B488,'2-Kosten per locatie'!$A$11:$C$18,3,FALSE)</f>
        <v>0</v>
      </c>
      <c r="S488" s="138">
        <f t="shared" si="43"/>
        <v>0</v>
      </c>
      <c r="T488" s="139" t="str">
        <f>VLOOKUP(I488,'3-Productie normen'!A:AF,28,FALSE)</f>
        <v>S</v>
      </c>
      <c r="U488" s="140"/>
      <c r="W488" s="141">
        <f t="shared" si="44"/>
        <v>224.2</v>
      </c>
    </row>
    <row r="489" spans="1:23" ht="13.9" customHeight="1">
      <c r="A489" s="118">
        <v>489</v>
      </c>
      <c r="B489" s="49" t="s">
        <v>1681</v>
      </c>
      <c r="C489" s="49" t="s">
        <v>667</v>
      </c>
      <c r="D489" s="145" t="s">
        <v>246</v>
      </c>
      <c r="E489" s="146" t="s">
        <v>1089</v>
      </c>
      <c r="F489" s="146"/>
      <c r="G489" s="145" t="s">
        <v>44</v>
      </c>
      <c r="H489" s="145" t="s">
        <v>258</v>
      </c>
      <c r="I489" s="145" t="s">
        <v>259</v>
      </c>
      <c r="J489" s="149" t="s">
        <v>305</v>
      </c>
      <c r="K489" s="150"/>
      <c r="L489" s="151">
        <v>3.15</v>
      </c>
      <c r="M489" s="136">
        <f t="shared" si="40"/>
        <v>190</v>
      </c>
      <c r="N489" s="2">
        <v>190</v>
      </c>
      <c r="O489" s="2"/>
      <c r="P489" s="137" t="e">
        <f t="shared" si="41"/>
        <v>#DIV/0!</v>
      </c>
      <c r="Q489" s="137">
        <f t="shared" si="42"/>
        <v>0</v>
      </c>
      <c r="R489" s="138">
        <f>IF(N489="nio",0,IF(N489&gt;0,VLOOKUP(I489,'3-Productie normen'!A:V,VLOOKUP(N489,'3-Productie normen'!$B$35:$C$56,2,FALSE),FALSE)))/VLOOKUP(B489,'2-Kosten per locatie'!$A$11:$C$18,3,FALSE)</f>
        <v>0</v>
      </c>
      <c r="S489" s="138">
        <f t="shared" si="43"/>
        <v>0</v>
      </c>
      <c r="T489" s="139" t="str">
        <f>VLOOKUP(I489,'3-Productie normen'!A:AF,28,FALSE)</f>
        <v>S</v>
      </c>
      <c r="U489" s="140"/>
      <c r="W489" s="141">
        <f t="shared" si="44"/>
        <v>598.5</v>
      </c>
    </row>
    <row r="490" spans="1:23" ht="13.9" customHeight="1">
      <c r="A490" s="132">
        <v>490</v>
      </c>
      <c r="B490" s="49" t="s">
        <v>1681</v>
      </c>
      <c r="C490" s="49" t="s">
        <v>667</v>
      </c>
      <c r="D490" s="145" t="s">
        <v>246</v>
      </c>
      <c r="E490" s="146" t="s">
        <v>1090</v>
      </c>
      <c r="F490" s="146"/>
      <c r="G490" s="145" t="s">
        <v>44</v>
      </c>
      <c r="H490" s="145" t="s">
        <v>260</v>
      </c>
      <c r="I490" s="145" t="s">
        <v>259</v>
      </c>
      <c r="J490" s="149" t="s">
        <v>305</v>
      </c>
      <c r="K490" s="150"/>
      <c r="L490" s="151">
        <v>1.19</v>
      </c>
      <c r="M490" s="136">
        <f t="shared" si="40"/>
        <v>190</v>
      </c>
      <c r="N490" s="2">
        <v>190</v>
      </c>
      <c r="O490" s="2"/>
      <c r="P490" s="137" t="e">
        <f t="shared" si="41"/>
        <v>#DIV/0!</v>
      </c>
      <c r="Q490" s="137">
        <f t="shared" si="42"/>
        <v>0</v>
      </c>
      <c r="R490" s="138">
        <f>IF(N490="nio",0,IF(N490&gt;0,VLOOKUP(I490,'3-Productie normen'!A:V,VLOOKUP(N490,'3-Productie normen'!$B$35:$C$56,2,FALSE),FALSE)))/VLOOKUP(B490,'2-Kosten per locatie'!$A$11:$C$18,3,FALSE)</f>
        <v>0</v>
      </c>
      <c r="S490" s="138">
        <f t="shared" si="43"/>
        <v>0</v>
      </c>
      <c r="T490" s="139" t="str">
        <f>VLOOKUP(I490,'3-Productie normen'!A:AF,28,FALSE)</f>
        <v>S</v>
      </c>
      <c r="U490" s="140"/>
      <c r="W490" s="141">
        <f t="shared" si="44"/>
        <v>226.1</v>
      </c>
    </row>
    <row r="491" spans="1:23" ht="13.9" customHeight="1">
      <c r="A491" s="132">
        <v>491</v>
      </c>
      <c r="B491" s="49" t="s">
        <v>1681</v>
      </c>
      <c r="C491" s="49" t="s">
        <v>667</v>
      </c>
      <c r="D491" s="145" t="s">
        <v>246</v>
      </c>
      <c r="E491" s="146" t="s">
        <v>1091</v>
      </c>
      <c r="F491" s="146"/>
      <c r="G491" s="145" t="s">
        <v>44</v>
      </c>
      <c r="H491" s="145" t="s">
        <v>260</v>
      </c>
      <c r="I491" s="145" t="s">
        <v>259</v>
      </c>
      <c r="J491" s="149" t="s">
        <v>305</v>
      </c>
      <c r="K491" s="150"/>
      <c r="L491" s="151">
        <v>1.19</v>
      </c>
      <c r="M491" s="136">
        <f t="shared" si="40"/>
        <v>190</v>
      </c>
      <c r="N491" s="2">
        <v>190</v>
      </c>
      <c r="O491" s="2"/>
      <c r="P491" s="137" t="e">
        <f t="shared" si="41"/>
        <v>#DIV/0!</v>
      </c>
      <c r="Q491" s="137">
        <f t="shared" si="42"/>
        <v>0</v>
      </c>
      <c r="R491" s="138">
        <f>IF(N491="nio",0,IF(N491&gt;0,VLOOKUP(I491,'3-Productie normen'!A:V,VLOOKUP(N491,'3-Productie normen'!$B$35:$C$56,2,FALSE),FALSE)))/VLOOKUP(B491,'2-Kosten per locatie'!$A$11:$C$18,3,FALSE)</f>
        <v>0</v>
      </c>
      <c r="S491" s="138">
        <f t="shared" si="43"/>
        <v>0</v>
      </c>
      <c r="T491" s="139" t="str">
        <f>VLOOKUP(I491,'3-Productie normen'!A:AF,28,FALSE)</f>
        <v>S</v>
      </c>
      <c r="U491" s="140"/>
      <c r="W491" s="141">
        <f t="shared" si="44"/>
        <v>226.1</v>
      </c>
    </row>
    <row r="492" spans="1:23" ht="13.9" customHeight="1">
      <c r="A492" s="118">
        <v>492</v>
      </c>
      <c r="B492" s="49" t="s">
        <v>1681</v>
      </c>
      <c r="C492" s="49" t="s">
        <v>667</v>
      </c>
      <c r="D492" s="145" t="s">
        <v>246</v>
      </c>
      <c r="E492" s="146" t="s">
        <v>1092</v>
      </c>
      <c r="F492" s="146" t="s">
        <v>1093</v>
      </c>
      <c r="G492" s="145" t="s">
        <v>44</v>
      </c>
      <c r="H492" s="145" t="s">
        <v>79</v>
      </c>
      <c r="I492" s="134" t="s">
        <v>49</v>
      </c>
      <c r="J492" s="149" t="s">
        <v>305</v>
      </c>
      <c r="K492" s="150"/>
      <c r="L492" s="151">
        <v>3.48</v>
      </c>
      <c r="M492" s="136">
        <f t="shared" si="40"/>
        <v>190</v>
      </c>
      <c r="N492" s="2">
        <v>190</v>
      </c>
      <c r="O492" s="2"/>
      <c r="P492" s="137" t="e">
        <f t="shared" si="41"/>
        <v>#DIV/0!</v>
      </c>
      <c r="Q492" s="137">
        <f t="shared" si="42"/>
        <v>0</v>
      </c>
      <c r="R492" s="138">
        <f>IF(N492="nio",0,IF(N492&gt;0,VLOOKUP(I492,'3-Productie normen'!A:V,VLOOKUP(N492,'3-Productie normen'!$B$35:$C$56,2,FALSE),FALSE)))/VLOOKUP(B492,'2-Kosten per locatie'!$A$11:$C$18,3,FALSE)</f>
        <v>0</v>
      </c>
      <c r="S492" s="138">
        <f t="shared" si="43"/>
        <v>0</v>
      </c>
      <c r="T492" s="139" t="str">
        <f>VLOOKUP(I492,'3-Productie normen'!A:AF,28,FALSE)</f>
        <v>V</v>
      </c>
      <c r="U492" s="140"/>
      <c r="W492" s="141">
        <f t="shared" si="44"/>
        <v>661.2</v>
      </c>
    </row>
    <row r="493" spans="1:23" ht="13.9" customHeight="1">
      <c r="A493" s="132">
        <v>493</v>
      </c>
      <c r="B493" s="49" t="s">
        <v>1681</v>
      </c>
      <c r="C493" s="49" t="s">
        <v>667</v>
      </c>
      <c r="D493" s="145" t="s">
        <v>246</v>
      </c>
      <c r="E493" s="146" t="s">
        <v>1094</v>
      </c>
      <c r="F493" s="146"/>
      <c r="G493" s="145" t="s">
        <v>44</v>
      </c>
      <c r="H493" s="145" t="s">
        <v>79</v>
      </c>
      <c r="I493" s="134" t="s">
        <v>49</v>
      </c>
      <c r="J493" s="149" t="s">
        <v>305</v>
      </c>
      <c r="K493" s="150"/>
      <c r="L493" s="151">
        <v>14.68</v>
      </c>
      <c r="M493" s="136">
        <f t="shared" si="40"/>
        <v>190</v>
      </c>
      <c r="N493" s="2">
        <v>190</v>
      </c>
      <c r="O493" s="2"/>
      <c r="P493" s="137" t="e">
        <f t="shared" si="41"/>
        <v>#DIV/0!</v>
      </c>
      <c r="Q493" s="137">
        <f t="shared" si="42"/>
        <v>0</v>
      </c>
      <c r="R493" s="138">
        <f>IF(N493="nio",0,IF(N493&gt;0,VLOOKUP(I493,'3-Productie normen'!A:V,VLOOKUP(N493,'3-Productie normen'!$B$35:$C$56,2,FALSE),FALSE)))/VLOOKUP(B493,'2-Kosten per locatie'!$A$11:$C$18,3,FALSE)</f>
        <v>0</v>
      </c>
      <c r="S493" s="138">
        <f t="shared" si="43"/>
        <v>0</v>
      </c>
      <c r="T493" s="139" t="str">
        <f>VLOOKUP(I493,'3-Productie normen'!A:AF,28,FALSE)</f>
        <v>V</v>
      </c>
      <c r="U493" s="140"/>
      <c r="W493" s="141">
        <f t="shared" si="44"/>
        <v>2789.2</v>
      </c>
    </row>
    <row r="494" spans="1:23" ht="13.9" customHeight="1">
      <c r="A494" s="132">
        <v>494</v>
      </c>
      <c r="B494" s="49" t="s">
        <v>1681</v>
      </c>
      <c r="C494" s="49" t="s">
        <v>667</v>
      </c>
      <c r="D494" s="145" t="s">
        <v>246</v>
      </c>
      <c r="E494" s="146" t="s">
        <v>1095</v>
      </c>
      <c r="F494" s="146"/>
      <c r="G494" s="145" t="s">
        <v>44</v>
      </c>
      <c r="H494" s="145" t="s">
        <v>360</v>
      </c>
      <c r="I494" s="91" t="s">
        <v>1488</v>
      </c>
      <c r="J494" s="149" t="s">
        <v>305</v>
      </c>
      <c r="K494" s="150"/>
      <c r="L494" s="151">
        <v>7.05</v>
      </c>
      <c r="M494" s="136">
        <f t="shared" si="40"/>
        <v>190</v>
      </c>
      <c r="N494" s="2">
        <v>190</v>
      </c>
      <c r="O494" s="2"/>
      <c r="P494" s="137" t="e">
        <f t="shared" si="41"/>
        <v>#DIV/0!</v>
      </c>
      <c r="Q494" s="137">
        <f t="shared" si="42"/>
        <v>0</v>
      </c>
      <c r="R494" s="138">
        <f>IF(N494="nio",0,IF(N494&gt;0,VLOOKUP(I494,'3-Productie normen'!A:V,VLOOKUP(N494,'3-Productie normen'!$B$35:$C$56,2,FALSE),FALSE)))/VLOOKUP(B494,'2-Kosten per locatie'!$A$11:$C$18,3,FALSE)</f>
        <v>0</v>
      </c>
      <c r="S494" s="138">
        <f t="shared" si="43"/>
        <v>0</v>
      </c>
      <c r="T494" s="139" t="str">
        <f>VLOOKUP(I494,'3-Productie normen'!A:AF,28,FALSE)</f>
        <v>S</v>
      </c>
      <c r="U494" s="140"/>
      <c r="W494" s="141">
        <f t="shared" si="44"/>
        <v>1339.5</v>
      </c>
    </row>
    <row r="495" spans="1:23" ht="13.9" customHeight="1">
      <c r="A495" s="118">
        <v>495</v>
      </c>
      <c r="B495" s="49" t="s">
        <v>1681</v>
      </c>
      <c r="C495" s="49" t="s">
        <v>667</v>
      </c>
      <c r="D495" s="145" t="s">
        <v>246</v>
      </c>
      <c r="E495" s="146" t="s">
        <v>1096</v>
      </c>
      <c r="F495" s="146"/>
      <c r="G495" s="145" t="s">
        <v>44</v>
      </c>
      <c r="H495" s="145" t="s">
        <v>260</v>
      </c>
      <c r="I495" s="145" t="s">
        <v>259</v>
      </c>
      <c r="J495" s="149" t="s">
        <v>305</v>
      </c>
      <c r="K495" s="150"/>
      <c r="L495" s="151">
        <v>1.25</v>
      </c>
      <c r="M495" s="136">
        <f t="shared" si="40"/>
        <v>190</v>
      </c>
      <c r="N495" s="2">
        <v>190</v>
      </c>
      <c r="O495" s="2"/>
      <c r="P495" s="137" t="e">
        <f t="shared" si="41"/>
        <v>#DIV/0!</v>
      </c>
      <c r="Q495" s="137">
        <f t="shared" si="42"/>
        <v>0</v>
      </c>
      <c r="R495" s="138">
        <f>IF(N495="nio",0,IF(N495&gt;0,VLOOKUP(I495,'3-Productie normen'!A:V,VLOOKUP(N495,'3-Productie normen'!$B$35:$C$56,2,FALSE),FALSE)))/VLOOKUP(B495,'2-Kosten per locatie'!$A$11:$C$18,3,FALSE)</f>
        <v>0</v>
      </c>
      <c r="S495" s="138">
        <f t="shared" si="43"/>
        <v>0</v>
      </c>
      <c r="T495" s="139" t="str">
        <f>VLOOKUP(I495,'3-Productie normen'!A:AF,28,FALSE)</f>
        <v>S</v>
      </c>
      <c r="U495" s="140"/>
      <c r="W495" s="141">
        <f t="shared" si="44"/>
        <v>237.5</v>
      </c>
    </row>
    <row r="496" spans="1:23" ht="13.9" customHeight="1">
      <c r="A496" s="132">
        <v>496</v>
      </c>
      <c r="B496" s="49" t="s">
        <v>1681</v>
      </c>
      <c r="C496" s="49" t="s">
        <v>667</v>
      </c>
      <c r="D496" s="145" t="s">
        <v>246</v>
      </c>
      <c r="E496" s="146" t="s">
        <v>1097</v>
      </c>
      <c r="F496" s="146"/>
      <c r="G496" s="145" t="s">
        <v>44</v>
      </c>
      <c r="H496" s="145" t="s">
        <v>260</v>
      </c>
      <c r="I496" s="145" t="s">
        <v>259</v>
      </c>
      <c r="J496" s="149" t="s">
        <v>305</v>
      </c>
      <c r="K496" s="150"/>
      <c r="L496" s="151">
        <v>8.7899999999999991</v>
      </c>
      <c r="M496" s="136">
        <f t="shared" si="40"/>
        <v>190</v>
      </c>
      <c r="N496" s="2">
        <v>190</v>
      </c>
      <c r="O496" s="2"/>
      <c r="P496" s="137" t="e">
        <f t="shared" si="41"/>
        <v>#DIV/0!</v>
      </c>
      <c r="Q496" s="137">
        <f t="shared" si="42"/>
        <v>0</v>
      </c>
      <c r="R496" s="138">
        <f>IF(N496="nio",0,IF(N496&gt;0,VLOOKUP(I496,'3-Productie normen'!A:V,VLOOKUP(N496,'3-Productie normen'!$B$35:$C$56,2,FALSE),FALSE)))/VLOOKUP(B496,'2-Kosten per locatie'!$A$11:$C$18,3,FALSE)</f>
        <v>0</v>
      </c>
      <c r="S496" s="138">
        <f t="shared" si="43"/>
        <v>0</v>
      </c>
      <c r="T496" s="139" t="str">
        <f>VLOOKUP(I496,'3-Productie normen'!A:AF,28,FALSE)</f>
        <v>S</v>
      </c>
      <c r="U496" s="140"/>
      <c r="W496" s="141">
        <f t="shared" si="44"/>
        <v>1670.1</v>
      </c>
    </row>
    <row r="497" spans="1:23" ht="13.9" customHeight="1">
      <c r="A497" s="132">
        <v>497</v>
      </c>
      <c r="B497" s="49" t="s">
        <v>1681</v>
      </c>
      <c r="C497" s="49" t="s">
        <v>667</v>
      </c>
      <c r="D497" s="145" t="s">
        <v>246</v>
      </c>
      <c r="E497" s="146" t="s">
        <v>1097</v>
      </c>
      <c r="F497" s="146"/>
      <c r="G497" s="145" t="s">
        <v>44</v>
      </c>
      <c r="H497" s="145" t="s">
        <v>79</v>
      </c>
      <c r="I497" s="134" t="s">
        <v>49</v>
      </c>
      <c r="J497" s="149" t="s">
        <v>305</v>
      </c>
      <c r="K497" s="150"/>
      <c r="L497" s="151">
        <v>14.89</v>
      </c>
      <c r="M497" s="136">
        <f t="shared" si="40"/>
        <v>190</v>
      </c>
      <c r="N497" s="2">
        <v>190</v>
      </c>
      <c r="O497" s="2"/>
      <c r="P497" s="137" t="e">
        <f t="shared" si="41"/>
        <v>#DIV/0!</v>
      </c>
      <c r="Q497" s="137">
        <f t="shared" si="42"/>
        <v>0</v>
      </c>
      <c r="R497" s="138">
        <f>IF(N497="nio",0,IF(N497&gt;0,VLOOKUP(I497,'3-Productie normen'!A:V,VLOOKUP(N497,'3-Productie normen'!$B$35:$C$56,2,FALSE),FALSE)))/VLOOKUP(B497,'2-Kosten per locatie'!$A$11:$C$18,3,FALSE)</f>
        <v>0</v>
      </c>
      <c r="S497" s="138">
        <f t="shared" si="43"/>
        <v>0</v>
      </c>
      <c r="T497" s="139" t="str">
        <f>VLOOKUP(I497,'3-Productie normen'!A:AF,28,FALSE)</f>
        <v>V</v>
      </c>
      <c r="U497" s="140"/>
      <c r="W497" s="141">
        <f t="shared" si="44"/>
        <v>2829.1</v>
      </c>
    </row>
    <row r="498" spans="1:23" ht="13.9" customHeight="1">
      <c r="A498" s="118">
        <v>498</v>
      </c>
      <c r="B498" s="49" t="s">
        <v>1681</v>
      </c>
      <c r="C498" s="49" t="s">
        <v>667</v>
      </c>
      <c r="D498" s="145" t="s">
        <v>246</v>
      </c>
      <c r="E498" s="146" t="s">
        <v>1097</v>
      </c>
      <c r="F498" s="146"/>
      <c r="G498" s="145" t="s">
        <v>44</v>
      </c>
      <c r="H498" s="145" t="s">
        <v>360</v>
      </c>
      <c r="I498" s="91" t="s">
        <v>1488</v>
      </c>
      <c r="J498" s="149" t="s">
        <v>305</v>
      </c>
      <c r="K498" s="150"/>
      <c r="L498" s="151">
        <v>1.25</v>
      </c>
      <c r="M498" s="136">
        <f t="shared" si="40"/>
        <v>190</v>
      </c>
      <c r="N498" s="2">
        <v>190</v>
      </c>
      <c r="O498" s="2"/>
      <c r="P498" s="137" t="e">
        <f t="shared" si="41"/>
        <v>#DIV/0!</v>
      </c>
      <c r="Q498" s="137">
        <f t="shared" si="42"/>
        <v>0</v>
      </c>
      <c r="R498" s="138">
        <f>IF(N498="nio",0,IF(N498&gt;0,VLOOKUP(I498,'3-Productie normen'!A:V,VLOOKUP(N498,'3-Productie normen'!$B$35:$C$56,2,FALSE),FALSE)))/VLOOKUP(B498,'2-Kosten per locatie'!$A$11:$C$18,3,FALSE)</f>
        <v>0</v>
      </c>
      <c r="S498" s="138">
        <f t="shared" si="43"/>
        <v>0</v>
      </c>
      <c r="T498" s="139" t="str">
        <f>VLOOKUP(I498,'3-Productie normen'!A:AF,28,FALSE)</f>
        <v>S</v>
      </c>
      <c r="U498" s="140"/>
      <c r="W498" s="141">
        <f t="shared" si="44"/>
        <v>237.5</v>
      </c>
    </row>
    <row r="499" spans="1:23" ht="13.9" customHeight="1">
      <c r="A499" s="132">
        <v>499</v>
      </c>
      <c r="B499" s="49" t="s">
        <v>1681</v>
      </c>
      <c r="C499" s="49" t="s">
        <v>667</v>
      </c>
      <c r="D499" s="145" t="s">
        <v>246</v>
      </c>
      <c r="E499" s="146" t="s">
        <v>1098</v>
      </c>
      <c r="F499" s="146"/>
      <c r="G499" s="145" t="s">
        <v>44</v>
      </c>
      <c r="H499" s="145" t="s">
        <v>260</v>
      </c>
      <c r="I499" s="145" t="s">
        <v>259</v>
      </c>
      <c r="J499" s="149" t="s">
        <v>305</v>
      </c>
      <c r="K499" s="150"/>
      <c r="L499" s="151">
        <v>2.54</v>
      </c>
      <c r="M499" s="136">
        <f t="shared" si="40"/>
        <v>190</v>
      </c>
      <c r="N499" s="2">
        <v>190</v>
      </c>
      <c r="O499" s="2"/>
      <c r="P499" s="137" t="e">
        <f t="shared" si="41"/>
        <v>#DIV/0!</v>
      </c>
      <c r="Q499" s="137">
        <f t="shared" si="42"/>
        <v>0</v>
      </c>
      <c r="R499" s="138">
        <f>IF(N499="nio",0,IF(N499&gt;0,VLOOKUP(I499,'3-Productie normen'!A:V,VLOOKUP(N499,'3-Productie normen'!$B$35:$C$56,2,FALSE),FALSE)))/VLOOKUP(B499,'2-Kosten per locatie'!$A$11:$C$18,3,FALSE)</f>
        <v>0</v>
      </c>
      <c r="S499" s="138">
        <f t="shared" si="43"/>
        <v>0</v>
      </c>
      <c r="T499" s="139" t="str">
        <f>VLOOKUP(I499,'3-Productie normen'!A:AF,28,FALSE)</f>
        <v>S</v>
      </c>
      <c r="U499" s="140"/>
      <c r="W499" s="141">
        <f t="shared" si="44"/>
        <v>482.6</v>
      </c>
    </row>
    <row r="500" spans="1:23" ht="13.9" customHeight="1">
      <c r="A500" s="132">
        <v>500</v>
      </c>
      <c r="B500" s="49" t="s">
        <v>1681</v>
      </c>
      <c r="C500" s="49" t="s">
        <v>667</v>
      </c>
      <c r="D500" s="145" t="s">
        <v>246</v>
      </c>
      <c r="E500" s="146" t="s">
        <v>1099</v>
      </c>
      <c r="F500" s="146"/>
      <c r="G500" s="145" t="s">
        <v>44</v>
      </c>
      <c r="H500" s="145" t="s">
        <v>260</v>
      </c>
      <c r="I500" s="145" t="s">
        <v>259</v>
      </c>
      <c r="J500" s="149" t="s">
        <v>305</v>
      </c>
      <c r="K500" s="150"/>
      <c r="L500" s="151">
        <v>4.43</v>
      </c>
      <c r="M500" s="136">
        <f t="shared" si="40"/>
        <v>190</v>
      </c>
      <c r="N500" s="2">
        <v>190</v>
      </c>
      <c r="O500" s="2"/>
      <c r="P500" s="137" t="e">
        <f t="shared" si="41"/>
        <v>#DIV/0!</v>
      </c>
      <c r="Q500" s="137">
        <f t="shared" si="42"/>
        <v>0</v>
      </c>
      <c r="R500" s="138">
        <f>IF(N500="nio",0,IF(N500&gt;0,VLOOKUP(I500,'3-Productie normen'!A:V,VLOOKUP(N500,'3-Productie normen'!$B$35:$C$56,2,FALSE),FALSE)))/VLOOKUP(B500,'2-Kosten per locatie'!$A$11:$C$18,3,FALSE)</f>
        <v>0</v>
      </c>
      <c r="S500" s="138">
        <f t="shared" si="43"/>
        <v>0</v>
      </c>
      <c r="T500" s="139" t="str">
        <f>VLOOKUP(I500,'3-Productie normen'!A:AF,28,FALSE)</f>
        <v>S</v>
      </c>
      <c r="U500" s="140"/>
      <c r="W500" s="141">
        <f t="shared" si="44"/>
        <v>841.69999999999993</v>
      </c>
    </row>
    <row r="501" spans="1:23" ht="13.9" customHeight="1">
      <c r="A501" s="118">
        <v>501</v>
      </c>
      <c r="B501" s="49" t="s">
        <v>1681</v>
      </c>
      <c r="C501" s="49" t="s">
        <v>667</v>
      </c>
      <c r="D501" s="145" t="s">
        <v>246</v>
      </c>
      <c r="E501" s="146" t="s">
        <v>1100</v>
      </c>
      <c r="F501" s="146"/>
      <c r="G501" s="145" t="s">
        <v>44</v>
      </c>
      <c r="H501" s="145" t="s">
        <v>258</v>
      </c>
      <c r="I501" s="145" t="s">
        <v>259</v>
      </c>
      <c r="J501" s="149" t="s">
        <v>305</v>
      </c>
      <c r="K501" s="150"/>
      <c r="L501" s="151">
        <v>2.97</v>
      </c>
      <c r="M501" s="136">
        <f t="shared" si="40"/>
        <v>190</v>
      </c>
      <c r="N501" s="2">
        <v>190</v>
      </c>
      <c r="O501" s="2"/>
      <c r="P501" s="137" t="e">
        <f t="shared" si="41"/>
        <v>#DIV/0!</v>
      </c>
      <c r="Q501" s="137">
        <f t="shared" si="42"/>
        <v>0</v>
      </c>
      <c r="R501" s="138">
        <f>IF(N501="nio",0,IF(N501&gt;0,VLOOKUP(I501,'3-Productie normen'!A:V,VLOOKUP(N501,'3-Productie normen'!$B$35:$C$56,2,FALSE),FALSE)))/VLOOKUP(B501,'2-Kosten per locatie'!$A$11:$C$18,3,FALSE)</f>
        <v>0</v>
      </c>
      <c r="S501" s="138">
        <f t="shared" si="43"/>
        <v>0</v>
      </c>
      <c r="T501" s="139" t="str">
        <f>VLOOKUP(I501,'3-Productie normen'!A:AF,28,FALSE)</f>
        <v>S</v>
      </c>
      <c r="U501" s="140"/>
      <c r="W501" s="141">
        <f t="shared" si="44"/>
        <v>564.30000000000007</v>
      </c>
    </row>
    <row r="502" spans="1:23" ht="13.9" customHeight="1">
      <c r="A502" s="132">
        <v>502</v>
      </c>
      <c r="B502" s="49" t="s">
        <v>1681</v>
      </c>
      <c r="C502" s="49" t="s">
        <v>667</v>
      </c>
      <c r="D502" s="145" t="s">
        <v>246</v>
      </c>
      <c r="E502" s="146" t="s">
        <v>1101</v>
      </c>
      <c r="F502" s="146"/>
      <c r="G502" s="145" t="s">
        <v>44</v>
      </c>
      <c r="H502" s="145" t="s">
        <v>260</v>
      </c>
      <c r="I502" s="145" t="s">
        <v>259</v>
      </c>
      <c r="J502" s="149" t="s">
        <v>305</v>
      </c>
      <c r="K502" s="150"/>
      <c r="L502" s="151">
        <v>1.17</v>
      </c>
      <c r="M502" s="136">
        <f t="shared" si="40"/>
        <v>190</v>
      </c>
      <c r="N502" s="2">
        <v>190</v>
      </c>
      <c r="O502" s="2"/>
      <c r="P502" s="137" t="e">
        <f t="shared" si="41"/>
        <v>#DIV/0!</v>
      </c>
      <c r="Q502" s="137">
        <f t="shared" si="42"/>
        <v>0</v>
      </c>
      <c r="R502" s="138">
        <f>IF(N502="nio",0,IF(N502&gt;0,VLOOKUP(I502,'3-Productie normen'!A:V,VLOOKUP(N502,'3-Productie normen'!$B$35:$C$56,2,FALSE),FALSE)))/VLOOKUP(B502,'2-Kosten per locatie'!$A$11:$C$18,3,FALSE)</f>
        <v>0</v>
      </c>
      <c r="S502" s="138">
        <f t="shared" si="43"/>
        <v>0</v>
      </c>
      <c r="T502" s="139" t="str">
        <f>VLOOKUP(I502,'3-Productie normen'!A:AF,28,FALSE)</f>
        <v>S</v>
      </c>
      <c r="U502" s="140"/>
      <c r="W502" s="141">
        <f t="shared" si="44"/>
        <v>222.29999999999998</v>
      </c>
    </row>
    <row r="503" spans="1:23" ht="13.9" customHeight="1">
      <c r="A503" s="132">
        <v>503</v>
      </c>
      <c r="B503" s="49" t="s">
        <v>1681</v>
      </c>
      <c r="C503" s="49" t="s">
        <v>667</v>
      </c>
      <c r="D503" s="145" t="s">
        <v>246</v>
      </c>
      <c r="E503" s="146" t="s">
        <v>1102</v>
      </c>
      <c r="F503" s="146"/>
      <c r="G503" s="145" t="s">
        <v>44</v>
      </c>
      <c r="H503" s="145" t="s">
        <v>258</v>
      </c>
      <c r="I503" s="145" t="s">
        <v>259</v>
      </c>
      <c r="J503" s="149" t="s">
        <v>305</v>
      </c>
      <c r="K503" s="150"/>
      <c r="L503" s="151">
        <v>2.97</v>
      </c>
      <c r="M503" s="136">
        <f t="shared" si="40"/>
        <v>190</v>
      </c>
      <c r="N503" s="2">
        <v>190</v>
      </c>
      <c r="O503" s="2"/>
      <c r="P503" s="137" t="e">
        <f t="shared" si="41"/>
        <v>#DIV/0!</v>
      </c>
      <c r="Q503" s="137">
        <f t="shared" si="42"/>
        <v>0</v>
      </c>
      <c r="R503" s="138">
        <f>IF(N503="nio",0,IF(N503&gt;0,VLOOKUP(I503,'3-Productie normen'!A:V,VLOOKUP(N503,'3-Productie normen'!$B$35:$C$56,2,FALSE),FALSE)))/VLOOKUP(B503,'2-Kosten per locatie'!$A$11:$C$18,3,FALSE)</f>
        <v>0</v>
      </c>
      <c r="S503" s="138">
        <f t="shared" si="43"/>
        <v>0</v>
      </c>
      <c r="T503" s="139" t="str">
        <f>VLOOKUP(I503,'3-Productie normen'!A:AF,28,FALSE)</f>
        <v>S</v>
      </c>
      <c r="U503" s="140"/>
      <c r="W503" s="141">
        <f t="shared" si="44"/>
        <v>564.30000000000007</v>
      </c>
    </row>
    <row r="504" spans="1:23" ht="13.9" customHeight="1">
      <c r="A504" s="118">
        <v>504</v>
      </c>
      <c r="B504" s="49" t="s">
        <v>1681</v>
      </c>
      <c r="C504" s="49" t="s">
        <v>667</v>
      </c>
      <c r="D504" s="145" t="s">
        <v>246</v>
      </c>
      <c r="E504" s="146" t="s">
        <v>1103</v>
      </c>
      <c r="F504" s="146"/>
      <c r="G504" s="145" t="s">
        <v>44</v>
      </c>
      <c r="H504" s="145" t="s">
        <v>260</v>
      </c>
      <c r="I504" s="145" t="s">
        <v>259</v>
      </c>
      <c r="J504" s="149" t="s">
        <v>305</v>
      </c>
      <c r="K504" s="150"/>
      <c r="L504" s="151">
        <v>1.17</v>
      </c>
      <c r="M504" s="136">
        <f t="shared" si="40"/>
        <v>190</v>
      </c>
      <c r="N504" s="2">
        <v>190</v>
      </c>
      <c r="O504" s="2"/>
      <c r="P504" s="137" t="e">
        <f t="shared" si="41"/>
        <v>#DIV/0!</v>
      </c>
      <c r="Q504" s="137">
        <f t="shared" si="42"/>
        <v>0</v>
      </c>
      <c r="R504" s="138">
        <f>IF(N504="nio",0,IF(N504&gt;0,VLOOKUP(I504,'3-Productie normen'!A:V,VLOOKUP(N504,'3-Productie normen'!$B$35:$C$56,2,FALSE),FALSE)))/VLOOKUP(B504,'2-Kosten per locatie'!$A$11:$C$18,3,FALSE)</f>
        <v>0</v>
      </c>
      <c r="S504" s="138">
        <f t="shared" si="43"/>
        <v>0</v>
      </c>
      <c r="T504" s="139" t="str">
        <f>VLOOKUP(I504,'3-Productie normen'!A:AF,28,FALSE)</f>
        <v>S</v>
      </c>
      <c r="U504" s="140"/>
      <c r="W504" s="141">
        <f t="shared" si="44"/>
        <v>222.29999999999998</v>
      </c>
    </row>
    <row r="505" spans="1:23" ht="13.9" customHeight="1">
      <c r="A505" s="132">
        <v>505</v>
      </c>
      <c r="B505" s="49" t="s">
        <v>1681</v>
      </c>
      <c r="C505" s="49" t="s">
        <v>667</v>
      </c>
      <c r="D505" s="145" t="s">
        <v>246</v>
      </c>
      <c r="E505" s="146" t="s">
        <v>1104</v>
      </c>
      <c r="F505" s="146"/>
      <c r="G505" s="145" t="s">
        <v>242</v>
      </c>
      <c r="H505" s="145" t="s">
        <v>242</v>
      </c>
      <c r="I505" s="1" t="s">
        <v>242</v>
      </c>
      <c r="J505" s="149" t="s">
        <v>234</v>
      </c>
      <c r="K505" s="150"/>
      <c r="L505" s="151">
        <v>9.6199999999999992</v>
      </c>
      <c r="M505" s="136">
        <f t="shared" si="40"/>
        <v>2</v>
      </c>
      <c r="N505" s="2">
        <v>2</v>
      </c>
      <c r="O505" s="2"/>
      <c r="P505" s="137" t="e">
        <f t="shared" si="41"/>
        <v>#DIV/0!</v>
      </c>
      <c r="Q505" s="137">
        <f t="shared" si="42"/>
        <v>0</v>
      </c>
      <c r="R505" s="138">
        <f>IF(N505="nio",0,IF(N505&gt;0,VLOOKUP(I505,'3-Productie normen'!A:V,VLOOKUP(N505,'3-Productie normen'!$B$35:$C$56,2,FALSE),FALSE)))/VLOOKUP(B505,'2-Kosten per locatie'!$A$11:$C$18,3,FALSE)</f>
        <v>0</v>
      </c>
      <c r="S505" s="138">
        <f t="shared" si="43"/>
        <v>0</v>
      </c>
      <c r="T505" s="139" t="str">
        <f>VLOOKUP(I505,'3-Productie normen'!A:AF,28,FALSE)</f>
        <v>V</v>
      </c>
      <c r="U505" s="140"/>
      <c r="W505" s="141">
        <f t="shared" si="44"/>
        <v>19.239999999999998</v>
      </c>
    </row>
    <row r="506" spans="1:23" ht="13.9" customHeight="1">
      <c r="A506" s="132">
        <v>506</v>
      </c>
      <c r="B506" s="49" t="s">
        <v>1681</v>
      </c>
      <c r="C506" s="49" t="s">
        <v>667</v>
      </c>
      <c r="D506" s="145" t="s">
        <v>246</v>
      </c>
      <c r="E506" s="146" t="s">
        <v>1105</v>
      </c>
      <c r="F506" s="146" t="s">
        <v>676</v>
      </c>
      <c r="G506" s="145" t="s">
        <v>264</v>
      </c>
      <c r="H506" s="145" t="s">
        <v>284</v>
      </c>
      <c r="I506" s="145" t="s">
        <v>284</v>
      </c>
      <c r="J506" s="149" t="s">
        <v>1055</v>
      </c>
      <c r="K506" s="152" t="s">
        <v>1522</v>
      </c>
      <c r="L506" s="151">
        <v>96.29</v>
      </c>
      <c r="M506" s="136">
        <f t="shared" si="40"/>
        <v>76</v>
      </c>
      <c r="N506" s="2">
        <v>76</v>
      </c>
      <c r="O506" s="2"/>
      <c r="P506" s="137" t="e">
        <f t="shared" si="41"/>
        <v>#DIV/0!</v>
      </c>
      <c r="Q506" s="137">
        <f t="shared" si="42"/>
        <v>0</v>
      </c>
      <c r="R506" s="138">
        <f>IF(N506="nio",0,IF(N506&gt;0,VLOOKUP(I506,'3-Productie normen'!A:V,VLOOKUP(N506,'3-Productie normen'!$B$35:$C$56,2,FALSE),FALSE)))/VLOOKUP(B506,'2-Kosten per locatie'!$A$11:$C$18,3,FALSE)</f>
        <v>0</v>
      </c>
      <c r="S506" s="138">
        <f t="shared" si="43"/>
        <v>0</v>
      </c>
      <c r="T506" s="139" t="str">
        <f>VLOOKUP(I506,'3-Productie normen'!A:AF,28,FALSE)</f>
        <v>L</v>
      </c>
      <c r="U506" s="140"/>
      <c r="W506" s="141">
        <f t="shared" si="44"/>
        <v>7318.0400000000009</v>
      </c>
    </row>
    <row r="507" spans="1:23" ht="13.9" customHeight="1">
      <c r="A507" s="118">
        <v>507</v>
      </c>
      <c r="B507" s="49" t="s">
        <v>1681</v>
      </c>
      <c r="C507" s="49" t="s">
        <v>667</v>
      </c>
      <c r="D507" s="145" t="s">
        <v>246</v>
      </c>
      <c r="E507" s="146" t="s">
        <v>1106</v>
      </c>
      <c r="F507" s="146" t="s">
        <v>677</v>
      </c>
      <c r="G507" s="145" t="s">
        <v>264</v>
      </c>
      <c r="H507" s="145" t="s">
        <v>1591</v>
      </c>
      <c r="I507" s="145" t="s">
        <v>285</v>
      </c>
      <c r="J507" s="149" t="s">
        <v>256</v>
      </c>
      <c r="K507" s="150"/>
      <c r="L507" s="151">
        <v>91.23</v>
      </c>
      <c r="M507" s="136">
        <f t="shared" si="40"/>
        <v>190</v>
      </c>
      <c r="N507" s="2">
        <v>190</v>
      </c>
      <c r="O507" s="2"/>
      <c r="P507" s="137" t="e">
        <f t="shared" si="41"/>
        <v>#DIV/0!</v>
      </c>
      <c r="Q507" s="137">
        <f t="shared" si="42"/>
        <v>0</v>
      </c>
      <c r="R507" s="138">
        <f>IF(N507="nio",0,IF(N507&gt;0,VLOOKUP(I507,'3-Productie normen'!A:V,VLOOKUP(N507,'3-Productie normen'!$B$35:$C$56,2,FALSE),FALSE)))/VLOOKUP(B507,'2-Kosten per locatie'!$A$11:$C$18,3,FALSE)</f>
        <v>0</v>
      </c>
      <c r="S507" s="138">
        <f t="shared" si="43"/>
        <v>0</v>
      </c>
      <c r="T507" s="139" t="str">
        <f>VLOOKUP(I507,'3-Productie normen'!A:AF,28,FALSE)</f>
        <v>L</v>
      </c>
      <c r="U507" s="140"/>
      <c r="W507" s="141">
        <f t="shared" si="44"/>
        <v>17333.7</v>
      </c>
    </row>
    <row r="508" spans="1:23" ht="13.9" customHeight="1">
      <c r="A508" s="132">
        <v>508</v>
      </c>
      <c r="B508" s="49" t="s">
        <v>1681</v>
      </c>
      <c r="C508" s="49" t="s">
        <v>667</v>
      </c>
      <c r="D508" s="145" t="s">
        <v>246</v>
      </c>
      <c r="E508" s="146" t="s">
        <v>1107</v>
      </c>
      <c r="F508" s="146" t="s">
        <v>326</v>
      </c>
      <c r="G508" s="145" t="s">
        <v>242</v>
      </c>
      <c r="H508" s="145" t="s">
        <v>242</v>
      </c>
      <c r="I508" s="1" t="s">
        <v>242</v>
      </c>
      <c r="J508" s="149" t="s">
        <v>256</v>
      </c>
      <c r="K508" s="150"/>
      <c r="L508" s="151">
        <v>13.44</v>
      </c>
      <c r="M508" s="136">
        <f t="shared" si="40"/>
        <v>2</v>
      </c>
      <c r="N508" s="2">
        <v>2</v>
      </c>
      <c r="O508" s="2"/>
      <c r="P508" s="137" t="e">
        <f t="shared" si="41"/>
        <v>#DIV/0!</v>
      </c>
      <c r="Q508" s="137">
        <f t="shared" si="42"/>
        <v>0</v>
      </c>
      <c r="R508" s="138">
        <f>IF(N508="nio",0,IF(N508&gt;0,VLOOKUP(I508,'3-Productie normen'!A:V,VLOOKUP(N508,'3-Productie normen'!$B$35:$C$56,2,FALSE),FALSE)))/VLOOKUP(B508,'2-Kosten per locatie'!$A$11:$C$18,3,FALSE)</f>
        <v>0</v>
      </c>
      <c r="S508" s="138">
        <f t="shared" si="43"/>
        <v>0</v>
      </c>
      <c r="T508" s="139" t="str">
        <f>VLOOKUP(I508,'3-Productie normen'!A:AF,28,FALSE)</f>
        <v>V</v>
      </c>
      <c r="U508" s="140"/>
      <c r="W508" s="141">
        <f t="shared" si="44"/>
        <v>26.88</v>
      </c>
    </row>
    <row r="509" spans="1:23" ht="13.9" customHeight="1">
      <c r="A509" s="132">
        <v>509</v>
      </c>
      <c r="B509" s="49" t="s">
        <v>1681</v>
      </c>
      <c r="C509" s="49" t="s">
        <v>667</v>
      </c>
      <c r="D509" s="145" t="s">
        <v>246</v>
      </c>
      <c r="E509" s="146" t="s">
        <v>1108</v>
      </c>
      <c r="F509" s="146" t="s">
        <v>296</v>
      </c>
      <c r="G509" s="145" t="s">
        <v>264</v>
      </c>
      <c r="H509" s="145" t="s">
        <v>284</v>
      </c>
      <c r="I509" s="145" t="s">
        <v>284</v>
      </c>
      <c r="J509" s="149" t="s">
        <v>1055</v>
      </c>
      <c r="K509" s="152" t="s">
        <v>1522</v>
      </c>
      <c r="L509" s="151">
        <v>16.41</v>
      </c>
      <c r="M509" s="136">
        <f t="shared" si="40"/>
        <v>76</v>
      </c>
      <c r="N509" s="2">
        <v>76</v>
      </c>
      <c r="O509" s="2"/>
      <c r="P509" s="137" t="e">
        <f t="shared" si="41"/>
        <v>#DIV/0!</v>
      </c>
      <c r="Q509" s="137">
        <f t="shared" si="42"/>
        <v>0</v>
      </c>
      <c r="R509" s="138">
        <f>IF(N509="nio",0,IF(N509&gt;0,VLOOKUP(I509,'3-Productie normen'!A:V,VLOOKUP(N509,'3-Productie normen'!$B$35:$C$56,2,FALSE),FALSE)))/VLOOKUP(B509,'2-Kosten per locatie'!$A$11:$C$18,3,FALSE)</f>
        <v>0</v>
      </c>
      <c r="S509" s="138">
        <f t="shared" si="43"/>
        <v>0</v>
      </c>
      <c r="T509" s="139" t="str">
        <f>VLOOKUP(I509,'3-Productie normen'!A:AF,28,FALSE)</f>
        <v>L</v>
      </c>
      <c r="U509" s="140"/>
      <c r="W509" s="141">
        <f t="shared" si="44"/>
        <v>1247.1600000000001</v>
      </c>
    </row>
    <row r="510" spans="1:23" ht="13.9" customHeight="1">
      <c r="A510" s="118">
        <v>510</v>
      </c>
      <c r="B510" s="49" t="s">
        <v>1681</v>
      </c>
      <c r="C510" s="49" t="s">
        <v>667</v>
      </c>
      <c r="D510" s="145" t="s">
        <v>246</v>
      </c>
      <c r="E510" s="146" t="s">
        <v>1109</v>
      </c>
      <c r="F510" s="146" t="s">
        <v>308</v>
      </c>
      <c r="G510" s="145" t="s">
        <v>264</v>
      </c>
      <c r="H510" s="145" t="s">
        <v>284</v>
      </c>
      <c r="I510" s="145" t="s">
        <v>284</v>
      </c>
      <c r="J510" s="149" t="s">
        <v>1055</v>
      </c>
      <c r="K510" s="152" t="s">
        <v>1522</v>
      </c>
      <c r="L510" s="151">
        <v>79.84</v>
      </c>
      <c r="M510" s="136">
        <f t="shared" si="40"/>
        <v>76</v>
      </c>
      <c r="N510" s="2">
        <v>76</v>
      </c>
      <c r="O510" s="2"/>
      <c r="P510" s="137" t="e">
        <f t="shared" si="41"/>
        <v>#DIV/0!</v>
      </c>
      <c r="Q510" s="137">
        <f t="shared" si="42"/>
        <v>0</v>
      </c>
      <c r="R510" s="138">
        <f>IF(N510="nio",0,IF(N510&gt;0,VLOOKUP(I510,'3-Productie normen'!A:V,VLOOKUP(N510,'3-Productie normen'!$B$35:$C$56,2,FALSE),FALSE)))/VLOOKUP(B510,'2-Kosten per locatie'!$A$11:$C$18,3,FALSE)</f>
        <v>0</v>
      </c>
      <c r="S510" s="138">
        <f t="shared" si="43"/>
        <v>0</v>
      </c>
      <c r="T510" s="139" t="str">
        <f>VLOOKUP(I510,'3-Productie normen'!A:AF,28,FALSE)</f>
        <v>L</v>
      </c>
      <c r="U510" s="140"/>
      <c r="W510" s="141">
        <f t="shared" si="44"/>
        <v>6067.84</v>
      </c>
    </row>
    <row r="511" spans="1:23" ht="13.9" customHeight="1">
      <c r="A511" s="132">
        <v>511</v>
      </c>
      <c r="B511" s="49" t="s">
        <v>1681</v>
      </c>
      <c r="C511" s="49" t="s">
        <v>667</v>
      </c>
      <c r="D511" s="145" t="s">
        <v>246</v>
      </c>
      <c r="E511" s="146" t="s">
        <v>1110</v>
      </c>
      <c r="F511" s="146" t="s">
        <v>263</v>
      </c>
      <c r="G511" s="145" t="s">
        <v>264</v>
      </c>
      <c r="H511" s="145" t="s">
        <v>351</v>
      </c>
      <c r="I511" s="145" t="s">
        <v>242</v>
      </c>
      <c r="J511" s="149" t="s">
        <v>1055</v>
      </c>
      <c r="K511" s="152" t="s">
        <v>1522</v>
      </c>
      <c r="L511" s="151">
        <v>10.92</v>
      </c>
      <c r="M511" s="136">
        <f t="shared" si="40"/>
        <v>2</v>
      </c>
      <c r="N511" s="2">
        <v>2</v>
      </c>
      <c r="O511" s="2"/>
      <c r="P511" s="137" t="e">
        <f t="shared" si="41"/>
        <v>#DIV/0!</v>
      </c>
      <c r="Q511" s="137">
        <f t="shared" si="42"/>
        <v>0</v>
      </c>
      <c r="R511" s="138">
        <f>IF(N511="nio",0,IF(N511&gt;0,VLOOKUP(I511,'3-Productie normen'!A:V,VLOOKUP(N511,'3-Productie normen'!$B$35:$C$56,2,FALSE),FALSE)))/VLOOKUP(B511,'2-Kosten per locatie'!$A$11:$C$18,3,FALSE)</f>
        <v>0</v>
      </c>
      <c r="S511" s="138">
        <f t="shared" si="43"/>
        <v>0</v>
      </c>
      <c r="T511" s="139" t="str">
        <f>VLOOKUP(I511,'3-Productie normen'!A:AF,28,FALSE)</f>
        <v>V</v>
      </c>
      <c r="U511" s="140"/>
      <c r="W511" s="141">
        <f t="shared" si="44"/>
        <v>21.84</v>
      </c>
    </row>
    <row r="512" spans="1:23" ht="13.9" customHeight="1">
      <c r="A512" s="132">
        <v>512</v>
      </c>
      <c r="B512" s="49" t="s">
        <v>1681</v>
      </c>
      <c r="C512" s="49" t="s">
        <v>667</v>
      </c>
      <c r="D512" s="145" t="s">
        <v>246</v>
      </c>
      <c r="E512" s="146" t="s">
        <v>1111</v>
      </c>
      <c r="F512" s="146" t="s">
        <v>327</v>
      </c>
      <c r="G512" s="145" t="s">
        <v>242</v>
      </c>
      <c r="H512" s="145" t="s">
        <v>242</v>
      </c>
      <c r="I512" s="1" t="s">
        <v>242</v>
      </c>
      <c r="J512" s="149" t="s">
        <v>1055</v>
      </c>
      <c r="K512" s="152" t="s">
        <v>1522</v>
      </c>
      <c r="L512" s="151">
        <v>8</v>
      </c>
      <c r="M512" s="136">
        <f t="shared" si="40"/>
        <v>2</v>
      </c>
      <c r="N512" s="2">
        <v>2</v>
      </c>
      <c r="O512" s="2"/>
      <c r="P512" s="137" t="e">
        <f t="shared" si="41"/>
        <v>#DIV/0!</v>
      </c>
      <c r="Q512" s="137">
        <f t="shared" si="42"/>
        <v>0</v>
      </c>
      <c r="R512" s="138">
        <f>IF(N512="nio",0,IF(N512&gt;0,VLOOKUP(I512,'3-Productie normen'!A:V,VLOOKUP(N512,'3-Productie normen'!$B$35:$C$56,2,FALSE),FALSE)))/VLOOKUP(B512,'2-Kosten per locatie'!$A$11:$C$18,3,FALSE)</f>
        <v>0</v>
      </c>
      <c r="S512" s="138">
        <f t="shared" si="43"/>
        <v>0</v>
      </c>
      <c r="T512" s="139" t="str">
        <f>VLOOKUP(I512,'3-Productie normen'!A:AF,28,FALSE)</f>
        <v>V</v>
      </c>
      <c r="U512" s="140"/>
      <c r="W512" s="141">
        <f t="shared" si="44"/>
        <v>16</v>
      </c>
    </row>
    <row r="513" spans="1:23" ht="13.9" customHeight="1">
      <c r="A513" s="118">
        <v>513</v>
      </c>
      <c r="B513" s="49" t="s">
        <v>1681</v>
      </c>
      <c r="C513" s="49" t="s">
        <v>667</v>
      </c>
      <c r="D513" s="145" t="s">
        <v>246</v>
      </c>
      <c r="E513" s="146" t="s">
        <v>1112</v>
      </c>
      <c r="F513" s="146" t="s">
        <v>309</v>
      </c>
      <c r="G513" s="145" t="s">
        <v>264</v>
      </c>
      <c r="H513" s="145" t="s">
        <v>1591</v>
      </c>
      <c r="I513" s="145" t="s">
        <v>285</v>
      </c>
      <c r="J513" s="149" t="s">
        <v>1078</v>
      </c>
      <c r="K513" s="150"/>
      <c r="L513" s="151">
        <v>66.290000000000006</v>
      </c>
      <c r="M513" s="136">
        <f t="shared" si="40"/>
        <v>190</v>
      </c>
      <c r="N513" s="2">
        <v>190</v>
      </c>
      <c r="O513" s="2"/>
      <c r="P513" s="137" t="e">
        <f t="shared" si="41"/>
        <v>#DIV/0!</v>
      </c>
      <c r="Q513" s="137">
        <f t="shared" si="42"/>
        <v>0</v>
      </c>
      <c r="R513" s="138">
        <f>IF(N513="nio",0,IF(N513&gt;0,VLOOKUP(I513,'3-Productie normen'!A:V,VLOOKUP(N513,'3-Productie normen'!$B$35:$C$56,2,FALSE),FALSE)))/VLOOKUP(B513,'2-Kosten per locatie'!$A$11:$C$18,3,FALSE)</f>
        <v>0</v>
      </c>
      <c r="S513" s="138">
        <f t="shared" si="43"/>
        <v>0</v>
      </c>
      <c r="T513" s="139" t="str">
        <f>VLOOKUP(I513,'3-Productie normen'!A:AF,28,FALSE)</f>
        <v>L</v>
      </c>
      <c r="U513" s="140"/>
      <c r="W513" s="141">
        <f t="shared" si="44"/>
        <v>12595.1</v>
      </c>
    </row>
    <row r="514" spans="1:23" ht="13.9" customHeight="1">
      <c r="A514" s="132">
        <v>514</v>
      </c>
      <c r="B514" s="49" t="s">
        <v>1681</v>
      </c>
      <c r="C514" s="49" t="s">
        <v>667</v>
      </c>
      <c r="D514" s="145" t="s">
        <v>246</v>
      </c>
      <c r="E514" s="146" t="s">
        <v>1113</v>
      </c>
      <c r="F514" s="146" t="s">
        <v>1114</v>
      </c>
      <c r="G514" s="145" t="s">
        <v>242</v>
      </c>
      <c r="H514" s="145" t="s">
        <v>242</v>
      </c>
      <c r="I514" s="1" t="s">
        <v>242</v>
      </c>
      <c r="J514" s="149" t="s">
        <v>1055</v>
      </c>
      <c r="K514" s="152" t="s">
        <v>1522</v>
      </c>
      <c r="L514" s="151">
        <v>1.29</v>
      </c>
      <c r="M514" s="136">
        <f t="shared" si="40"/>
        <v>2</v>
      </c>
      <c r="N514" s="2">
        <v>2</v>
      </c>
      <c r="O514" s="2"/>
      <c r="P514" s="137" t="e">
        <f t="shared" si="41"/>
        <v>#DIV/0!</v>
      </c>
      <c r="Q514" s="137">
        <f t="shared" si="42"/>
        <v>0</v>
      </c>
      <c r="R514" s="138">
        <f>IF(N514="nio",0,IF(N514&gt;0,VLOOKUP(I514,'3-Productie normen'!A:V,VLOOKUP(N514,'3-Productie normen'!$B$35:$C$56,2,FALSE),FALSE)))/VLOOKUP(B514,'2-Kosten per locatie'!$A$11:$C$18,3,FALSE)</f>
        <v>0</v>
      </c>
      <c r="S514" s="138">
        <f t="shared" si="43"/>
        <v>0</v>
      </c>
      <c r="T514" s="139" t="str">
        <f>VLOOKUP(I514,'3-Productie normen'!A:AF,28,FALSE)</f>
        <v>V</v>
      </c>
      <c r="U514" s="140"/>
      <c r="W514" s="141">
        <f t="shared" si="44"/>
        <v>2.58</v>
      </c>
    </row>
    <row r="515" spans="1:23" ht="13.9" customHeight="1">
      <c r="A515" s="132">
        <v>515</v>
      </c>
      <c r="B515" s="49" t="s">
        <v>1681</v>
      </c>
      <c r="C515" s="49" t="s">
        <v>667</v>
      </c>
      <c r="D515" s="145" t="s">
        <v>246</v>
      </c>
      <c r="E515" s="146" t="s">
        <v>1115</v>
      </c>
      <c r="F515" s="146" t="s">
        <v>366</v>
      </c>
      <c r="G515" s="145" t="s">
        <v>264</v>
      </c>
      <c r="H515" s="145" t="s">
        <v>867</v>
      </c>
      <c r="I515" s="86" t="s">
        <v>51</v>
      </c>
      <c r="J515" s="149" t="s">
        <v>292</v>
      </c>
      <c r="K515" s="150"/>
      <c r="L515" s="151">
        <v>288.77</v>
      </c>
      <c r="M515" s="136">
        <f t="shared" si="40"/>
        <v>190</v>
      </c>
      <c r="N515" s="2">
        <v>190</v>
      </c>
      <c r="O515" s="2"/>
      <c r="P515" s="137" t="e">
        <f t="shared" si="41"/>
        <v>#DIV/0!</v>
      </c>
      <c r="Q515" s="137">
        <f t="shared" si="42"/>
        <v>0</v>
      </c>
      <c r="R515" s="138">
        <f>IF(N515="nio",0,IF(N515&gt;0,VLOOKUP(I515,'3-Productie normen'!A:V,VLOOKUP(N515,'3-Productie normen'!$B$35:$C$56,2,FALSE),FALSE)))/VLOOKUP(B515,'2-Kosten per locatie'!$A$11:$C$18,3,FALSE)</f>
        <v>0</v>
      </c>
      <c r="S515" s="138">
        <f t="shared" si="43"/>
        <v>0</v>
      </c>
      <c r="T515" s="139" t="str">
        <f>VLOOKUP(I515,'3-Productie normen'!A:AF,28,FALSE)</f>
        <v>V</v>
      </c>
      <c r="U515" s="140"/>
      <c r="W515" s="141">
        <f t="shared" si="44"/>
        <v>54866.299999999996</v>
      </c>
    </row>
    <row r="516" spans="1:23" ht="13.9" customHeight="1">
      <c r="A516" s="118">
        <v>516</v>
      </c>
      <c r="B516" s="49" t="s">
        <v>1681</v>
      </c>
      <c r="C516" s="49" t="s">
        <v>667</v>
      </c>
      <c r="D516" s="145" t="s">
        <v>246</v>
      </c>
      <c r="E516" s="146" t="s">
        <v>1116</v>
      </c>
      <c r="F516" s="146"/>
      <c r="G516" s="145" t="s">
        <v>242</v>
      </c>
      <c r="H516" s="145" t="s">
        <v>242</v>
      </c>
      <c r="I516" s="1" t="s">
        <v>242</v>
      </c>
      <c r="J516" s="149" t="s">
        <v>292</v>
      </c>
      <c r="K516" s="150"/>
      <c r="L516" s="151">
        <v>47.37</v>
      </c>
      <c r="M516" s="136">
        <f t="shared" si="40"/>
        <v>2</v>
      </c>
      <c r="N516" s="2">
        <v>2</v>
      </c>
      <c r="O516" s="2"/>
      <c r="P516" s="137" t="e">
        <f t="shared" si="41"/>
        <v>#DIV/0!</v>
      </c>
      <c r="Q516" s="137">
        <f t="shared" si="42"/>
        <v>0</v>
      </c>
      <c r="R516" s="138">
        <f>IF(N516="nio",0,IF(N516&gt;0,VLOOKUP(I516,'3-Productie normen'!A:V,VLOOKUP(N516,'3-Productie normen'!$B$35:$C$56,2,FALSE),FALSE)))/VLOOKUP(B516,'2-Kosten per locatie'!$A$11:$C$18,3,FALSE)</f>
        <v>0</v>
      </c>
      <c r="S516" s="138">
        <f t="shared" si="43"/>
        <v>0</v>
      </c>
      <c r="T516" s="139" t="str">
        <f>VLOOKUP(I516,'3-Productie normen'!A:AF,28,FALSE)</f>
        <v>V</v>
      </c>
      <c r="U516" s="140"/>
      <c r="W516" s="141">
        <f t="shared" si="44"/>
        <v>94.74</v>
      </c>
    </row>
    <row r="517" spans="1:23" ht="13.9" customHeight="1">
      <c r="A517" s="132">
        <v>517</v>
      </c>
      <c r="B517" s="49" t="s">
        <v>1681</v>
      </c>
      <c r="C517" s="49" t="s">
        <v>667</v>
      </c>
      <c r="D517" s="145" t="s">
        <v>246</v>
      </c>
      <c r="E517" s="146" t="s">
        <v>1117</v>
      </c>
      <c r="F517" s="146" t="s">
        <v>1118</v>
      </c>
      <c r="G517" s="145" t="s">
        <v>264</v>
      </c>
      <c r="H517" s="145" t="s">
        <v>290</v>
      </c>
      <c r="I517" s="145" t="s">
        <v>284</v>
      </c>
      <c r="J517" s="149" t="s">
        <v>1055</v>
      </c>
      <c r="K517" s="152" t="s">
        <v>1522</v>
      </c>
      <c r="L517" s="151">
        <v>79.61</v>
      </c>
      <c r="M517" s="136">
        <f t="shared" si="40"/>
        <v>76</v>
      </c>
      <c r="N517" s="2">
        <v>76</v>
      </c>
      <c r="O517" s="2"/>
      <c r="P517" s="137" t="e">
        <f t="shared" si="41"/>
        <v>#DIV/0!</v>
      </c>
      <c r="Q517" s="137">
        <f t="shared" si="42"/>
        <v>0</v>
      </c>
      <c r="R517" s="138">
        <f>IF(N517="nio",0,IF(N517&gt;0,VLOOKUP(I517,'3-Productie normen'!A:V,VLOOKUP(N517,'3-Productie normen'!$B$35:$C$56,2,FALSE),FALSE)))/VLOOKUP(B517,'2-Kosten per locatie'!$A$11:$C$18,3,FALSE)</f>
        <v>0</v>
      </c>
      <c r="S517" s="138">
        <f t="shared" si="43"/>
        <v>0</v>
      </c>
      <c r="T517" s="139" t="str">
        <f>VLOOKUP(I517,'3-Productie normen'!A:AF,28,FALSE)</f>
        <v>L</v>
      </c>
      <c r="U517" s="140"/>
      <c r="W517" s="141">
        <f t="shared" si="44"/>
        <v>6050.36</v>
      </c>
    </row>
    <row r="518" spans="1:23" ht="13.9" customHeight="1">
      <c r="A518" s="132">
        <v>518</v>
      </c>
      <c r="B518" s="49" t="s">
        <v>1681</v>
      </c>
      <c r="C518" s="49" t="s">
        <v>667</v>
      </c>
      <c r="D518" s="145" t="s">
        <v>246</v>
      </c>
      <c r="E518" s="146" t="s">
        <v>1119</v>
      </c>
      <c r="F518" s="146" t="s">
        <v>1120</v>
      </c>
      <c r="G518" s="145" t="s">
        <v>242</v>
      </c>
      <c r="H518" s="145" t="s">
        <v>242</v>
      </c>
      <c r="I518" s="1" t="s">
        <v>242</v>
      </c>
      <c r="J518" s="149" t="s">
        <v>1055</v>
      </c>
      <c r="K518" s="152" t="s">
        <v>1522</v>
      </c>
      <c r="L518" s="151">
        <v>1.89</v>
      </c>
      <c r="M518" s="136">
        <f t="shared" si="40"/>
        <v>2</v>
      </c>
      <c r="N518" s="2">
        <v>2</v>
      </c>
      <c r="O518" s="2"/>
      <c r="P518" s="137" t="e">
        <f t="shared" si="41"/>
        <v>#DIV/0!</v>
      </c>
      <c r="Q518" s="137">
        <f t="shared" si="42"/>
        <v>0</v>
      </c>
      <c r="R518" s="138">
        <f>IF(N518="nio",0,IF(N518&gt;0,VLOOKUP(I518,'3-Productie normen'!A:V,VLOOKUP(N518,'3-Productie normen'!$B$35:$C$56,2,FALSE),FALSE)))/VLOOKUP(B518,'2-Kosten per locatie'!$A$11:$C$18,3,FALSE)</f>
        <v>0</v>
      </c>
      <c r="S518" s="138">
        <f t="shared" si="43"/>
        <v>0</v>
      </c>
      <c r="T518" s="139" t="str">
        <f>VLOOKUP(I518,'3-Productie normen'!A:AF,28,FALSE)</f>
        <v>V</v>
      </c>
      <c r="U518" s="140"/>
      <c r="W518" s="141">
        <f t="shared" si="44"/>
        <v>3.78</v>
      </c>
    </row>
    <row r="519" spans="1:23" ht="13.9" customHeight="1">
      <c r="A519" s="118">
        <v>519</v>
      </c>
      <c r="B519" s="49" t="s">
        <v>1681</v>
      </c>
      <c r="C519" s="49" t="s">
        <v>667</v>
      </c>
      <c r="D519" s="145" t="s">
        <v>246</v>
      </c>
      <c r="E519" s="146" t="s">
        <v>1121</v>
      </c>
      <c r="F519" s="146" t="s">
        <v>1122</v>
      </c>
      <c r="G519" s="145" t="s">
        <v>264</v>
      </c>
      <c r="H519" s="145" t="s">
        <v>265</v>
      </c>
      <c r="I519" s="145" t="s">
        <v>284</v>
      </c>
      <c r="J519" s="149" t="s">
        <v>1055</v>
      </c>
      <c r="K519" s="152" t="s">
        <v>1522</v>
      </c>
      <c r="L519" s="151">
        <v>66.290000000000006</v>
      </c>
      <c r="M519" s="136">
        <f t="shared" si="40"/>
        <v>76</v>
      </c>
      <c r="N519" s="2">
        <v>76</v>
      </c>
      <c r="O519" s="2"/>
      <c r="P519" s="137" t="e">
        <f t="shared" si="41"/>
        <v>#DIV/0!</v>
      </c>
      <c r="Q519" s="137">
        <f t="shared" si="42"/>
        <v>0</v>
      </c>
      <c r="R519" s="138">
        <f>IF(N519="nio",0,IF(N519&gt;0,VLOOKUP(I519,'3-Productie normen'!A:V,VLOOKUP(N519,'3-Productie normen'!$B$35:$C$56,2,FALSE),FALSE)))/VLOOKUP(B519,'2-Kosten per locatie'!$A$11:$C$18,3,FALSE)</f>
        <v>0</v>
      </c>
      <c r="S519" s="138">
        <f t="shared" si="43"/>
        <v>0</v>
      </c>
      <c r="T519" s="139" t="str">
        <f>VLOOKUP(I519,'3-Productie normen'!A:AF,28,FALSE)</f>
        <v>L</v>
      </c>
      <c r="U519" s="140"/>
      <c r="W519" s="141">
        <f t="shared" si="44"/>
        <v>5038.0400000000009</v>
      </c>
    </row>
    <row r="520" spans="1:23" ht="13.9" customHeight="1">
      <c r="A520" s="132">
        <v>520</v>
      </c>
      <c r="B520" s="49" t="s">
        <v>1681</v>
      </c>
      <c r="C520" s="49" t="s">
        <v>667</v>
      </c>
      <c r="D520" s="145" t="s">
        <v>246</v>
      </c>
      <c r="E520" s="146" t="s">
        <v>1123</v>
      </c>
      <c r="F520" s="146" t="s">
        <v>671</v>
      </c>
      <c r="G520" s="145" t="s">
        <v>242</v>
      </c>
      <c r="H520" s="145" t="s">
        <v>242</v>
      </c>
      <c r="I520" s="1" t="s">
        <v>242</v>
      </c>
      <c r="J520" s="149" t="s">
        <v>1055</v>
      </c>
      <c r="K520" s="152" t="s">
        <v>1522</v>
      </c>
      <c r="L520" s="151">
        <v>6.86</v>
      </c>
      <c r="M520" s="136">
        <f t="shared" si="40"/>
        <v>2</v>
      </c>
      <c r="N520" s="2">
        <v>2</v>
      </c>
      <c r="O520" s="2"/>
      <c r="P520" s="137" t="e">
        <f t="shared" si="41"/>
        <v>#DIV/0!</v>
      </c>
      <c r="Q520" s="137">
        <f t="shared" si="42"/>
        <v>0</v>
      </c>
      <c r="R520" s="138">
        <f>IF(N520="nio",0,IF(N520&gt;0,VLOOKUP(I520,'3-Productie normen'!A:V,VLOOKUP(N520,'3-Productie normen'!$B$35:$C$56,2,FALSE),FALSE)))/VLOOKUP(B520,'2-Kosten per locatie'!$A$11:$C$18,3,FALSE)</f>
        <v>0</v>
      </c>
      <c r="S520" s="138">
        <f t="shared" si="43"/>
        <v>0</v>
      </c>
      <c r="T520" s="139" t="str">
        <f>VLOOKUP(I520,'3-Productie normen'!A:AF,28,FALSE)</f>
        <v>V</v>
      </c>
      <c r="U520" s="140"/>
      <c r="W520" s="141">
        <f t="shared" si="44"/>
        <v>13.72</v>
      </c>
    </row>
    <row r="521" spans="1:23" ht="13.9" customHeight="1">
      <c r="A521" s="132">
        <v>521</v>
      </c>
      <c r="B521" s="49" t="s">
        <v>1681</v>
      </c>
      <c r="C521" s="49" t="s">
        <v>667</v>
      </c>
      <c r="D521" s="145" t="s">
        <v>246</v>
      </c>
      <c r="E521" s="146" t="s">
        <v>1124</v>
      </c>
      <c r="F521" s="146" t="s">
        <v>673</v>
      </c>
      <c r="G521" s="145" t="s">
        <v>264</v>
      </c>
      <c r="H521" s="145" t="s">
        <v>265</v>
      </c>
      <c r="I521" s="145" t="s">
        <v>284</v>
      </c>
      <c r="J521" s="149" t="s">
        <v>1055</v>
      </c>
      <c r="K521" s="152" t="s">
        <v>1522</v>
      </c>
      <c r="L521" s="151">
        <v>66.290000000000006</v>
      </c>
      <c r="M521" s="136">
        <f t="shared" si="40"/>
        <v>76</v>
      </c>
      <c r="N521" s="2">
        <v>76</v>
      </c>
      <c r="O521" s="2"/>
      <c r="P521" s="137" t="e">
        <f t="shared" si="41"/>
        <v>#DIV/0!</v>
      </c>
      <c r="Q521" s="137">
        <f t="shared" si="42"/>
        <v>0</v>
      </c>
      <c r="R521" s="138">
        <f>IF(N521="nio",0,IF(N521&gt;0,VLOOKUP(I521,'3-Productie normen'!A:V,VLOOKUP(N521,'3-Productie normen'!$B$35:$C$56,2,FALSE),FALSE)))/VLOOKUP(B521,'2-Kosten per locatie'!$A$11:$C$18,3,FALSE)</f>
        <v>0</v>
      </c>
      <c r="S521" s="138">
        <f t="shared" si="43"/>
        <v>0</v>
      </c>
      <c r="T521" s="139" t="str">
        <f>VLOOKUP(I521,'3-Productie normen'!A:AF,28,FALSE)</f>
        <v>L</v>
      </c>
      <c r="U521" s="140"/>
      <c r="W521" s="141">
        <f t="shared" si="44"/>
        <v>5038.0400000000009</v>
      </c>
    </row>
    <row r="522" spans="1:23" ht="13.9" customHeight="1">
      <c r="A522" s="118">
        <v>522</v>
      </c>
      <c r="B522" s="49" t="s">
        <v>1681</v>
      </c>
      <c r="C522" s="49" t="s">
        <v>667</v>
      </c>
      <c r="D522" s="145" t="s">
        <v>246</v>
      </c>
      <c r="E522" s="146" t="s">
        <v>1125</v>
      </c>
      <c r="F522" s="146" t="s">
        <v>672</v>
      </c>
      <c r="G522" s="145" t="s">
        <v>242</v>
      </c>
      <c r="H522" s="145" t="s">
        <v>242</v>
      </c>
      <c r="I522" s="1" t="s">
        <v>242</v>
      </c>
      <c r="J522" s="149" t="s">
        <v>1055</v>
      </c>
      <c r="K522" s="152" t="s">
        <v>1522</v>
      </c>
      <c r="L522" s="151">
        <v>6.38</v>
      </c>
      <c r="M522" s="136">
        <f t="shared" si="40"/>
        <v>2</v>
      </c>
      <c r="N522" s="2">
        <v>2</v>
      </c>
      <c r="O522" s="2"/>
      <c r="P522" s="137" t="e">
        <f t="shared" si="41"/>
        <v>#DIV/0!</v>
      </c>
      <c r="Q522" s="137">
        <f t="shared" si="42"/>
        <v>0</v>
      </c>
      <c r="R522" s="138">
        <f>IF(N522="nio",0,IF(N522&gt;0,VLOOKUP(I522,'3-Productie normen'!A:V,VLOOKUP(N522,'3-Productie normen'!$B$35:$C$56,2,FALSE),FALSE)))/VLOOKUP(B522,'2-Kosten per locatie'!$A$11:$C$18,3,FALSE)</f>
        <v>0</v>
      </c>
      <c r="S522" s="138">
        <f t="shared" si="43"/>
        <v>0</v>
      </c>
      <c r="T522" s="139" t="str">
        <f>VLOOKUP(I522,'3-Productie normen'!A:AF,28,FALSE)</f>
        <v>V</v>
      </c>
      <c r="U522" s="140"/>
      <c r="W522" s="141">
        <f t="shared" si="44"/>
        <v>12.76</v>
      </c>
    </row>
    <row r="523" spans="1:23" ht="13.9" customHeight="1">
      <c r="A523" s="132">
        <v>523</v>
      </c>
      <c r="B523" s="49" t="s">
        <v>1681</v>
      </c>
      <c r="C523" s="49" t="s">
        <v>667</v>
      </c>
      <c r="D523" s="145" t="s">
        <v>246</v>
      </c>
      <c r="E523" s="146" t="s">
        <v>1126</v>
      </c>
      <c r="F523" s="146"/>
      <c r="G523" s="145" t="s">
        <v>245</v>
      </c>
      <c r="H523" s="145" t="s">
        <v>261</v>
      </c>
      <c r="I523" s="92" t="s">
        <v>274</v>
      </c>
      <c r="J523" s="149" t="s">
        <v>1055</v>
      </c>
      <c r="K523" s="152" t="s">
        <v>1522</v>
      </c>
      <c r="L523" s="151">
        <v>31.89</v>
      </c>
      <c r="M523" s="136">
        <f t="shared" si="40"/>
        <v>76</v>
      </c>
      <c r="N523" s="2">
        <v>76</v>
      </c>
      <c r="O523" s="2"/>
      <c r="P523" s="137" t="e">
        <f t="shared" si="41"/>
        <v>#DIV/0!</v>
      </c>
      <c r="Q523" s="137">
        <f t="shared" si="42"/>
        <v>0</v>
      </c>
      <c r="R523" s="138">
        <f>IF(N523="nio",0,IF(N523&gt;0,VLOOKUP(I523,'3-Productie normen'!A:V,VLOOKUP(N523,'3-Productie normen'!$B$35:$C$56,2,FALSE),FALSE)))/VLOOKUP(B523,'2-Kosten per locatie'!$A$11:$C$18,3,FALSE)</f>
        <v>0</v>
      </c>
      <c r="S523" s="138">
        <f t="shared" si="43"/>
        <v>0</v>
      </c>
      <c r="T523" s="139" t="str">
        <f>VLOOKUP(I523,'3-Productie normen'!A:AF,28,FALSE)</f>
        <v>B</v>
      </c>
      <c r="U523" s="140"/>
      <c r="W523" s="141">
        <f t="shared" si="44"/>
        <v>2423.64</v>
      </c>
    </row>
    <row r="524" spans="1:23" ht="13.9" customHeight="1">
      <c r="A524" s="132">
        <v>524</v>
      </c>
      <c r="B524" s="49" t="s">
        <v>1681</v>
      </c>
      <c r="C524" s="49" t="s">
        <v>667</v>
      </c>
      <c r="D524" s="145" t="s">
        <v>246</v>
      </c>
      <c r="E524" s="146" t="s">
        <v>1127</v>
      </c>
      <c r="F524" s="146" t="s">
        <v>674</v>
      </c>
      <c r="G524" s="145" t="s">
        <v>242</v>
      </c>
      <c r="H524" s="145" t="s">
        <v>242</v>
      </c>
      <c r="I524" s="1" t="s">
        <v>242</v>
      </c>
      <c r="J524" s="149" t="s">
        <v>1055</v>
      </c>
      <c r="K524" s="152" t="s">
        <v>1522</v>
      </c>
      <c r="L524" s="151">
        <v>15.91</v>
      </c>
      <c r="M524" s="136">
        <f t="shared" si="40"/>
        <v>2</v>
      </c>
      <c r="N524" s="2">
        <v>2</v>
      </c>
      <c r="O524" s="2"/>
      <c r="P524" s="137" t="e">
        <f t="shared" si="41"/>
        <v>#DIV/0!</v>
      </c>
      <c r="Q524" s="137">
        <f t="shared" si="42"/>
        <v>0</v>
      </c>
      <c r="R524" s="138">
        <f>IF(N524="nio",0,IF(N524&gt;0,VLOOKUP(I524,'3-Productie normen'!A:V,VLOOKUP(N524,'3-Productie normen'!$B$35:$C$56,2,FALSE),FALSE)))/VLOOKUP(B524,'2-Kosten per locatie'!$A$11:$C$18,3,FALSE)</f>
        <v>0</v>
      </c>
      <c r="S524" s="138">
        <f t="shared" si="43"/>
        <v>0</v>
      </c>
      <c r="T524" s="139" t="str">
        <f>VLOOKUP(I524,'3-Productie normen'!A:AF,28,FALSE)</f>
        <v>V</v>
      </c>
      <c r="U524" s="140"/>
      <c r="W524" s="141">
        <f t="shared" si="44"/>
        <v>31.82</v>
      </c>
    </row>
    <row r="525" spans="1:23" ht="13.9" customHeight="1">
      <c r="A525" s="118">
        <v>525</v>
      </c>
      <c r="B525" s="49" t="s">
        <v>1681</v>
      </c>
      <c r="C525" s="49" t="s">
        <v>667</v>
      </c>
      <c r="D525" s="145" t="s">
        <v>268</v>
      </c>
      <c r="E525" s="146" t="s">
        <v>1128</v>
      </c>
      <c r="F525" s="146"/>
      <c r="G525" s="145" t="s">
        <v>232</v>
      </c>
      <c r="H525" s="145" t="s">
        <v>53</v>
      </c>
      <c r="I525" s="1" t="s">
        <v>233</v>
      </c>
      <c r="J525" s="149" t="s">
        <v>1078</v>
      </c>
      <c r="K525" s="150"/>
      <c r="L525" s="151">
        <v>21.48</v>
      </c>
      <c r="M525" s="136">
        <f t="shared" si="40"/>
        <v>190</v>
      </c>
      <c r="N525" s="2">
        <v>190</v>
      </c>
      <c r="O525" s="2"/>
      <c r="P525" s="137" t="e">
        <f t="shared" si="41"/>
        <v>#DIV/0!</v>
      </c>
      <c r="Q525" s="137">
        <f t="shared" si="42"/>
        <v>0</v>
      </c>
      <c r="R525" s="138">
        <f>IF(N525="nio",0,IF(N525&gt;0,VLOOKUP(I525,'3-Productie normen'!A:V,VLOOKUP(N525,'3-Productie normen'!$B$35:$C$56,2,FALSE),FALSE)))/VLOOKUP(B525,'2-Kosten per locatie'!$A$11:$C$18,3,FALSE)</f>
        <v>0</v>
      </c>
      <c r="S525" s="138">
        <f t="shared" si="43"/>
        <v>0</v>
      </c>
      <c r="T525" s="139" t="str">
        <f>VLOOKUP(I525,'3-Productie normen'!A:AF,28,FALSE)</f>
        <v>V</v>
      </c>
      <c r="U525" s="140"/>
      <c r="W525" s="141">
        <f t="shared" si="44"/>
        <v>4081.2000000000003</v>
      </c>
    </row>
    <row r="526" spans="1:23" ht="13.9" customHeight="1">
      <c r="A526" s="132">
        <v>526</v>
      </c>
      <c r="B526" s="49" t="s">
        <v>1681</v>
      </c>
      <c r="C526" s="49" t="s">
        <v>667</v>
      </c>
      <c r="D526" s="145" t="s">
        <v>268</v>
      </c>
      <c r="E526" s="146" t="s">
        <v>1129</v>
      </c>
      <c r="F526" s="146"/>
      <c r="G526" s="145" t="s">
        <v>232</v>
      </c>
      <c r="H526" s="145" t="s">
        <v>54</v>
      </c>
      <c r="I526" s="145" t="s">
        <v>239</v>
      </c>
      <c r="J526" s="149" t="s">
        <v>364</v>
      </c>
      <c r="K526" s="150"/>
      <c r="L526" s="151">
        <v>2.15</v>
      </c>
      <c r="M526" s="136">
        <f t="shared" si="40"/>
        <v>0</v>
      </c>
      <c r="N526" s="2" t="s">
        <v>273</v>
      </c>
      <c r="O526" s="2"/>
      <c r="P526" s="137">
        <f t="shared" si="41"/>
        <v>0</v>
      </c>
      <c r="Q526" s="137">
        <f t="shared" si="42"/>
        <v>0</v>
      </c>
      <c r="R526" s="138">
        <f>IF(N526="nio",0,IF(N526&gt;0,VLOOKUP(I526,'3-Productie normen'!A:V,VLOOKUP(N526,'3-Productie normen'!$B$35:$C$56,2,FALSE),FALSE)))/VLOOKUP(B526,'2-Kosten per locatie'!$A$11:$C$18,3,FALSE)</f>
        <v>0</v>
      </c>
      <c r="S526" s="138">
        <f t="shared" si="43"/>
        <v>0</v>
      </c>
      <c r="T526" s="139">
        <f>VLOOKUP(I526,'3-Productie normen'!A:AF,28,FALSE)</f>
        <v>0</v>
      </c>
      <c r="U526" s="140"/>
      <c r="W526" s="141">
        <f t="shared" si="44"/>
        <v>0</v>
      </c>
    </row>
    <row r="527" spans="1:23" ht="13.9" customHeight="1">
      <c r="A527" s="132">
        <v>527</v>
      </c>
      <c r="B527" s="49" t="s">
        <v>1681</v>
      </c>
      <c r="C527" s="49" t="s">
        <v>667</v>
      </c>
      <c r="D527" s="145" t="s">
        <v>268</v>
      </c>
      <c r="E527" s="146" t="s">
        <v>1130</v>
      </c>
      <c r="F527" s="146"/>
      <c r="G527" s="145" t="s">
        <v>232</v>
      </c>
      <c r="H527" s="145" t="s">
        <v>53</v>
      </c>
      <c r="I527" s="1" t="s">
        <v>233</v>
      </c>
      <c r="J527" s="149" t="s">
        <v>1078</v>
      </c>
      <c r="K527" s="150"/>
      <c r="L527" s="151">
        <v>18.18</v>
      </c>
      <c r="M527" s="136">
        <f t="shared" si="40"/>
        <v>190</v>
      </c>
      <c r="N527" s="2">
        <v>190</v>
      </c>
      <c r="O527" s="2"/>
      <c r="P527" s="137" t="e">
        <f t="shared" si="41"/>
        <v>#DIV/0!</v>
      </c>
      <c r="Q527" s="137">
        <f t="shared" si="42"/>
        <v>0</v>
      </c>
      <c r="R527" s="138">
        <f>IF(N527="nio",0,IF(N527&gt;0,VLOOKUP(I527,'3-Productie normen'!A:V,VLOOKUP(N527,'3-Productie normen'!$B$35:$C$56,2,FALSE),FALSE)))/VLOOKUP(B527,'2-Kosten per locatie'!$A$11:$C$18,3,FALSE)</f>
        <v>0</v>
      </c>
      <c r="S527" s="138">
        <f t="shared" si="43"/>
        <v>0</v>
      </c>
      <c r="T527" s="139" t="str">
        <f>VLOOKUP(I527,'3-Productie normen'!A:AF,28,FALSE)</f>
        <v>V</v>
      </c>
      <c r="U527" s="140"/>
      <c r="W527" s="141">
        <f t="shared" si="44"/>
        <v>3454.2</v>
      </c>
    </row>
    <row r="528" spans="1:23" ht="13.9" customHeight="1">
      <c r="A528" s="118">
        <v>528</v>
      </c>
      <c r="B528" s="49" t="s">
        <v>1681</v>
      </c>
      <c r="C528" s="49" t="s">
        <v>667</v>
      </c>
      <c r="D528" s="145" t="s">
        <v>268</v>
      </c>
      <c r="E528" s="146" t="s">
        <v>1131</v>
      </c>
      <c r="F528" s="146"/>
      <c r="G528" s="145" t="s">
        <v>232</v>
      </c>
      <c r="H528" s="145" t="s">
        <v>53</v>
      </c>
      <c r="I528" s="1" t="s">
        <v>233</v>
      </c>
      <c r="J528" s="149" t="s">
        <v>1078</v>
      </c>
      <c r="K528" s="150"/>
      <c r="L528" s="151">
        <v>2.44</v>
      </c>
      <c r="M528" s="136">
        <f t="shared" si="40"/>
        <v>190</v>
      </c>
      <c r="N528" s="2">
        <v>190</v>
      </c>
      <c r="O528" s="2"/>
      <c r="P528" s="137" t="e">
        <f t="shared" si="41"/>
        <v>#DIV/0!</v>
      </c>
      <c r="Q528" s="137">
        <f t="shared" si="42"/>
        <v>0</v>
      </c>
      <c r="R528" s="138">
        <f>IF(N528="nio",0,IF(N528&gt;0,VLOOKUP(I528,'3-Productie normen'!A:V,VLOOKUP(N528,'3-Productie normen'!$B$35:$C$56,2,FALSE),FALSE)))/VLOOKUP(B528,'2-Kosten per locatie'!$A$11:$C$18,3,FALSE)</f>
        <v>0</v>
      </c>
      <c r="S528" s="138">
        <f t="shared" si="43"/>
        <v>0</v>
      </c>
      <c r="T528" s="139" t="str">
        <f>VLOOKUP(I528,'3-Productie normen'!A:AF,28,FALSE)</f>
        <v>V</v>
      </c>
      <c r="U528" s="140"/>
      <c r="W528" s="141">
        <f t="shared" si="44"/>
        <v>463.59999999999997</v>
      </c>
    </row>
    <row r="529" spans="1:23" ht="13.9" customHeight="1">
      <c r="A529" s="132">
        <v>529</v>
      </c>
      <c r="B529" s="49" t="s">
        <v>1681</v>
      </c>
      <c r="C529" s="49" t="s">
        <v>667</v>
      </c>
      <c r="D529" s="145" t="s">
        <v>268</v>
      </c>
      <c r="E529" s="146" t="s">
        <v>1132</v>
      </c>
      <c r="F529" s="146"/>
      <c r="G529" s="145" t="s">
        <v>232</v>
      </c>
      <c r="H529" s="145" t="s">
        <v>53</v>
      </c>
      <c r="I529" s="1" t="s">
        <v>233</v>
      </c>
      <c r="J529" s="149" t="s">
        <v>1133</v>
      </c>
      <c r="K529" s="152" t="s">
        <v>1522</v>
      </c>
      <c r="L529" s="151">
        <v>12.59</v>
      </c>
      <c r="M529" s="136">
        <f t="shared" si="40"/>
        <v>190</v>
      </c>
      <c r="N529" s="2">
        <v>190</v>
      </c>
      <c r="O529" s="2"/>
      <c r="P529" s="137" t="e">
        <f t="shared" si="41"/>
        <v>#DIV/0!</v>
      </c>
      <c r="Q529" s="137">
        <f t="shared" si="42"/>
        <v>0</v>
      </c>
      <c r="R529" s="138">
        <f>IF(N529="nio",0,IF(N529&gt;0,VLOOKUP(I529,'3-Productie normen'!A:V,VLOOKUP(N529,'3-Productie normen'!$B$35:$C$56,2,FALSE),FALSE)))/VLOOKUP(B529,'2-Kosten per locatie'!$A$11:$C$18,3,FALSE)</f>
        <v>0</v>
      </c>
      <c r="S529" s="138">
        <f t="shared" si="43"/>
        <v>0</v>
      </c>
      <c r="T529" s="139" t="str">
        <f>VLOOKUP(I529,'3-Productie normen'!A:AF,28,FALSE)</f>
        <v>V</v>
      </c>
      <c r="U529" s="140"/>
      <c r="W529" s="141">
        <f t="shared" si="44"/>
        <v>2392.1</v>
      </c>
    </row>
    <row r="530" spans="1:23" ht="13.9" customHeight="1">
      <c r="A530" s="132">
        <v>530</v>
      </c>
      <c r="B530" s="49" t="s">
        <v>1681</v>
      </c>
      <c r="C530" s="49" t="s">
        <v>667</v>
      </c>
      <c r="D530" s="145" t="s">
        <v>268</v>
      </c>
      <c r="E530" s="146" t="s">
        <v>1134</v>
      </c>
      <c r="F530" s="146"/>
      <c r="G530" s="145" t="s">
        <v>235</v>
      </c>
      <c r="H530" s="145" t="s">
        <v>236</v>
      </c>
      <c r="I530" s="49" t="s">
        <v>1486</v>
      </c>
      <c r="J530" s="149" t="s">
        <v>1055</v>
      </c>
      <c r="K530" s="152" t="s">
        <v>1522</v>
      </c>
      <c r="L530" s="151">
        <v>69.290000000000006</v>
      </c>
      <c r="M530" s="136">
        <f t="shared" si="40"/>
        <v>190</v>
      </c>
      <c r="N530" s="2">
        <v>190</v>
      </c>
      <c r="O530" s="2"/>
      <c r="P530" s="137" t="e">
        <f t="shared" si="41"/>
        <v>#DIV/0!</v>
      </c>
      <c r="Q530" s="137">
        <f t="shared" si="42"/>
        <v>0</v>
      </c>
      <c r="R530" s="138">
        <f>IF(N530="nio",0,IF(N530&gt;0,VLOOKUP(I530,'3-Productie normen'!A:V,VLOOKUP(N530,'3-Productie normen'!$B$35:$C$56,2,FALSE),FALSE)))/VLOOKUP(B530,'2-Kosten per locatie'!$A$11:$C$18,3,FALSE)</f>
        <v>0</v>
      </c>
      <c r="S530" s="138">
        <f t="shared" si="43"/>
        <v>0</v>
      </c>
      <c r="T530" s="139" t="str">
        <f>VLOOKUP(I530,'3-Productie normen'!A:AF,28,FALSE)</f>
        <v>V</v>
      </c>
      <c r="U530" s="140"/>
      <c r="W530" s="141">
        <f t="shared" si="44"/>
        <v>13165.1</v>
      </c>
    </row>
    <row r="531" spans="1:23" ht="13.9" customHeight="1">
      <c r="A531" s="118">
        <v>531</v>
      </c>
      <c r="B531" s="49" t="s">
        <v>1681</v>
      </c>
      <c r="C531" s="49" t="s">
        <v>667</v>
      </c>
      <c r="D531" s="145" t="s">
        <v>268</v>
      </c>
      <c r="E531" s="146" t="s">
        <v>1135</v>
      </c>
      <c r="F531" s="146"/>
      <c r="G531" s="145" t="s">
        <v>235</v>
      </c>
      <c r="H531" s="145" t="s">
        <v>236</v>
      </c>
      <c r="I531" s="49" t="s">
        <v>1486</v>
      </c>
      <c r="J531" s="149" t="s">
        <v>1055</v>
      </c>
      <c r="K531" s="152" t="s">
        <v>1522</v>
      </c>
      <c r="L531" s="151">
        <v>149.93</v>
      </c>
      <c r="M531" s="136">
        <f t="shared" si="40"/>
        <v>190</v>
      </c>
      <c r="N531" s="2">
        <v>190</v>
      </c>
      <c r="O531" s="2"/>
      <c r="P531" s="137" t="e">
        <f t="shared" si="41"/>
        <v>#DIV/0!</v>
      </c>
      <c r="Q531" s="137">
        <f t="shared" si="42"/>
        <v>0</v>
      </c>
      <c r="R531" s="138">
        <f>IF(N531="nio",0,IF(N531&gt;0,VLOOKUP(I531,'3-Productie normen'!A:V,VLOOKUP(N531,'3-Productie normen'!$B$35:$C$56,2,FALSE),FALSE)))/VLOOKUP(B531,'2-Kosten per locatie'!$A$11:$C$18,3,FALSE)</f>
        <v>0</v>
      </c>
      <c r="S531" s="138">
        <f t="shared" si="43"/>
        <v>0</v>
      </c>
      <c r="T531" s="139" t="str">
        <f>VLOOKUP(I531,'3-Productie normen'!A:AF,28,FALSE)</f>
        <v>V</v>
      </c>
      <c r="U531" s="140"/>
      <c r="W531" s="141">
        <f t="shared" si="44"/>
        <v>28486.7</v>
      </c>
    </row>
    <row r="532" spans="1:23" ht="13.9" customHeight="1">
      <c r="A532" s="132">
        <v>532</v>
      </c>
      <c r="B532" s="49" t="s">
        <v>1681</v>
      </c>
      <c r="C532" s="49" t="s">
        <v>667</v>
      </c>
      <c r="D532" s="145" t="s">
        <v>268</v>
      </c>
      <c r="E532" s="146" t="s">
        <v>1136</v>
      </c>
      <c r="F532" s="146"/>
      <c r="G532" s="145" t="s">
        <v>235</v>
      </c>
      <c r="H532" s="145" t="s">
        <v>236</v>
      </c>
      <c r="I532" s="49" t="s">
        <v>1486</v>
      </c>
      <c r="J532" s="149" t="s">
        <v>1055</v>
      </c>
      <c r="K532" s="152" t="s">
        <v>1522</v>
      </c>
      <c r="L532" s="151">
        <v>4.3499999999999996</v>
      </c>
      <c r="M532" s="136">
        <f t="shared" si="40"/>
        <v>190</v>
      </c>
      <c r="N532" s="2">
        <v>190</v>
      </c>
      <c r="O532" s="2"/>
      <c r="P532" s="137" t="e">
        <f t="shared" si="41"/>
        <v>#DIV/0!</v>
      </c>
      <c r="Q532" s="137">
        <f t="shared" si="42"/>
        <v>0</v>
      </c>
      <c r="R532" s="138">
        <f>IF(N532="nio",0,IF(N532&gt;0,VLOOKUP(I532,'3-Productie normen'!A:V,VLOOKUP(N532,'3-Productie normen'!$B$35:$C$56,2,FALSE),FALSE)))/VLOOKUP(B532,'2-Kosten per locatie'!$A$11:$C$18,3,FALSE)</f>
        <v>0</v>
      </c>
      <c r="S532" s="138">
        <f t="shared" si="43"/>
        <v>0</v>
      </c>
      <c r="T532" s="139" t="str">
        <f>VLOOKUP(I532,'3-Productie normen'!A:AF,28,FALSE)</f>
        <v>V</v>
      </c>
      <c r="U532" s="140"/>
      <c r="W532" s="141">
        <f t="shared" si="44"/>
        <v>826.49999999999989</v>
      </c>
    </row>
    <row r="533" spans="1:23" ht="13.9" customHeight="1">
      <c r="A533" s="132">
        <v>533</v>
      </c>
      <c r="B533" s="49" t="s">
        <v>1681</v>
      </c>
      <c r="C533" s="49" t="s">
        <v>667</v>
      </c>
      <c r="D533" s="145" t="s">
        <v>268</v>
      </c>
      <c r="E533" s="146" t="s">
        <v>1137</v>
      </c>
      <c r="F533" s="146"/>
      <c r="G533" s="145" t="s">
        <v>235</v>
      </c>
      <c r="H533" s="145" t="s">
        <v>236</v>
      </c>
      <c r="I533" s="49" t="s">
        <v>1486</v>
      </c>
      <c r="J533" s="149" t="s">
        <v>1055</v>
      </c>
      <c r="K533" s="152" t="s">
        <v>1522</v>
      </c>
      <c r="L533" s="151">
        <v>94.64</v>
      </c>
      <c r="M533" s="136">
        <f t="shared" si="40"/>
        <v>190</v>
      </c>
      <c r="N533" s="2">
        <v>190</v>
      </c>
      <c r="O533" s="2"/>
      <c r="P533" s="137" t="e">
        <f t="shared" si="41"/>
        <v>#DIV/0!</v>
      </c>
      <c r="Q533" s="137">
        <f t="shared" si="42"/>
        <v>0</v>
      </c>
      <c r="R533" s="138">
        <f>IF(N533="nio",0,IF(N533&gt;0,VLOOKUP(I533,'3-Productie normen'!A:V,VLOOKUP(N533,'3-Productie normen'!$B$35:$C$56,2,FALSE),FALSE)))/VLOOKUP(B533,'2-Kosten per locatie'!$A$11:$C$18,3,FALSE)</f>
        <v>0</v>
      </c>
      <c r="S533" s="138">
        <f t="shared" si="43"/>
        <v>0</v>
      </c>
      <c r="T533" s="139" t="str">
        <f>VLOOKUP(I533,'3-Productie normen'!A:AF,28,FALSE)</f>
        <v>V</v>
      </c>
      <c r="U533" s="140"/>
      <c r="W533" s="141">
        <f t="shared" si="44"/>
        <v>17981.599999999999</v>
      </c>
    </row>
    <row r="534" spans="1:23" ht="13.9" customHeight="1">
      <c r="A534" s="118">
        <v>534</v>
      </c>
      <c r="B534" s="49" t="s">
        <v>1681</v>
      </c>
      <c r="C534" s="49" t="s">
        <v>667</v>
      </c>
      <c r="D534" s="145" t="s">
        <v>268</v>
      </c>
      <c r="E534" s="146" t="s">
        <v>1138</v>
      </c>
      <c r="F534" s="146"/>
      <c r="G534" s="145" t="s">
        <v>235</v>
      </c>
      <c r="H534" s="145" t="s">
        <v>236</v>
      </c>
      <c r="I534" s="49" t="s">
        <v>1486</v>
      </c>
      <c r="J534" s="149" t="s">
        <v>1055</v>
      </c>
      <c r="K534" s="152" t="s">
        <v>1522</v>
      </c>
      <c r="L534" s="151">
        <v>3.65</v>
      </c>
      <c r="M534" s="136">
        <f t="shared" si="40"/>
        <v>190</v>
      </c>
      <c r="N534" s="2">
        <v>190</v>
      </c>
      <c r="O534" s="2"/>
      <c r="P534" s="137" t="e">
        <f t="shared" si="41"/>
        <v>#DIV/0!</v>
      </c>
      <c r="Q534" s="137">
        <f t="shared" si="42"/>
        <v>0</v>
      </c>
      <c r="R534" s="138">
        <f>IF(N534="nio",0,IF(N534&gt;0,VLOOKUP(I534,'3-Productie normen'!A:V,VLOOKUP(N534,'3-Productie normen'!$B$35:$C$56,2,FALSE),FALSE)))/VLOOKUP(B534,'2-Kosten per locatie'!$A$11:$C$18,3,FALSE)</f>
        <v>0</v>
      </c>
      <c r="S534" s="138">
        <f t="shared" si="43"/>
        <v>0</v>
      </c>
      <c r="T534" s="139" t="str">
        <f>VLOOKUP(I534,'3-Productie normen'!A:AF,28,FALSE)</f>
        <v>V</v>
      </c>
      <c r="U534" s="140"/>
      <c r="W534" s="141">
        <f t="shared" si="44"/>
        <v>693.5</v>
      </c>
    </row>
    <row r="535" spans="1:23" ht="13.9" customHeight="1">
      <c r="A535" s="132">
        <v>535</v>
      </c>
      <c r="B535" s="49" t="s">
        <v>1681</v>
      </c>
      <c r="C535" s="49" t="s">
        <v>667</v>
      </c>
      <c r="D535" s="145" t="s">
        <v>268</v>
      </c>
      <c r="E535" s="146" t="s">
        <v>1139</v>
      </c>
      <c r="F535" s="146"/>
      <c r="G535" s="145" t="s">
        <v>235</v>
      </c>
      <c r="H535" s="145" t="s">
        <v>236</v>
      </c>
      <c r="I535" s="49" t="s">
        <v>1486</v>
      </c>
      <c r="J535" s="149" t="s">
        <v>1055</v>
      </c>
      <c r="K535" s="152" t="s">
        <v>1522</v>
      </c>
      <c r="L535" s="151">
        <v>22.8</v>
      </c>
      <c r="M535" s="136">
        <f t="shared" ref="M535:M598" si="45">SUM(N535:O535)</f>
        <v>190</v>
      </c>
      <c r="N535" s="2">
        <v>190</v>
      </c>
      <c r="O535" s="2"/>
      <c r="P535" s="137" t="e">
        <f t="shared" ref="P535:P598" si="46">IF(N535="nio",0,IF(N535&gt;0,N535*L535/R535,0))</f>
        <v>#DIV/0!</v>
      </c>
      <c r="Q535" s="137">
        <f t="shared" ref="Q535:Q598" si="47">IF(O535&gt;0,O535*L535/S535,0)</f>
        <v>0</v>
      </c>
      <c r="R535" s="138">
        <f>IF(N535="nio",0,IF(N535&gt;0,VLOOKUP(I535,'3-Productie normen'!A:V,VLOOKUP(N535,'3-Productie normen'!$B$35:$C$56,2,FALSE),FALSE)))/VLOOKUP(B535,'2-Kosten per locatie'!$A$11:$C$18,3,FALSE)</f>
        <v>0</v>
      </c>
      <c r="S535" s="138">
        <f t="shared" ref="S535:S598" si="48">IF(O535&gt;0,R535*$S$8,0)</f>
        <v>0</v>
      </c>
      <c r="T535" s="139" t="str">
        <f>VLOOKUP(I535,'3-Productie normen'!A:AF,28,FALSE)</f>
        <v>V</v>
      </c>
      <c r="U535" s="140"/>
      <c r="W535" s="141">
        <f t="shared" ref="W535:W598" si="49">M535*L535</f>
        <v>4332</v>
      </c>
    </row>
    <row r="536" spans="1:23" ht="13.9" customHeight="1">
      <c r="A536" s="132">
        <v>536</v>
      </c>
      <c r="B536" s="49" t="s">
        <v>1681</v>
      </c>
      <c r="C536" s="49" t="s">
        <v>667</v>
      </c>
      <c r="D536" s="145" t="s">
        <v>268</v>
      </c>
      <c r="E536" s="146" t="s">
        <v>1140</v>
      </c>
      <c r="F536" s="146" t="s">
        <v>547</v>
      </c>
      <c r="G536" s="145" t="s">
        <v>237</v>
      </c>
      <c r="H536" s="145" t="s">
        <v>269</v>
      </c>
      <c r="I536" s="91" t="s">
        <v>239</v>
      </c>
      <c r="J536" s="149" t="s">
        <v>1055</v>
      </c>
      <c r="K536" s="150"/>
      <c r="L536" s="151">
        <v>10.5</v>
      </c>
      <c r="M536" s="136">
        <f t="shared" si="45"/>
        <v>0</v>
      </c>
      <c r="N536" s="2" t="s">
        <v>273</v>
      </c>
      <c r="O536" s="2"/>
      <c r="P536" s="137">
        <f t="shared" si="46"/>
        <v>0</v>
      </c>
      <c r="Q536" s="137">
        <f t="shared" si="47"/>
        <v>0</v>
      </c>
      <c r="R536" s="138">
        <f>IF(N536="nio",0,IF(N536&gt;0,VLOOKUP(I536,'3-Productie normen'!A:V,VLOOKUP(N536,'3-Productie normen'!$B$35:$C$56,2,FALSE),FALSE)))/VLOOKUP(B536,'2-Kosten per locatie'!$A$11:$C$18,3,FALSE)</f>
        <v>0</v>
      </c>
      <c r="S536" s="138">
        <f t="shared" si="48"/>
        <v>0</v>
      </c>
      <c r="T536" s="139">
        <f>VLOOKUP(I536,'3-Productie normen'!A:AF,28,FALSE)</f>
        <v>0</v>
      </c>
      <c r="U536" s="140"/>
      <c r="W536" s="141">
        <f t="shared" si="49"/>
        <v>0</v>
      </c>
    </row>
    <row r="537" spans="1:23" ht="13.9" customHeight="1">
      <c r="A537" s="118">
        <v>537</v>
      </c>
      <c r="B537" s="49" t="s">
        <v>1681</v>
      </c>
      <c r="C537" s="49" t="s">
        <v>667</v>
      </c>
      <c r="D537" s="145" t="s">
        <v>268</v>
      </c>
      <c r="E537" s="146" t="s">
        <v>1141</v>
      </c>
      <c r="F537" s="146" t="s">
        <v>338</v>
      </c>
      <c r="G537" s="145" t="s">
        <v>237</v>
      </c>
      <c r="H537" s="145" t="s">
        <v>241</v>
      </c>
      <c r="I537" s="91" t="s">
        <v>239</v>
      </c>
      <c r="J537" s="149" t="s">
        <v>234</v>
      </c>
      <c r="K537" s="150"/>
      <c r="L537" s="151">
        <v>8.39</v>
      </c>
      <c r="M537" s="136">
        <f t="shared" si="45"/>
        <v>0</v>
      </c>
      <c r="N537" s="2" t="s">
        <v>273</v>
      </c>
      <c r="O537" s="2"/>
      <c r="P537" s="137">
        <f t="shared" si="46"/>
        <v>0</v>
      </c>
      <c r="Q537" s="137">
        <f t="shared" si="47"/>
        <v>0</v>
      </c>
      <c r="R537" s="138">
        <f>IF(N537="nio",0,IF(N537&gt;0,VLOOKUP(I537,'3-Productie normen'!A:V,VLOOKUP(N537,'3-Productie normen'!$B$35:$C$56,2,FALSE),FALSE)))/VLOOKUP(B537,'2-Kosten per locatie'!$A$11:$C$18,3,FALSE)</f>
        <v>0</v>
      </c>
      <c r="S537" s="138">
        <f t="shared" si="48"/>
        <v>0</v>
      </c>
      <c r="T537" s="139">
        <f>VLOOKUP(I537,'3-Productie normen'!A:AF,28,FALSE)</f>
        <v>0</v>
      </c>
      <c r="U537" s="140"/>
      <c r="W537" s="141">
        <f t="shared" si="49"/>
        <v>0</v>
      </c>
    </row>
    <row r="538" spans="1:23" ht="13.9" customHeight="1">
      <c r="A538" s="132">
        <v>538</v>
      </c>
      <c r="B538" s="49" t="s">
        <v>1681</v>
      </c>
      <c r="C538" s="49" t="s">
        <v>667</v>
      </c>
      <c r="D538" s="145" t="s">
        <v>268</v>
      </c>
      <c r="E538" s="146" t="s">
        <v>1142</v>
      </c>
      <c r="F538" s="146" t="s">
        <v>339</v>
      </c>
      <c r="G538" s="145" t="s">
        <v>237</v>
      </c>
      <c r="H538" s="145" t="s">
        <v>299</v>
      </c>
      <c r="I538" s="91" t="s">
        <v>239</v>
      </c>
      <c r="J538" s="149" t="s">
        <v>234</v>
      </c>
      <c r="K538" s="150"/>
      <c r="L538" s="151">
        <v>32.89</v>
      </c>
      <c r="M538" s="136">
        <f t="shared" si="45"/>
        <v>0</v>
      </c>
      <c r="N538" s="2" t="s">
        <v>273</v>
      </c>
      <c r="O538" s="2"/>
      <c r="P538" s="137">
        <f t="shared" si="46"/>
        <v>0</v>
      </c>
      <c r="Q538" s="137">
        <f t="shared" si="47"/>
        <v>0</v>
      </c>
      <c r="R538" s="138">
        <f>IF(N538="nio",0,IF(N538&gt;0,VLOOKUP(I538,'3-Productie normen'!A:V,VLOOKUP(N538,'3-Productie normen'!$B$35:$C$56,2,FALSE),FALSE)))/VLOOKUP(B538,'2-Kosten per locatie'!$A$11:$C$18,3,FALSE)</f>
        <v>0</v>
      </c>
      <c r="S538" s="138">
        <f t="shared" si="48"/>
        <v>0</v>
      </c>
      <c r="T538" s="139">
        <f>VLOOKUP(I538,'3-Productie normen'!A:AF,28,FALSE)</f>
        <v>0</v>
      </c>
      <c r="U538" s="140"/>
      <c r="W538" s="141">
        <f t="shared" si="49"/>
        <v>0</v>
      </c>
    </row>
    <row r="539" spans="1:23" ht="13.9" customHeight="1">
      <c r="A539" s="132">
        <v>539</v>
      </c>
      <c r="B539" s="49" t="s">
        <v>1681</v>
      </c>
      <c r="C539" s="49" t="s">
        <v>667</v>
      </c>
      <c r="D539" s="145" t="s">
        <v>268</v>
      </c>
      <c r="E539" s="146" t="s">
        <v>1143</v>
      </c>
      <c r="F539" s="146"/>
      <c r="G539" s="145" t="s">
        <v>237</v>
      </c>
      <c r="H539" s="145" t="s">
        <v>257</v>
      </c>
      <c r="I539" s="91" t="s">
        <v>239</v>
      </c>
      <c r="J539" s="149" t="s">
        <v>231</v>
      </c>
      <c r="K539" s="150"/>
      <c r="L539" s="151">
        <v>0</v>
      </c>
      <c r="M539" s="136">
        <f t="shared" si="45"/>
        <v>0</v>
      </c>
      <c r="N539" s="2" t="s">
        <v>273</v>
      </c>
      <c r="O539" s="2"/>
      <c r="P539" s="137">
        <f t="shared" si="46"/>
        <v>0</v>
      </c>
      <c r="Q539" s="137">
        <f t="shared" si="47"/>
        <v>0</v>
      </c>
      <c r="R539" s="138">
        <f>IF(N539="nio",0,IF(N539&gt;0,VLOOKUP(I539,'3-Productie normen'!A:V,VLOOKUP(N539,'3-Productie normen'!$B$35:$C$56,2,FALSE),FALSE)))/VLOOKUP(B539,'2-Kosten per locatie'!$A$11:$C$18,3,FALSE)</f>
        <v>0</v>
      </c>
      <c r="S539" s="138">
        <f t="shared" si="48"/>
        <v>0</v>
      </c>
      <c r="T539" s="139">
        <f>VLOOKUP(I539,'3-Productie normen'!A:AF,28,FALSE)</f>
        <v>0</v>
      </c>
      <c r="U539" s="140"/>
      <c r="W539" s="141">
        <f t="shared" si="49"/>
        <v>0</v>
      </c>
    </row>
    <row r="540" spans="1:23" ht="13.9" customHeight="1">
      <c r="A540" s="118">
        <v>540</v>
      </c>
      <c r="B540" s="49" t="s">
        <v>1681</v>
      </c>
      <c r="C540" s="49" t="s">
        <v>667</v>
      </c>
      <c r="D540" s="145" t="s">
        <v>268</v>
      </c>
      <c r="E540" s="146" t="s">
        <v>1144</v>
      </c>
      <c r="F540" s="146"/>
      <c r="G540" s="145" t="s">
        <v>44</v>
      </c>
      <c r="H540" s="145" t="s">
        <v>258</v>
      </c>
      <c r="I540" s="145" t="s">
        <v>259</v>
      </c>
      <c r="J540" s="149" t="s">
        <v>305</v>
      </c>
      <c r="K540" s="150"/>
      <c r="L540" s="151">
        <v>5.1100000000000003</v>
      </c>
      <c r="M540" s="136">
        <f t="shared" si="45"/>
        <v>190</v>
      </c>
      <c r="N540" s="2">
        <v>190</v>
      </c>
      <c r="O540" s="2"/>
      <c r="P540" s="137" t="e">
        <f t="shared" si="46"/>
        <v>#DIV/0!</v>
      </c>
      <c r="Q540" s="137">
        <f t="shared" si="47"/>
        <v>0</v>
      </c>
      <c r="R540" s="138">
        <f>IF(N540="nio",0,IF(N540&gt;0,VLOOKUP(I540,'3-Productie normen'!A:V,VLOOKUP(N540,'3-Productie normen'!$B$35:$C$56,2,FALSE),FALSE)))/VLOOKUP(B540,'2-Kosten per locatie'!$A$11:$C$18,3,FALSE)</f>
        <v>0</v>
      </c>
      <c r="S540" s="138">
        <f t="shared" si="48"/>
        <v>0</v>
      </c>
      <c r="T540" s="139" t="str">
        <f>VLOOKUP(I540,'3-Productie normen'!A:AF,28,FALSE)</f>
        <v>S</v>
      </c>
      <c r="U540" s="140"/>
      <c r="W540" s="141">
        <f t="shared" si="49"/>
        <v>970.90000000000009</v>
      </c>
    </row>
    <row r="541" spans="1:23" ht="13.9" customHeight="1">
      <c r="A541" s="132">
        <v>541</v>
      </c>
      <c r="B541" s="49" t="s">
        <v>1681</v>
      </c>
      <c r="C541" s="49" t="s">
        <v>667</v>
      </c>
      <c r="D541" s="145" t="s">
        <v>268</v>
      </c>
      <c r="E541" s="146" t="s">
        <v>1145</v>
      </c>
      <c r="F541" s="146"/>
      <c r="G541" s="145" t="s">
        <v>44</v>
      </c>
      <c r="H541" s="145" t="s">
        <v>260</v>
      </c>
      <c r="I541" s="145" t="s">
        <v>259</v>
      </c>
      <c r="J541" s="149" t="s">
        <v>305</v>
      </c>
      <c r="K541" s="150"/>
      <c r="L541" s="151">
        <v>1.1200000000000001</v>
      </c>
      <c r="M541" s="136">
        <f t="shared" si="45"/>
        <v>190</v>
      </c>
      <c r="N541" s="2">
        <v>190</v>
      </c>
      <c r="O541" s="2"/>
      <c r="P541" s="137" t="e">
        <f t="shared" si="46"/>
        <v>#DIV/0!</v>
      </c>
      <c r="Q541" s="137">
        <f t="shared" si="47"/>
        <v>0</v>
      </c>
      <c r="R541" s="138">
        <f>IF(N541="nio",0,IF(N541&gt;0,VLOOKUP(I541,'3-Productie normen'!A:V,VLOOKUP(N541,'3-Productie normen'!$B$35:$C$56,2,FALSE),FALSE)))/VLOOKUP(B541,'2-Kosten per locatie'!$A$11:$C$18,3,FALSE)</f>
        <v>0</v>
      </c>
      <c r="S541" s="138">
        <f t="shared" si="48"/>
        <v>0</v>
      </c>
      <c r="T541" s="139" t="str">
        <f>VLOOKUP(I541,'3-Productie normen'!A:AF,28,FALSE)</f>
        <v>S</v>
      </c>
      <c r="U541" s="140"/>
      <c r="W541" s="141">
        <f t="shared" si="49"/>
        <v>212.8</v>
      </c>
    </row>
    <row r="542" spans="1:23" ht="13.9" customHeight="1">
      <c r="A542" s="132">
        <v>542</v>
      </c>
      <c r="B542" s="49" t="s">
        <v>1681</v>
      </c>
      <c r="C542" s="49" t="s">
        <v>667</v>
      </c>
      <c r="D542" s="145" t="s">
        <v>268</v>
      </c>
      <c r="E542" s="146" t="s">
        <v>1146</v>
      </c>
      <c r="F542" s="146"/>
      <c r="G542" s="145" t="s">
        <v>44</v>
      </c>
      <c r="H542" s="145" t="s">
        <v>260</v>
      </c>
      <c r="I542" s="145" t="s">
        <v>259</v>
      </c>
      <c r="J542" s="149" t="s">
        <v>305</v>
      </c>
      <c r="K542" s="150"/>
      <c r="L542" s="151">
        <v>1.1200000000000001</v>
      </c>
      <c r="M542" s="136">
        <f t="shared" si="45"/>
        <v>190</v>
      </c>
      <c r="N542" s="2">
        <v>190</v>
      </c>
      <c r="O542" s="2"/>
      <c r="P542" s="137" t="e">
        <f t="shared" si="46"/>
        <v>#DIV/0!</v>
      </c>
      <c r="Q542" s="137">
        <f t="shared" si="47"/>
        <v>0</v>
      </c>
      <c r="R542" s="138">
        <f>IF(N542="nio",0,IF(N542&gt;0,VLOOKUP(I542,'3-Productie normen'!A:V,VLOOKUP(N542,'3-Productie normen'!$B$35:$C$56,2,FALSE),FALSE)))/VLOOKUP(B542,'2-Kosten per locatie'!$A$11:$C$18,3,FALSE)</f>
        <v>0</v>
      </c>
      <c r="S542" s="138">
        <f t="shared" si="48"/>
        <v>0</v>
      </c>
      <c r="T542" s="139" t="str">
        <f>VLOOKUP(I542,'3-Productie normen'!A:AF,28,FALSE)</f>
        <v>S</v>
      </c>
      <c r="U542" s="140"/>
      <c r="W542" s="141">
        <f t="shared" si="49"/>
        <v>212.8</v>
      </c>
    </row>
    <row r="543" spans="1:23" ht="13.9" customHeight="1">
      <c r="A543" s="118">
        <v>543</v>
      </c>
      <c r="B543" s="49" t="s">
        <v>1681</v>
      </c>
      <c r="C543" s="49" t="s">
        <v>667</v>
      </c>
      <c r="D543" s="145" t="s">
        <v>268</v>
      </c>
      <c r="E543" s="146" t="s">
        <v>1147</v>
      </c>
      <c r="F543" s="146"/>
      <c r="G543" s="145" t="s">
        <v>44</v>
      </c>
      <c r="H543" s="145" t="s">
        <v>260</v>
      </c>
      <c r="I543" s="145" t="s">
        <v>259</v>
      </c>
      <c r="J543" s="149" t="s">
        <v>305</v>
      </c>
      <c r="K543" s="150"/>
      <c r="L543" s="151">
        <v>1.1200000000000001</v>
      </c>
      <c r="M543" s="136">
        <f t="shared" si="45"/>
        <v>190</v>
      </c>
      <c r="N543" s="2">
        <v>190</v>
      </c>
      <c r="O543" s="2"/>
      <c r="P543" s="137" t="e">
        <f t="shared" si="46"/>
        <v>#DIV/0!</v>
      </c>
      <c r="Q543" s="137">
        <f t="shared" si="47"/>
        <v>0</v>
      </c>
      <c r="R543" s="138">
        <f>IF(N543="nio",0,IF(N543&gt;0,VLOOKUP(I543,'3-Productie normen'!A:V,VLOOKUP(N543,'3-Productie normen'!$B$35:$C$56,2,FALSE),FALSE)))/VLOOKUP(B543,'2-Kosten per locatie'!$A$11:$C$18,3,FALSE)</f>
        <v>0</v>
      </c>
      <c r="S543" s="138">
        <f t="shared" si="48"/>
        <v>0</v>
      </c>
      <c r="T543" s="139" t="str">
        <f>VLOOKUP(I543,'3-Productie normen'!A:AF,28,FALSE)</f>
        <v>S</v>
      </c>
      <c r="U543" s="140"/>
      <c r="W543" s="141">
        <f t="shared" si="49"/>
        <v>212.8</v>
      </c>
    </row>
    <row r="544" spans="1:23" ht="13.9" customHeight="1">
      <c r="A544" s="132">
        <v>544</v>
      </c>
      <c r="B544" s="49" t="s">
        <v>1681</v>
      </c>
      <c r="C544" s="49" t="s">
        <v>667</v>
      </c>
      <c r="D544" s="145" t="s">
        <v>268</v>
      </c>
      <c r="E544" s="146" t="s">
        <v>1148</v>
      </c>
      <c r="F544" s="146"/>
      <c r="G544" s="145" t="s">
        <v>44</v>
      </c>
      <c r="H544" s="145" t="s">
        <v>258</v>
      </c>
      <c r="I544" s="145" t="s">
        <v>259</v>
      </c>
      <c r="J544" s="149" t="s">
        <v>305</v>
      </c>
      <c r="K544" s="150"/>
      <c r="L544" s="151">
        <v>5.19</v>
      </c>
      <c r="M544" s="136">
        <f t="shared" si="45"/>
        <v>190</v>
      </c>
      <c r="N544" s="2">
        <v>190</v>
      </c>
      <c r="O544" s="2"/>
      <c r="P544" s="137" t="e">
        <f t="shared" si="46"/>
        <v>#DIV/0!</v>
      </c>
      <c r="Q544" s="137">
        <f t="shared" si="47"/>
        <v>0</v>
      </c>
      <c r="R544" s="138">
        <f>IF(N544="nio",0,IF(N544&gt;0,VLOOKUP(I544,'3-Productie normen'!A:V,VLOOKUP(N544,'3-Productie normen'!$B$35:$C$56,2,FALSE),FALSE)))/VLOOKUP(B544,'2-Kosten per locatie'!$A$11:$C$18,3,FALSE)</f>
        <v>0</v>
      </c>
      <c r="S544" s="138">
        <f t="shared" si="48"/>
        <v>0</v>
      </c>
      <c r="T544" s="139" t="str">
        <f>VLOOKUP(I544,'3-Productie normen'!A:AF,28,FALSE)</f>
        <v>S</v>
      </c>
      <c r="U544" s="140"/>
      <c r="W544" s="141">
        <f t="shared" si="49"/>
        <v>986.1</v>
      </c>
    </row>
    <row r="545" spans="1:23" ht="13.9" customHeight="1">
      <c r="A545" s="132">
        <v>545</v>
      </c>
      <c r="B545" s="49" t="s">
        <v>1681</v>
      </c>
      <c r="C545" s="49" t="s">
        <v>667</v>
      </c>
      <c r="D545" s="145" t="s">
        <v>268</v>
      </c>
      <c r="E545" s="146" t="s">
        <v>1149</v>
      </c>
      <c r="F545" s="146"/>
      <c r="G545" s="145" t="s">
        <v>44</v>
      </c>
      <c r="H545" s="145" t="s">
        <v>260</v>
      </c>
      <c r="I545" s="145" t="s">
        <v>259</v>
      </c>
      <c r="J545" s="149" t="s">
        <v>305</v>
      </c>
      <c r="K545" s="150"/>
      <c r="L545" s="151">
        <v>1.18</v>
      </c>
      <c r="M545" s="136">
        <f t="shared" si="45"/>
        <v>190</v>
      </c>
      <c r="N545" s="2">
        <v>190</v>
      </c>
      <c r="O545" s="2"/>
      <c r="P545" s="137" t="e">
        <f t="shared" si="46"/>
        <v>#DIV/0!</v>
      </c>
      <c r="Q545" s="137">
        <f t="shared" si="47"/>
        <v>0</v>
      </c>
      <c r="R545" s="138">
        <f>IF(N545="nio",0,IF(N545&gt;0,VLOOKUP(I545,'3-Productie normen'!A:V,VLOOKUP(N545,'3-Productie normen'!$B$35:$C$56,2,FALSE),FALSE)))/VLOOKUP(B545,'2-Kosten per locatie'!$A$11:$C$18,3,FALSE)</f>
        <v>0</v>
      </c>
      <c r="S545" s="138">
        <f t="shared" si="48"/>
        <v>0</v>
      </c>
      <c r="T545" s="139" t="str">
        <f>VLOOKUP(I545,'3-Productie normen'!A:AF,28,FALSE)</f>
        <v>S</v>
      </c>
      <c r="U545" s="140"/>
      <c r="W545" s="141">
        <f t="shared" si="49"/>
        <v>224.2</v>
      </c>
    </row>
    <row r="546" spans="1:23" ht="13.9" customHeight="1">
      <c r="A546" s="118">
        <v>546</v>
      </c>
      <c r="B546" s="49" t="s">
        <v>1681</v>
      </c>
      <c r="C546" s="49" t="s">
        <v>667</v>
      </c>
      <c r="D546" s="145" t="s">
        <v>268</v>
      </c>
      <c r="E546" s="146" t="s">
        <v>1150</v>
      </c>
      <c r="F546" s="146"/>
      <c r="G546" s="145" t="s">
        <v>44</v>
      </c>
      <c r="H546" s="145" t="s">
        <v>260</v>
      </c>
      <c r="I546" s="145" t="s">
        <v>259</v>
      </c>
      <c r="J546" s="149" t="s">
        <v>305</v>
      </c>
      <c r="K546" s="150"/>
      <c r="L546" s="151">
        <v>1.1200000000000001</v>
      </c>
      <c r="M546" s="136">
        <f t="shared" si="45"/>
        <v>190</v>
      </c>
      <c r="N546" s="2">
        <v>190</v>
      </c>
      <c r="O546" s="2"/>
      <c r="P546" s="137" t="e">
        <f t="shared" si="46"/>
        <v>#DIV/0!</v>
      </c>
      <c r="Q546" s="137">
        <f t="shared" si="47"/>
        <v>0</v>
      </c>
      <c r="R546" s="138">
        <f>IF(N546="nio",0,IF(N546&gt;0,VLOOKUP(I546,'3-Productie normen'!A:V,VLOOKUP(N546,'3-Productie normen'!$B$35:$C$56,2,FALSE),FALSE)))/VLOOKUP(B546,'2-Kosten per locatie'!$A$11:$C$18,3,FALSE)</f>
        <v>0</v>
      </c>
      <c r="S546" s="138">
        <f t="shared" si="48"/>
        <v>0</v>
      </c>
      <c r="T546" s="139" t="str">
        <f>VLOOKUP(I546,'3-Productie normen'!A:AF,28,FALSE)</f>
        <v>S</v>
      </c>
      <c r="U546" s="140"/>
      <c r="W546" s="141">
        <f t="shared" si="49"/>
        <v>212.8</v>
      </c>
    </row>
    <row r="547" spans="1:23" ht="13.9" customHeight="1">
      <c r="A547" s="132">
        <v>547</v>
      </c>
      <c r="B547" s="49" t="s">
        <v>1681</v>
      </c>
      <c r="C547" s="49" t="s">
        <v>667</v>
      </c>
      <c r="D547" s="145" t="s">
        <v>268</v>
      </c>
      <c r="E547" s="146" t="s">
        <v>1151</v>
      </c>
      <c r="F547" s="146"/>
      <c r="G547" s="145" t="s">
        <v>44</v>
      </c>
      <c r="H547" s="145" t="s">
        <v>260</v>
      </c>
      <c r="I547" s="145" t="s">
        <v>259</v>
      </c>
      <c r="J547" s="149" t="s">
        <v>305</v>
      </c>
      <c r="K547" s="150"/>
      <c r="L547" s="151">
        <v>1.1200000000000001</v>
      </c>
      <c r="M547" s="136">
        <f t="shared" si="45"/>
        <v>190</v>
      </c>
      <c r="N547" s="2">
        <v>190</v>
      </c>
      <c r="O547" s="2"/>
      <c r="P547" s="137" t="e">
        <f t="shared" si="46"/>
        <v>#DIV/0!</v>
      </c>
      <c r="Q547" s="137">
        <f t="shared" si="47"/>
        <v>0</v>
      </c>
      <c r="R547" s="138">
        <f>IF(N547="nio",0,IF(N547&gt;0,VLOOKUP(I547,'3-Productie normen'!A:V,VLOOKUP(N547,'3-Productie normen'!$B$35:$C$56,2,FALSE),FALSE)))/VLOOKUP(B547,'2-Kosten per locatie'!$A$11:$C$18,3,FALSE)</f>
        <v>0</v>
      </c>
      <c r="S547" s="138">
        <f t="shared" si="48"/>
        <v>0</v>
      </c>
      <c r="T547" s="139" t="str">
        <f>VLOOKUP(I547,'3-Productie normen'!A:AF,28,FALSE)</f>
        <v>S</v>
      </c>
      <c r="U547" s="140"/>
      <c r="W547" s="141">
        <f t="shared" si="49"/>
        <v>212.8</v>
      </c>
    </row>
    <row r="548" spans="1:23" ht="13.9" customHeight="1">
      <c r="A548" s="132">
        <v>548</v>
      </c>
      <c r="B548" s="49" t="s">
        <v>1681</v>
      </c>
      <c r="C548" s="49" t="s">
        <v>667</v>
      </c>
      <c r="D548" s="145" t="s">
        <v>268</v>
      </c>
      <c r="E548" s="146" t="s">
        <v>1152</v>
      </c>
      <c r="F548" s="146"/>
      <c r="G548" s="145" t="s">
        <v>44</v>
      </c>
      <c r="H548" s="145" t="s">
        <v>258</v>
      </c>
      <c r="I548" s="145" t="s">
        <v>259</v>
      </c>
      <c r="J548" s="149" t="s">
        <v>305</v>
      </c>
      <c r="K548" s="150"/>
      <c r="L548" s="151">
        <v>3.11</v>
      </c>
      <c r="M548" s="136">
        <f t="shared" si="45"/>
        <v>190</v>
      </c>
      <c r="N548" s="2">
        <v>190</v>
      </c>
      <c r="O548" s="2"/>
      <c r="P548" s="137" t="e">
        <f t="shared" si="46"/>
        <v>#DIV/0!</v>
      </c>
      <c r="Q548" s="137">
        <f t="shared" si="47"/>
        <v>0</v>
      </c>
      <c r="R548" s="138">
        <f>IF(N548="nio",0,IF(N548&gt;0,VLOOKUP(I548,'3-Productie normen'!A:V,VLOOKUP(N548,'3-Productie normen'!$B$35:$C$56,2,FALSE),FALSE)))/VLOOKUP(B548,'2-Kosten per locatie'!$A$11:$C$18,3,FALSE)</f>
        <v>0</v>
      </c>
      <c r="S548" s="138">
        <f t="shared" si="48"/>
        <v>0</v>
      </c>
      <c r="T548" s="139" t="str">
        <f>VLOOKUP(I548,'3-Productie normen'!A:AF,28,FALSE)</f>
        <v>S</v>
      </c>
      <c r="U548" s="140"/>
      <c r="W548" s="141">
        <f t="shared" si="49"/>
        <v>590.9</v>
      </c>
    </row>
    <row r="549" spans="1:23" ht="13.9" customHeight="1">
      <c r="A549" s="118">
        <v>549</v>
      </c>
      <c r="B549" s="49" t="s">
        <v>1681</v>
      </c>
      <c r="C549" s="49" t="s">
        <v>667</v>
      </c>
      <c r="D549" s="145" t="s">
        <v>268</v>
      </c>
      <c r="E549" s="146" t="s">
        <v>1153</v>
      </c>
      <c r="F549" s="146"/>
      <c r="G549" s="145" t="s">
        <v>44</v>
      </c>
      <c r="H549" s="145" t="s">
        <v>260</v>
      </c>
      <c r="I549" s="145" t="s">
        <v>259</v>
      </c>
      <c r="J549" s="149" t="s">
        <v>305</v>
      </c>
      <c r="K549" s="150"/>
      <c r="L549" s="151">
        <v>1.17</v>
      </c>
      <c r="M549" s="136">
        <f t="shared" si="45"/>
        <v>190</v>
      </c>
      <c r="N549" s="2">
        <v>190</v>
      </c>
      <c r="O549" s="2"/>
      <c r="P549" s="137" t="e">
        <f t="shared" si="46"/>
        <v>#DIV/0!</v>
      </c>
      <c r="Q549" s="137">
        <f t="shared" si="47"/>
        <v>0</v>
      </c>
      <c r="R549" s="138">
        <f>IF(N549="nio",0,IF(N549&gt;0,VLOOKUP(I549,'3-Productie normen'!A:V,VLOOKUP(N549,'3-Productie normen'!$B$35:$C$56,2,FALSE),FALSE)))/VLOOKUP(B549,'2-Kosten per locatie'!$A$11:$C$18,3,FALSE)</f>
        <v>0</v>
      </c>
      <c r="S549" s="138">
        <f t="shared" si="48"/>
        <v>0</v>
      </c>
      <c r="T549" s="139" t="str">
        <f>VLOOKUP(I549,'3-Productie normen'!A:AF,28,FALSE)</f>
        <v>S</v>
      </c>
      <c r="U549" s="140"/>
      <c r="W549" s="141">
        <f t="shared" si="49"/>
        <v>222.29999999999998</v>
      </c>
    </row>
    <row r="550" spans="1:23" ht="13.9" customHeight="1">
      <c r="A550" s="132">
        <v>550</v>
      </c>
      <c r="B550" s="49" t="s">
        <v>1681</v>
      </c>
      <c r="C550" s="49" t="s">
        <v>667</v>
      </c>
      <c r="D550" s="145" t="s">
        <v>268</v>
      </c>
      <c r="E550" s="146" t="s">
        <v>1154</v>
      </c>
      <c r="F550" s="146"/>
      <c r="G550" s="145" t="s">
        <v>44</v>
      </c>
      <c r="H550" s="145" t="s">
        <v>258</v>
      </c>
      <c r="I550" s="145" t="s">
        <v>259</v>
      </c>
      <c r="J550" s="149" t="s">
        <v>305</v>
      </c>
      <c r="K550" s="150"/>
      <c r="L550" s="151">
        <v>3.03</v>
      </c>
      <c r="M550" s="136">
        <f t="shared" si="45"/>
        <v>190</v>
      </c>
      <c r="N550" s="2">
        <v>190</v>
      </c>
      <c r="O550" s="2"/>
      <c r="P550" s="137" t="e">
        <f t="shared" si="46"/>
        <v>#DIV/0!</v>
      </c>
      <c r="Q550" s="137">
        <f t="shared" si="47"/>
        <v>0</v>
      </c>
      <c r="R550" s="138">
        <f>IF(N550="nio",0,IF(N550&gt;0,VLOOKUP(I550,'3-Productie normen'!A:V,VLOOKUP(N550,'3-Productie normen'!$B$35:$C$56,2,FALSE),FALSE)))/VLOOKUP(B550,'2-Kosten per locatie'!$A$11:$C$18,3,FALSE)</f>
        <v>0</v>
      </c>
      <c r="S550" s="138">
        <f t="shared" si="48"/>
        <v>0</v>
      </c>
      <c r="T550" s="139" t="str">
        <f>VLOOKUP(I550,'3-Productie normen'!A:AF,28,FALSE)</f>
        <v>S</v>
      </c>
      <c r="U550" s="140"/>
      <c r="W550" s="141">
        <f t="shared" si="49"/>
        <v>575.69999999999993</v>
      </c>
    </row>
    <row r="551" spans="1:23" ht="13.9" customHeight="1">
      <c r="A551" s="132">
        <v>551</v>
      </c>
      <c r="B551" s="49" t="s">
        <v>1681</v>
      </c>
      <c r="C551" s="49" t="s">
        <v>667</v>
      </c>
      <c r="D551" s="145" t="s">
        <v>268</v>
      </c>
      <c r="E551" s="146" t="s">
        <v>1155</v>
      </c>
      <c r="F551" s="146"/>
      <c r="G551" s="145" t="s">
        <v>44</v>
      </c>
      <c r="H551" s="145" t="s">
        <v>260</v>
      </c>
      <c r="I551" s="145" t="s">
        <v>259</v>
      </c>
      <c r="J551" s="149" t="s">
        <v>305</v>
      </c>
      <c r="K551" s="150"/>
      <c r="L551" s="151">
        <v>1.1200000000000001</v>
      </c>
      <c r="M551" s="136">
        <f t="shared" si="45"/>
        <v>190</v>
      </c>
      <c r="N551" s="2">
        <v>190</v>
      </c>
      <c r="O551" s="2"/>
      <c r="P551" s="137" t="e">
        <f t="shared" si="46"/>
        <v>#DIV/0!</v>
      </c>
      <c r="Q551" s="137">
        <f t="shared" si="47"/>
        <v>0</v>
      </c>
      <c r="R551" s="138">
        <f>IF(N551="nio",0,IF(N551&gt;0,VLOOKUP(I551,'3-Productie normen'!A:V,VLOOKUP(N551,'3-Productie normen'!$B$35:$C$56,2,FALSE),FALSE)))/VLOOKUP(B551,'2-Kosten per locatie'!$A$11:$C$18,3,FALSE)</f>
        <v>0</v>
      </c>
      <c r="S551" s="138">
        <f t="shared" si="48"/>
        <v>0</v>
      </c>
      <c r="T551" s="139" t="str">
        <f>VLOOKUP(I551,'3-Productie normen'!A:AF,28,FALSE)</f>
        <v>S</v>
      </c>
      <c r="U551" s="140"/>
      <c r="W551" s="141">
        <f t="shared" si="49"/>
        <v>212.8</v>
      </c>
    </row>
    <row r="552" spans="1:23" ht="13.9" customHeight="1">
      <c r="A552" s="118">
        <v>552</v>
      </c>
      <c r="B552" s="49" t="s">
        <v>1681</v>
      </c>
      <c r="C552" s="49" t="s">
        <v>667</v>
      </c>
      <c r="D552" s="145" t="s">
        <v>268</v>
      </c>
      <c r="E552" s="146" t="s">
        <v>1156</v>
      </c>
      <c r="F552" s="146" t="s">
        <v>338</v>
      </c>
      <c r="G552" s="145" t="s">
        <v>44</v>
      </c>
      <c r="H552" s="145" t="s">
        <v>260</v>
      </c>
      <c r="I552" s="145" t="s">
        <v>259</v>
      </c>
      <c r="J552" s="149" t="s">
        <v>305</v>
      </c>
      <c r="K552" s="150"/>
      <c r="L552" s="151">
        <v>1.58</v>
      </c>
      <c r="M552" s="136">
        <f t="shared" si="45"/>
        <v>190</v>
      </c>
      <c r="N552" s="2">
        <v>190</v>
      </c>
      <c r="O552" s="2"/>
      <c r="P552" s="137" t="e">
        <f t="shared" si="46"/>
        <v>#DIV/0!</v>
      </c>
      <c r="Q552" s="137">
        <f t="shared" si="47"/>
        <v>0</v>
      </c>
      <c r="R552" s="138">
        <f>IF(N552="nio",0,IF(N552&gt;0,VLOOKUP(I552,'3-Productie normen'!A:V,VLOOKUP(N552,'3-Productie normen'!$B$35:$C$56,2,FALSE),FALSE)))/VLOOKUP(B552,'2-Kosten per locatie'!$A$11:$C$18,3,FALSE)</f>
        <v>0</v>
      </c>
      <c r="S552" s="138">
        <f t="shared" si="48"/>
        <v>0</v>
      </c>
      <c r="T552" s="139" t="str">
        <f>VLOOKUP(I552,'3-Productie normen'!A:AF,28,FALSE)</f>
        <v>S</v>
      </c>
      <c r="U552" s="140"/>
      <c r="W552" s="141">
        <f t="shared" si="49"/>
        <v>300.2</v>
      </c>
    </row>
    <row r="553" spans="1:23" ht="13.9" customHeight="1">
      <c r="A553" s="132">
        <v>553</v>
      </c>
      <c r="B553" s="49" t="s">
        <v>1681</v>
      </c>
      <c r="C553" s="49" t="s">
        <v>667</v>
      </c>
      <c r="D553" s="145" t="s">
        <v>268</v>
      </c>
      <c r="E553" s="146" t="s">
        <v>1157</v>
      </c>
      <c r="F553" s="146" t="s">
        <v>339</v>
      </c>
      <c r="G553" s="145" t="s">
        <v>44</v>
      </c>
      <c r="H553" s="145" t="s">
        <v>260</v>
      </c>
      <c r="I553" s="145" t="s">
        <v>259</v>
      </c>
      <c r="J553" s="149" t="s">
        <v>305</v>
      </c>
      <c r="K553" s="150"/>
      <c r="L553" s="151">
        <v>1.61</v>
      </c>
      <c r="M553" s="136">
        <f t="shared" si="45"/>
        <v>190</v>
      </c>
      <c r="N553" s="2">
        <v>190</v>
      </c>
      <c r="O553" s="2"/>
      <c r="P553" s="137" t="e">
        <f t="shared" si="46"/>
        <v>#DIV/0!</v>
      </c>
      <c r="Q553" s="137">
        <f t="shared" si="47"/>
        <v>0</v>
      </c>
      <c r="R553" s="138">
        <f>IF(N553="nio",0,IF(N553&gt;0,VLOOKUP(I553,'3-Productie normen'!A:V,VLOOKUP(N553,'3-Productie normen'!$B$35:$C$56,2,FALSE),FALSE)))/VLOOKUP(B553,'2-Kosten per locatie'!$A$11:$C$18,3,FALSE)</f>
        <v>0</v>
      </c>
      <c r="S553" s="138">
        <f t="shared" si="48"/>
        <v>0</v>
      </c>
      <c r="T553" s="139" t="str">
        <f>VLOOKUP(I553,'3-Productie normen'!A:AF,28,FALSE)</f>
        <v>S</v>
      </c>
      <c r="U553" s="140"/>
      <c r="W553" s="141">
        <f t="shared" si="49"/>
        <v>305.90000000000003</v>
      </c>
    </row>
    <row r="554" spans="1:23" ht="13.9" customHeight="1">
      <c r="A554" s="132">
        <v>554</v>
      </c>
      <c r="B554" s="49" t="s">
        <v>1681</v>
      </c>
      <c r="C554" s="49" t="s">
        <v>667</v>
      </c>
      <c r="D554" s="145" t="s">
        <v>268</v>
      </c>
      <c r="E554" s="146" t="s">
        <v>1158</v>
      </c>
      <c r="F554" s="146"/>
      <c r="G554" s="145" t="s">
        <v>44</v>
      </c>
      <c r="H554" s="145" t="s">
        <v>260</v>
      </c>
      <c r="I554" s="145" t="s">
        <v>259</v>
      </c>
      <c r="J554" s="149" t="s">
        <v>305</v>
      </c>
      <c r="K554" s="150"/>
      <c r="L554" s="151">
        <v>1.44</v>
      </c>
      <c r="M554" s="136">
        <f t="shared" si="45"/>
        <v>190</v>
      </c>
      <c r="N554" s="2">
        <v>190</v>
      </c>
      <c r="O554" s="2"/>
      <c r="P554" s="137" t="e">
        <f t="shared" si="46"/>
        <v>#DIV/0!</v>
      </c>
      <c r="Q554" s="137">
        <f t="shared" si="47"/>
        <v>0</v>
      </c>
      <c r="R554" s="138">
        <f>IF(N554="nio",0,IF(N554&gt;0,VLOOKUP(I554,'3-Productie normen'!A:V,VLOOKUP(N554,'3-Productie normen'!$B$35:$C$56,2,FALSE),FALSE)))/VLOOKUP(B554,'2-Kosten per locatie'!$A$11:$C$18,3,FALSE)</f>
        <v>0</v>
      </c>
      <c r="S554" s="138">
        <f t="shared" si="48"/>
        <v>0</v>
      </c>
      <c r="T554" s="139" t="str">
        <f>VLOOKUP(I554,'3-Productie normen'!A:AF,28,FALSE)</f>
        <v>S</v>
      </c>
      <c r="U554" s="140"/>
      <c r="W554" s="141">
        <f t="shared" si="49"/>
        <v>273.59999999999997</v>
      </c>
    </row>
    <row r="555" spans="1:23" ht="13.9" customHeight="1">
      <c r="A555" s="118">
        <v>555</v>
      </c>
      <c r="B555" s="49" t="s">
        <v>1681</v>
      </c>
      <c r="C555" s="49" t="s">
        <v>667</v>
      </c>
      <c r="D555" s="145" t="s">
        <v>268</v>
      </c>
      <c r="E555" s="146" t="s">
        <v>1159</v>
      </c>
      <c r="F555" s="146" t="s">
        <v>298</v>
      </c>
      <c r="G555" s="145" t="s">
        <v>264</v>
      </c>
      <c r="H555" s="145" t="s">
        <v>284</v>
      </c>
      <c r="I555" s="145" t="s">
        <v>284</v>
      </c>
      <c r="J555" s="149" t="s">
        <v>1055</v>
      </c>
      <c r="K555" s="152" t="s">
        <v>1522</v>
      </c>
      <c r="L555" s="151">
        <v>87.09</v>
      </c>
      <c r="M555" s="136">
        <f t="shared" si="45"/>
        <v>76</v>
      </c>
      <c r="N555" s="2">
        <v>76</v>
      </c>
      <c r="O555" s="2"/>
      <c r="P555" s="137" t="e">
        <f t="shared" si="46"/>
        <v>#DIV/0!</v>
      </c>
      <c r="Q555" s="137">
        <f t="shared" si="47"/>
        <v>0</v>
      </c>
      <c r="R555" s="138">
        <f>IF(N555="nio",0,IF(N555&gt;0,VLOOKUP(I555,'3-Productie normen'!A:V,VLOOKUP(N555,'3-Productie normen'!$B$35:$C$56,2,FALSE),FALSE)))/VLOOKUP(B555,'2-Kosten per locatie'!$A$11:$C$18,3,FALSE)</f>
        <v>0</v>
      </c>
      <c r="S555" s="138">
        <f t="shared" si="48"/>
        <v>0</v>
      </c>
      <c r="T555" s="139" t="str">
        <f>VLOOKUP(I555,'3-Productie normen'!A:AF,28,FALSE)</f>
        <v>L</v>
      </c>
      <c r="U555" s="140"/>
      <c r="W555" s="141">
        <f t="shared" si="49"/>
        <v>6618.84</v>
      </c>
    </row>
    <row r="556" spans="1:23" ht="13.9" customHeight="1">
      <c r="A556" s="132">
        <v>556</v>
      </c>
      <c r="B556" s="49" t="s">
        <v>1681</v>
      </c>
      <c r="C556" s="49" t="s">
        <v>667</v>
      </c>
      <c r="D556" s="145" t="s">
        <v>268</v>
      </c>
      <c r="E556" s="146" t="s">
        <v>1160</v>
      </c>
      <c r="F556" s="146" t="s">
        <v>370</v>
      </c>
      <c r="G556" s="145" t="s">
        <v>243</v>
      </c>
      <c r="H556" s="145" t="s">
        <v>287</v>
      </c>
      <c r="I556" s="49" t="s">
        <v>1486</v>
      </c>
      <c r="J556" s="149" t="s">
        <v>1055</v>
      </c>
      <c r="K556" s="152" t="s">
        <v>1522</v>
      </c>
      <c r="L556" s="151">
        <v>12.09</v>
      </c>
      <c r="M556" s="136">
        <f t="shared" si="45"/>
        <v>190</v>
      </c>
      <c r="N556" s="2">
        <v>190</v>
      </c>
      <c r="O556" s="2"/>
      <c r="P556" s="137" t="e">
        <f t="shared" si="46"/>
        <v>#DIV/0!</v>
      </c>
      <c r="Q556" s="137">
        <f t="shared" si="47"/>
        <v>0</v>
      </c>
      <c r="R556" s="138">
        <f>IF(N556="nio",0,IF(N556&gt;0,VLOOKUP(I556,'3-Productie normen'!A:V,VLOOKUP(N556,'3-Productie normen'!$B$35:$C$56,2,FALSE),FALSE)))/VLOOKUP(B556,'2-Kosten per locatie'!$A$11:$C$18,3,FALSE)</f>
        <v>0</v>
      </c>
      <c r="S556" s="138">
        <f t="shared" si="48"/>
        <v>0</v>
      </c>
      <c r="T556" s="139" t="str">
        <f>VLOOKUP(I556,'3-Productie normen'!A:AF,28,FALSE)</f>
        <v>V</v>
      </c>
      <c r="U556" s="140"/>
      <c r="W556" s="141">
        <f t="shared" si="49"/>
        <v>2297.1</v>
      </c>
    </row>
    <row r="557" spans="1:23" ht="13.9" customHeight="1">
      <c r="A557" s="132">
        <v>557</v>
      </c>
      <c r="B557" s="49" t="s">
        <v>1681</v>
      </c>
      <c r="C557" s="49" t="s">
        <v>667</v>
      </c>
      <c r="D557" s="145" t="s">
        <v>268</v>
      </c>
      <c r="E557" s="146" t="s">
        <v>1161</v>
      </c>
      <c r="F557" s="146" t="s">
        <v>507</v>
      </c>
      <c r="G557" s="145" t="s">
        <v>245</v>
      </c>
      <c r="H557" s="145" t="s">
        <v>245</v>
      </c>
      <c r="I557" s="92" t="s">
        <v>274</v>
      </c>
      <c r="J557" s="149" t="s">
        <v>1055</v>
      </c>
      <c r="K557" s="152" t="s">
        <v>1522</v>
      </c>
      <c r="L557" s="151">
        <v>11.96</v>
      </c>
      <c r="M557" s="136">
        <f t="shared" si="45"/>
        <v>76</v>
      </c>
      <c r="N557" s="2">
        <v>76</v>
      </c>
      <c r="O557" s="2"/>
      <c r="P557" s="137" t="e">
        <f t="shared" si="46"/>
        <v>#DIV/0!</v>
      </c>
      <c r="Q557" s="137">
        <f t="shared" si="47"/>
        <v>0</v>
      </c>
      <c r="R557" s="138">
        <f>IF(N557="nio",0,IF(N557&gt;0,VLOOKUP(I557,'3-Productie normen'!A:V,VLOOKUP(N557,'3-Productie normen'!$B$35:$C$56,2,FALSE),FALSE)))/VLOOKUP(B557,'2-Kosten per locatie'!$A$11:$C$18,3,FALSE)</f>
        <v>0</v>
      </c>
      <c r="S557" s="138">
        <f t="shared" si="48"/>
        <v>0</v>
      </c>
      <c r="T557" s="139" t="str">
        <f>VLOOKUP(I557,'3-Productie normen'!A:AF,28,FALSE)</f>
        <v>B</v>
      </c>
      <c r="U557" s="140"/>
      <c r="W557" s="141">
        <f t="shared" si="49"/>
        <v>908.96</v>
      </c>
    </row>
    <row r="558" spans="1:23" ht="13.9" customHeight="1">
      <c r="A558" s="118">
        <v>558</v>
      </c>
      <c r="B558" s="49" t="s">
        <v>1681</v>
      </c>
      <c r="C558" s="49" t="s">
        <v>667</v>
      </c>
      <c r="D558" s="145" t="s">
        <v>268</v>
      </c>
      <c r="E558" s="146" t="s">
        <v>1162</v>
      </c>
      <c r="F558" s="146" t="s">
        <v>543</v>
      </c>
      <c r="G558" s="145" t="s">
        <v>245</v>
      </c>
      <c r="H558" s="145" t="s">
        <v>245</v>
      </c>
      <c r="I558" s="92" t="s">
        <v>274</v>
      </c>
      <c r="J558" s="149" t="s">
        <v>1055</v>
      </c>
      <c r="K558" s="152" t="s">
        <v>1522</v>
      </c>
      <c r="L558" s="151">
        <v>22.26</v>
      </c>
      <c r="M558" s="136">
        <f t="shared" si="45"/>
        <v>76</v>
      </c>
      <c r="N558" s="2">
        <v>76</v>
      </c>
      <c r="O558" s="2"/>
      <c r="P558" s="137" t="e">
        <f t="shared" si="46"/>
        <v>#DIV/0!</v>
      </c>
      <c r="Q558" s="137">
        <f t="shared" si="47"/>
        <v>0</v>
      </c>
      <c r="R558" s="138">
        <f>IF(N558="nio",0,IF(N558&gt;0,VLOOKUP(I558,'3-Productie normen'!A:V,VLOOKUP(N558,'3-Productie normen'!$B$35:$C$56,2,FALSE),FALSE)))/VLOOKUP(B558,'2-Kosten per locatie'!$A$11:$C$18,3,FALSE)</f>
        <v>0</v>
      </c>
      <c r="S558" s="138">
        <f t="shared" si="48"/>
        <v>0</v>
      </c>
      <c r="T558" s="139" t="str">
        <f>VLOOKUP(I558,'3-Productie normen'!A:AF,28,FALSE)</f>
        <v>B</v>
      </c>
      <c r="U558" s="140"/>
      <c r="W558" s="141">
        <f t="shared" si="49"/>
        <v>1691.7600000000002</v>
      </c>
    </row>
    <row r="559" spans="1:23" ht="13.9" customHeight="1">
      <c r="A559" s="132">
        <v>559</v>
      </c>
      <c r="B559" s="49" t="s">
        <v>1681</v>
      </c>
      <c r="C559" s="49" t="s">
        <v>667</v>
      </c>
      <c r="D559" s="145" t="s">
        <v>268</v>
      </c>
      <c r="E559" s="146" t="s">
        <v>1163</v>
      </c>
      <c r="F559" s="146" t="s">
        <v>545</v>
      </c>
      <c r="G559" s="145" t="s">
        <v>242</v>
      </c>
      <c r="H559" s="145" t="s">
        <v>242</v>
      </c>
      <c r="I559" s="1" t="s">
        <v>242</v>
      </c>
      <c r="J559" s="149" t="s">
        <v>1055</v>
      </c>
      <c r="K559" s="152" t="s">
        <v>1522</v>
      </c>
      <c r="L559" s="151">
        <v>8.9600000000000009</v>
      </c>
      <c r="M559" s="136">
        <f t="shared" si="45"/>
        <v>2</v>
      </c>
      <c r="N559" s="2">
        <v>2</v>
      </c>
      <c r="O559" s="2"/>
      <c r="P559" s="137" t="e">
        <f t="shared" si="46"/>
        <v>#DIV/0!</v>
      </c>
      <c r="Q559" s="137">
        <f t="shared" si="47"/>
        <v>0</v>
      </c>
      <c r="R559" s="138">
        <f>IF(N559="nio",0,IF(N559&gt;0,VLOOKUP(I559,'3-Productie normen'!A:V,VLOOKUP(N559,'3-Productie normen'!$B$35:$C$56,2,FALSE),FALSE)))/VLOOKUP(B559,'2-Kosten per locatie'!$A$11:$C$18,3,FALSE)</f>
        <v>0</v>
      </c>
      <c r="S559" s="138">
        <f t="shared" si="48"/>
        <v>0</v>
      </c>
      <c r="T559" s="139" t="str">
        <f>VLOOKUP(I559,'3-Productie normen'!A:AF,28,FALSE)</f>
        <v>V</v>
      </c>
      <c r="U559" s="140"/>
      <c r="W559" s="141">
        <f t="shared" si="49"/>
        <v>17.920000000000002</v>
      </c>
    </row>
    <row r="560" spans="1:23" ht="13.9" customHeight="1">
      <c r="A560" s="132">
        <v>560</v>
      </c>
      <c r="B560" s="49" t="s">
        <v>1681</v>
      </c>
      <c r="C560" s="49" t="s">
        <v>667</v>
      </c>
      <c r="D560" s="145" t="s">
        <v>268</v>
      </c>
      <c r="E560" s="146" t="s">
        <v>1164</v>
      </c>
      <c r="F560" s="146" t="s">
        <v>1165</v>
      </c>
      <c r="G560" s="145" t="s">
        <v>245</v>
      </c>
      <c r="H560" s="145" t="s">
        <v>50</v>
      </c>
      <c r="I560" s="145" t="s">
        <v>270</v>
      </c>
      <c r="J560" s="149" t="s">
        <v>1055</v>
      </c>
      <c r="K560" s="152" t="s">
        <v>1522</v>
      </c>
      <c r="L560" s="151">
        <v>11.73</v>
      </c>
      <c r="M560" s="136">
        <f t="shared" si="45"/>
        <v>76</v>
      </c>
      <c r="N560" s="2">
        <v>76</v>
      </c>
      <c r="O560" s="2"/>
      <c r="P560" s="137" t="e">
        <f t="shared" si="46"/>
        <v>#DIV/0!</v>
      </c>
      <c r="Q560" s="137">
        <f t="shared" si="47"/>
        <v>0</v>
      </c>
      <c r="R560" s="138">
        <f>IF(N560="nio",0,IF(N560&gt;0,VLOOKUP(I560,'3-Productie normen'!A:V,VLOOKUP(N560,'3-Productie normen'!$B$35:$C$56,2,FALSE),FALSE)))/VLOOKUP(B560,'2-Kosten per locatie'!$A$11:$C$18,3,FALSE)</f>
        <v>0</v>
      </c>
      <c r="S560" s="138">
        <f t="shared" si="48"/>
        <v>0</v>
      </c>
      <c r="T560" s="139" t="str">
        <f>VLOOKUP(I560,'3-Productie normen'!A:AF,28,FALSE)</f>
        <v>B</v>
      </c>
      <c r="U560" s="140"/>
      <c r="W560" s="141">
        <f t="shared" si="49"/>
        <v>891.48</v>
      </c>
    </row>
    <row r="561" spans="1:23" ht="13.9" customHeight="1">
      <c r="A561" s="118">
        <v>561</v>
      </c>
      <c r="B561" s="49" t="s">
        <v>1681</v>
      </c>
      <c r="C561" s="49" t="s">
        <v>667</v>
      </c>
      <c r="D561" s="145" t="s">
        <v>268</v>
      </c>
      <c r="E561" s="146" t="s">
        <v>1166</v>
      </c>
      <c r="F561" s="146" t="s">
        <v>552</v>
      </c>
      <c r="G561" s="145" t="s">
        <v>243</v>
      </c>
      <c r="H561" s="145" t="s">
        <v>287</v>
      </c>
      <c r="I561" s="49" t="s">
        <v>1486</v>
      </c>
      <c r="J561" s="149" t="s">
        <v>1055</v>
      </c>
      <c r="K561" s="152" t="s">
        <v>1522</v>
      </c>
      <c r="L561" s="151">
        <v>16.52</v>
      </c>
      <c r="M561" s="136">
        <f t="shared" si="45"/>
        <v>190</v>
      </c>
      <c r="N561" s="2">
        <v>190</v>
      </c>
      <c r="O561" s="2"/>
      <c r="P561" s="137" t="e">
        <f t="shared" si="46"/>
        <v>#DIV/0!</v>
      </c>
      <c r="Q561" s="137">
        <f t="shared" si="47"/>
        <v>0</v>
      </c>
      <c r="R561" s="138">
        <f>IF(N561="nio",0,IF(N561&gt;0,VLOOKUP(I561,'3-Productie normen'!A:V,VLOOKUP(N561,'3-Productie normen'!$B$35:$C$56,2,FALSE),FALSE)))/VLOOKUP(B561,'2-Kosten per locatie'!$A$11:$C$18,3,FALSE)</f>
        <v>0</v>
      </c>
      <c r="S561" s="138">
        <f t="shared" si="48"/>
        <v>0</v>
      </c>
      <c r="T561" s="139" t="str">
        <f>VLOOKUP(I561,'3-Productie normen'!A:AF,28,FALSE)</f>
        <v>V</v>
      </c>
      <c r="U561" s="140"/>
      <c r="W561" s="141">
        <f t="shared" si="49"/>
        <v>3138.7999999999997</v>
      </c>
    </row>
    <row r="562" spans="1:23" ht="13.9" customHeight="1">
      <c r="A562" s="132">
        <v>562</v>
      </c>
      <c r="B562" s="49" t="s">
        <v>1681</v>
      </c>
      <c r="C562" s="49" t="s">
        <v>667</v>
      </c>
      <c r="D562" s="145" t="s">
        <v>268</v>
      </c>
      <c r="E562" s="146" t="s">
        <v>1167</v>
      </c>
      <c r="F562" s="146" t="s">
        <v>549</v>
      </c>
      <c r="G562" s="145" t="s">
        <v>245</v>
      </c>
      <c r="H562" s="145" t="s">
        <v>245</v>
      </c>
      <c r="I562" s="92" t="s">
        <v>274</v>
      </c>
      <c r="J562" s="149" t="s">
        <v>1055</v>
      </c>
      <c r="K562" s="152" t="s">
        <v>1522</v>
      </c>
      <c r="L562" s="151">
        <v>13.86</v>
      </c>
      <c r="M562" s="136">
        <f t="shared" si="45"/>
        <v>76</v>
      </c>
      <c r="N562" s="2">
        <v>76</v>
      </c>
      <c r="O562" s="2"/>
      <c r="P562" s="137" t="e">
        <f t="shared" si="46"/>
        <v>#DIV/0!</v>
      </c>
      <c r="Q562" s="137">
        <f t="shared" si="47"/>
        <v>0</v>
      </c>
      <c r="R562" s="138">
        <f>IF(N562="nio",0,IF(N562&gt;0,VLOOKUP(I562,'3-Productie normen'!A:V,VLOOKUP(N562,'3-Productie normen'!$B$35:$C$56,2,FALSE),FALSE)))/VLOOKUP(B562,'2-Kosten per locatie'!$A$11:$C$18,3,FALSE)</f>
        <v>0</v>
      </c>
      <c r="S562" s="138">
        <f t="shared" si="48"/>
        <v>0</v>
      </c>
      <c r="T562" s="139" t="str">
        <f>VLOOKUP(I562,'3-Productie normen'!A:AF,28,FALSE)</f>
        <v>B</v>
      </c>
      <c r="U562" s="140"/>
      <c r="W562" s="141">
        <f t="shared" si="49"/>
        <v>1053.3599999999999</v>
      </c>
    </row>
    <row r="563" spans="1:23" ht="13.9" customHeight="1">
      <c r="A563" s="132">
        <v>563</v>
      </c>
      <c r="B563" s="49" t="s">
        <v>1681</v>
      </c>
      <c r="C563" s="49" t="s">
        <v>667</v>
      </c>
      <c r="D563" s="145" t="s">
        <v>268</v>
      </c>
      <c r="E563" s="146" t="s">
        <v>1168</v>
      </c>
      <c r="F563" s="146" t="s">
        <v>554</v>
      </c>
      <c r="G563" s="145" t="s">
        <v>245</v>
      </c>
      <c r="H563" s="145" t="s">
        <v>245</v>
      </c>
      <c r="I563" s="92" t="s">
        <v>274</v>
      </c>
      <c r="J563" s="149" t="s">
        <v>1055</v>
      </c>
      <c r="K563" s="152" t="s">
        <v>1522</v>
      </c>
      <c r="L563" s="151">
        <v>22.61</v>
      </c>
      <c r="M563" s="136">
        <f t="shared" si="45"/>
        <v>76</v>
      </c>
      <c r="N563" s="2">
        <v>76</v>
      </c>
      <c r="O563" s="2"/>
      <c r="P563" s="137" t="e">
        <f t="shared" si="46"/>
        <v>#DIV/0!</v>
      </c>
      <c r="Q563" s="137">
        <f t="shared" si="47"/>
        <v>0</v>
      </c>
      <c r="R563" s="138">
        <f>IF(N563="nio",0,IF(N563&gt;0,VLOOKUP(I563,'3-Productie normen'!A:V,VLOOKUP(N563,'3-Productie normen'!$B$35:$C$56,2,FALSE),FALSE)))/VLOOKUP(B563,'2-Kosten per locatie'!$A$11:$C$18,3,FALSE)</f>
        <v>0</v>
      </c>
      <c r="S563" s="138">
        <f t="shared" si="48"/>
        <v>0</v>
      </c>
      <c r="T563" s="139" t="str">
        <f>VLOOKUP(I563,'3-Productie normen'!A:AF,28,FALSE)</f>
        <v>B</v>
      </c>
      <c r="U563" s="140"/>
      <c r="W563" s="141">
        <f t="shared" si="49"/>
        <v>1718.36</v>
      </c>
    </row>
    <row r="564" spans="1:23" ht="13.9" customHeight="1">
      <c r="A564" s="118">
        <v>564</v>
      </c>
      <c r="B564" s="49" t="s">
        <v>1681</v>
      </c>
      <c r="C564" s="49" t="s">
        <v>667</v>
      </c>
      <c r="D564" s="145" t="s">
        <v>268</v>
      </c>
      <c r="E564" s="146" t="s">
        <v>1169</v>
      </c>
      <c r="F564" s="146"/>
      <c r="G564" s="145" t="s">
        <v>264</v>
      </c>
      <c r="H564" s="145" t="s">
        <v>284</v>
      </c>
      <c r="I564" s="145" t="s">
        <v>284</v>
      </c>
      <c r="J564" s="149" t="s">
        <v>1055</v>
      </c>
      <c r="K564" s="152" t="s">
        <v>1522</v>
      </c>
      <c r="L564" s="151">
        <v>92.35</v>
      </c>
      <c r="M564" s="136">
        <f t="shared" si="45"/>
        <v>76</v>
      </c>
      <c r="N564" s="2">
        <v>76</v>
      </c>
      <c r="O564" s="2"/>
      <c r="P564" s="137" t="e">
        <f t="shared" si="46"/>
        <v>#DIV/0!</v>
      </c>
      <c r="Q564" s="137">
        <f t="shared" si="47"/>
        <v>0</v>
      </c>
      <c r="R564" s="138">
        <f>IF(N564="nio",0,IF(N564&gt;0,VLOOKUP(I564,'3-Productie normen'!A:V,VLOOKUP(N564,'3-Productie normen'!$B$35:$C$56,2,FALSE),FALSE)))/VLOOKUP(B564,'2-Kosten per locatie'!$A$11:$C$18,3,FALSE)</f>
        <v>0</v>
      </c>
      <c r="S564" s="138">
        <f t="shared" si="48"/>
        <v>0</v>
      </c>
      <c r="T564" s="139" t="str">
        <f>VLOOKUP(I564,'3-Productie normen'!A:AF,28,FALSE)</f>
        <v>L</v>
      </c>
      <c r="U564" s="140"/>
      <c r="W564" s="141">
        <f t="shared" si="49"/>
        <v>7018.5999999999995</v>
      </c>
    </row>
    <row r="565" spans="1:23" ht="13.9" customHeight="1">
      <c r="A565" s="132">
        <v>565</v>
      </c>
      <c r="B565" s="49" t="s">
        <v>1681</v>
      </c>
      <c r="C565" s="49" t="s">
        <v>667</v>
      </c>
      <c r="D565" s="145" t="s">
        <v>268</v>
      </c>
      <c r="E565" s="146" t="s">
        <v>1170</v>
      </c>
      <c r="F565" s="146" t="s">
        <v>331</v>
      </c>
      <c r="G565" s="145" t="s">
        <v>242</v>
      </c>
      <c r="H565" s="145" t="s">
        <v>242</v>
      </c>
      <c r="I565" s="1" t="s">
        <v>242</v>
      </c>
      <c r="J565" s="149" t="s">
        <v>1055</v>
      </c>
      <c r="K565" s="152" t="s">
        <v>1522</v>
      </c>
      <c r="L565" s="151">
        <v>23.3</v>
      </c>
      <c r="M565" s="136">
        <f t="shared" si="45"/>
        <v>2</v>
      </c>
      <c r="N565" s="2">
        <v>2</v>
      </c>
      <c r="O565" s="2"/>
      <c r="P565" s="137" t="e">
        <f t="shared" si="46"/>
        <v>#DIV/0!</v>
      </c>
      <c r="Q565" s="137">
        <f t="shared" si="47"/>
        <v>0</v>
      </c>
      <c r="R565" s="138">
        <f>IF(N565="nio",0,IF(N565&gt;0,VLOOKUP(I565,'3-Productie normen'!A:V,VLOOKUP(N565,'3-Productie normen'!$B$35:$C$56,2,FALSE),FALSE)))/VLOOKUP(B565,'2-Kosten per locatie'!$A$11:$C$18,3,FALSE)</f>
        <v>0</v>
      </c>
      <c r="S565" s="138">
        <f t="shared" si="48"/>
        <v>0</v>
      </c>
      <c r="T565" s="139" t="str">
        <f>VLOOKUP(I565,'3-Productie normen'!A:AF,28,FALSE)</f>
        <v>V</v>
      </c>
      <c r="U565" s="140"/>
      <c r="W565" s="141">
        <f t="shared" si="49"/>
        <v>46.6</v>
      </c>
    </row>
    <row r="566" spans="1:23" ht="13.9" customHeight="1">
      <c r="A566" s="132">
        <v>566</v>
      </c>
      <c r="B566" s="49" t="s">
        <v>1681</v>
      </c>
      <c r="C566" s="49" t="s">
        <v>667</v>
      </c>
      <c r="D566" s="145" t="s">
        <v>268</v>
      </c>
      <c r="E566" s="146" t="s">
        <v>1171</v>
      </c>
      <c r="F566" s="146" t="s">
        <v>332</v>
      </c>
      <c r="G566" s="145" t="s">
        <v>264</v>
      </c>
      <c r="H566" s="145" t="s">
        <v>265</v>
      </c>
      <c r="I566" s="145" t="s">
        <v>284</v>
      </c>
      <c r="J566" s="149" t="s">
        <v>1055</v>
      </c>
      <c r="K566" s="152" t="s">
        <v>1522</v>
      </c>
      <c r="L566" s="151">
        <v>62.85</v>
      </c>
      <c r="M566" s="136">
        <f t="shared" si="45"/>
        <v>76</v>
      </c>
      <c r="N566" s="2">
        <v>76</v>
      </c>
      <c r="O566" s="2"/>
      <c r="P566" s="137" t="e">
        <f t="shared" si="46"/>
        <v>#DIV/0!</v>
      </c>
      <c r="Q566" s="137">
        <f t="shared" si="47"/>
        <v>0</v>
      </c>
      <c r="R566" s="138">
        <f>IF(N566="nio",0,IF(N566&gt;0,VLOOKUP(I566,'3-Productie normen'!A:V,VLOOKUP(N566,'3-Productie normen'!$B$35:$C$56,2,FALSE),FALSE)))/VLOOKUP(B566,'2-Kosten per locatie'!$A$11:$C$18,3,FALSE)</f>
        <v>0</v>
      </c>
      <c r="S566" s="138">
        <f t="shared" si="48"/>
        <v>0</v>
      </c>
      <c r="T566" s="139" t="str">
        <f>VLOOKUP(I566,'3-Productie normen'!A:AF,28,FALSE)</f>
        <v>L</v>
      </c>
      <c r="U566" s="140"/>
      <c r="W566" s="141">
        <f t="shared" si="49"/>
        <v>4776.6000000000004</v>
      </c>
    </row>
    <row r="567" spans="1:23" ht="13.9" customHeight="1">
      <c r="A567" s="118">
        <v>567</v>
      </c>
      <c r="B567" s="49" t="s">
        <v>1681</v>
      </c>
      <c r="C567" s="49" t="s">
        <v>667</v>
      </c>
      <c r="D567" s="145" t="s">
        <v>268</v>
      </c>
      <c r="E567" s="146" t="s">
        <v>1172</v>
      </c>
      <c r="F567" s="146" t="s">
        <v>333</v>
      </c>
      <c r="G567" s="145" t="s">
        <v>264</v>
      </c>
      <c r="H567" s="145" t="s">
        <v>265</v>
      </c>
      <c r="I567" s="145" t="s">
        <v>284</v>
      </c>
      <c r="J567" s="149" t="s">
        <v>1055</v>
      </c>
      <c r="K567" s="152" t="s">
        <v>1522</v>
      </c>
      <c r="L567" s="151">
        <v>70.56</v>
      </c>
      <c r="M567" s="136">
        <f t="shared" si="45"/>
        <v>76</v>
      </c>
      <c r="N567" s="2">
        <v>76</v>
      </c>
      <c r="O567" s="2"/>
      <c r="P567" s="137" t="e">
        <f t="shared" si="46"/>
        <v>#DIV/0!</v>
      </c>
      <c r="Q567" s="137">
        <f t="shared" si="47"/>
        <v>0</v>
      </c>
      <c r="R567" s="138">
        <f>IF(N567="nio",0,IF(N567&gt;0,VLOOKUP(I567,'3-Productie normen'!A:V,VLOOKUP(N567,'3-Productie normen'!$B$35:$C$56,2,FALSE),FALSE)))/VLOOKUP(B567,'2-Kosten per locatie'!$A$11:$C$18,3,FALSE)</f>
        <v>0</v>
      </c>
      <c r="S567" s="138">
        <f t="shared" si="48"/>
        <v>0</v>
      </c>
      <c r="T567" s="139" t="str">
        <f>VLOOKUP(I567,'3-Productie normen'!A:AF,28,FALSE)</f>
        <v>L</v>
      </c>
      <c r="U567" s="140"/>
      <c r="W567" s="141">
        <f t="shared" si="49"/>
        <v>5362.56</v>
      </c>
    </row>
    <row r="568" spans="1:23" ht="13.9" customHeight="1">
      <c r="A568" s="132">
        <v>568</v>
      </c>
      <c r="B568" s="49" t="s">
        <v>1681</v>
      </c>
      <c r="C568" s="49" t="s">
        <v>667</v>
      </c>
      <c r="D568" s="145" t="s">
        <v>268</v>
      </c>
      <c r="E568" s="146" t="s">
        <v>1173</v>
      </c>
      <c r="F568" s="146" t="s">
        <v>335</v>
      </c>
      <c r="G568" s="145" t="s">
        <v>264</v>
      </c>
      <c r="H568" s="145" t="s">
        <v>265</v>
      </c>
      <c r="I568" s="145" t="s">
        <v>284</v>
      </c>
      <c r="J568" s="149" t="s">
        <v>1055</v>
      </c>
      <c r="K568" s="152" t="s">
        <v>1522</v>
      </c>
      <c r="L568" s="151">
        <v>63.81</v>
      </c>
      <c r="M568" s="136">
        <f t="shared" si="45"/>
        <v>76</v>
      </c>
      <c r="N568" s="2">
        <v>76</v>
      </c>
      <c r="O568" s="2"/>
      <c r="P568" s="137" t="e">
        <f t="shared" si="46"/>
        <v>#DIV/0!</v>
      </c>
      <c r="Q568" s="137">
        <f t="shared" si="47"/>
        <v>0</v>
      </c>
      <c r="R568" s="138">
        <f>IF(N568="nio",0,IF(N568&gt;0,VLOOKUP(I568,'3-Productie normen'!A:V,VLOOKUP(N568,'3-Productie normen'!$B$35:$C$56,2,FALSE),FALSE)))/VLOOKUP(B568,'2-Kosten per locatie'!$A$11:$C$18,3,FALSE)</f>
        <v>0</v>
      </c>
      <c r="S568" s="138">
        <f t="shared" si="48"/>
        <v>0</v>
      </c>
      <c r="T568" s="139" t="str">
        <f>VLOOKUP(I568,'3-Productie normen'!A:AF,28,FALSE)</f>
        <v>L</v>
      </c>
      <c r="U568" s="140"/>
      <c r="W568" s="141">
        <f t="shared" si="49"/>
        <v>4849.5600000000004</v>
      </c>
    </row>
    <row r="569" spans="1:23" ht="13.9" customHeight="1">
      <c r="A569" s="132">
        <v>569</v>
      </c>
      <c r="B569" s="49" t="s">
        <v>1681</v>
      </c>
      <c r="C569" s="49" t="s">
        <v>667</v>
      </c>
      <c r="D569" s="145" t="s">
        <v>268</v>
      </c>
      <c r="E569" s="146" t="s">
        <v>1174</v>
      </c>
      <c r="F569" s="146" t="s">
        <v>311</v>
      </c>
      <c r="G569" s="145" t="s">
        <v>242</v>
      </c>
      <c r="H569" s="145" t="s">
        <v>242</v>
      </c>
      <c r="I569" s="1" t="s">
        <v>242</v>
      </c>
      <c r="J569" s="149" t="s">
        <v>1055</v>
      </c>
      <c r="K569" s="152" t="s">
        <v>1522</v>
      </c>
      <c r="L569" s="151">
        <v>5.92</v>
      </c>
      <c r="M569" s="136">
        <f t="shared" si="45"/>
        <v>2</v>
      </c>
      <c r="N569" s="2">
        <v>2</v>
      </c>
      <c r="O569" s="2"/>
      <c r="P569" s="137" t="e">
        <f t="shared" si="46"/>
        <v>#DIV/0!</v>
      </c>
      <c r="Q569" s="137">
        <f t="shared" si="47"/>
        <v>0</v>
      </c>
      <c r="R569" s="138">
        <f>IF(N569="nio",0,IF(N569&gt;0,VLOOKUP(I569,'3-Productie normen'!A:V,VLOOKUP(N569,'3-Productie normen'!$B$35:$C$56,2,FALSE),FALSE)))/VLOOKUP(B569,'2-Kosten per locatie'!$A$11:$C$18,3,FALSE)</f>
        <v>0</v>
      </c>
      <c r="S569" s="138">
        <f t="shared" si="48"/>
        <v>0</v>
      </c>
      <c r="T569" s="139" t="str">
        <f>VLOOKUP(I569,'3-Productie normen'!A:AF,28,FALSE)</f>
        <v>V</v>
      </c>
      <c r="U569" s="140"/>
      <c r="W569" s="141">
        <f t="shared" si="49"/>
        <v>11.84</v>
      </c>
    </row>
    <row r="570" spans="1:23" ht="13.9" customHeight="1">
      <c r="A570" s="118">
        <v>570</v>
      </c>
      <c r="B570" s="49" t="s">
        <v>1681</v>
      </c>
      <c r="C570" s="49" t="s">
        <v>667</v>
      </c>
      <c r="D570" s="145" t="s">
        <v>268</v>
      </c>
      <c r="E570" s="146" t="s">
        <v>1175</v>
      </c>
      <c r="F570" s="146" t="s">
        <v>313</v>
      </c>
      <c r="G570" s="145" t="s">
        <v>264</v>
      </c>
      <c r="H570" s="145" t="s">
        <v>265</v>
      </c>
      <c r="I570" s="145" t="s">
        <v>284</v>
      </c>
      <c r="J570" s="149" t="s">
        <v>1055</v>
      </c>
      <c r="K570" s="152" t="s">
        <v>1522</v>
      </c>
      <c r="L570" s="151">
        <v>63.82</v>
      </c>
      <c r="M570" s="136">
        <f t="shared" si="45"/>
        <v>76</v>
      </c>
      <c r="N570" s="2">
        <v>76</v>
      </c>
      <c r="O570" s="2"/>
      <c r="P570" s="137" t="e">
        <f t="shared" si="46"/>
        <v>#DIV/0!</v>
      </c>
      <c r="Q570" s="137">
        <f t="shared" si="47"/>
        <v>0</v>
      </c>
      <c r="R570" s="138">
        <f>IF(N570="nio",0,IF(N570&gt;0,VLOOKUP(I570,'3-Productie normen'!A:V,VLOOKUP(N570,'3-Productie normen'!$B$35:$C$56,2,FALSE),FALSE)))/VLOOKUP(B570,'2-Kosten per locatie'!$A$11:$C$18,3,FALSE)</f>
        <v>0</v>
      </c>
      <c r="S570" s="138">
        <f t="shared" si="48"/>
        <v>0</v>
      </c>
      <c r="T570" s="139" t="str">
        <f>VLOOKUP(I570,'3-Productie normen'!A:AF,28,FALSE)</f>
        <v>L</v>
      </c>
      <c r="U570" s="140"/>
      <c r="W570" s="141">
        <f t="shared" si="49"/>
        <v>4850.32</v>
      </c>
    </row>
    <row r="571" spans="1:23" ht="13.9" customHeight="1">
      <c r="A571" s="132">
        <v>571</v>
      </c>
      <c r="B571" s="49" t="s">
        <v>1681</v>
      </c>
      <c r="C571" s="49" t="s">
        <v>667</v>
      </c>
      <c r="D571" s="145" t="s">
        <v>268</v>
      </c>
      <c r="E571" s="146" t="s">
        <v>1176</v>
      </c>
      <c r="F571" s="146" t="s">
        <v>312</v>
      </c>
      <c r="G571" s="145" t="s">
        <v>242</v>
      </c>
      <c r="H571" s="145" t="s">
        <v>242</v>
      </c>
      <c r="I571" s="1" t="s">
        <v>242</v>
      </c>
      <c r="J571" s="149" t="s">
        <v>1055</v>
      </c>
      <c r="K571" s="152" t="s">
        <v>1522</v>
      </c>
      <c r="L571" s="151">
        <v>6.02</v>
      </c>
      <c r="M571" s="136">
        <f t="shared" si="45"/>
        <v>2</v>
      </c>
      <c r="N571" s="2">
        <v>2</v>
      </c>
      <c r="O571" s="2"/>
      <c r="P571" s="137" t="e">
        <f t="shared" si="46"/>
        <v>#DIV/0!</v>
      </c>
      <c r="Q571" s="137">
        <f t="shared" si="47"/>
        <v>0</v>
      </c>
      <c r="R571" s="138">
        <f>IF(N571="nio",0,IF(N571&gt;0,VLOOKUP(I571,'3-Productie normen'!A:V,VLOOKUP(N571,'3-Productie normen'!$B$35:$C$56,2,FALSE),FALSE)))/VLOOKUP(B571,'2-Kosten per locatie'!$A$11:$C$18,3,FALSE)</f>
        <v>0</v>
      </c>
      <c r="S571" s="138">
        <f t="shared" si="48"/>
        <v>0</v>
      </c>
      <c r="T571" s="139" t="str">
        <f>VLOOKUP(I571,'3-Productie normen'!A:AF,28,FALSE)</f>
        <v>V</v>
      </c>
      <c r="U571" s="140"/>
      <c r="W571" s="141">
        <f t="shared" si="49"/>
        <v>12.04</v>
      </c>
    </row>
    <row r="572" spans="1:23" ht="13.9" customHeight="1">
      <c r="A572" s="132">
        <v>572</v>
      </c>
      <c r="B572" s="49" t="s">
        <v>1681</v>
      </c>
      <c r="C572" s="49" t="s">
        <v>667</v>
      </c>
      <c r="D572" s="145" t="s">
        <v>268</v>
      </c>
      <c r="E572" s="146" t="s">
        <v>1177</v>
      </c>
      <c r="F572" s="146" t="s">
        <v>316</v>
      </c>
      <c r="G572" s="145" t="s">
        <v>245</v>
      </c>
      <c r="H572" s="145" t="s">
        <v>50</v>
      </c>
      <c r="I572" s="145" t="s">
        <v>270</v>
      </c>
      <c r="J572" s="149" t="s">
        <v>1055</v>
      </c>
      <c r="K572" s="152" t="s">
        <v>1522</v>
      </c>
      <c r="L572" s="151">
        <v>10.15</v>
      </c>
      <c r="M572" s="136">
        <f t="shared" si="45"/>
        <v>76</v>
      </c>
      <c r="N572" s="2">
        <v>76</v>
      </c>
      <c r="O572" s="2"/>
      <c r="P572" s="137" t="e">
        <f t="shared" si="46"/>
        <v>#DIV/0!</v>
      </c>
      <c r="Q572" s="137">
        <f t="shared" si="47"/>
        <v>0</v>
      </c>
      <c r="R572" s="138">
        <f>IF(N572="nio",0,IF(N572&gt;0,VLOOKUP(I572,'3-Productie normen'!A:V,VLOOKUP(N572,'3-Productie normen'!$B$35:$C$56,2,FALSE),FALSE)))/VLOOKUP(B572,'2-Kosten per locatie'!$A$11:$C$18,3,FALSE)</f>
        <v>0</v>
      </c>
      <c r="S572" s="138">
        <f t="shared" si="48"/>
        <v>0</v>
      </c>
      <c r="T572" s="139" t="str">
        <f>VLOOKUP(I572,'3-Productie normen'!A:AF,28,FALSE)</f>
        <v>B</v>
      </c>
      <c r="U572" s="140"/>
      <c r="W572" s="141">
        <f t="shared" si="49"/>
        <v>771.4</v>
      </c>
    </row>
    <row r="573" spans="1:23" ht="13.9" customHeight="1">
      <c r="A573" s="118">
        <v>573</v>
      </c>
      <c r="B573" s="49" t="s">
        <v>1681</v>
      </c>
      <c r="C573" s="49" t="s">
        <v>667</v>
      </c>
      <c r="D573" s="145" t="s">
        <v>268</v>
      </c>
      <c r="E573" s="146" t="s">
        <v>1178</v>
      </c>
      <c r="F573" s="146"/>
      <c r="G573" s="145" t="s">
        <v>44</v>
      </c>
      <c r="H573" s="145" t="s">
        <v>354</v>
      </c>
      <c r="I573" s="49" t="s">
        <v>1486</v>
      </c>
      <c r="J573" s="149" t="s">
        <v>1055</v>
      </c>
      <c r="K573" s="152" t="s">
        <v>1522</v>
      </c>
      <c r="L573" s="151">
        <v>12.79</v>
      </c>
      <c r="M573" s="136">
        <f t="shared" si="45"/>
        <v>190</v>
      </c>
      <c r="N573" s="2">
        <v>190</v>
      </c>
      <c r="O573" s="2"/>
      <c r="P573" s="137" t="e">
        <f t="shared" si="46"/>
        <v>#DIV/0!</v>
      </c>
      <c r="Q573" s="137">
        <f t="shared" si="47"/>
        <v>0</v>
      </c>
      <c r="R573" s="138">
        <f>IF(N573="nio",0,IF(N573&gt;0,VLOOKUP(I573,'3-Productie normen'!A:V,VLOOKUP(N573,'3-Productie normen'!$B$35:$C$56,2,FALSE),FALSE)))/VLOOKUP(B573,'2-Kosten per locatie'!$A$11:$C$18,3,FALSE)</f>
        <v>0</v>
      </c>
      <c r="S573" s="138">
        <f t="shared" si="48"/>
        <v>0</v>
      </c>
      <c r="T573" s="139" t="str">
        <f>VLOOKUP(I573,'3-Productie normen'!A:AF,28,FALSE)</f>
        <v>V</v>
      </c>
      <c r="U573" s="140"/>
      <c r="W573" s="141">
        <f t="shared" si="49"/>
        <v>2430.1</v>
      </c>
    </row>
    <row r="574" spans="1:23" ht="13.9" customHeight="1">
      <c r="A574" s="132">
        <v>574</v>
      </c>
      <c r="B574" s="49" t="s">
        <v>1681</v>
      </c>
      <c r="C574" s="49" t="s">
        <v>667</v>
      </c>
      <c r="D574" s="145" t="s">
        <v>268</v>
      </c>
      <c r="E574" s="146" t="s">
        <v>1179</v>
      </c>
      <c r="F574" s="146" t="s">
        <v>337</v>
      </c>
      <c r="G574" s="145" t="s">
        <v>245</v>
      </c>
      <c r="H574" s="145" t="s">
        <v>262</v>
      </c>
      <c r="I574" s="145" t="s">
        <v>253</v>
      </c>
      <c r="J574" s="149" t="s">
        <v>1055</v>
      </c>
      <c r="K574" s="152" t="s">
        <v>1522</v>
      </c>
      <c r="L574" s="151">
        <v>78.900000000000006</v>
      </c>
      <c r="M574" s="136">
        <f t="shared" si="45"/>
        <v>190</v>
      </c>
      <c r="N574" s="2">
        <v>190</v>
      </c>
      <c r="O574" s="2"/>
      <c r="P574" s="137" t="e">
        <f t="shared" si="46"/>
        <v>#DIV/0!</v>
      </c>
      <c r="Q574" s="137">
        <f t="shared" si="47"/>
        <v>0</v>
      </c>
      <c r="R574" s="138">
        <f>IF(N574="nio",0,IF(N574&gt;0,VLOOKUP(I574,'3-Productie normen'!A:V,VLOOKUP(N574,'3-Productie normen'!$B$35:$C$56,2,FALSE),FALSE)))/VLOOKUP(B574,'2-Kosten per locatie'!$A$11:$C$18,3,FALSE)</f>
        <v>0</v>
      </c>
      <c r="S574" s="138">
        <f t="shared" si="48"/>
        <v>0</v>
      </c>
      <c r="T574" s="139" t="str">
        <f>VLOOKUP(I574,'3-Productie normen'!A:AF,28,FALSE)</f>
        <v>V</v>
      </c>
      <c r="U574" s="140"/>
      <c r="W574" s="141">
        <f t="shared" si="49"/>
        <v>14991.000000000002</v>
      </c>
    </row>
    <row r="575" spans="1:23" ht="13.9" customHeight="1">
      <c r="A575" s="132">
        <v>575</v>
      </c>
      <c r="B575" s="49" t="s">
        <v>1681</v>
      </c>
      <c r="C575" s="49" t="s">
        <v>667</v>
      </c>
      <c r="D575" s="145" t="s">
        <v>268</v>
      </c>
      <c r="E575" s="146" t="s">
        <v>1180</v>
      </c>
      <c r="F575" s="146"/>
      <c r="G575" s="145" t="s">
        <v>245</v>
      </c>
      <c r="H575" s="145" t="s">
        <v>262</v>
      </c>
      <c r="I575" s="145" t="s">
        <v>253</v>
      </c>
      <c r="J575" s="149" t="s">
        <v>1055</v>
      </c>
      <c r="K575" s="152" t="s">
        <v>1522</v>
      </c>
      <c r="L575" s="151">
        <v>1.46</v>
      </c>
      <c r="M575" s="136">
        <f t="shared" si="45"/>
        <v>190</v>
      </c>
      <c r="N575" s="2">
        <v>190</v>
      </c>
      <c r="O575" s="2"/>
      <c r="P575" s="137" t="e">
        <f t="shared" si="46"/>
        <v>#DIV/0!</v>
      </c>
      <c r="Q575" s="137">
        <f t="shared" si="47"/>
        <v>0</v>
      </c>
      <c r="R575" s="138">
        <f>IF(N575="nio",0,IF(N575&gt;0,VLOOKUP(I575,'3-Productie normen'!A:V,VLOOKUP(N575,'3-Productie normen'!$B$35:$C$56,2,FALSE),FALSE)))/VLOOKUP(B575,'2-Kosten per locatie'!$A$11:$C$18,3,FALSE)</f>
        <v>0</v>
      </c>
      <c r="S575" s="138">
        <f t="shared" si="48"/>
        <v>0</v>
      </c>
      <c r="T575" s="139" t="str">
        <f>VLOOKUP(I575,'3-Productie normen'!A:AF,28,FALSE)</f>
        <v>V</v>
      </c>
      <c r="U575" s="140"/>
      <c r="W575" s="141">
        <f t="shared" si="49"/>
        <v>277.39999999999998</v>
      </c>
    </row>
    <row r="576" spans="1:23" ht="13.9" customHeight="1">
      <c r="A576" s="118">
        <v>576</v>
      </c>
      <c r="B576" s="49" t="s">
        <v>1681</v>
      </c>
      <c r="C576" s="49" t="s">
        <v>667</v>
      </c>
      <c r="D576" s="145" t="s">
        <v>268</v>
      </c>
      <c r="E576" s="146" t="s">
        <v>1181</v>
      </c>
      <c r="F576" s="146" t="s">
        <v>336</v>
      </c>
      <c r="G576" s="145" t="s">
        <v>245</v>
      </c>
      <c r="H576" s="145" t="s">
        <v>262</v>
      </c>
      <c r="I576" s="145" t="s">
        <v>253</v>
      </c>
      <c r="J576" s="149" t="s">
        <v>1055</v>
      </c>
      <c r="K576" s="152" t="s">
        <v>1522</v>
      </c>
      <c r="L576" s="151">
        <v>20.350000000000001</v>
      </c>
      <c r="M576" s="136">
        <f t="shared" si="45"/>
        <v>190</v>
      </c>
      <c r="N576" s="2">
        <v>190</v>
      </c>
      <c r="O576" s="2"/>
      <c r="P576" s="137" t="e">
        <f t="shared" si="46"/>
        <v>#DIV/0!</v>
      </c>
      <c r="Q576" s="137">
        <f t="shared" si="47"/>
        <v>0</v>
      </c>
      <c r="R576" s="138">
        <f>IF(N576="nio",0,IF(N576&gt;0,VLOOKUP(I576,'3-Productie normen'!A:V,VLOOKUP(N576,'3-Productie normen'!$B$35:$C$56,2,FALSE),FALSE)))/VLOOKUP(B576,'2-Kosten per locatie'!$A$11:$C$18,3,FALSE)</f>
        <v>0</v>
      </c>
      <c r="S576" s="138">
        <f t="shared" si="48"/>
        <v>0</v>
      </c>
      <c r="T576" s="139" t="str">
        <f>VLOOKUP(I576,'3-Productie normen'!A:AF,28,FALSE)</f>
        <v>V</v>
      </c>
      <c r="U576" s="140"/>
      <c r="W576" s="141">
        <f t="shared" si="49"/>
        <v>3866.5000000000005</v>
      </c>
    </row>
    <row r="577" spans="1:23" ht="13.9" customHeight="1">
      <c r="A577" s="132">
        <v>577</v>
      </c>
      <c r="B577" s="49" t="s">
        <v>1681</v>
      </c>
      <c r="C577" s="49" t="s">
        <v>667</v>
      </c>
      <c r="D577" s="145" t="s">
        <v>268</v>
      </c>
      <c r="E577" s="146" t="s">
        <v>1182</v>
      </c>
      <c r="F577" s="146" t="s">
        <v>340</v>
      </c>
      <c r="G577" s="145" t="s">
        <v>245</v>
      </c>
      <c r="H577" s="145" t="s">
        <v>245</v>
      </c>
      <c r="I577" s="92" t="s">
        <v>274</v>
      </c>
      <c r="J577" s="149" t="s">
        <v>1055</v>
      </c>
      <c r="K577" s="152" t="s">
        <v>1522</v>
      </c>
      <c r="L577" s="151">
        <v>30.46</v>
      </c>
      <c r="M577" s="136">
        <f t="shared" si="45"/>
        <v>76</v>
      </c>
      <c r="N577" s="2">
        <v>76</v>
      </c>
      <c r="O577" s="2"/>
      <c r="P577" s="137" t="e">
        <f t="shared" si="46"/>
        <v>#DIV/0!</v>
      </c>
      <c r="Q577" s="137">
        <f t="shared" si="47"/>
        <v>0</v>
      </c>
      <c r="R577" s="138">
        <f>IF(N577="nio",0,IF(N577&gt;0,VLOOKUP(I577,'3-Productie normen'!A:V,VLOOKUP(N577,'3-Productie normen'!$B$35:$C$56,2,FALSE),FALSE)))/VLOOKUP(B577,'2-Kosten per locatie'!$A$11:$C$18,3,FALSE)</f>
        <v>0</v>
      </c>
      <c r="S577" s="138">
        <f t="shared" si="48"/>
        <v>0</v>
      </c>
      <c r="T577" s="139" t="str">
        <f>VLOOKUP(I577,'3-Productie normen'!A:AF,28,FALSE)</f>
        <v>B</v>
      </c>
      <c r="U577" s="140"/>
      <c r="W577" s="141">
        <f t="shared" si="49"/>
        <v>2314.96</v>
      </c>
    </row>
    <row r="578" spans="1:23" ht="13.9" customHeight="1">
      <c r="A578" s="132">
        <v>578</v>
      </c>
      <c r="B578" s="49" t="s">
        <v>1681</v>
      </c>
      <c r="C578" s="49" t="s">
        <v>667</v>
      </c>
      <c r="D578" s="145" t="s">
        <v>268</v>
      </c>
      <c r="E578" s="146" t="s">
        <v>1183</v>
      </c>
      <c r="F578" s="146" t="s">
        <v>341</v>
      </c>
      <c r="G578" s="145" t="s">
        <v>245</v>
      </c>
      <c r="H578" s="145" t="s">
        <v>245</v>
      </c>
      <c r="I578" s="92" t="s">
        <v>274</v>
      </c>
      <c r="J578" s="149" t="s">
        <v>1055</v>
      </c>
      <c r="K578" s="152" t="s">
        <v>1522</v>
      </c>
      <c r="L578" s="151">
        <v>23.46</v>
      </c>
      <c r="M578" s="136">
        <f t="shared" si="45"/>
        <v>76</v>
      </c>
      <c r="N578" s="2">
        <v>76</v>
      </c>
      <c r="O578" s="2"/>
      <c r="P578" s="137" t="e">
        <f t="shared" si="46"/>
        <v>#DIV/0!</v>
      </c>
      <c r="Q578" s="137">
        <f t="shared" si="47"/>
        <v>0</v>
      </c>
      <c r="R578" s="138">
        <f>IF(N578="nio",0,IF(N578&gt;0,VLOOKUP(I578,'3-Productie normen'!A:V,VLOOKUP(N578,'3-Productie normen'!$B$35:$C$56,2,FALSE),FALSE)))/VLOOKUP(B578,'2-Kosten per locatie'!$A$11:$C$18,3,FALSE)</f>
        <v>0</v>
      </c>
      <c r="S578" s="138">
        <f t="shared" si="48"/>
        <v>0</v>
      </c>
      <c r="T578" s="139" t="str">
        <f>VLOOKUP(I578,'3-Productie normen'!A:AF,28,FALSE)</f>
        <v>B</v>
      </c>
      <c r="U578" s="140"/>
      <c r="W578" s="141">
        <f t="shared" si="49"/>
        <v>1782.96</v>
      </c>
    </row>
    <row r="579" spans="1:23" ht="13.9" customHeight="1">
      <c r="A579" s="118">
        <v>579</v>
      </c>
      <c r="B579" s="49" t="s">
        <v>1681</v>
      </c>
      <c r="C579" s="49" t="s">
        <v>667</v>
      </c>
      <c r="D579" s="145" t="s">
        <v>268</v>
      </c>
      <c r="E579" s="146" t="s">
        <v>1184</v>
      </c>
      <c r="F579" s="146" t="s">
        <v>1185</v>
      </c>
      <c r="G579" s="145" t="s">
        <v>245</v>
      </c>
      <c r="H579" s="145" t="s">
        <v>245</v>
      </c>
      <c r="I579" s="92" t="s">
        <v>274</v>
      </c>
      <c r="J579" s="149" t="s">
        <v>1055</v>
      </c>
      <c r="K579" s="152" t="s">
        <v>1522</v>
      </c>
      <c r="L579" s="151">
        <v>14.6</v>
      </c>
      <c r="M579" s="136">
        <f t="shared" si="45"/>
        <v>76</v>
      </c>
      <c r="N579" s="2">
        <v>76</v>
      </c>
      <c r="O579" s="2"/>
      <c r="P579" s="137" t="e">
        <f t="shared" si="46"/>
        <v>#DIV/0!</v>
      </c>
      <c r="Q579" s="137">
        <f t="shared" si="47"/>
        <v>0</v>
      </c>
      <c r="R579" s="138">
        <f>IF(N579="nio",0,IF(N579&gt;0,VLOOKUP(I579,'3-Productie normen'!A:V,VLOOKUP(N579,'3-Productie normen'!$B$35:$C$56,2,FALSE),FALSE)))/VLOOKUP(B579,'2-Kosten per locatie'!$A$11:$C$18,3,FALSE)</f>
        <v>0</v>
      </c>
      <c r="S579" s="138">
        <f t="shared" si="48"/>
        <v>0</v>
      </c>
      <c r="T579" s="139" t="str">
        <f>VLOOKUP(I579,'3-Productie normen'!A:AF,28,FALSE)</f>
        <v>B</v>
      </c>
      <c r="U579" s="140"/>
      <c r="W579" s="141">
        <f t="shared" si="49"/>
        <v>1109.5999999999999</v>
      </c>
    </row>
    <row r="580" spans="1:23" ht="13.9" customHeight="1">
      <c r="A580" s="132">
        <v>580</v>
      </c>
      <c r="B580" s="49" t="s">
        <v>1681</v>
      </c>
      <c r="C580" s="49" t="s">
        <v>667</v>
      </c>
      <c r="D580" s="145" t="s">
        <v>268</v>
      </c>
      <c r="E580" s="146" t="s">
        <v>1186</v>
      </c>
      <c r="F580" s="146"/>
      <c r="G580" s="145" t="s">
        <v>245</v>
      </c>
      <c r="H580" s="145" t="s">
        <v>50</v>
      </c>
      <c r="I580" s="145" t="s">
        <v>270</v>
      </c>
      <c r="J580" s="149" t="s">
        <v>1055</v>
      </c>
      <c r="K580" s="152" t="s">
        <v>1522</v>
      </c>
      <c r="L580" s="151">
        <v>13.8</v>
      </c>
      <c r="M580" s="136">
        <f t="shared" si="45"/>
        <v>76</v>
      </c>
      <c r="N580" s="2">
        <v>76</v>
      </c>
      <c r="O580" s="2"/>
      <c r="P580" s="137" t="e">
        <f t="shared" si="46"/>
        <v>#DIV/0!</v>
      </c>
      <c r="Q580" s="137">
        <f t="shared" si="47"/>
        <v>0</v>
      </c>
      <c r="R580" s="138">
        <f>IF(N580="nio",0,IF(N580&gt;0,VLOOKUP(I580,'3-Productie normen'!A:V,VLOOKUP(N580,'3-Productie normen'!$B$35:$C$56,2,FALSE),FALSE)))/VLOOKUP(B580,'2-Kosten per locatie'!$A$11:$C$18,3,FALSE)</f>
        <v>0</v>
      </c>
      <c r="S580" s="138">
        <f t="shared" si="48"/>
        <v>0</v>
      </c>
      <c r="T580" s="139" t="str">
        <f>VLOOKUP(I580,'3-Productie normen'!A:AF,28,FALSE)</f>
        <v>B</v>
      </c>
      <c r="U580" s="140"/>
      <c r="W580" s="141">
        <f t="shared" si="49"/>
        <v>1048.8</v>
      </c>
    </row>
    <row r="581" spans="1:23" ht="13.9" customHeight="1">
      <c r="A581" s="132">
        <v>581</v>
      </c>
      <c r="B581" s="49" t="s">
        <v>1681</v>
      </c>
      <c r="C581" s="49" t="s">
        <v>667</v>
      </c>
      <c r="D581" s="145" t="s">
        <v>268</v>
      </c>
      <c r="E581" s="146" t="s">
        <v>1187</v>
      </c>
      <c r="F581" s="146" t="s">
        <v>368</v>
      </c>
      <c r="G581" s="145" t="s">
        <v>245</v>
      </c>
      <c r="H581" s="145" t="s">
        <v>50</v>
      </c>
      <c r="I581" s="145" t="s">
        <v>270</v>
      </c>
      <c r="J581" s="149" t="s">
        <v>1055</v>
      </c>
      <c r="K581" s="152" t="s">
        <v>1522</v>
      </c>
      <c r="L581" s="151">
        <v>22.8</v>
      </c>
      <c r="M581" s="136">
        <f t="shared" si="45"/>
        <v>76</v>
      </c>
      <c r="N581" s="2">
        <v>76</v>
      </c>
      <c r="O581" s="2"/>
      <c r="P581" s="137" t="e">
        <f t="shared" si="46"/>
        <v>#DIV/0!</v>
      </c>
      <c r="Q581" s="137">
        <f t="shared" si="47"/>
        <v>0</v>
      </c>
      <c r="R581" s="138">
        <f>IF(N581="nio",0,IF(N581&gt;0,VLOOKUP(I581,'3-Productie normen'!A:V,VLOOKUP(N581,'3-Productie normen'!$B$35:$C$56,2,FALSE),FALSE)))/VLOOKUP(B581,'2-Kosten per locatie'!$A$11:$C$18,3,FALSE)</f>
        <v>0</v>
      </c>
      <c r="S581" s="138">
        <f t="shared" si="48"/>
        <v>0</v>
      </c>
      <c r="T581" s="139" t="str">
        <f>VLOOKUP(I581,'3-Productie normen'!A:AF,28,FALSE)</f>
        <v>B</v>
      </c>
      <c r="U581" s="140"/>
      <c r="W581" s="141">
        <f t="shared" si="49"/>
        <v>1732.8</v>
      </c>
    </row>
    <row r="582" spans="1:23" ht="13.9" customHeight="1">
      <c r="A582" s="118">
        <v>582</v>
      </c>
      <c r="B582" s="49" t="s">
        <v>1681</v>
      </c>
      <c r="C582" s="49" t="s">
        <v>667</v>
      </c>
      <c r="D582" s="145" t="s">
        <v>268</v>
      </c>
      <c r="E582" s="146" t="s">
        <v>1188</v>
      </c>
      <c r="F582" s="146" t="s">
        <v>369</v>
      </c>
      <c r="G582" s="145" t="s">
        <v>245</v>
      </c>
      <c r="H582" s="145" t="s">
        <v>245</v>
      </c>
      <c r="I582" s="92" t="s">
        <v>274</v>
      </c>
      <c r="J582" s="149" t="s">
        <v>1055</v>
      </c>
      <c r="K582" s="152" t="s">
        <v>1522</v>
      </c>
      <c r="L582" s="151">
        <v>13.59</v>
      </c>
      <c r="M582" s="136">
        <f t="shared" si="45"/>
        <v>76</v>
      </c>
      <c r="N582" s="2">
        <v>76</v>
      </c>
      <c r="O582" s="2"/>
      <c r="P582" s="137" t="e">
        <f t="shared" si="46"/>
        <v>#DIV/0!</v>
      </c>
      <c r="Q582" s="137">
        <f t="shared" si="47"/>
        <v>0</v>
      </c>
      <c r="R582" s="138">
        <f>IF(N582="nio",0,IF(N582&gt;0,VLOOKUP(I582,'3-Productie normen'!A:V,VLOOKUP(N582,'3-Productie normen'!$B$35:$C$56,2,FALSE),FALSE)))/VLOOKUP(B582,'2-Kosten per locatie'!$A$11:$C$18,3,FALSE)</f>
        <v>0</v>
      </c>
      <c r="S582" s="138">
        <f t="shared" si="48"/>
        <v>0</v>
      </c>
      <c r="T582" s="139" t="str">
        <f>VLOOKUP(I582,'3-Productie normen'!A:AF,28,FALSE)</f>
        <v>B</v>
      </c>
      <c r="U582" s="140"/>
      <c r="W582" s="141">
        <f t="shared" si="49"/>
        <v>1032.8399999999999</v>
      </c>
    </row>
    <row r="583" spans="1:23" ht="13.9" customHeight="1">
      <c r="A583" s="132">
        <v>583</v>
      </c>
      <c r="B583" s="49" t="s">
        <v>1681</v>
      </c>
      <c r="C583" s="49" t="s">
        <v>667</v>
      </c>
      <c r="D583" s="145" t="s">
        <v>271</v>
      </c>
      <c r="E583" s="146" t="s">
        <v>1189</v>
      </c>
      <c r="F583" s="146"/>
      <c r="G583" s="145" t="s">
        <v>232</v>
      </c>
      <c r="H583" s="145" t="s">
        <v>53</v>
      </c>
      <c r="I583" s="1" t="s">
        <v>233</v>
      </c>
      <c r="J583" s="149" t="s">
        <v>1078</v>
      </c>
      <c r="K583" s="150"/>
      <c r="L583" s="151">
        <v>21.48</v>
      </c>
      <c r="M583" s="136">
        <f t="shared" si="45"/>
        <v>190</v>
      </c>
      <c r="N583" s="2">
        <v>190</v>
      </c>
      <c r="O583" s="2"/>
      <c r="P583" s="137" t="e">
        <f t="shared" si="46"/>
        <v>#DIV/0!</v>
      </c>
      <c r="Q583" s="137">
        <f t="shared" si="47"/>
        <v>0</v>
      </c>
      <c r="R583" s="138">
        <f>IF(N583="nio",0,IF(N583&gt;0,VLOOKUP(I583,'3-Productie normen'!A:V,VLOOKUP(N583,'3-Productie normen'!$B$35:$C$56,2,FALSE),FALSE)))/VLOOKUP(B583,'2-Kosten per locatie'!$A$11:$C$18,3,FALSE)</f>
        <v>0</v>
      </c>
      <c r="S583" s="138">
        <f t="shared" si="48"/>
        <v>0</v>
      </c>
      <c r="T583" s="139" t="str">
        <f>VLOOKUP(I583,'3-Productie normen'!A:AF,28,FALSE)</f>
        <v>V</v>
      </c>
      <c r="U583" s="140"/>
      <c r="W583" s="141">
        <f t="shared" si="49"/>
        <v>4081.2000000000003</v>
      </c>
    </row>
    <row r="584" spans="1:23" ht="13.9" customHeight="1">
      <c r="A584" s="132">
        <v>584</v>
      </c>
      <c r="B584" s="49" t="s">
        <v>1681</v>
      </c>
      <c r="C584" s="49" t="s">
        <v>667</v>
      </c>
      <c r="D584" s="145" t="s">
        <v>271</v>
      </c>
      <c r="E584" s="146" t="s">
        <v>1190</v>
      </c>
      <c r="F584" s="146"/>
      <c r="G584" s="145" t="s">
        <v>232</v>
      </c>
      <c r="H584" s="145" t="s">
        <v>54</v>
      </c>
      <c r="I584" s="145" t="s">
        <v>239</v>
      </c>
      <c r="J584" s="149" t="s">
        <v>364</v>
      </c>
      <c r="K584" s="150"/>
      <c r="L584" s="151">
        <v>2.15</v>
      </c>
      <c r="M584" s="136">
        <f t="shared" si="45"/>
        <v>0</v>
      </c>
      <c r="N584" s="2" t="s">
        <v>273</v>
      </c>
      <c r="O584" s="2"/>
      <c r="P584" s="137">
        <f t="shared" si="46"/>
        <v>0</v>
      </c>
      <c r="Q584" s="137">
        <f t="shared" si="47"/>
        <v>0</v>
      </c>
      <c r="R584" s="138">
        <f>IF(N584="nio",0,IF(N584&gt;0,VLOOKUP(I584,'3-Productie normen'!A:V,VLOOKUP(N584,'3-Productie normen'!$B$35:$C$56,2,FALSE),FALSE)))/VLOOKUP(B584,'2-Kosten per locatie'!$A$11:$C$18,3,FALSE)</f>
        <v>0</v>
      </c>
      <c r="S584" s="138">
        <f t="shared" si="48"/>
        <v>0</v>
      </c>
      <c r="T584" s="139">
        <f>VLOOKUP(I584,'3-Productie normen'!A:AF,28,FALSE)</f>
        <v>0</v>
      </c>
      <c r="U584" s="140"/>
      <c r="W584" s="141">
        <f t="shared" si="49"/>
        <v>0</v>
      </c>
    </row>
    <row r="585" spans="1:23" ht="13.9" customHeight="1">
      <c r="A585" s="118">
        <v>585</v>
      </c>
      <c r="B585" s="49" t="s">
        <v>1681</v>
      </c>
      <c r="C585" s="49" t="s">
        <v>667</v>
      </c>
      <c r="D585" s="145" t="s">
        <v>271</v>
      </c>
      <c r="E585" s="146" t="s">
        <v>1191</v>
      </c>
      <c r="F585" s="146"/>
      <c r="G585" s="145" t="s">
        <v>232</v>
      </c>
      <c r="H585" s="145" t="s">
        <v>53</v>
      </c>
      <c r="I585" s="1" t="s">
        <v>233</v>
      </c>
      <c r="J585" s="149" t="s">
        <v>1078</v>
      </c>
      <c r="K585" s="150"/>
      <c r="L585" s="151">
        <v>16.25</v>
      </c>
      <c r="M585" s="136">
        <f t="shared" si="45"/>
        <v>190</v>
      </c>
      <c r="N585" s="2">
        <v>190</v>
      </c>
      <c r="O585" s="2"/>
      <c r="P585" s="137" t="e">
        <f t="shared" si="46"/>
        <v>#DIV/0!</v>
      </c>
      <c r="Q585" s="137">
        <f t="shared" si="47"/>
        <v>0</v>
      </c>
      <c r="R585" s="138">
        <f>IF(N585="nio",0,IF(N585&gt;0,VLOOKUP(I585,'3-Productie normen'!A:V,VLOOKUP(N585,'3-Productie normen'!$B$35:$C$56,2,FALSE),FALSE)))/VLOOKUP(B585,'2-Kosten per locatie'!$A$11:$C$18,3,FALSE)</f>
        <v>0</v>
      </c>
      <c r="S585" s="138">
        <f t="shared" si="48"/>
        <v>0</v>
      </c>
      <c r="T585" s="139" t="str">
        <f>VLOOKUP(I585,'3-Productie normen'!A:AF,28,FALSE)</f>
        <v>V</v>
      </c>
      <c r="U585" s="140"/>
      <c r="W585" s="141">
        <f t="shared" si="49"/>
        <v>3087.5</v>
      </c>
    </row>
    <row r="586" spans="1:23" ht="13.9" customHeight="1">
      <c r="A586" s="132">
        <v>586</v>
      </c>
      <c r="B586" s="49" t="s">
        <v>1681</v>
      </c>
      <c r="C586" s="49" t="s">
        <v>667</v>
      </c>
      <c r="D586" s="145" t="s">
        <v>271</v>
      </c>
      <c r="E586" s="146" t="s">
        <v>1192</v>
      </c>
      <c r="F586" s="146"/>
      <c r="G586" s="145" t="s">
        <v>235</v>
      </c>
      <c r="H586" s="145" t="s">
        <v>236</v>
      </c>
      <c r="I586" s="49" t="s">
        <v>1486</v>
      </c>
      <c r="J586" s="149" t="s">
        <v>1055</v>
      </c>
      <c r="K586" s="152" t="s">
        <v>1522</v>
      </c>
      <c r="L586" s="151">
        <v>71.13</v>
      </c>
      <c r="M586" s="136">
        <f t="shared" si="45"/>
        <v>190</v>
      </c>
      <c r="N586" s="2">
        <v>190</v>
      </c>
      <c r="O586" s="2"/>
      <c r="P586" s="137" t="e">
        <f t="shared" si="46"/>
        <v>#DIV/0!</v>
      </c>
      <c r="Q586" s="137">
        <f t="shared" si="47"/>
        <v>0</v>
      </c>
      <c r="R586" s="138">
        <f>IF(N586="nio",0,IF(N586&gt;0,VLOOKUP(I586,'3-Productie normen'!A:V,VLOOKUP(N586,'3-Productie normen'!$B$35:$C$56,2,FALSE),FALSE)))/VLOOKUP(B586,'2-Kosten per locatie'!$A$11:$C$18,3,FALSE)</f>
        <v>0</v>
      </c>
      <c r="S586" s="138">
        <f t="shared" si="48"/>
        <v>0</v>
      </c>
      <c r="T586" s="139" t="str">
        <f>VLOOKUP(I586,'3-Productie normen'!A:AF,28,FALSE)</f>
        <v>V</v>
      </c>
      <c r="U586" s="140"/>
      <c r="W586" s="141">
        <f t="shared" si="49"/>
        <v>13514.699999999999</v>
      </c>
    </row>
    <row r="587" spans="1:23" ht="13.9" customHeight="1">
      <c r="A587" s="132">
        <v>587</v>
      </c>
      <c r="B587" s="49" t="s">
        <v>1681</v>
      </c>
      <c r="C587" s="49" t="s">
        <v>667</v>
      </c>
      <c r="D587" s="145" t="s">
        <v>271</v>
      </c>
      <c r="E587" s="146" t="s">
        <v>1193</v>
      </c>
      <c r="F587" s="146"/>
      <c r="G587" s="145" t="s">
        <v>235</v>
      </c>
      <c r="H587" s="145" t="s">
        <v>236</v>
      </c>
      <c r="I587" s="49" t="s">
        <v>1486</v>
      </c>
      <c r="J587" s="149" t="s">
        <v>1055</v>
      </c>
      <c r="K587" s="152" t="s">
        <v>1522</v>
      </c>
      <c r="L587" s="151">
        <v>117.06</v>
      </c>
      <c r="M587" s="136">
        <f t="shared" si="45"/>
        <v>190</v>
      </c>
      <c r="N587" s="2">
        <v>190</v>
      </c>
      <c r="O587" s="2"/>
      <c r="P587" s="137" t="e">
        <f t="shared" si="46"/>
        <v>#DIV/0!</v>
      </c>
      <c r="Q587" s="137">
        <f t="shared" si="47"/>
        <v>0</v>
      </c>
      <c r="R587" s="138">
        <f>IF(N587="nio",0,IF(N587&gt;0,VLOOKUP(I587,'3-Productie normen'!A:V,VLOOKUP(N587,'3-Productie normen'!$B$35:$C$56,2,FALSE),FALSE)))/VLOOKUP(B587,'2-Kosten per locatie'!$A$11:$C$18,3,FALSE)</f>
        <v>0</v>
      </c>
      <c r="S587" s="138">
        <f t="shared" si="48"/>
        <v>0</v>
      </c>
      <c r="T587" s="139" t="str">
        <f>VLOOKUP(I587,'3-Productie normen'!A:AF,28,FALSE)</f>
        <v>V</v>
      </c>
      <c r="U587" s="140"/>
      <c r="W587" s="141">
        <f t="shared" si="49"/>
        <v>22241.4</v>
      </c>
    </row>
    <row r="588" spans="1:23" ht="13.9" customHeight="1">
      <c r="A588" s="118">
        <v>588</v>
      </c>
      <c r="B588" s="49" t="s">
        <v>1681</v>
      </c>
      <c r="C588" s="49" t="s">
        <v>667</v>
      </c>
      <c r="D588" s="145" t="s">
        <v>271</v>
      </c>
      <c r="E588" s="146" t="s">
        <v>1194</v>
      </c>
      <c r="F588" s="146"/>
      <c r="G588" s="145" t="s">
        <v>235</v>
      </c>
      <c r="H588" s="145" t="s">
        <v>236</v>
      </c>
      <c r="I588" s="49" t="s">
        <v>1486</v>
      </c>
      <c r="J588" s="149" t="s">
        <v>1055</v>
      </c>
      <c r="K588" s="152" t="s">
        <v>1522</v>
      </c>
      <c r="L588" s="151">
        <v>93.42</v>
      </c>
      <c r="M588" s="136">
        <f t="shared" si="45"/>
        <v>190</v>
      </c>
      <c r="N588" s="2">
        <v>190</v>
      </c>
      <c r="O588" s="2"/>
      <c r="P588" s="137" t="e">
        <f t="shared" si="46"/>
        <v>#DIV/0!</v>
      </c>
      <c r="Q588" s="137">
        <f t="shared" si="47"/>
        <v>0</v>
      </c>
      <c r="R588" s="138">
        <f>IF(N588="nio",0,IF(N588&gt;0,VLOOKUP(I588,'3-Productie normen'!A:V,VLOOKUP(N588,'3-Productie normen'!$B$35:$C$56,2,FALSE),FALSE)))/VLOOKUP(B588,'2-Kosten per locatie'!$A$11:$C$18,3,FALSE)</f>
        <v>0</v>
      </c>
      <c r="S588" s="138">
        <f t="shared" si="48"/>
        <v>0</v>
      </c>
      <c r="T588" s="139" t="str">
        <f>VLOOKUP(I588,'3-Productie normen'!A:AF,28,FALSE)</f>
        <v>V</v>
      </c>
      <c r="U588" s="140"/>
      <c r="W588" s="141">
        <f t="shared" si="49"/>
        <v>17749.8</v>
      </c>
    </row>
    <row r="589" spans="1:23" ht="13.9" customHeight="1">
      <c r="A589" s="132">
        <v>589</v>
      </c>
      <c r="B589" s="49" t="s">
        <v>1681</v>
      </c>
      <c r="C589" s="49" t="s">
        <v>667</v>
      </c>
      <c r="D589" s="145" t="s">
        <v>271</v>
      </c>
      <c r="E589" s="146" t="s">
        <v>1195</v>
      </c>
      <c r="F589" s="146"/>
      <c r="G589" s="145" t="s">
        <v>44</v>
      </c>
      <c r="H589" s="145" t="s">
        <v>258</v>
      </c>
      <c r="I589" s="145" t="s">
        <v>259</v>
      </c>
      <c r="J589" s="149" t="s">
        <v>305</v>
      </c>
      <c r="K589" s="150"/>
      <c r="L589" s="151">
        <v>3.15</v>
      </c>
      <c r="M589" s="136">
        <f t="shared" si="45"/>
        <v>190</v>
      </c>
      <c r="N589" s="2">
        <v>190</v>
      </c>
      <c r="O589" s="2"/>
      <c r="P589" s="137" t="e">
        <f t="shared" si="46"/>
        <v>#DIV/0!</v>
      </c>
      <c r="Q589" s="137">
        <f t="shared" si="47"/>
        <v>0</v>
      </c>
      <c r="R589" s="138">
        <f>IF(N589="nio",0,IF(N589&gt;0,VLOOKUP(I589,'3-Productie normen'!A:V,VLOOKUP(N589,'3-Productie normen'!$B$35:$C$56,2,FALSE),FALSE)))/VLOOKUP(B589,'2-Kosten per locatie'!$A$11:$C$18,3,FALSE)</f>
        <v>0</v>
      </c>
      <c r="S589" s="138">
        <f t="shared" si="48"/>
        <v>0</v>
      </c>
      <c r="T589" s="139" t="str">
        <f>VLOOKUP(I589,'3-Productie normen'!A:AF,28,FALSE)</f>
        <v>S</v>
      </c>
      <c r="U589" s="140"/>
      <c r="W589" s="141">
        <f t="shared" si="49"/>
        <v>598.5</v>
      </c>
    </row>
    <row r="590" spans="1:23" ht="13.9" customHeight="1">
      <c r="A590" s="132">
        <v>590</v>
      </c>
      <c r="B590" s="49" t="s">
        <v>1681</v>
      </c>
      <c r="C590" s="49" t="s">
        <v>667</v>
      </c>
      <c r="D590" s="145" t="s">
        <v>271</v>
      </c>
      <c r="E590" s="146" t="s">
        <v>1196</v>
      </c>
      <c r="F590" s="146"/>
      <c r="G590" s="145" t="s">
        <v>44</v>
      </c>
      <c r="H590" s="145" t="s">
        <v>260</v>
      </c>
      <c r="I590" s="145" t="s">
        <v>259</v>
      </c>
      <c r="J590" s="149" t="s">
        <v>305</v>
      </c>
      <c r="K590" s="150"/>
      <c r="L590" s="151">
        <v>1.33</v>
      </c>
      <c r="M590" s="136">
        <f t="shared" si="45"/>
        <v>190</v>
      </c>
      <c r="N590" s="2">
        <v>190</v>
      </c>
      <c r="O590" s="2"/>
      <c r="P590" s="137" t="e">
        <f t="shared" si="46"/>
        <v>#DIV/0!</v>
      </c>
      <c r="Q590" s="137">
        <f t="shared" si="47"/>
        <v>0</v>
      </c>
      <c r="R590" s="138">
        <f>IF(N590="nio",0,IF(N590&gt;0,VLOOKUP(I590,'3-Productie normen'!A:V,VLOOKUP(N590,'3-Productie normen'!$B$35:$C$56,2,FALSE),FALSE)))/VLOOKUP(B590,'2-Kosten per locatie'!$A$11:$C$18,3,FALSE)</f>
        <v>0</v>
      </c>
      <c r="S590" s="138">
        <f t="shared" si="48"/>
        <v>0</v>
      </c>
      <c r="T590" s="139" t="str">
        <f>VLOOKUP(I590,'3-Productie normen'!A:AF,28,FALSE)</f>
        <v>S</v>
      </c>
      <c r="U590" s="140"/>
      <c r="W590" s="141">
        <f t="shared" si="49"/>
        <v>252.70000000000002</v>
      </c>
    </row>
    <row r="591" spans="1:23" ht="13.9" customHeight="1">
      <c r="A591" s="118">
        <v>591</v>
      </c>
      <c r="B591" s="49" t="s">
        <v>1681</v>
      </c>
      <c r="C591" s="49" t="s">
        <v>667</v>
      </c>
      <c r="D591" s="145" t="s">
        <v>271</v>
      </c>
      <c r="E591" s="146" t="s">
        <v>1197</v>
      </c>
      <c r="F591" s="146"/>
      <c r="G591" s="145" t="s">
        <v>44</v>
      </c>
      <c r="H591" s="145" t="s">
        <v>258</v>
      </c>
      <c r="I591" s="145" t="s">
        <v>259</v>
      </c>
      <c r="J591" s="149" t="s">
        <v>305</v>
      </c>
      <c r="K591" s="150"/>
      <c r="L591" s="151">
        <v>3.22</v>
      </c>
      <c r="M591" s="136">
        <f t="shared" si="45"/>
        <v>190</v>
      </c>
      <c r="N591" s="2">
        <v>190</v>
      </c>
      <c r="O591" s="2"/>
      <c r="P591" s="137" t="e">
        <f t="shared" si="46"/>
        <v>#DIV/0!</v>
      </c>
      <c r="Q591" s="137">
        <f t="shared" si="47"/>
        <v>0</v>
      </c>
      <c r="R591" s="138">
        <f>IF(N591="nio",0,IF(N591&gt;0,VLOOKUP(I591,'3-Productie normen'!A:V,VLOOKUP(N591,'3-Productie normen'!$B$35:$C$56,2,FALSE),FALSE)))/VLOOKUP(B591,'2-Kosten per locatie'!$A$11:$C$18,3,FALSE)</f>
        <v>0</v>
      </c>
      <c r="S591" s="138">
        <f t="shared" si="48"/>
        <v>0</v>
      </c>
      <c r="T591" s="139" t="str">
        <f>VLOOKUP(I591,'3-Productie normen'!A:AF,28,FALSE)</f>
        <v>S</v>
      </c>
      <c r="U591" s="140"/>
      <c r="W591" s="141">
        <f t="shared" si="49"/>
        <v>611.80000000000007</v>
      </c>
    </row>
    <row r="592" spans="1:23" ht="13.9" customHeight="1">
      <c r="A592" s="132">
        <v>592</v>
      </c>
      <c r="B592" s="49" t="s">
        <v>1681</v>
      </c>
      <c r="C592" s="49" t="s">
        <v>667</v>
      </c>
      <c r="D592" s="145" t="s">
        <v>271</v>
      </c>
      <c r="E592" s="146" t="s">
        <v>1198</v>
      </c>
      <c r="F592" s="146"/>
      <c r="G592" s="145" t="s">
        <v>44</v>
      </c>
      <c r="H592" s="145" t="s">
        <v>260</v>
      </c>
      <c r="I592" s="145" t="s">
        <v>259</v>
      </c>
      <c r="J592" s="149" t="s">
        <v>305</v>
      </c>
      <c r="K592" s="150"/>
      <c r="L592" s="151">
        <v>1.33</v>
      </c>
      <c r="M592" s="136">
        <f t="shared" si="45"/>
        <v>190</v>
      </c>
      <c r="N592" s="2">
        <v>190</v>
      </c>
      <c r="O592" s="2"/>
      <c r="P592" s="137" t="e">
        <f t="shared" si="46"/>
        <v>#DIV/0!</v>
      </c>
      <c r="Q592" s="137">
        <f t="shared" si="47"/>
        <v>0</v>
      </c>
      <c r="R592" s="138">
        <f>IF(N592="nio",0,IF(N592&gt;0,VLOOKUP(I592,'3-Productie normen'!A:V,VLOOKUP(N592,'3-Productie normen'!$B$35:$C$56,2,FALSE),FALSE)))/VLOOKUP(B592,'2-Kosten per locatie'!$A$11:$C$18,3,FALSE)</f>
        <v>0</v>
      </c>
      <c r="S592" s="138">
        <f t="shared" si="48"/>
        <v>0</v>
      </c>
      <c r="T592" s="139" t="str">
        <f>VLOOKUP(I592,'3-Productie normen'!A:AF,28,FALSE)</f>
        <v>S</v>
      </c>
      <c r="U592" s="140"/>
      <c r="W592" s="141">
        <f t="shared" si="49"/>
        <v>252.70000000000002</v>
      </c>
    </row>
    <row r="593" spans="1:23" ht="13.9" customHeight="1">
      <c r="A593" s="132">
        <v>593</v>
      </c>
      <c r="B593" s="49" t="s">
        <v>1681</v>
      </c>
      <c r="C593" s="49" t="s">
        <v>667</v>
      </c>
      <c r="D593" s="145" t="s">
        <v>271</v>
      </c>
      <c r="E593" s="146" t="s">
        <v>1199</v>
      </c>
      <c r="F593" s="146"/>
      <c r="G593" s="145" t="s">
        <v>44</v>
      </c>
      <c r="H593" s="145" t="s">
        <v>258</v>
      </c>
      <c r="I593" s="145" t="s">
        <v>259</v>
      </c>
      <c r="J593" s="149" t="s">
        <v>305</v>
      </c>
      <c r="K593" s="150"/>
      <c r="L593" s="151">
        <v>3.3</v>
      </c>
      <c r="M593" s="136">
        <f t="shared" si="45"/>
        <v>190</v>
      </c>
      <c r="N593" s="2">
        <v>190</v>
      </c>
      <c r="O593" s="2"/>
      <c r="P593" s="137" t="e">
        <f t="shared" si="46"/>
        <v>#DIV/0!</v>
      </c>
      <c r="Q593" s="137">
        <f t="shared" si="47"/>
        <v>0</v>
      </c>
      <c r="R593" s="138">
        <f>IF(N593="nio",0,IF(N593&gt;0,VLOOKUP(I593,'3-Productie normen'!A:V,VLOOKUP(N593,'3-Productie normen'!$B$35:$C$56,2,FALSE),FALSE)))/VLOOKUP(B593,'2-Kosten per locatie'!$A$11:$C$18,3,FALSE)</f>
        <v>0</v>
      </c>
      <c r="S593" s="138">
        <f t="shared" si="48"/>
        <v>0</v>
      </c>
      <c r="T593" s="139" t="str">
        <f>VLOOKUP(I593,'3-Productie normen'!A:AF,28,FALSE)</f>
        <v>S</v>
      </c>
      <c r="U593" s="140"/>
      <c r="W593" s="141">
        <f t="shared" si="49"/>
        <v>627</v>
      </c>
    </row>
    <row r="594" spans="1:23" ht="13.9" customHeight="1">
      <c r="A594" s="118">
        <v>594</v>
      </c>
      <c r="B594" s="49" t="s">
        <v>1681</v>
      </c>
      <c r="C594" s="49" t="s">
        <v>667</v>
      </c>
      <c r="D594" s="145" t="s">
        <v>271</v>
      </c>
      <c r="E594" s="146" t="s">
        <v>1200</v>
      </c>
      <c r="F594" s="146"/>
      <c r="G594" s="145" t="s">
        <v>44</v>
      </c>
      <c r="H594" s="145" t="s">
        <v>260</v>
      </c>
      <c r="I594" s="145" t="s">
        <v>259</v>
      </c>
      <c r="J594" s="149" t="s">
        <v>305</v>
      </c>
      <c r="K594" s="150"/>
      <c r="L594" s="151">
        <v>1.34</v>
      </c>
      <c r="M594" s="136">
        <f t="shared" si="45"/>
        <v>190</v>
      </c>
      <c r="N594" s="2">
        <v>190</v>
      </c>
      <c r="O594" s="2"/>
      <c r="P594" s="137" t="e">
        <f t="shared" si="46"/>
        <v>#DIV/0!</v>
      </c>
      <c r="Q594" s="137">
        <f t="shared" si="47"/>
        <v>0</v>
      </c>
      <c r="R594" s="138">
        <f>IF(N594="nio",0,IF(N594&gt;0,VLOOKUP(I594,'3-Productie normen'!A:V,VLOOKUP(N594,'3-Productie normen'!$B$35:$C$56,2,FALSE),FALSE)))/VLOOKUP(B594,'2-Kosten per locatie'!$A$11:$C$18,3,FALSE)</f>
        <v>0</v>
      </c>
      <c r="S594" s="138">
        <f t="shared" si="48"/>
        <v>0</v>
      </c>
      <c r="T594" s="139" t="str">
        <f>VLOOKUP(I594,'3-Productie normen'!A:AF,28,FALSE)</f>
        <v>S</v>
      </c>
      <c r="U594" s="140"/>
      <c r="W594" s="141">
        <f t="shared" si="49"/>
        <v>254.60000000000002</v>
      </c>
    </row>
    <row r="595" spans="1:23" ht="13.9" customHeight="1">
      <c r="A595" s="132">
        <v>595</v>
      </c>
      <c r="B595" s="49" t="s">
        <v>1681</v>
      </c>
      <c r="C595" s="49" t="s">
        <v>667</v>
      </c>
      <c r="D595" s="145" t="s">
        <v>271</v>
      </c>
      <c r="E595" s="146" t="s">
        <v>1201</v>
      </c>
      <c r="F595" s="146"/>
      <c r="G595" s="145" t="s">
        <v>44</v>
      </c>
      <c r="H595" s="145" t="s">
        <v>258</v>
      </c>
      <c r="I595" s="145" t="s">
        <v>259</v>
      </c>
      <c r="J595" s="149" t="s">
        <v>305</v>
      </c>
      <c r="K595" s="150"/>
      <c r="L595" s="151">
        <v>3.23</v>
      </c>
      <c r="M595" s="136">
        <f t="shared" si="45"/>
        <v>190</v>
      </c>
      <c r="N595" s="2">
        <v>190</v>
      </c>
      <c r="O595" s="2"/>
      <c r="P595" s="137" t="e">
        <f t="shared" si="46"/>
        <v>#DIV/0!</v>
      </c>
      <c r="Q595" s="137">
        <f t="shared" si="47"/>
        <v>0</v>
      </c>
      <c r="R595" s="138">
        <f>IF(N595="nio",0,IF(N595&gt;0,VLOOKUP(I595,'3-Productie normen'!A:V,VLOOKUP(N595,'3-Productie normen'!$B$35:$C$56,2,FALSE),FALSE)))/VLOOKUP(B595,'2-Kosten per locatie'!$A$11:$C$18,3,FALSE)</f>
        <v>0</v>
      </c>
      <c r="S595" s="138">
        <f t="shared" si="48"/>
        <v>0</v>
      </c>
      <c r="T595" s="139" t="str">
        <f>VLOOKUP(I595,'3-Productie normen'!A:AF,28,FALSE)</f>
        <v>S</v>
      </c>
      <c r="U595" s="140"/>
      <c r="W595" s="141">
        <f t="shared" si="49"/>
        <v>613.70000000000005</v>
      </c>
    </row>
    <row r="596" spans="1:23" ht="13.9" customHeight="1">
      <c r="A596" s="132">
        <v>596</v>
      </c>
      <c r="B596" s="49" t="s">
        <v>1681</v>
      </c>
      <c r="C596" s="49" t="s">
        <v>667</v>
      </c>
      <c r="D596" s="145" t="s">
        <v>271</v>
      </c>
      <c r="E596" s="146" t="s">
        <v>1202</v>
      </c>
      <c r="F596" s="146"/>
      <c r="G596" s="145" t="s">
        <v>44</v>
      </c>
      <c r="H596" s="145" t="s">
        <v>260</v>
      </c>
      <c r="I596" s="145" t="s">
        <v>259</v>
      </c>
      <c r="J596" s="149" t="s">
        <v>305</v>
      </c>
      <c r="K596" s="150"/>
      <c r="L596" s="151">
        <v>1.34</v>
      </c>
      <c r="M596" s="136">
        <f t="shared" si="45"/>
        <v>190</v>
      </c>
      <c r="N596" s="2">
        <v>190</v>
      </c>
      <c r="O596" s="2"/>
      <c r="P596" s="137" t="e">
        <f t="shared" si="46"/>
        <v>#DIV/0!</v>
      </c>
      <c r="Q596" s="137">
        <f t="shared" si="47"/>
        <v>0</v>
      </c>
      <c r="R596" s="138">
        <f>IF(N596="nio",0,IF(N596&gt;0,VLOOKUP(I596,'3-Productie normen'!A:V,VLOOKUP(N596,'3-Productie normen'!$B$35:$C$56,2,FALSE),FALSE)))/VLOOKUP(B596,'2-Kosten per locatie'!$A$11:$C$18,3,FALSE)</f>
        <v>0</v>
      </c>
      <c r="S596" s="138">
        <f t="shared" si="48"/>
        <v>0</v>
      </c>
      <c r="T596" s="139" t="str">
        <f>VLOOKUP(I596,'3-Productie normen'!A:AF,28,FALSE)</f>
        <v>S</v>
      </c>
      <c r="U596" s="140"/>
      <c r="W596" s="141">
        <f t="shared" si="49"/>
        <v>254.60000000000002</v>
      </c>
    </row>
    <row r="597" spans="1:23" ht="13.9" customHeight="1">
      <c r="A597" s="118">
        <v>597</v>
      </c>
      <c r="B597" s="49" t="s">
        <v>1681</v>
      </c>
      <c r="C597" s="49" t="s">
        <v>667</v>
      </c>
      <c r="D597" s="145" t="s">
        <v>271</v>
      </c>
      <c r="E597" s="146" t="s">
        <v>1203</v>
      </c>
      <c r="F597" s="146" t="s">
        <v>660</v>
      </c>
      <c r="G597" s="145" t="s">
        <v>264</v>
      </c>
      <c r="H597" s="145" t="s">
        <v>265</v>
      </c>
      <c r="I597" s="145" t="s">
        <v>284</v>
      </c>
      <c r="J597" s="149" t="s">
        <v>1055</v>
      </c>
      <c r="K597" s="152" t="s">
        <v>1522</v>
      </c>
      <c r="L597" s="151">
        <v>63.06</v>
      </c>
      <c r="M597" s="136">
        <f t="shared" si="45"/>
        <v>76</v>
      </c>
      <c r="N597" s="2">
        <v>76</v>
      </c>
      <c r="O597" s="2"/>
      <c r="P597" s="137" t="e">
        <f t="shared" si="46"/>
        <v>#DIV/0!</v>
      </c>
      <c r="Q597" s="137">
        <f t="shared" si="47"/>
        <v>0</v>
      </c>
      <c r="R597" s="138">
        <f>IF(N597="nio",0,IF(N597&gt;0,VLOOKUP(I597,'3-Productie normen'!A:V,VLOOKUP(N597,'3-Productie normen'!$B$35:$C$56,2,FALSE),FALSE)))/VLOOKUP(B597,'2-Kosten per locatie'!$A$11:$C$18,3,FALSE)</f>
        <v>0</v>
      </c>
      <c r="S597" s="138">
        <f t="shared" si="48"/>
        <v>0</v>
      </c>
      <c r="T597" s="139" t="str">
        <f>VLOOKUP(I597,'3-Productie normen'!A:AF,28,FALSE)</f>
        <v>L</v>
      </c>
      <c r="U597" s="140"/>
      <c r="W597" s="141">
        <f t="shared" si="49"/>
        <v>4792.5600000000004</v>
      </c>
    </row>
    <row r="598" spans="1:23" ht="13.9" customHeight="1">
      <c r="A598" s="132">
        <v>598</v>
      </c>
      <c r="B598" s="49" t="s">
        <v>1681</v>
      </c>
      <c r="C598" s="49" t="s">
        <v>667</v>
      </c>
      <c r="D598" s="145" t="s">
        <v>271</v>
      </c>
      <c r="E598" s="146" t="s">
        <v>1204</v>
      </c>
      <c r="F598" s="146" t="s">
        <v>662</v>
      </c>
      <c r="G598" s="145" t="s">
        <v>242</v>
      </c>
      <c r="H598" s="145" t="s">
        <v>242</v>
      </c>
      <c r="I598" s="1" t="s">
        <v>242</v>
      </c>
      <c r="J598" s="149" t="s">
        <v>1055</v>
      </c>
      <c r="K598" s="152" t="s">
        <v>1522</v>
      </c>
      <c r="L598" s="151">
        <v>6.7</v>
      </c>
      <c r="M598" s="136">
        <f t="shared" si="45"/>
        <v>2</v>
      </c>
      <c r="N598" s="2">
        <v>2</v>
      </c>
      <c r="O598" s="2"/>
      <c r="P598" s="137" t="e">
        <f t="shared" si="46"/>
        <v>#DIV/0!</v>
      </c>
      <c r="Q598" s="137">
        <f t="shared" si="47"/>
        <v>0</v>
      </c>
      <c r="R598" s="138">
        <f>IF(N598="nio",0,IF(N598&gt;0,VLOOKUP(I598,'3-Productie normen'!A:V,VLOOKUP(N598,'3-Productie normen'!$B$35:$C$56,2,FALSE),FALSE)))/VLOOKUP(B598,'2-Kosten per locatie'!$A$11:$C$18,3,FALSE)</f>
        <v>0</v>
      </c>
      <c r="S598" s="138">
        <f t="shared" si="48"/>
        <v>0</v>
      </c>
      <c r="T598" s="139" t="str">
        <f>VLOOKUP(I598,'3-Productie normen'!A:AF,28,FALSE)</f>
        <v>V</v>
      </c>
      <c r="U598" s="140"/>
      <c r="W598" s="141">
        <f t="shared" si="49"/>
        <v>13.4</v>
      </c>
    </row>
    <row r="599" spans="1:23" ht="13.9" customHeight="1">
      <c r="A599" s="132">
        <v>599</v>
      </c>
      <c r="B599" s="49" t="s">
        <v>1681</v>
      </c>
      <c r="C599" s="49" t="s">
        <v>667</v>
      </c>
      <c r="D599" s="145" t="s">
        <v>271</v>
      </c>
      <c r="E599" s="146" t="s">
        <v>1205</v>
      </c>
      <c r="F599" s="146" t="s">
        <v>634</v>
      </c>
      <c r="G599" s="145" t="s">
        <v>264</v>
      </c>
      <c r="H599" s="145" t="s">
        <v>265</v>
      </c>
      <c r="I599" s="145" t="s">
        <v>284</v>
      </c>
      <c r="J599" s="149" t="s">
        <v>1055</v>
      </c>
      <c r="K599" s="152" t="s">
        <v>1522</v>
      </c>
      <c r="L599" s="151">
        <v>62.18</v>
      </c>
      <c r="M599" s="136">
        <f t="shared" ref="M599:M662" si="50">SUM(N599:O599)</f>
        <v>76</v>
      </c>
      <c r="N599" s="2">
        <v>76</v>
      </c>
      <c r="O599" s="2"/>
      <c r="P599" s="137" t="e">
        <f t="shared" ref="P599:P662" si="51">IF(N599="nio",0,IF(N599&gt;0,N599*L599/R599,0))</f>
        <v>#DIV/0!</v>
      </c>
      <c r="Q599" s="137">
        <f t="shared" ref="Q599:Q662" si="52">IF(O599&gt;0,O599*L599/S599,0)</f>
        <v>0</v>
      </c>
      <c r="R599" s="138">
        <f>IF(N599="nio",0,IF(N599&gt;0,VLOOKUP(I599,'3-Productie normen'!A:V,VLOOKUP(N599,'3-Productie normen'!$B$35:$C$56,2,FALSE),FALSE)))/VLOOKUP(B599,'2-Kosten per locatie'!$A$11:$C$18,3,FALSE)</f>
        <v>0</v>
      </c>
      <c r="S599" s="138">
        <f t="shared" ref="S599:S662" si="53">IF(O599&gt;0,R599*$S$8,0)</f>
        <v>0</v>
      </c>
      <c r="T599" s="139" t="str">
        <f>VLOOKUP(I599,'3-Productie normen'!A:AF,28,FALSE)</f>
        <v>L</v>
      </c>
      <c r="U599" s="140"/>
      <c r="W599" s="141">
        <f t="shared" ref="W599:W662" si="54">M599*L599</f>
        <v>4725.68</v>
      </c>
    </row>
    <row r="600" spans="1:23" ht="13.9" customHeight="1">
      <c r="A600" s="118">
        <v>600</v>
      </c>
      <c r="B600" s="49" t="s">
        <v>1681</v>
      </c>
      <c r="C600" s="49" t="s">
        <v>667</v>
      </c>
      <c r="D600" s="145" t="s">
        <v>271</v>
      </c>
      <c r="E600" s="146" t="s">
        <v>1206</v>
      </c>
      <c r="F600" s="146" t="s">
        <v>632</v>
      </c>
      <c r="G600" s="145" t="s">
        <v>242</v>
      </c>
      <c r="H600" s="145" t="s">
        <v>242</v>
      </c>
      <c r="I600" s="1" t="s">
        <v>242</v>
      </c>
      <c r="J600" s="149" t="s">
        <v>1055</v>
      </c>
      <c r="K600" s="152" t="s">
        <v>1522</v>
      </c>
      <c r="L600" s="151">
        <v>7.39</v>
      </c>
      <c r="M600" s="136">
        <f t="shared" si="50"/>
        <v>2</v>
      </c>
      <c r="N600" s="2">
        <v>2</v>
      </c>
      <c r="O600" s="2"/>
      <c r="P600" s="137" t="e">
        <f t="shared" si="51"/>
        <v>#DIV/0!</v>
      </c>
      <c r="Q600" s="137">
        <f t="shared" si="52"/>
        <v>0</v>
      </c>
      <c r="R600" s="138">
        <f>IF(N600="nio",0,IF(N600&gt;0,VLOOKUP(I600,'3-Productie normen'!A:V,VLOOKUP(N600,'3-Productie normen'!$B$35:$C$56,2,FALSE),FALSE)))/VLOOKUP(B600,'2-Kosten per locatie'!$A$11:$C$18,3,FALSE)</f>
        <v>0</v>
      </c>
      <c r="S600" s="138">
        <f t="shared" si="53"/>
        <v>0</v>
      </c>
      <c r="T600" s="139" t="str">
        <f>VLOOKUP(I600,'3-Productie normen'!A:AF,28,FALSE)</f>
        <v>V</v>
      </c>
      <c r="U600" s="140"/>
      <c r="W600" s="141">
        <f t="shared" si="54"/>
        <v>14.78</v>
      </c>
    </row>
    <row r="601" spans="1:23" ht="13.9" customHeight="1">
      <c r="A601" s="132">
        <v>601</v>
      </c>
      <c r="B601" s="49" t="s">
        <v>1681</v>
      </c>
      <c r="C601" s="49" t="s">
        <v>667</v>
      </c>
      <c r="D601" s="145" t="s">
        <v>271</v>
      </c>
      <c r="E601" s="146" t="s">
        <v>1207</v>
      </c>
      <c r="F601" s="146" t="s">
        <v>636</v>
      </c>
      <c r="G601" s="145" t="s">
        <v>264</v>
      </c>
      <c r="H601" s="145" t="s">
        <v>284</v>
      </c>
      <c r="I601" s="145" t="s">
        <v>284</v>
      </c>
      <c r="J601" s="149" t="s">
        <v>1055</v>
      </c>
      <c r="K601" s="152" t="s">
        <v>1522</v>
      </c>
      <c r="L601" s="151">
        <v>82.64</v>
      </c>
      <c r="M601" s="136">
        <f t="shared" si="50"/>
        <v>76</v>
      </c>
      <c r="N601" s="2">
        <v>76</v>
      </c>
      <c r="O601" s="2"/>
      <c r="P601" s="137" t="e">
        <f t="shared" si="51"/>
        <v>#DIV/0!</v>
      </c>
      <c r="Q601" s="137">
        <f t="shared" si="52"/>
        <v>0</v>
      </c>
      <c r="R601" s="138">
        <f>IF(N601="nio",0,IF(N601&gt;0,VLOOKUP(I601,'3-Productie normen'!A:V,VLOOKUP(N601,'3-Productie normen'!$B$35:$C$56,2,FALSE),FALSE)))/VLOOKUP(B601,'2-Kosten per locatie'!$A$11:$C$18,3,FALSE)</f>
        <v>0</v>
      </c>
      <c r="S601" s="138">
        <f t="shared" si="53"/>
        <v>0</v>
      </c>
      <c r="T601" s="139" t="str">
        <f>VLOOKUP(I601,'3-Productie normen'!A:AF,28,FALSE)</f>
        <v>L</v>
      </c>
      <c r="U601" s="140"/>
      <c r="W601" s="141">
        <f t="shared" si="54"/>
        <v>6280.64</v>
      </c>
    </row>
    <row r="602" spans="1:23" ht="13.9" customHeight="1">
      <c r="A602" s="132">
        <v>602</v>
      </c>
      <c r="B602" s="49" t="s">
        <v>1681</v>
      </c>
      <c r="C602" s="49" t="s">
        <v>667</v>
      </c>
      <c r="D602" s="145" t="s">
        <v>271</v>
      </c>
      <c r="E602" s="146" t="s">
        <v>1208</v>
      </c>
      <c r="F602" s="146" t="s">
        <v>640</v>
      </c>
      <c r="G602" s="145" t="s">
        <v>242</v>
      </c>
      <c r="H602" s="145" t="s">
        <v>242</v>
      </c>
      <c r="I602" s="1" t="s">
        <v>242</v>
      </c>
      <c r="J602" s="149" t="s">
        <v>1055</v>
      </c>
      <c r="K602" s="152" t="s">
        <v>1522</v>
      </c>
      <c r="L602" s="151">
        <v>8.94</v>
      </c>
      <c r="M602" s="136">
        <f t="shared" si="50"/>
        <v>2</v>
      </c>
      <c r="N602" s="2">
        <v>2</v>
      </c>
      <c r="O602" s="2"/>
      <c r="P602" s="137" t="e">
        <f t="shared" si="51"/>
        <v>#DIV/0!</v>
      </c>
      <c r="Q602" s="137">
        <f t="shared" si="52"/>
        <v>0</v>
      </c>
      <c r="R602" s="138">
        <f>IF(N602="nio",0,IF(N602&gt;0,VLOOKUP(I602,'3-Productie normen'!A:V,VLOOKUP(N602,'3-Productie normen'!$B$35:$C$56,2,FALSE),FALSE)))/VLOOKUP(B602,'2-Kosten per locatie'!$A$11:$C$18,3,FALSE)</f>
        <v>0</v>
      </c>
      <c r="S602" s="138">
        <f t="shared" si="53"/>
        <v>0</v>
      </c>
      <c r="T602" s="139" t="str">
        <f>VLOOKUP(I602,'3-Productie normen'!A:AF,28,FALSE)</f>
        <v>V</v>
      </c>
      <c r="U602" s="140"/>
      <c r="W602" s="141">
        <f t="shared" si="54"/>
        <v>17.88</v>
      </c>
    </row>
    <row r="603" spans="1:23" ht="13.9" customHeight="1">
      <c r="A603" s="118">
        <v>603</v>
      </c>
      <c r="B603" s="49" t="s">
        <v>1681</v>
      </c>
      <c r="C603" s="49" t="s">
        <v>667</v>
      </c>
      <c r="D603" s="145" t="s">
        <v>271</v>
      </c>
      <c r="E603" s="146" t="s">
        <v>1209</v>
      </c>
      <c r="F603" s="146" t="s">
        <v>645</v>
      </c>
      <c r="G603" s="145" t="s">
        <v>264</v>
      </c>
      <c r="H603" s="145" t="s">
        <v>284</v>
      </c>
      <c r="I603" s="145" t="s">
        <v>284</v>
      </c>
      <c r="J603" s="149" t="s">
        <v>1055</v>
      </c>
      <c r="K603" s="152" t="s">
        <v>1522</v>
      </c>
      <c r="L603" s="151">
        <v>88.86</v>
      </c>
      <c r="M603" s="136">
        <f t="shared" si="50"/>
        <v>76</v>
      </c>
      <c r="N603" s="2">
        <v>76</v>
      </c>
      <c r="O603" s="2"/>
      <c r="P603" s="137" t="e">
        <f t="shared" si="51"/>
        <v>#DIV/0!</v>
      </c>
      <c r="Q603" s="137">
        <f t="shared" si="52"/>
        <v>0</v>
      </c>
      <c r="R603" s="138">
        <f>IF(N603="nio",0,IF(N603&gt;0,VLOOKUP(I603,'3-Productie normen'!A:V,VLOOKUP(N603,'3-Productie normen'!$B$35:$C$56,2,FALSE),FALSE)))/VLOOKUP(B603,'2-Kosten per locatie'!$A$11:$C$18,3,FALSE)</f>
        <v>0</v>
      </c>
      <c r="S603" s="138">
        <f t="shared" si="53"/>
        <v>0</v>
      </c>
      <c r="T603" s="139" t="str">
        <f>VLOOKUP(I603,'3-Productie normen'!A:AF,28,FALSE)</f>
        <v>L</v>
      </c>
      <c r="U603" s="140"/>
      <c r="W603" s="141">
        <f t="shared" si="54"/>
        <v>6753.36</v>
      </c>
    </row>
    <row r="604" spans="1:23" ht="13.9" customHeight="1">
      <c r="A604" s="132">
        <v>604</v>
      </c>
      <c r="B604" s="49" t="s">
        <v>1681</v>
      </c>
      <c r="C604" s="49" t="s">
        <v>667</v>
      </c>
      <c r="D604" s="145" t="s">
        <v>271</v>
      </c>
      <c r="E604" s="146" t="s">
        <v>1210</v>
      </c>
      <c r="F604" s="146" t="s">
        <v>642</v>
      </c>
      <c r="G604" s="145" t="s">
        <v>242</v>
      </c>
      <c r="H604" s="145" t="s">
        <v>242</v>
      </c>
      <c r="I604" s="1" t="s">
        <v>242</v>
      </c>
      <c r="J604" s="149" t="s">
        <v>1055</v>
      </c>
      <c r="K604" s="152" t="s">
        <v>1522</v>
      </c>
      <c r="L604" s="151">
        <v>9.3699999999999992</v>
      </c>
      <c r="M604" s="136">
        <f t="shared" si="50"/>
        <v>2</v>
      </c>
      <c r="N604" s="2">
        <v>2</v>
      </c>
      <c r="O604" s="2"/>
      <c r="P604" s="137" t="e">
        <f t="shared" si="51"/>
        <v>#DIV/0!</v>
      </c>
      <c r="Q604" s="137">
        <f t="shared" si="52"/>
        <v>0</v>
      </c>
      <c r="R604" s="138">
        <f>IF(N604="nio",0,IF(N604&gt;0,VLOOKUP(I604,'3-Productie normen'!A:V,VLOOKUP(N604,'3-Productie normen'!$B$35:$C$56,2,FALSE),FALSE)))/VLOOKUP(B604,'2-Kosten per locatie'!$A$11:$C$18,3,FALSE)</f>
        <v>0</v>
      </c>
      <c r="S604" s="138">
        <f t="shared" si="53"/>
        <v>0</v>
      </c>
      <c r="T604" s="139" t="str">
        <f>VLOOKUP(I604,'3-Productie normen'!A:AF,28,FALSE)</f>
        <v>V</v>
      </c>
      <c r="U604" s="140"/>
      <c r="W604" s="141">
        <f t="shared" si="54"/>
        <v>18.739999999999998</v>
      </c>
    </row>
    <row r="605" spans="1:23" ht="13.9" customHeight="1">
      <c r="A605" s="132">
        <v>605</v>
      </c>
      <c r="B605" s="49" t="s">
        <v>1681</v>
      </c>
      <c r="C605" s="49" t="s">
        <v>667</v>
      </c>
      <c r="D605" s="145" t="s">
        <v>271</v>
      </c>
      <c r="E605" s="146" t="s">
        <v>1211</v>
      </c>
      <c r="F605" s="146" t="s">
        <v>342</v>
      </c>
      <c r="G605" s="145" t="s">
        <v>264</v>
      </c>
      <c r="H605" s="145" t="s">
        <v>284</v>
      </c>
      <c r="I605" s="145" t="s">
        <v>284</v>
      </c>
      <c r="J605" s="149" t="s">
        <v>1055</v>
      </c>
      <c r="K605" s="152" t="s">
        <v>1522</v>
      </c>
      <c r="L605" s="151">
        <v>74.98</v>
      </c>
      <c r="M605" s="136">
        <f t="shared" si="50"/>
        <v>76</v>
      </c>
      <c r="N605" s="2">
        <v>76</v>
      </c>
      <c r="O605" s="2"/>
      <c r="P605" s="137" t="e">
        <f t="shared" si="51"/>
        <v>#DIV/0!</v>
      </c>
      <c r="Q605" s="137">
        <f t="shared" si="52"/>
        <v>0</v>
      </c>
      <c r="R605" s="138">
        <f>IF(N605="nio",0,IF(N605&gt;0,VLOOKUP(I605,'3-Productie normen'!A:V,VLOOKUP(N605,'3-Productie normen'!$B$35:$C$56,2,FALSE),FALSE)))/VLOOKUP(B605,'2-Kosten per locatie'!$A$11:$C$18,3,FALSE)</f>
        <v>0</v>
      </c>
      <c r="S605" s="138">
        <f t="shared" si="53"/>
        <v>0</v>
      </c>
      <c r="T605" s="139" t="str">
        <f>VLOOKUP(I605,'3-Productie normen'!A:AF,28,FALSE)</f>
        <v>L</v>
      </c>
      <c r="U605" s="140"/>
      <c r="W605" s="141">
        <f t="shared" si="54"/>
        <v>5698.4800000000005</v>
      </c>
    </row>
    <row r="606" spans="1:23" ht="13.9" customHeight="1">
      <c r="A606" s="118">
        <v>606</v>
      </c>
      <c r="B606" s="49" t="s">
        <v>1681</v>
      </c>
      <c r="C606" s="49" t="s">
        <v>667</v>
      </c>
      <c r="D606" s="145" t="s">
        <v>271</v>
      </c>
      <c r="E606" s="146" t="s">
        <v>1212</v>
      </c>
      <c r="F606" s="146" t="s">
        <v>647</v>
      </c>
      <c r="G606" s="145" t="s">
        <v>242</v>
      </c>
      <c r="H606" s="145" t="s">
        <v>242</v>
      </c>
      <c r="I606" s="1" t="s">
        <v>242</v>
      </c>
      <c r="J606" s="149" t="s">
        <v>1055</v>
      </c>
      <c r="K606" s="152" t="s">
        <v>1522</v>
      </c>
      <c r="L606" s="151">
        <v>10.01</v>
      </c>
      <c r="M606" s="136">
        <f t="shared" si="50"/>
        <v>2</v>
      </c>
      <c r="N606" s="2">
        <v>2</v>
      </c>
      <c r="O606" s="2"/>
      <c r="P606" s="137" t="e">
        <f t="shared" si="51"/>
        <v>#DIV/0!</v>
      </c>
      <c r="Q606" s="137">
        <f t="shared" si="52"/>
        <v>0</v>
      </c>
      <c r="R606" s="138">
        <f>IF(N606="nio",0,IF(N606&gt;0,VLOOKUP(I606,'3-Productie normen'!A:V,VLOOKUP(N606,'3-Productie normen'!$B$35:$C$56,2,FALSE),FALSE)))/VLOOKUP(B606,'2-Kosten per locatie'!$A$11:$C$18,3,FALSE)</f>
        <v>0</v>
      </c>
      <c r="S606" s="138">
        <f t="shared" si="53"/>
        <v>0</v>
      </c>
      <c r="T606" s="139" t="str">
        <f>VLOOKUP(I606,'3-Productie normen'!A:AF,28,FALSE)</f>
        <v>V</v>
      </c>
      <c r="U606" s="140"/>
      <c r="W606" s="141">
        <f t="shared" si="54"/>
        <v>20.02</v>
      </c>
    </row>
    <row r="607" spans="1:23" ht="13.9" customHeight="1">
      <c r="A607" s="132">
        <v>607</v>
      </c>
      <c r="B607" s="49" t="s">
        <v>1681</v>
      </c>
      <c r="C607" s="49" t="s">
        <v>667</v>
      </c>
      <c r="D607" s="145" t="s">
        <v>271</v>
      </c>
      <c r="E607" s="146" t="s">
        <v>1213</v>
      </c>
      <c r="F607" s="146" t="s">
        <v>343</v>
      </c>
      <c r="G607" s="145" t="s">
        <v>264</v>
      </c>
      <c r="H607" s="145" t="s">
        <v>265</v>
      </c>
      <c r="I607" s="145" t="s">
        <v>284</v>
      </c>
      <c r="J607" s="149" t="s">
        <v>1055</v>
      </c>
      <c r="K607" s="152" t="s">
        <v>1522</v>
      </c>
      <c r="L607" s="151">
        <v>70.540000000000006</v>
      </c>
      <c r="M607" s="136">
        <f t="shared" si="50"/>
        <v>76</v>
      </c>
      <c r="N607" s="2">
        <v>76</v>
      </c>
      <c r="O607" s="2"/>
      <c r="P607" s="137" t="e">
        <f t="shared" si="51"/>
        <v>#DIV/0!</v>
      </c>
      <c r="Q607" s="137">
        <f t="shared" si="52"/>
        <v>0</v>
      </c>
      <c r="R607" s="138">
        <f>IF(N607="nio",0,IF(N607&gt;0,VLOOKUP(I607,'3-Productie normen'!A:V,VLOOKUP(N607,'3-Productie normen'!$B$35:$C$56,2,FALSE),FALSE)))/VLOOKUP(B607,'2-Kosten per locatie'!$A$11:$C$18,3,FALSE)</f>
        <v>0</v>
      </c>
      <c r="S607" s="138">
        <f t="shared" si="53"/>
        <v>0</v>
      </c>
      <c r="T607" s="139" t="str">
        <f>VLOOKUP(I607,'3-Productie normen'!A:AF,28,FALSE)</f>
        <v>L</v>
      </c>
      <c r="U607" s="140"/>
      <c r="W607" s="141">
        <f t="shared" si="54"/>
        <v>5361.0400000000009</v>
      </c>
    </row>
    <row r="608" spans="1:23" ht="13.9" customHeight="1">
      <c r="A608" s="132">
        <v>608</v>
      </c>
      <c r="B608" s="49" t="s">
        <v>1681</v>
      </c>
      <c r="C608" s="49" t="s">
        <v>667</v>
      </c>
      <c r="D608" s="145" t="s">
        <v>271</v>
      </c>
      <c r="E608" s="146" t="s">
        <v>1214</v>
      </c>
      <c r="F608" s="146" t="s">
        <v>344</v>
      </c>
      <c r="G608" s="145" t="s">
        <v>264</v>
      </c>
      <c r="H608" s="145" t="s">
        <v>265</v>
      </c>
      <c r="I608" s="145" t="s">
        <v>284</v>
      </c>
      <c r="J608" s="149" t="s">
        <v>1055</v>
      </c>
      <c r="K608" s="152" t="s">
        <v>1522</v>
      </c>
      <c r="L608" s="151">
        <v>62.89</v>
      </c>
      <c r="M608" s="136">
        <f t="shared" si="50"/>
        <v>76</v>
      </c>
      <c r="N608" s="2">
        <v>76</v>
      </c>
      <c r="O608" s="2"/>
      <c r="P608" s="137" t="e">
        <f t="shared" si="51"/>
        <v>#DIV/0!</v>
      </c>
      <c r="Q608" s="137">
        <f t="shared" si="52"/>
        <v>0</v>
      </c>
      <c r="R608" s="138">
        <f>IF(N608="nio",0,IF(N608&gt;0,VLOOKUP(I608,'3-Productie normen'!A:V,VLOOKUP(N608,'3-Productie normen'!$B$35:$C$56,2,FALSE),FALSE)))/VLOOKUP(B608,'2-Kosten per locatie'!$A$11:$C$18,3,FALSE)</f>
        <v>0</v>
      </c>
      <c r="S608" s="138">
        <f t="shared" si="53"/>
        <v>0</v>
      </c>
      <c r="T608" s="139" t="str">
        <f>VLOOKUP(I608,'3-Productie normen'!A:AF,28,FALSE)</f>
        <v>L</v>
      </c>
      <c r="U608" s="140"/>
      <c r="W608" s="141">
        <f t="shared" si="54"/>
        <v>4779.6400000000003</v>
      </c>
    </row>
    <row r="609" spans="1:23" ht="13.9" customHeight="1">
      <c r="A609" s="118">
        <v>609</v>
      </c>
      <c r="B609" s="49" t="s">
        <v>1681</v>
      </c>
      <c r="C609" s="49" t="s">
        <v>667</v>
      </c>
      <c r="D609" s="145" t="s">
        <v>271</v>
      </c>
      <c r="E609" s="146" t="s">
        <v>1215</v>
      </c>
      <c r="F609" s="146" t="s">
        <v>346</v>
      </c>
      <c r="G609" s="145" t="s">
        <v>264</v>
      </c>
      <c r="H609" s="145" t="s">
        <v>284</v>
      </c>
      <c r="I609" s="145" t="s">
        <v>284</v>
      </c>
      <c r="J609" s="149" t="s">
        <v>1055</v>
      </c>
      <c r="K609" s="152" t="s">
        <v>1522</v>
      </c>
      <c r="L609" s="151">
        <v>65.459999999999994</v>
      </c>
      <c r="M609" s="136">
        <f t="shared" si="50"/>
        <v>76</v>
      </c>
      <c r="N609" s="2">
        <v>76</v>
      </c>
      <c r="O609" s="2"/>
      <c r="P609" s="137" t="e">
        <f t="shared" si="51"/>
        <v>#DIV/0!</v>
      </c>
      <c r="Q609" s="137">
        <f t="shared" si="52"/>
        <v>0</v>
      </c>
      <c r="R609" s="138">
        <f>IF(N609="nio",0,IF(N609&gt;0,VLOOKUP(I609,'3-Productie normen'!A:V,VLOOKUP(N609,'3-Productie normen'!$B$35:$C$56,2,FALSE),FALSE)))/VLOOKUP(B609,'2-Kosten per locatie'!$A$11:$C$18,3,FALSE)</f>
        <v>0</v>
      </c>
      <c r="S609" s="138">
        <f t="shared" si="53"/>
        <v>0</v>
      </c>
      <c r="T609" s="139" t="str">
        <f>VLOOKUP(I609,'3-Productie normen'!A:AF,28,FALSE)</f>
        <v>L</v>
      </c>
      <c r="U609" s="140"/>
      <c r="W609" s="141">
        <f t="shared" si="54"/>
        <v>4974.9599999999991</v>
      </c>
    </row>
    <row r="610" spans="1:23" ht="13.9" customHeight="1">
      <c r="A610" s="132">
        <v>610</v>
      </c>
      <c r="B610" s="49" t="s">
        <v>1681</v>
      </c>
      <c r="C610" s="49" t="s">
        <v>667</v>
      </c>
      <c r="D610" s="145" t="s">
        <v>271</v>
      </c>
      <c r="E610" s="146" t="s">
        <v>1216</v>
      </c>
      <c r="F610" s="146" t="s">
        <v>345</v>
      </c>
      <c r="G610" s="145" t="s">
        <v>242</v>
      </c>
      <c r="H610" s="145" t="s">
        <v>242</v>
      </c>
      <c r="I610" s="1" t="s">
        <v>242</v>
      </c>
      <c r="J610" s="149" t="s">
        <v>1055</v>
      </c>
      <c r="K610" s="152" t="s">
        <v>1522</v>
      </c>
      <c r="L610" s="151">
        <v>13.19</v>
      </c>
      <c r="M610" s="136">
        <f t="shared" si="50"/>
        <v>2</v>
      </c>
      <c r="N610" s="2">
        <v>2</v>
      </c>
      <c r="O610" s="2"/>
      <c r="P610" s="137" t="e">
        <f t="shared" si="51"/>
        <v>#DIV/0!</v>
      </c>
      <c r="Q610" s="137">
        <f t="shared" si="52"/>
        <v>0</v>
      </c>
      <c r="R610" s="138">
        <f>IF(N610="nio",0,IF(N610&gt;0,VLOOKUP(I610,'3-Productie normen'!A:V,VLOOKUP(N610,'3-Productie normen'!$B$35:$C$56,2,FALSE),FALSE)))/VLOOKUP(B610,'2-Kosten per locatie'!$A$11:$C$18,3,FALSE)</f>
        <v>0</v>
      </c>
      <c r="S610" s="138">
        <f t="shared" si="53"/>
        <v>0</v>
      </c>
      <c r="T610" s="139" t="str">
        <f>VLOOKUP(I610,'3-Productie normen'!A:AF,28,FALSE)</f>
        <v>V</v>
      </c>
      <c r="U610" s="140"/>
      <c r="W610" s="141">
        <f t="shared" si="54"/>
        <v>26.38</v>
      </c>
    </row>
    <row r="611" spans="1:23" ht="13.9" customHeight="1">
      <c r="A611" s="132">
        <v>611</v>
      </c>
      <c r="B611" s="49" t="s">
        <v>1681</v>
      </c>
      <c r="C611" s="49" t="s">
        <v>667</v>
      </c>
      <c r="D611" s="145" t="s">
        <v>271</v>
      </c>
      <c r="E611" s="146" t="s">
        <v>1217</v>
      </c>
      <c r="F611" s="146"/>
      <c r="G611" s="145" t="s">
        <v>242</v>
      </c>
      <c r="H611" s="145" t="s">
        <v>242</v>
      </c>
      <c r="I611" s="1" t="s">
        <v>242</v>
      </c>
      <c r="J611" s="149" t="s">
        <v>1055</v>
      </c>
      <c r="K611" s="152" t="s">
        <v>1522</v>
      </c>
      <c r="L611" s="151">
        <v>4.8600000000000003</v>
      </c>
      <c r="M611" s="136">
        <f t="shared" si="50"/>
        <v>2</v>
      </c>
      <c r="N611" s="2">
        <v>2</v>
      </c>
      <c r="O611" s="2"/>
      <c r="P611" s="137" t="e">
        <f t="shared" si="51"/>
        <v>#DIV/0!</v>
      </c>
      <c r="Q611" s="137">
        <f t="shared" si="52"/>
        <v>0</v>
      </c>
      <c r="R611" s="138">
        <f>IF(N611="nio",0,IF(N611&gt;0,VLOOKUP(I611,'3-Productie normen'!A:V,VLOOKUP(N611,'3-Productie normen'!$B$35:$C$56,2,FALSE),FALSE)))/VLOOKUP(B611,'2-Kosten per locatie'!$A$11:$C$18,3,FALSE)</f>
        <v>0</v>
      </c>
      <c r="S611" s="138">
        <f t="shared" si="53"/>
        <v>0</v>
      </c>
      <c r="T611" s="139" t="str">
        <f>VLOOKUP(I611,'3-Productie normen'!A:AF,28,FALSE)</f>
        <v>V</v>
      </c>
      <c r="U611" s="140"/>
      <c r="W611" s="141">
        <f t="shared" si="54"/>
        <v>9.7200000000000006</v>
      </c>
    </row>
    <row r="612" spans="1:23" ht="13.9" customHeight="1">
      <c r="A612" s="118">
        <v>612</v>
      </c>
      <c r="B612" s="49" t="s">
        <v>1681</v>
      </c>
      <c r="C612" s="49" t="s">
        <v>667</v>
      </c>
      <c r="D612" s="145" t="s">
        <v>271</v>
      </c>
      <c r="E612" s="146" t="s">
        <v>1218</v>
      </c>
      <c r="F612" s="146" t="s">
        <v>320</v>
      </c>
      <c r="G612" s="145" t="s">
        <v>245</v>
      </c>
      <c r="H612" s="145" t="s">
        <v>50</v>
      </c>
      <c r="I612" s="145" t="s">
        <v>270</v>
      </c>
      <c r="J612" s="149" t="s">
        <v>1055</v>
      </c>
      <c r="K612" s="152" t="s">
        <v>1522</v>
      </c>
      <c r="L612" s="151">
        <v>8.65</v>
      </c>
      <c r="M612" s="136">
        <f t="shared" si="50"/>
        <v>76</v>
      </c>
      <c r="N612" s="2">
        <v>76</v>
      </c>
      <c r="O612" s="2"/>
      <c r="P612" s="137" t="e">
        <f t="shared" si="51"/>
        <v>#DIV/0!</v>
      </c>
      <c r="Q612" s="137">
        <f t="shared" si="52"/>
        <v>0</v>
      </c>
      <c r="R612" s="138">
        <f>IF(N612="nio",0,IF(N612&gt;0,VLOOKUP(I612,'3-Productie normen'!A:V,VLOOKUP(N612,'3-Productie normen'!$B$35:$C$56,2,FALSE),FALSE)))/VLOOKUP(B612,'2-Kosten per locatie'!$A$11:$C$18,3,FALSE)</f>
        <v>0</v>
      </c>
      <c r="S612" s="138">
        <f t="shared" si="53"/>
        <v>0</v>
      </c>
      <c r="T612" s="139" t="str">
        <f>VLOOKUP(I612,'3-Productie normen'!A:AF,28,FALSE)</f>
        <v>B</v>
      </c>
      <c r="U612" s="140"/>
      <c r="W612" s="141">
        <f t="shared" si="54"/>
        <v>657.4</v>
      </c>
    </row>
    <row r="613" spans="1:23" ht="13.9" customHeight="1">
      <c r="A613" s="132">
        <v>613</v>
      </c>
      <c r="B613" s="49" t="s">
        <v>1680</v>
      </c>
      <c r="C613" s="49" t="s">
        <v>668</v>
      </c>
      <c r="D613" s="145" t="s">
        <v>230</v>
      </c>
      <c r="E613" s="146" t="s">
        <v>1219</v>
      </c>
      <c r="F613" s="146"/>
      <c r="G613" s="145" t="s">
        <v>275</v>
      </c>
      <c r="H613" s="145" t="s">
        <v>53</v>
      </c>
      <c r="I613" s="1" t="s">
        <v>233</v>
      </c>
      <c r="J613" s="149" t="s">
        <v>234</v>
      </c>
      <c r="K613" s="150"/>
      <c r="L613" s="151">
        <v>7.71</v>
      </c>
      <c r="M613" s="136">
        <f t="shared" si="50"/>
        <v>190</v>
      </c>
      <c r="N613" s="2">
        <v>190</v>
      </c>
      <c r="O613" s="2"/>
      <c r="P613" s="137" t="e">
        <f t="shared" si="51"/>
        <v>#DIV/0!</v>
      </c>
      <c r="Q613" s="137">
        <f t="shared" si="52"/>
        <v>0</v>
      </c>
      <c r="R613" s="138">
        <f>IF(N613="nio",0,IF(N613&gt;0,VLOOKUP(I613,'3-Productie normen'!A:V,VLOOKUP(N613,'3-Productie normen'!$B$35:$C$56,2,FALSE),FALSE)))/VLOOKUP(B613,'2-Kosten per locatie'!$A$11:$C$18,3,FALSE)</f>
        <v>0</v>
      </c>
      <c r="S613" s="138">
        <f t="shared" si="53"/>
        <v>0</v>
      </c>
      <c r="T613" s="139" t="str">
        <f>VLOOKUP(I613,'3-Productie normen'!A:AF,28,FALSE)</f>
        <v>V</v>
      </c>
      <c r="U613" s="140"/>
      <c r="W613" s="141">
        <f t="shared" si="54"/>
        <v>1464.9</v>
      </c>
    </row>
    <row r="614" spans="1:23" ht="13.9" customHeight="1">
      <c r="A614" s="132">
        <v>614</v>
      </c>
      <c r="B614" s="49" t="s">
        <v>1680</v>
      </c>
      <c r="C614" s="49" t="s">
        <v>668</v>
      </c>
      <c r="D614" s="145" t="s">
        <v>230</v>
      </c>
      <c r="E614" s="146" t="s">
        <v>1220</v>
      </c>
      <c r="F614" s="146"/>
      <c r="G614" s="145" t="s">
        <v>275</v>
      </c>
      <c r="H614" s="145" t="s">
        <v>53</v>
      </c>
      <c r="I614" s="1" t="s">
        <v>233</v>
      </c>
      <c r="J614" s="149" t="s">
        <v>234</v>
      </c>
      <c r="K614" s="150"/>
      <c r="L614" s="151">
        <v>47.73</v>
      </c>
      <c r="M614" s="136">
        <f t="shared" si="50"/>
        <v>190</v>
      </c>
      <c r="N614" s="2">
        <v>190</v>
      </c>
      <c r="O614" s="2"/>
      <c r="P614" s="137" t="e">
        <f t="shared" si="51"/>
        <v>#DIV/0!</v>
      </c>
      <c r="Q614" s="137">
        <f t="shared" si="52"/>
        <v>0</v>
      </c>
      <c r="R614" s="138">
        <f>IF(N614="nio",0,IF(N614&gt;0,VLOOKUP(I614,'3-Productie normen'!A:V,VLOOKUP(N614,'3-Productie normen'!$B$35:$C$56,2,FALSE),FALSE)))/VLOOKUP(B614,'2-Kosten per locatie'!$A$11:$C$18,3,FALSE)</f>
        <v>0</v>
      </c>
      <c r="S614" s="138">
        <f t="shared" si="53"/>
        <v>0</v>
      </c>
      <c r="T614" s="139" t="str">
        <f>VLOOKUP(I614,'3-Productie normen'!A:AF,28,FALSE)</f>
        <v>V</v>
      </c>
      <c r="U614" s="140"/>
      <c r="W614" s="141">
        <f t="shared" si="54"/>
        <v>9068.6999999999989</v>
      </c>
    </row>
    <row r="615" spans="1:23" ht="13.9" customHeight="1">
      <c r="A615" s="118">
        <v>615</v>
      </c>
      <c r="B615" s="49" t="s">
        <v>1680</v>
      </c>
      <c r="C615" s="49" t="s">
        <v>668</v>
      </c>
      <c r="D615" s="145" t="s">
        <v>230</v>
      </c>
      <c r="E615" s="146" t="s">
        <v>1221</v>
      </c>
      <c r="F615" s="146"/>
      <c r="G615" s="145" t="s">
        <v>275</v>
      </c>
      <c r="H615" s="145" t="s">
        <v>53</v>
      </c>
      <c r="I615" s="1" t="s">
        <v>233</v>
      </c>
      <c r="J615" s="149" t="s">
        <v>234</v>
      </c>
      <c r="K615" s="150"/>
      <c r="L615" s="151">
        <v>27.09</v>
      </c>
      <c r="M615" s="136">
        <f t="shared" si="50"/>
        <v>190</v>
      </c>
      <c r="N615" s="2">
        <v>190</v>
      </c>
      <c r="O615" s="2"/>
      <c r="P615" s="137" t="e">
        <f t="shared" si="51"/>
        <v>#DIV/0!</v>
      </c>
      <c r="Q615" s="137">
        <f t="shared" si="52"/>
        <v>0</v>
      </c>
      <c r="R615" s="138">
        <f>IF(N615="nio",0,IF(N615&gt;0,VLOOKUP(I615,'3-Productie normen'!A:V,VLOOKUP(N615,'3-Productie normen'!$B$35:$C$56,2,FALSE),FALSE)))/VLOOKUP(B615,'2-Kosten per locatie'!$A$11:$C$18,3,FALSE)</f>
        <v>0</v>
      </c>
      <c r="S615" s="138">
        <f t="shared" si="53"/>
        <v>0</v>
      </c>
      <c r="T615" s="139" t="str">
        <f>VLOOKUP(I615,'3-Productie normen'!A:AF,28,FALSE)</f>
        <v>V</v>
      </c>
      <c r="U615" s="140"/>
      <c r="W615" s="141">
        <f t="shared" si="54"/>
        <v>5147.1000000000004</v>
      </c>
    </row>
    <row r="616" spans="1:23" ht="13.9" customHeight="1">
      <c r="A616" s="132">
        <v>616</v>
      </c>
      <c r="B616" s="49" t="s">
        <v>1680</v>
      </c>
      <c r="C616" s="49" t="s">
        <v>668</v>
      </c>
      <c r="D616" s="145" t="s">
        <v>230</v>
      </c>
      <c r="E616" s="146" t="s">
        <v>1222</v>
      </c>
      <c r="F616" s="146"/>
      <c r="G616" s="145" t="s">
        <v>237</v>
      </c>
      <c r="H616" s="145" t="s">
        <v>238</v>
      </c>
      <c r="I616" s="91" t="s">
        <v>239</v>
      </c>
      <c r="J616" s="149" t="s">
        <v>234</v>
      </c>
      <c r="K616" s="150"/>
      <c r="L616" s="151">
        <v>24.07</v>
      </c>
      <c r="M616" s="136">
        <f t="shared" si="50"/>
        <v>0</v>
      </c>
      <c r="N616" s="2" t="s">
        <v>273</v>
      </c>
      <c r="O616" s="2"/>
      <c r="P616" s="137">
        <f t="shared" si="51"/>
        <v>0</v>
      </c>
      <c r="Q616" s="137">
        <f t="shared" si="52"/>
        <v>0</v>
      </c>
      <c r="R616" s="138">
        <f>IF(N616="nio",0,IF(N616&gt;0,VLOOKUP(I616,'3-Productie normen'!A:V,VLOOKUP(N616,'3-Productie normen'!$B$35:$C$56,2,FALSE),FALSE)))/VLOOKUP(B616,'2-Kosten per locatie'!$A$11:$C$18,3,FALSE)</f>
        <v>0</v>
      </c>
      <c r="S616" s="138">
        <f t="shared" si="53"/>
        <v>0</v>
      </c>
      <c r="T616" s="139">
        <f>VLOOKUP(I616,'3-Productie normen'!A:AF,28,FALSE)</f>
        <v>0</v>
      </c>
      <c r="U616" s="140"/>
      <c r="W616" s="141">
        <f t="shared" si="54"/>
        <v>0</v>
      </c>
    </row>
    <row r="617" spans="1:23" ht="13.9" customHeight="1">
      <c r="A617" s="132">
        <v>617</v>
      </c>
      <c r="B617" s="49" t="s">
        <v>1680</v>
      </c>
      <c r="C617" s="49" t="s">
        <v>668</v>
      </c>
      <c r="D617" s="145" t="s">
        <v>230</v>
      </c>
      <c r="E617" s="146" t="s">
        <v>1223</v>
      </c>
      <c r="F617" s="146"/>
      <c r="G617" s="145" t="s">
        <v>237</v>
      </c>
      <c r="H617" s="145" t="s">
        <v>238</v>
      </c>
      <c r="I617" s="91" t="s">
        <v>239</v>
      </c>
      <c r="J617" s="149" t="s">
        <v>234</v>
      </c>
      <c r="K617" s="150"/>
      <c r="L617" s="151">
        <v>91.71</v>
      </c>
      <c r="M617" s="136">
        <f t="shared" si="50"/>
        <v>0</v>
      </c>
      <c r="N617" s="2" t="s">
        <v>273</v>
      </c>
      <c r="O617" s="2"/>
      <c r="P617" s="137">
        <f t="shared" si="51"/>
        <v>0</v>
      </c>
      <c r="Q617" s="137">
        <f t="shared" si="52"/>
        <v>0</v>
      </c>
      <c r="R617" s="138">
        <f>IF(N617="nio",0,IF(N617&gt;0,VLOOKUP(I617,'3-Productie normen'!A:V,VLOOKUP(N617,'3-Productie normen'!$B$35:$C$56,2,FALSE),FALSE)))/VLOOKUP(B617,'2-Kosten per locatie'!$A$11:$C$18,3,FALSE)</f>
        <v>0</v>
      </c>
      <c r="S617" s="138">
        <f t="shared" si="53"/>
        <v>0</v>
      </c>
      <c r="T617" s="139">
        <f>VLOOKUP(I617,'3-Productie normen'!A:AF,28,FALSE)</f>
        <v>0</v>
      </c>
      <c r="U617" s="140"/>
      <c r="W617" s="141">
        <f t="shared" si="54"/>
        <v>0</v>
      </c>
    </row>
    <row r="618" spans="1:23" ht="13.9" customHeight="1">
      <c r="A618" s="118">
        <v>618</v>
      </c>
      <c r="B618" s="49" t="s">
        <v>1680</v>
      </c>
      <c r="C618" s="49" t="s">
        <v>668</v>
      </c>
      <c r="D618" s="145" t="s">
        <v>230</v>
      </c>
      <c r="E618" s="146" t="s">
        <v>1224</v>
      </c>
      <c r="F618" s="146"/>
      <c r="G618" s="145" t="s">
        <v>237</v>
      </c>
      <c r="H618" s="145" t="s">
        <v>257</v>
      </c>
      <c r="I618" s="91" t="s">
        <v>239</v>
      </c>
      <c r="J618" s="149" t="s">
        <v>231</v>
      </c>
      <c r="K618" s="150"/>
      <c r="L618" s="151">
        <v>0</v>
      </c>
      <c r="M618" s="136">
        <f t="shared" si="50"/>
        <v>0</v>
      </c>
      <c r="N618" s="2" t="s">
        <v>273</v>
      </c>
      <c r="O618" s="2"/>
      <c r="P618" s="137">
        <f t="shared" si="51"/>
        <v>0</v>
      </c>
      <c r="Q618" s="137">
        <f t="shared" si="52"/>
        <v>0</v>
      </c>
      <c r="R618" s="138">
        <f>IF(N618="nio",0,IF(N618&gt;0,VLOOKUP(I618,'3-Productie normen'!A:V,VLOOKUP(N618,'3-Productie normen'!$B$35:$C$56,2,FALSE),FALSE)))/VLOOKUP(B618,'2-Kosten per locatie'!$A$11:$C$18,3,FALSE)</f>
        <v>0</v>
      </c>
      <c r="S618" s="138">
        <f t="shared" si="53"/>
        <v>0</v>
      </c>
      <c r="T618" s="139">
        <f>VLOOKUP(I618,'3-Productie normen'!A:AF,28,FALSE)</f>
        <v>0</v>
      </c>
      <c r="U618" s="140"/>
      <c r="W618" s="141">
        <f t="shared" si="54"/>
        <v>0</v>
      </c>
    </row>
    <row r="619" spans="1:23" ht="13.9" customHeight="1">
      <c r="A619" s="132">
        <v>619</v>
      </c>
      <c r="B619" s="49" t="s">
        <v>1680</v>
      </c>
      <c r="C619" s="49" t="s">
        <v>668</v>
      </c>
      <c r="D619" s="145" t="s">
        <v>230</v>
      </c>
      <c r="E619" s="146" t="s">
        <v>1225</v>
      </c>
      <c r="F619" s="146"/>
      <c r="G619" s="145" t="s">
        <v>237</v>
      </c>
      <c r="H619" s="145" t="s">
        <v>257</v>
      </c>
      <c r="I619" s="91" t="s">
        <v>239</v>
      </c>
      <c r="J619" s="149" t="s">
        <v>231</v>
      </c>
      <c r="K619" s="150"/>
      <c r="L619" s="151">
        <v>0</v>
      </c>
      <c r="M619" s="136">
        <f t="shared" si="50"/>
        <v>0</v>
      </c>
      <c r="N619" s="2" t="s">
        <v>273</v>
      </c>
      <c r="O619" s="2"/>
      <c r="P619" s="137">
        <f t="shared" si="51"/>
        <v>0</v>
      </c>
      <c r="Q619" s="137">
        <f t="shared" si="52"/>
        <v>0</v>
      </c>
      <c r="R619" s="138">
        <f>IF(N619="nio",0,IF(N619&gt;0,VLOOKUP(I619,'3-Productie normen'!A:V,VLOOKUP(N619,'3-Productie normen'!$B$35:$C$56,2,FALSE),FALSE)))/VLOOKUP(B619,'2-Kosten per locatie'!$A$11:$C$18,3,FALSE)</f>
        <v>0</v>
      </c>
      <c r="S619" s="138">
        <f t="shared" si="53"/>
        <v>0</v>
      </c>
      <c r="T619" s="139">
        <f>VLOOKUP(I619,'3-Productie normen'!A:AF,28,FALSE)</f>
        <v>0</v>
      </c>
      <c r="U619" s="140"/>
      <c r="W619" s="141">
        <f t="shared" si="54"/>
        <v>0</v>
      </c>
    </row>
    <row r="620" spans="1:23" ht="13.9" customHeight="1">
      <c r="A620" s="132">
        <v>620</v>
      </c>
      <c r="B620" s="49" t="s">
        <v>1680</v>
      </c>
      <c r="C620" s="49" t="s">
        <v>668</v>
      </c>
      <c r="D620" s="145" t="s">
        <v>230</v>
      </c>
      <c r="E620" s="146" t="s">
        <v>1226</v>
      </c>
      <c r="F620" s="146"/>
      <c r="G620" s="145" t="s">
        <v>242</v>
      </c>
      <c r="H620" s="145" t="s">
        <v>242</v>
      </c>
      <c r="I620" s="1" t="s">
        <v>242</v>
      </c>
      <c r="J620" s="149" t="s">
        <v>234</v>
      </c>
      <c r="K620" s="150"/>
      <c r="L620" s="151">
        <v>56.06</v>
      </c>
      <c r="M620" s="136">
        <f t="shared" si="50"/>
        <v>2</v>
      </c>
      <c r="N620" s="2">
        <v>2</v>
      </c>
      <c r="O620" s="2"/>
      <c r="P620" s="137" t="e">
        <f t="shared" si="51"/>
        <v>#DIV/0!</v>
      </c>
      <c r="Q620" s="137">
        <f t="shared" si="52"/>
        <v>0</v>
      </c>
      <c r="R620" s="138">
        <f>IF(N620="nio",0,IF(N620&gt;0,VLOOKUP(I620,'3-Productie normen'!A:V,VLOOKUP(N620,'3-Productie normen'!$B$35:$C$56,2,FALSE),FALSE)))/VLOOKUP(B620,'2-Kosten per locatie'!$A$11:$C$18,3,FALSE)</f>
        <v>0</v>
      </c>
      <c r="S620" s="138">
        <f t="shared" si="53"/>
        <v>0</v>
      </c>
      <c r="T620" s="139" t="str">
        <f>VLOOKUP(I620,'3-Productie normen'!A:AF,28,FALSE)</f>
        <v>V</v>
      </c>
      <c r="U620" s="140"/>
      <c r="W620" s="141">
        <f t="shared" si="54"/>
        <v>112.12</v>
      </c>
    </row>
    <row r="621" spans="1:23" ht="13.9" customHeight="1">
      <c r="A621" s="118">
        <v>621</v>
      </c>
      <c r="B621" s="49" t="s">
        <v>1680</v>
      </c>
      <c r="C621" s="49" t="s">
        <v>668</v>
      </c>
      <c r="D621" s="145" t="s">
        <v>230</v>
      </c>
      <c r="E621" s="146" t="s">
        <v>1227</v>
      </c>
      <c r="F621" s="146"/>
      <c r="G621" s="145" t="s">
        <v>242</v>
      </c>
      <c r="H621" s="145" t="s">
        <v>242</v>
      </c>
      <c r="I621" s="1" t="s">
        <v>242</v>
      </c>
      <c r="J621" s="149" t="s">
        <v>234</v>
      </c>
      <c r="K621" s="150"/>
      <c r="L621" s="151">
        <v>11.5</v>
      </c>
      <c r="M621" s="136">
        <f t="shared" si="50"/>
        <v>2</v>
      </c>
      <c r="N621" s="2">
        <v>2</v>
      </c>
      <c r="O621" s="2"/>
      <c r="P621" s="137" t="e">
        <f t="shared" si="51"/>
        <v>#DIV/0!</v>
      </c>
      <c r="Q621" s="137">
        <f t="shared" si="52"/>
        <v>0</v>
      </c>
      <c r="R621" s="138">
        <f>IF(N621="nio",0,IF(N621&gt;0,VLOOKUP(I621,'3-Productie normen'!A:V,VLOOKUP(N621,'3-Productie normen'!$B$35:$C$56,2,FALSE),FALSE)))/VLOOKUP(B621,'2-Kosten per locatie'!$A$11:$C$18,3,FALSE)</f>
        <v>0</v>
      </c>
      <c r="S621" s="138">
        <f t="shared" si="53"/>
        <v>0</v>
      </c>
      <c r="T621" s="139" t="str">
        <f>VLOOKUP(I621,'3-Productie normen'!A:AF,28,FALSE)</f>
        <v>V</v>
      </c>
      <c r="U621" s="140"/>
      <c r="W621" s="141">
        <f t="shared" si="54"/>
        <v>23</v>
      </c>
    </row>
    <row r="622" spans="1:23" ht="13.9" customHeight="1">
      <c r="A622" s="132">
        <v>622</v>
      </c>
      <c r="B622" s="49" t="s">
        <v>1680</v>
      </c>
      <c r="C622" s="49" t="s">
        <v>668</v>
      </c>
      <c r="D622" s="145" t="s">
        <v>230</v>
      </c>
      <c r="E622" s="146" t="s">
        <v>1228</v>
      </c>
      <c r="F622" s="146"/>
      <c r="G622" s="145" t="s">
        <v>242</v>
      </c>
      <c r="H622" s="145" t="s">
        <v>242</v>
      </c>
      <c r="I622" s="1" t="s">
        <v>242</v>
      </c>
      <c r="J622" s="149" t="s">
        <v>234</v>
      </c>
      <c r="K622" s="150"/>
      <c r="L622" s="151">
        <v>57.48</v>
      </c>
      <c r="M622" s="136">
        <f t="shared" si="50"/>
        <v>2</v>
      </c>
      <c r="N622" s="2">
        <v>2</v>
      </c>
      <c r="O622" s="2"/>
      <c r="P622" s="137" t="e">
        <f t="shared" si="51"/>
        <v>#DIV/0!</v>
      </c>
      <c r="Q622" s="137">
        <f t="shared" si="52"/>
        <v>0</v>
      </c>
      <c r="R622" s="138">
        <f>IF(N622="nio",0,IF(N622&gt;0,VLOOKUP(I622,'3-Productie normen'!A:V,VLOOKUP(N622,'3-Productie normen'!$B$35:$C$56,2,FALSE),FALSE)))/VLOOKUP(B622,'2-Kosten per locatie'!$A$11:$C$18,3,FALSE)</f>
        <v>0</v>
      </c>
      <c r="S622" s="138">
        <f t="shared" si="53"/>
        <v>0</v>
      </c>
      <c r="T622" s="139" t="str">
        <f>VLOOKUP(I622,'3-Productie normen'!A:AF,28,FALSE)</f>
        <v>V</v>
      </c>
      <c r="U622" s="140"/>
      <c r="W622" s="141">
        <f t="shared" si="54"/>
        <v>114.96</v>
      </c>
    </row>
    <row r="623" spans="1:23" ht="13.9" customHeight="1">
      <c r="A623" s="132">
        <v>623</v>
      </c>
      <c r="B623" s="49" t="s">
        <v>1680</v>
      </c>
      <c r="C623" s="49" t="s">
        <v>668</v>
      </c>
      <c r="D623" s="145" t="s">
        <v>230</v>
      </c>
      <c r="E623" s="146" t="s">
        <v>1229</v>
      </c>
      <c r="F623" s="146"/>
      <c r="G623" s="145" t="s">
        <v>242</v>
      </c>
      <c r="H623" s="145" t="s">
        <v>242</v>
      </c>
      <c r="I623" s="1" t="s">
        <v>242</v>
      </c>
      <c r="J623" s="149" t="s">
        <v>234</v>
      </c>
      <c r="K623" s="150"/>
      <c r="L623" s="151">
        <v>24.7</v>
      </c>
      <c r="M623" s="136">
        <f t="shared" si="50"/>
        <v>2</v>
      </c>
      <c r="N623" s="2">
        <v>2</v>
      </c>
      <c r="O623" s="2"/>
      <c r="P623" s="137" t="e">
        <f t="shared" si="51"/>
        <v>#DIV/0!</v>
      </c>
      <c r="Q623" s="137">
        <f t="shared" si="52"/>
        <v>0</v>
      </c>
      <c r="R623" s="138">
        <f>IF(N623="nio",0,IF(N623&gt;0,VLOOKUP(I623,'3-Productie normen'!A:V,VLOOKUP(N623,'3-Productie normen'!$B$35:$C$56,2,FALSE),FALSE)))/VLOOKUP(B623,'2-Kosten per locatie'!$A$11:$C$18,3,FALSE)</f>
        <v>0</v>
      </c>
      <c r="S623" s="138">
        <f t="shared" si="53"/>
        <v>0</v>
      </c>
      <c r="T623" s="139" t="str">
        <f>VLOOKUP(I623,'3-Productie normen'!A:AF,28,FALSE)</f>
        <v>V</v>
      </c>
      <c r="U623" s="140"/>
      <c r="W623" s="141">
        <f t="shared" si="54"/>
        <v>49.4</v>
      </c>
    </row>
    <row r="624" spans="1:23" ht="13.9" customHeight="1">
      <c r="A624" s="118">
        <v>624</v>
      </c>
      <c r="B624" s="49" t="s">
        <v>1680</v>
      </c>
      <c r="C624" s="49" t="s">
        <v>668</v>
      </c>
      <c r="D624" s="145" t="s">
        <v>230</v>
      </c>
      <c r="E624" s="146" t="s">
        <v>1230</v>
      </c>
      <c r="F624" s="146"/>
      <c r="G624" s="145" t="s">
        <v>242</v>
      </c>
      <c r="H624" s="145" t="s">
        <v>242</v>
      </c>
      <c r="I624" s="1" t="s">
        <v>242</v>
      </c>
      <c r="J624" s="149" t="s">
        <v>234</v>
      </c>
      <c r="K624" s="150"/>
      <c r="L624" s="151">
        <v>31.46</v>
      </c>
      <c r="M624" s="136">
        <f t="shared" si="50"/>
        <v>2</v>
      </c>
      <c r="N624" s="2">
        <v>2</v>
      </c>
      <c r="O624" s="2"/>
      <c r="P624" s="137" t="e">
        <f t="shared" si="51"/>
        <v>#DIV/0!</v>
      </c>
      <c r="Q624" s="137">
        <f t="shared" si="52"/>
        <v>0</v>
      </c>
      <c r="R624" s="138">
        <f>IF(N624="nio",0,IF(N624&gt;0,VLOOKUP(I624,'3-Productie normen'!A:V,VLOOKUP(N624,'3-Productie normen'!$B$35:$C$56,2,FALSE),FALSE)))/VLOOKUP(B624,'2-Kosten per locatie'!$A$11:$C$18,3,FALSE)</f>
        <v>0</v>
      </c>
      <c r="S624" s="138">
        <f t="shared" si="53"/>
        <v>0</v>
      </c>
      <c r="T624" s="139" t="str">
        <f>VLOOKUP(I624,'3-Productie normen'!A:AF,28,FALSE)</f>
        <v>V</v>
      </c>
      <c r="U624" s="140"/>
      <c r="W624" s="141">
        <f t="shared" si="54"/>
        <v>62.92</v>
      </c>
    </row>
    <row r="625" spans="1:23" ht="13.9" customHeight="1">
      <c r="A625" s="132">
        <v>625</v>
      </c>
      <c r="B625" s="49" t="s">
        <v>1680</v>
      </c>
      <c r="C625" s="49" t="s">
        <v>668</v>
      </c>
      <c r="D625" s="145" t="s">
        <v>230</v>
      </c>
      <c r="E625" s="146" t="s">
        <v>1231</v>
      </c>
      <c r="F625" s="146"/>
      <c r="G625" s="145" t="s">
        <v>242</v>
      </c>
      <c r="H625" s="145" t="s">
        <v>242</v>
      </c>
      <c r="I625" s="1" t="s">
        <v>242</v>
      </c>
      <c r="J625" s="149" t="s">
        <v>234</v>
      </c>
      <c r="K625" s="150"/>
      <c r="L625" s="151">
        <v>36.53</v>
      </c>
      <c r="M625" s="136">
        <f t="shared" si="50"/>
        <v>2</v>
      </c>
      <c r="N625" s="2">
        <v>2</v>
      </c>
      <c r="O625" s="2"/>
      <c r="P625" s="137" t="e">
        <f t="shared" si="51"/>
        <v>#DIV/0!</v>
      </c>
      <c r="Q625" s="137">
        <f t="shared" si="52"/>
        <v>0</v>
      </c>
      <c r="R625" s="138">
        <f>IF(N625="nio",0,IF(N625&gt;0,VLOOKUP(I625,'3-Productie normen'!A:V,VLOOKUP(N625,'3-Productie normen'!$B$35:$C$56,2,FALSE),FALSE)))/VLOOKUP(B625,'2-Kosten per locatie'!$A$11:$C$18,3,FALSE)</f>
        <v>0</v>
      </c>
      <c r="S625" s="138">
        <f t="shared" si="53"/>
        <v>0</v>
      </c>
      <c r="T625" s="139" t="str">
        <f>VLOOKUP(I625,'3-Productie normen'!A:AF,28,FALSE)</f>
        <v>V</v>
      </c>
      <c r="U625" s="140"/>
      <c r="W625" s="141">
        <f t="shared" si="54"/>
        <v>73.06</v>
      </c>
    </row>
    <row r="626" spans="1:23" ht="13.9" customHeight="1">
      <c r="A626" s="132">
        <v>626</v>
      </c>
      <c r="B626" s="49" t="s">
        <v>1680</v>
      </c>
      <c r="C626" s="49" t="s">
        <v>668</v>
      </c>
      <c r="D626" s="145" t="s">
        <v>230</v>
      </c>
      <c r="E626" s="146" t="s">
        <v>1232</v>
      </c>
      <c r="F626" s="146"/>
      <c r="G626" s="145" t="s">
        <v>242</v>
      </c>
      <c r="H626" s="145" t="s">
        <v>242</v>
      </c>
      <c r="I626" s="1" t="s">
        <v>242</v>
      </c>
      <c r="J626" s="149" t="s">
        <v>234</v>
      </c>
      <c r="K626" s="150"/>
      <c r="L626" s="151">
        <v>40.76</v>
      </c>
      <c r="M626" s="136">
        <f t="shared" si="50"/>
        <v>2</v>
      </c>
      <c r="N626" s="2">
        <v>2</v>
      </c>
      <c r="O626" s="2"/>
      <c r="P626" s="137" t="e">
        <f t="shared" si="51"/>
        <v>#DIV/0!</v>
      </c>
      <c r="Q626" s="137">
        <f t="shared" si="52"/>
        <v>0</v>
      </c>
      <c r="R626" s="138">
        <f>IF(N626="nio",0,IF(N626&gt;0,VLOOKUP(I626,'3-Productie normen'!A:V,VLOOKUP(N626,'3-Productie normen'!$B$35:$C$56,2,FALSE),FALSE)))/VLOOKUP(B626,'2-Kosten per locatie'!$A$11:$C$18,3,FALSE)</f>
        <v>0</v>
      </c>
      <c r="S626" s="138">
        <f t="shared" si="53"/>
        <v>0</v>
      </c>
      <c r="T626" s="139" t="str">
        <f>VLOOKUP(I626,'3-Productie normen'!A:AF,28,FALSE)</f>
        <v>V</v>
      </c>
      <c r="U626" s="140"/>
      <c r="W626" s="141">
        <f t="shared" si="54"/>
        <v>81.52</v>
      </c>
    </row>
    <row r="627" spans="1:23" ht="13.9" customHeight="1">
      <c r="A627" s="118">
        <v>627</v>
      </c>
      <c r="B627" s="49" t="s">
        <v>1680</v>
      </c>
      <c r="C627" s="49" t="s">
        <v>668</v>
      </c>
      <c r="D627" s="145" t="s">
        <v>230</v>
      </c>
      <c r="E627" s="146" t="s">
        <v>1233</v>
      </c>
      <c r="F627" s="146"/>
      <c r="G627" s="145" t="s">
        <v>242</v>
      </c>
      <c r="H627" s="145" t="s">
        <v>242</v>
      </c>
      <c r="I627" s="1" t="s">
        <v>242</v>
      </c>
      <c r="J627" s="149" t="s">
        <v>234</v>
      </c>
      <c r="K627" s="150"/>
      <c r="L627" s="151">
        <v>37.08</v>
      </c>
      <c r="M627" s="136">
        <f t="shared" si="50"/>
        <v>2</v>
      </c>
      <c r="N627" s="2">
        <v>2</v>
      </c>
      <c r="O627" s="2"/>
      <c r="P627" s="137" t="e">
        <f t="shared" si="51"/>
        <v>#DIV/0!</v>
      </c>
      <c r="Q627" s="137">
        <f t="shared" si="52"/>
        <v>0</v>
      </c>
      <c r="R627" s="138">
        <f>IF(N627="nio",0,IF(N627&gt;0,VLOOKUP(I627,'3-Productie normen'!A:V,VLOOKUP(N627,'3-Productie normen'!$B$35:$C$56,2,FALSE),FALSE)))/VLOOKUP(B627,'2-Kosten per locatie'!$A$11:$C$18,3,FALSE)</f>
        <v>0</v>
      </c>
      <c r="S627" s="138">
        <f t="shared" si="53"/>
        <v>0</v>
      </c>
      <c r="T627" s="139" t="str">
        <f>VLOOKUP(I627,'3-Productie normen'!A:AF,28,FALSE)</f>
        <v>V</v>
      </c>
      <c r="U627" s="140"/>
      <c r="W627" s="141">
        <f t="shared" si="54"/>
        <v>74.16</v>
      </c>
    </row>
    <row r="628" spans="1:23" ht="13.9" customHeight="1">
      <c r="A628" s="132">
        <v>628</v>
      </c>
      <c r="B628" s="49" t="s">
        <v>1680</v>
      </c>
      <c r="C628" s="49" t="s">
        <v>668</v>
      </c>
      <c r="D628" s="145" t="s">
        <v>246</v>
      </c>
      <c r="E628" s="146" t="s">
        <v>1234</v>
      </c>
      <c r="F628" s="146"/>
      <c r="G628" s="145" t="s">
        <v>275</v>
      </c>
      <c r="H628" s="145" t="s">
        <v>53</v>
      </c>
      <c r="I628" s="1" t="s">
        <v>233</v>
      </c>
      <c r="J628" s="149" t="s">
        <v>305</v>
      </c>
      <c r="K628" s="150"/>
      <c r="L628" s="151">
        <v>66.930000000000007</v>
      </c>
      <c r="M628" s="136">
        <f t="shared" si="50"/>
        <v>190</v>
      </c>
      <c r="N628" s="2">
        <v>190</v>
      </c>
      <c r="O628" s="2"/>
      <c r="P628" s="137" t="e">
        <f t="shared" si="51"/>
        <v>#DIV/0!</v>
      </c>
      <c r="Q628" s="137">
        <f t="shared" si="52"/>
        <v>0</v>
      </c>
      <c r="R628" s="138">
        <f>IF(N628="nio",0,IF(N628&gt;0,VLOOKUP(I628,'3-Productie normen'!A:V,VLOOKUP(N628,'3-Productie normen'!$B$35:$C$56,2,FALSE),FALSE)))/VLOOKUP(B628,'2-Kosten per locatie'!$A$11:$C$18,3,FALSE)</f>
        <v>0</v>
      </c>
      <c r="S628" s="138">
        <f t="shared" si="53"/>
        <v>0</v>
      </c>
      <c r="T628" s="139" t="str">
        <f>VLOOKUP(I628,'3-Productie normen'!A:AF,28,FALSE)</f>
        <v>V</v>
      </c>
      <c r="U628" s="140"/>
      <c r="W628" s="141">
        <f t="shared" si="54"/>
        <v>12716.7</v>
      </c>
    </row>
    <row r="629" spans="1:23" ht="13.9" customHeight="1">
      <c r="A629" s="132">
        <v>629</v>
      </c>
      <c r="B629" s="49" t="s">
        <v>1680</v>
      </c>
      <c r="C629" s="49" t="s">
        <v>668</v>
      </c>
      <c r="D629" s="145" t="s">
        <v>246</v>
      </c>
      <c r="E629" s="146" t="s">
        <v>1235</v>
      </c>
      <c r="F629" s="146"/>
      <c r="G629" s="145" t="s">
        <v>275</v>
      </c>
      <c r="H629" s="145" t="s">
        <v>53</v>
      </c>
      <c r="I629" s="1" t="s">
        <v>233</v>
      </c>
      <c r="J629" s="149" t="s">
        <v>234</v>
      </c>
      <c r="K629" s="150"/>
      <c r="L629" s="151">
        <v>18.78</v>
      </c>
      <c r="M629" s="136">
        <f t="shared" si="50"/>
        <v>190</v>
      </c>
      <c r="N629" s="2">
        <v>190</v>
      </c>
      <c r="O629" s="2"/>
      <c r="P629" s="137" t="e">
        <f t="shared" si="51"/>
        <v>#DIV/0!</v>
      </c>
      <c r="Q629" s="137">
        <f t="shared" si="52"/>
        <v>0</v>
      </c>
      <c r="R629" s="138">
        <f>IF(N629="nio",0,IF(N629&gt;0,VLOOKUP(I629,'3-Productie normen'!A:V,VLOOKUP(N629,'3-Productie normen'!$B$35:$C$56,2,FALSE),FALSE)))/VLOOKUP(B629,'2-Kosten per locatie'!$A$11:$C$18,3,FALSE)</f>
        <v>0</v>
      </c>
      <c r="S629" s="138">
        <f t="shared" si="53"/>
        <v>0</v>
      </c>
      <c r="T629" s="139" t="str">
        <f>VLOOKUP(I629,'3-Productie normen'!A:AF,28,FALSE)</f>
        <v>V</v>
      </c>
      <c r="U629" s="140"/>
      <c r="W629" s="141">
        <f t="shared" si="54"/>
        <v>3568.2000000000003</v>
      </c>
    </row>
    <row r="630" spans="1:23" ht="13.9" customHeight="1">
      <c r="A630" s="118">
        <v>630</v>
      </c>
      <c r="B630" s="49" t="s">
        <v>1680</v>
      </c>
      <c r="C630" s="49" t="s">
        <v>668</v>
      </c>
      <c r="D630" s="145" t="s">
        <v>246</v>
      </c>
      <c r="E630" s="146" t="s">
        <v>1236</v>
      </c>
      <c r="F630" s="146"/>
      <c r="G630" s="145" t="s">
        <v>275</v>
      </c>
      <c r="H630" s="145" t="s">
        <v>53</v>
      </c>
      <c r="I630" s="1" t="s">
        <v>233</v>
      </c>
      <c r="J630" s="149" t="s">
        <v>234</v>
      </c>
      <c r="K630" s="150"/>
      <c r="L630" s="151">
        <v>4.7300000000000004</v>
      </c>
      <c r="M630" s="136">
        <f t="shared" si="50"/>
        <v>190</v>
      </c>
      <c r="N630" s="2">
        <v>190</v>
      </c>
      <c r="O630" s="2"/>
      <c r="P630" s="137" t="e">
        <f t="shared" si="51"/>
        <v>#DIV/0!</v>
      </c>
      <c r="Q630" s="137">
        <f t="shared" si="52"/>
        <v>0</v>
      </c>
      <c r="R630" s="138">
        <f>IF(N630="nio",0,IF(N630&gt;0,VLOOKUP(I630,'3-Productie normen'!A:V,VLOOKUP(N630,'3-Productie normen'!$B$35:$C$56,2,FALSE),FALSE)))/VLOOKUP(B630,'2-Kosten per locatie'!$A$11:$C$18,3,FALSE)</f>
        <v>0</v>
      </c>
      <c r="S630" s="138">
        <f t="shared" si="53"/>
        <v>0</v>
      </c>
      <c r="T630" s="139" t="str">
        <f>VLOOKUP(I630,'3-Productie normen'!A:AF,28,FALSE)</f>
        <v>V</v>
      </c>
      <c r="U630" s="140"/>
      <c r="W630" s="141">
        <f t="shared" si="54"/>
        <v>898.7</v>
      </c>
    </row>
    <row r="631" spans="1:23" ht="13.9" customHeight="1">
      <c r="A631" s="132">
        <v>631</v>
      </c>
      <c r="B631" s="49" t="s">
        <v>1680</v>
      </c>
      <c r="C631" s="49" t="s">
        <v>668</v>
      </c>
      <c r="D631" s="145" t="s">
        <v>246</v>
      </c>
      <c r="E631" s="146" t="s">
        <v>1237</v>
      </c>
      <c r="F631" s="146"/>
      <c r="G631" s="145" t="s">
        <v>275</v>
      </c>
      <c r="H631" s="145" t="s">
        <v>53</v>
      </c>
      <c r="I631" s="1" t="s">
        <v>233</v>
      </c>
      <c r="J631" s="149" t="s">
        <v>234</v>
      </c>
      <c r="K631" s="150"/>
      <c r="L631" s="151">
        <v>5.07</v>
      </c>
      <c r="M631" s="136">
        <f t="shared" si="50"/>
        <v>190</v>
      </c>
      <c r="N631" s="2">
        <v>190</v>
      </c>
      <c r="O631" s="2"/>
      <c r="P631" s="137" t="e">
        <f t="shared" si="51"/>
        <v>#DIV/0!</v>
      </c>
      <c r="Q631" s="137">
        <f t="shared" si="52"/>
        <v>0</v>
      </c>
      <c r="R631" s="138">
        <f>IF(N631="nio",0,IF(N631&gt;0,VLOOKUP(I631,'3-Productie normen'!A:V,VLOOKUP(N631,'3-Productie normen'!$B$35:$C$56,2,FALSE),FALSE)))/VLOOKUP(B631,'2-Kosten per locatie'!$A$11:$C$18,3,FALSE)</f>
        <v>0</v>
      </c>
      <c r="S631" s="138">
        <f t="shared" si="53"/>
        <v>0</v>
      </c>
      <c r="T631" s="139" t="str">
        <f>VLOOKUP(I631,'3-Productie normen'!A:AF,28,FALSE)</f>
        <v>V</v>
      </c>
      <c r="U631" s="140"/>
      <c r="W631" s="141">
        <f t="shared" si="54"/>
        <v>963.30000000000007</v>
      </c>
    </row>
    <row r="632" spans="1:23" ht="13.9" customHeight="1">
      <c r="A632" s="132">
        <v>632</v>
      </c>
      <c r="B632" s="49" t="s">
        <v>1680</v>
      </c>
      <c r="C632" s="49" t="s">
        <v>668</v>
      </c>
      <c r="D632" s="145" t="s">
        <v>246</v>
      </c>
      <c r="E632" s="146" t="s">
        <v>1238</v>
      </c>
      <c r="F632" s="146"/>
      <c r="G632" s="145" t="s">
        <v>275</v>
      </c>
      <c r="H632" s="145" t="s">
        <v>53</v>
      </c>
      <c r="I632" s="1" t="s">
        <v>233</v>
      </c>
      <c r="J632" s="149" t="s">
        <v>251</v>
      </c>
      <c r="K632" s="152" t="s">
        <v>1522</v>
      </c>
      <c r="L632" s="151">
        <v>5.51</v>
      </c>
      <c r="M632" s="136">
        <f t="shared" si="50"/>
        <v>190</v>
      </c>
      <c r="N632" s="2">
        <v>190</v>
      </c>
      <c r="O632" s="2"/>
      <c r="P632" s="137" t="e">
        <f t="shared" si="51"/>
        <v>#DIV/0!</v>
      </c>
      <c r="Q632" s="137">
        <f t="shared" si="52"/>
        <v>0</v>
      </c>
      <c r="R632" s="138">
        <f>IF(N632="nio",0,IF(N632&gt;0,VLOOKUP(I632,'3-Productie normen'!A:V,VLOOKUP(N632,'3-Productie normen'!$B$35:$C$56,2,FALSE),FALSE)))/VLOOKUP(B632,'2-Kosten per locatie'!$A$11:$C$18,3,FALSE)</f>
        <v>0</v>
      </c>
      <c r="S632" s="138">
        <f t="shared" si="53"/>
        <v>0</v>
      </c>
      <c r="T632" s="139" t="str">
        <f>VLOOKUP(I632,'3-Productie normen'!A:AF,28,FALSE)</f>
        <v>V</v>
      </c>
      <c r="U632" s="140"/>
      <c r="W632" s="141">
        <f t="shared" si="54"/>
        <v>1046.8999999999999</v>
      </c>
    </row>
    <row r="633" spans="1:23" ht="13.9" customHeight="1">
      <c r="A633" s="118">
        <v>633</v>
      </c>
      <c r="B633" s="49" t="s">
        <v>1680</v>
      </c>
      <c r="C633" s="49" t="s">
        <v>668</v>
      </c>
      <c r="D633" s="145" t="s">
        <v>246</v>
      </c>
      <c r="E633" s="146" t="s">
        <v>1239</v>
      </c>
      <c r="F633" s="146"/>
      <c r="G633" s="145" t="s">
        <v>275</v>
      </c>
      <c r="H633" s="145" t="s">
        <v>54</v>
      </c>
      <c r="I633" s="134" t="s">
        <v>54</v>
      </c>
      <c r="J633" s="149" t="s">
        <v>231</v>
      </c>
      <c r="K633" s="150"/>
      <c r="L633" s="151">
        <v>5.16</v>
      </c>
      <c r="M633" s="136">
        <f t="shared" si="50"/>
        <v>190</v>
      </c>
      <c r="N633" s="2">
        <v>190</v>
      </c>
      <c r="O633" s="2"/>
      <c r="P633" s="137" t="e">
        <f t="shared" si="51"/>
        <v>#DIV/0!</v>
      </c>
      <c r="Q633" s="137">
        <f t="shared" si="52"/>
        <v>0</v>
      </c>
      <c r="R633" s="138">
        <f>IF(N633="nio",0,IF(N633&gt;0,VLOOKUP(I633,'3-Productie normen'!A:V,VLOOKUP(N633,'3-Productie normen'!$B$35:$C$56,2,FALSE),FALSE)))/VLOOKUP(B633,'2-Kosten per locatie'!$A$11:$C$18,3,FALSE)</f>
        <v>0</v>
      </c>
      <c r="S633" s="138">
        <f t="shared" si="53"/>
        <v>0</v>
      </c>
      <c r="T633" s="139" t="str">
        <f>VLOOKUP(I633,'3-Productie normen'!A:AF,28,FALSE)</f>
        <v>V</v>
      </c>
      <c r="U633" s="140"/>
      <c r="W633" s="141">
        <f t="shared" si="54"/>
        <v>980.4</v>
      </c>
    </row>
    <row r="634" spans="1:23" ht="13.9" customHeight="1">
      <c r="A634" s="132">
        <v>634</v>
      </c>
      <c r="B634" s="49" t="s">
        <v>1680</v>
      </c>
      <c r="C634" s="49" t="s">
        <v>668</v>
      </c>
      <c r="D634" s="145" t="s">
        <v>246</v>
      </c>
      <c r="E634" s="146" t="s">
        <v>1240</v>
      </c>
      <c r="F634" s="146"/>
      <c r="G634" s="145" t="s">
        <v>276</v>
      </c>
      <c r="H634" s="145" t="s">
        <v>52</v>
      </c>
      <c r="I634" s="1" t="s">
        <v>247</v>
      </c>
      <c r="J634" s="149" t="s">
        <v>1241</v>
      </c>
      <c r="K634" s="150"/>
      <c r="L634" s="151">
        <v>21.01</v>
      </c>
      <c r="M634" s="136">
        <f t="shared" si="50"/>
        <v>190</v>
      </c>
      <c r="N634" s="2">
        <v>190</v>
      </c>
      <c r="O634" s="2"/>
      <c r="P634" s="137" t="e">
        <f t="shared" si="51"/>
        <v>#DIV/0!</v>
      </c>
      <c r="Q634" s="137">
        <f t="shared" si="52"/>
        <v>0</v>
      </c>
      <c r="R634" s="138">
        <f>IF(N634="nio",0,IF(N634&gt;0,VLOOKUP(I634,'3-Productie normen'!A:V,VLOOKUP(N634,'3-Productie normen'!$B$35:$C$56,2,FALSE),FALSE)))/VLOOKUP(B634,'2-Kosten per locatie'!$A$11:$C$18,3,FALSE)</f>
        <v>0</v>
      </c>
      <c r="S634" s="138">
        <f t="shared" si="53"/>
        <v>0</v>
      </c>
      <c r="T634" s="139" t="str">
        <f>VLOOKUP(I634,'3-Productie normen'!A:AF,28,FALSE)</f>
        <v>V</v>
      </c>
      <c r="U634" s="140"/>
      <c r="W634" s="141">
        <f t="shared" si="54"/>
        <v>3991.9</v>
      </c>
    </row>
    <row r="635" spans="1:23" ht="13.9" customHeight="1">
      <c r="A635" s="132">
        <v>635</v>
      </c>
      <c r="B635" s="49" t="s">
        <v>1680</v>
      </c>
      <c r="C635" s="49" t="s">
        <v>668</v>
      </c>
      <c r="D635" s="145" t="s">
        <v>246</v>
      </c>
      <c r="E635" s="146" t="s">
        <v>1242</v>
      </c>
      <c r="F635" s="146"/>
      <c r="G635" s="145" t="s">
        <v>276</v>
      </c>
      <c r="H635" s="145" t="s">
        <v>236</v>
      </c>
      <c r="I635" s="49" t="s">
        <v>1486</v>
      </c>
      <c r="J635" s="149" t="s">
        <v>305</v>
      </c>
      <c r="K635" s="150"/>
      <c r="L635" s="151">
        <v>26.29</v>
      </c>
      <c r="M635" s="136">
        <f t="shared" si="50"/>
        <v>190</v>
      </c>
      <c r="N635" s="2">
        <v>190</v>
      </c>
      <c r="O635" s="2"/>
      <c r="P635" s="137" t="e">
        <f t="shared" si="51"/>
        <v>#DIV/0!</v>
      </c>
      <c r="Q635" s="137">
        <f t="shared" si="52"/>
        <v>0</v>
      </c>
      <c r="R635" s="138">
        <f>IF(N635="nio",0,IF(N635&gt;0,VLOOKUP(I635,'3-Productie normen'!A:V,VLOOKUP(N635,'3-Productie normen'!$B$35:$C$56,2,FALSE),FALSE)))/VLOOKUP(B635,'2-Kosten per locatie'!$A$11:$C$18,3,FALSE)</f>
        <v>0</v>
      </c>
      <c r="S635" s="138">
        <f t="shared" si="53"/>
        <v>0</v>
      </c>
      <c r="T635" s="139" t="str">
        <f>VLOOKUP(I635,'3-Productie normen'!A:AF,28,FALSE)</f>
        <v>V</v>
      </c>
      <c r="U635" s="140"/>
      <c r="W635" s="141">
        <f t="shared" si="54"/>
        <v>4995.0999999999995</v>
      </c>
    </row>
    <row r="636" spans="1:23" ht="13.9" customHeight="1">
      <c r="A636" s="118">
        <v>636</v>
      </c>
      <c r="B636" s="49" t="s">
        <v>1680</v>
      </c>
      <c r="C636" s="49" t="s">
        <v>668</v>
      </c>
      <c r="D636" s="145" t="s">
        <v>246</v>
      </c>
      <c r="E636" s="146" t="s">
        <v>1243</v>
      </c>
      <c r="F636" s="146"/>
      <c r="G636" s="145" t="s">
        <v>276</v>
      </c>
      <c r="H636" s="145" t="s">
        <v>236</v>
      </c>
      <c r="I636" s="49" t="s">
        <v>1486</v>
      </c>
      <c r="J636" s="149" t="s">
        <v>251</v>
      </c>
      <c r="K636" s="152" t="s">
        <v>1522</v>
      </c>
      <c r="L636" s="151">
        <v>29.31</v>
      </c>
      <c r="M636" s="136">
        <f t="shared" si="50"/>
        <v>190</v>
      </c>
      <c r="N636" s="2">
        <v>190</v>
      </c>
      <c r="O636" s="2"/>
      <c r="P636" s="137" t="e">
        <f t="shared" si="51"/>
        <v>#DIV/0!</v>
      </c>
      <c r="Q636" s="137">
        <f t="shared" si="52"/>
        <v>0</v>
      </c>
      <c r="R636" s="138">
        <f>IF(N636="nio",0,IF(N636&gt;0,VLOOKUP(I636,'3-Productie normen'!A:V,VLOOKUP(N636,'3-Productie normen'!$B$35:$C$56,2,FALSE),FALSE)))/VLOOKUP(B636,'2-Kosten per locatie'!$A$11:$C$18,3,FALSE)</f>
        <v>0</v>
      </c>
      <c r="S636" s="138">
        <f t="shared" si="53"/>
        <v>0</v>
      </c>
      <c r="T636" s="139" t="str">
        <f>VLOOKUP(I636,'3-Productie normen'!A:AF,28,FALSE)</f>
        <v>V</v>
      </c>
      <c r="U636" s="140"/>
      <c r="W636" s="141">
        <f t="shared" si="54"/>
        <v>5568.9</v>
      </c>
    </row>
    <row r="637" spans="1:23" ht="13.9" customHeight="1">
      <c r="A637" s="132">
        <v>637</v>
      </c>
      <c r="B637" s="49" t="s">
        <v>1680</v>
      </c>
      <c r="C637" s="49" t="s">
        <v>668</v>
      </c>
      <c r="D637" s="145" t="s">
        <v>246</v>
      </c>
      <c r="E637" s="146" t="s">
        <v>1244</v>
      </c>
      <c r="F637" s="146"/>
      <c r="G637" s="145" t="s">
        <v>276</v>
      </c>
      <c r="H637" s="145" t="s">
        <v>52</v>
      </c>
      <c r="I637" s="1" t="s">
        <v>247</v>
      </c>
      <c r="J637" s="149" t="s">
        <v>234</v>
      </c>
      <c r="K637" s="150"/>
      <c r="L637" s="151">
        <v>6.99</v>
      </c>
      <c r="M637" s="136">
        <f t="shared" si="50"/>
        <v>190</v>
      </c>
      <c r="N637" s="2">
        <v>190</v>
      </c>
      <c r="O637" s="2"/>
      <c r="P637" s="137" t="e">
        <f t="shared" si="51"/>
        <v>#DIV/0!</v>
      </c>
      <c r="Q637" s="137">
        <f t="shared" si="52"/>
        <v>0</v>
      </c>
      <c r="R637" s="138">
        <f>IF(N637="nio",0,IF(N637&gt;0,VLOOKUP(I637,'3-Productie normen'!A:V,VLOOKUP(N637,'3-Productie normen'!$B$35:$C$56,2,FALSE),FALSE)))/VLOOKUP(B637,'2-Kosten per locatie'!$A$11:$C$18,3,FALSE)</f>
        <v>0</v>
      </c>
      <c r="S637" s="138">
        <f t="shared" si="53"/>
        <v>0</v>
      </c>
      <c r="T637" s="139" t="str">
        <f>VLOOKUP(I637,'3-Productie normen'!A:AF,28,FALSE)</f>
        <v>V</v>
      </c>
      <c r="U637" s="140"/>
      <c r="W637" s="141">
        <f t="shared" si="54"/>
        <v>1328.1000000000001</v>
      </c>
    </row>
    <row r="638" spans="1:23" ht="13.9" customHeight="1">
      <c r="A638" s="132">
        <v>638</v>
      </c>
      <c r="B638" s="49" t="s">
        <v>1680</v>
      </c>
      <c r="C638" s="49" t="s">
        <v>668</v>
      </c>
      <c r="D638" s="145" t="s">
        <v>246</v>
      </c>
      <c r="E638" s="146" t="s">
        <v>1245</v>
      </c>
      <c r="F638" s="146"/>
      <c r="G638" s="145" t="s">
        <v>276</v>
      </c>
      <c r="H638" s="145" t="s">
        <v>52</v>
      </c>
      <c r="I638" s="1" t="s">
        <v>247</v>
      </c>
      <c r="J638" s="149" t="s">
        <v>305</v>
      </c>
      <c r="K638" s="150"/>
      <c r="L638" s="151">
        <v>12.15</v>
      </c>
      <c r="M638" s="136">
        <f t="shared" si="50"/>
        <v>190</v>
      </c>
      <c r="N638" s="2">
        <v>190</v>
      </c>
      <c r="O638" s="2"/>
      <c r="P638" s="137" t="e">
        <f t="shared" si="51"/>
        <v>#DIV/0!</v>
      </c>
      <c r="Q638" s="137">
        <f t="shared" si="52"/>
        <v>0</v>
      </c>
      <c r="R638" s="138">
        <f>IF(N638="nio",0,IF(N638&gt;0,VLOOKUP(I638,'3-Productie normen'!A:V,VLOOKUP(N638,'3-Productie normen'!$B$35:$C$56,2,FALSE),FALSE)))/VLOOKUP(B638,'2-Kosten per locatie'!$A$11:$C$18,3,FALSE)</f>
        <v>0</v>
      </c>
      <c r="S638" s="138">
        <f t="shared" si="53"/>
        <v>0</v>
      </c>
      <c r="T638" s="139" t="str">
        <f>VLOOKUP(I638,'3-Productie normen'!A:AF,28,FALSE)</f>
        <v>V</v>
      </c>
      <c r="U638" s="140"/>
      <c r="W638" s="141">
        <f t="shared" si="54"/>
        <v>2308.5</v>
      </c>
    </row>
    <row r="639" spans="1:23" ht="13.9" customHeight="1">
      <c r="A639" s="118">
        <v>639</v>
      </c>
      <c r="B639" s="49" t="s">
        <v>1680</v>
      </c>
      <c r="C639" s="49" t="s">
        <v>668</v>
      </c>
      <c r="D639" s="145" t="s">
        <v>246</v>
      </c>
      <c r="E639" s="146" t="s">
        <v>1246</v>
      </c>
      <c r="F639" s="146"/>
      <c r="G639" s="145" t="s">
        <v>276</v>
      </c>
      <c r="H639" s="145" t="s">
        <v>236</v>
      </c>
      <c r="I639" s="49" t="s">
        <v>1486</v>
      </c>
      <c r="J639" s="149" t="s">
        <v>305</v>
      </c>
      <c r="K639" s="150"/>
      <c r="L639" s="151">
        <v>37.64</v>
      </c>
      <c r="M639" s="136">
        <f t="shared" si="50"/>
        <v>190</v>
      </c>
      <c r="N639" s="2">
        <v>190</v>
      </c>
      <c r="O639" s="2"/>
      <c r="P639" s="137" t="e">
        <f t="shared" si="51"/>
        <v>#DIV/0!</v>
      </c>
      <c r="Q639" s="137">
        <f t="shared" si="52"/>
        <v>0</v>
      </c>
      <c r="R639" s="138">
        <f>IF(N639="nio",0,IF(N639&gt;0,VLOOKUP(I639,'3-Productie normen'!A:V,VLOOKUP(N639,'3-Productie normen'!$B$35:$C$56,2,FALSE),FALSE)))/VLOOKUP(B639,'2-Kosten per locatie'!$A$11:$C$18,3,FALSE)</f>
        <v>0</v>
      </c>
      <c r="S639" s="138">
        <f t="shared" si="53"/>
        <v>0</v>
      </c>
      <c r="T639" s="139" t="str">
        <f>VLOOKUP(I639,'3-Productie normen'!A:AF,28,FALSE)</f>
        <v>V</v>
      </c>
      <c r="U639" s="140"/>
      <c r="W639" s="141">
        <f t="shared" si="54"/>
        <v>7151.6</v>
      </c>
    </row>
    <row r="640" spans="1:23" ht="13.9" customHeight="1">
      <c r="A640" s="132">
        <v>640</v>
      </c>
      <c r="B640" s="49" t="s">
        <v>1680</v>
      </c>
      <c r="C640" s="49" t="s">
        <v>668</v>
      </c>
      <c r="D640" s="145" t="s">
        <v>246</v>
      </c>
      <c r="E640" s="146" t="s">
        <v>1247</v>
      </c>
      <c r="F640" s="146"/>
      <c r="G640" s="145" t="s">
        <v>276</v>
      </c>
      <c r="H640" s="145" t="s">
        <v>236</v>
      </c>
      <c r="I640" s="49" t="s">
        <v>1486</v>
      </c>
      <c r="J640" s="149" t="s">
        <v>251</v>
      </c>
      <c r="K640" s="152" t="s">
        <v>1522</v>
      </c>
      <c r="L640" s="151">
        <v>45.96</v>
      </c>
      <c r="M640" s="136">
        <f t="shared" si="50"/>
        <v>190</v>
      </c>
      <c r="N640" s="2">
        <v>190</v>
      </c>
      <c r="O640" s="2"/>
      <c r="P640" s="137" t="e">
        <f t="shared" si="51"/>
        <v>#DIV/0!</v>
      </c>
      <c r="Q640" s="137">
        <f t="shared" si="52"/>
        <v>0</v>
      </c>
      <c r="R640" s="138">
        <f>IF(N640="nio",0,IF(N640&gt;0,VLOOKUP(I640,'3-Productie normen'!A:V,VLOOKUP(N640,'3-Productie normen'!$B$35:$C$56,2,FALSE),FALSE)))/VLOOKUP(B640,'2-Kosten per locatie'!$A$11:$C$18,3,FALSE)</f>
        <v>0</v>
      </c>
      <c r="S640" s="138">
        <f t="shared" si="53"/>
        <v>0</v>
      </c>
      <c r="T640" s="139" t="str">
        <f>VLOOKUP(I640,'3-Productie normen'!A:AF,28,FALSE)</f>
        <v>V</v>
      </c>
      <c r="U640" s="140"/>
      <c r="W640" s="141">
        <f t="shared" si="54"/>
        <v>8732.4</v>
      </c>
    </row>
    <row r="641" spans="1:23" ht="13.9" customHeight="1">
      <c r="A641" s="132">
        <v>641</v>
      </c>
      <c r="B641" s="49" t="s">
        <v>1680</v>
      </c>
      <c r="C641" s="49" t="s">
        <v>668</v>
      </c>
      <c r="D641" s="145" t="s">
        <v>246</v>
      </c>
      <c r="E641" s="146" t="s">
        <v>1248</v>
      </c>
      <c r="F641" s="146"/>
      <c r="G641" s="145" t="s">
        <v>276</v>
      </c>
      <c r="H641" s="145" t="s">
        <v>236</v>
      </c>
      <c r="I641" s="49" t="s">
        <v>1486</v>
      </c>
      <c r="J641" s="149" t="s">
        <v>251</v>
      </c>
      <c r="K641" s="152" t="s">
        <v>1522</v>
      </c>
      <c r="L641" s="151">
        <v>67.739999999999995</v>
      </c>
      <c r="M641" s="136">
        <f t="shared" si="50"/>
        <v>190</v>
      </c>
      <c r="N641" s="2">
        <v>190</v>
      </c>
      <c r="O641" s="2"/>
      <c r="P641" s="137" t="e">
        <f t="shared" si="51"/>
        <v>#DIV/0!</v>
      </c>
      <c r="Q641" s="137">
        <f t="shared" si="52"/>
        <v>0</v>
      </c>
      <c r="R641" s="138">
        <f>IF(N641="nio",0,IF(N641&gt;0,VLOOKUP(I641,'3-Productie normen'!A:V,VLOOKUP(N641,'3-Productie normen'!$B$35:$C$56,2,FALSE),FALSE)))/VLOOKUP(B641,'2-Kosten per locatie'!$A$11:$C$18,3,FALSE)</f>
        <v>0</v>
      </c>
      <c r="S641" s="138">
        <f t="shared" si="53"/>
        <v>0</v>
      </c>
      <c r="T641" s="139" t="str">
        <f>VLOOKUP(I641,'3-Productie normen'!A:AF,28,FALSE)</f>
        <v>V</v>
      </c>
      <c r="U641" s="140"/>
      <c r="W641" s="141">
        <f t="shared" si="54"/>
        <v>12870.599999999999</v>
      </c>
    </row>
    <row r="642" spans="1:23" ht="13.9" customHeight="1">
      <c r="A642" s="118">
        <v>642</v>
      </c>
      <c r="B642" s="49" t="s">
        <v>1680</v>
      </c>
      <c r="C642" s="49" t="s">
        <v>668</v>
      </c>
      <c r="D642" s="145" t="s">
        <v>246</v>
      </c>
      <c r="E642" s="146" t="s">
        <v>1249</v>
      </c>
      <c r="F642" s="146"/>
      <c r="G642" s="145" t="s">
        <v>276</v>
      </c>
      <c r="H642" s="145" t="s">
        <v>236</v>
      </c>
      <c r="I642" s="49" t="s">
        <v>1486</v>
      </c>
      <c r="J642" s="149" t="s">
        <v>251</v>
      </c>
      <c r="K642" s="152" t="s">
        <v>1522</v>
      </c>
      <c r="L642" s="151">
        <v>3.15</v>
      </c>
      <c r="M642" s="136">
        <f t="shared" si="50"/>
        <v>190</v>
      </c>
      <c r="N642" s="2">
        <v>190</v>
      </c>
      <c r="O642" s="2"/>
      <c r="P642" s="137" t="e">
        <f t="shared" si="51"/>
        <v>#DIV/0!</v>
      </c>
      <c r="Q642" s="137">
        <f t="shared" si="52"/>
        <v>0</v>
      </c>
      <c r="R642" s="138">
        <f>IF(N642="nio",0,IF(N642&gt;0,VLOOKUP(I642,'3-Productie normen'!A:V,VLOOKUP(N642,'3-Productie normen'!$B$35:$C$56,2,FALSE),FALSE)))/VLOOKUP(B642,'2-Kosten per locatie'!$A$11:$C$18,3,FALSE)</f>
        <v>0</v>
      </c>
      <c r="S642" s="138">
        <f t="shared" si="53"/>
        <v>0</v>
      </c>
      <c r="T642" s="139" t="str">
        <f>VLOOKUP(I642,'3-Productie normen'!A:AF,28,FALSE)</f>
        <v>V</v>
      </c>
      <c r="U642" s="140"/>
      <c r="W642" s="141">
        <f t="shared" si="54"/>
        <v>598.5</v>
      </c>
    </row>
    <row r="643" spans="1:23" ht="13.9" customHeight="1">
      <c r="A643" s="132">
        <v>643</v>
      </c>
      <c r="B643" s="49" t="s">
        <v>1680</v>
      </c>
      <c r="C643" s="49" t="s">
        <v>668</v>
      </c>
      <c r="D643" s="145" t="s">
        <v>246</v>
      </c>
      <c r="E643" s="146" t="s">
        <v>1250</v>
      </c>
      <c r="F643" s="146"/>
      <c r="G643" s="145" t="s">
        <v>44</v>
      </c>
      <c r="H643" s="145" t="s">
        <v>255</v>
      </c>
      <c r="I643" s="145" t="s">
        <v>239</v>
      </c>
      <c r="J643" s="149" t="s">
        <v>256</v>
      </c>
      <c r="K643" s="150"/>
      <c r="L643" s="151">
        <v>5.14</v>
      </c>
      <c r="M643" s="136">
        <f t="shared" si="50"/>
        <v>0</v>
      </c>
      <c r="N643" s="2" t="s">
        <v>273</v>
      </c>
      <c r="O643" s="2"/>
      <c r="P643" s="137">
        <f t="shared" si="51"/>
        <v>0</v>
      </c>
      <c r="Q643" s="137">
        <f t="shared" si="52"/>
        <v>0</v>
      </c>
      <c r="R643" s="138">
        <f>IF(N643="nio",0,IF(N643&gt;0,VLOOKUP(I643,'3-Productie normen'!A:V,VLOOKUP(N643,'3-Productie normen'!$B$35:$C$56,2,FALSE),FALSE)))/VLOOKUP(B643,'2-Kosten per locatie'!$A$11:$C$18,3,FALSE)</f>
        <v>0</v>
      </c>
      <c r="S643" s="138">
        <f t="shared" si="53"/>
        <v>0</v>
      </c>
      <c r="T643" s="139">
        <f>VLOOKUP(I643,'3-Productie normen'!A:AF,28,FALSE)</f>
        <v>0</v>
      </c>
      <c r="U643" s="140"/>
      <c r="W643" s="141">
        <f t="shared" si="54"/>
        <v>0</v>
      </c>
    </row>
    <row r="644" spans="1:23" ht="13.9" customHeight="1">
      <c r="A644" s="132">
        <v>644</v>
      </c>
      <c r="B644" s="49" t="s">
        <v>1680</v>
      </c>
      <c r="C644" s="49" t="s">
        <v>668</v>
      </c>
      <c r="D644" s="145" t="s">
        <v>246</v>
      </c>
      <c r="E644" s="146" t="s">
        <v>1251</v>
      </c>
      <c r="F644" s="146"/>
      <c r="G644" s="145" t="s">
        <v>44</v>
      </c>
      <c r="H644" s="145" t="s">
        <v>255</v>
      </c>
      <c r="I644" s="145" t="s">
        <v>239</v>
      </c>
      <c r="J644" s="149" t="s">
        <v>256</v>
      </c>
      <c r="K644" s="150"/>
      <c r="L644" s="151">
        <v>1.86</v>
      </c>
      <c r="M644" s="136">
        <f t="shared" si="50"/>
        <v>0</v>
      </c>
      <c r="N644" s="2" t="s">
        <v>273</v>
      </c>
      <c r="O644" s="2"/>
      <c r="P644" s="137">
        <f t="shared" si="51"/>
        <v>0</v>
      </c>
      <c r="Q644" s="137">
        <f t="shared" si="52"/>
        <v>0</v>
      </c>
      <c r="R644" s="138">
        <f>IF(N644="nio",0,IF(N644&gt;0,VLOOKUP(I644,'3-Productie normen'!A:V,VLOOKUP(N644,'3-Productie normen'!$B$35:$C$56,2,FALSE),FALSE)))/VLOOKUP(B644,'2-Kosten per locatie'!$A$11:$C$18,3,FALSE)</f>
        <v>0</v>
      </c>
      <c r="S644" s="138">
        <f t="shared" si="53"/>
        <v>0</v>
      </c>
      <c r="T644" s="139">
        <f>VLOOKUP(I644,'3-Productie normen'!A:AF,28,FALSE)</f>
        <v>0</v>
      </c>
      <c r="U644" s="140"/>
      <c r="W644" s="141">
        <f t="shared" si="54"/>
        <v>0</v>
      </c>
    </row>
    <row r="645" spans="1:23" ht="13.9" customHeight="1">
      <c r="A645" s="118">
        <v>645</v>
      </c>
      <c r="B645" s="49" t="s">
        <v>1680</v>
      </c>
      <c r="C645" s="49" t="s">
        <v>668</v>
      </c>
      <c r="D645" s="145" t="s">
        <v>246</v>
      </c>
      <c r="E645" s="146" t="s">
        <v>1252</v>
      </c>
      <c r="F645" s="146"/>
      <c r="G645" s="145" t="s">
        <v>44</v>
      </c>
      <c r="H645" s="145" t="s">
        <v>255</v>
      </c>
      <c r="I645" s="145" t="s">
        <v>239</v>
      </c>
      <c r="J645" s="149" t="s">
        <v>251</v>
      </c>
      <c r="K645" s="150"/>
      <c r="L645" s="151">
        <v>1.77</v>
      </c>
      <c r="M645" s="136">
        <f t="shared" si="50"/>
        <v>0</v>
      </c>
      <c r="N645" s="2" t="s">
        <v>273</v>
      </c>
      <c r="O645" s="2"/>
      <c r="P645" s="137">
        <f t="shared" si="51"/>
        <v>0</v>
      </c>
      <c r="Q645" s="137">
        <f t="shared" si="52"/>
        <v>0</v>
      </c>
      <c r="R645" s="138">
        <f>IF(N645="nio",0,IF(N645&gt;0,VLOOKUP(I645,'3-Productie normen'!A:V,VLOOKUP(N645,'3-Productie normen'!$B$35:$C$56,2,FALSE),FALSE)))/VLOOKUP(B645,'2-Kosten per locatie'!$A$11:$C$18,3,FALSE)</f>
        <v>0</v>
      </c>
      <c r="S645" s="138">
        <f t="shared" si="53"/>
        <v>0</v>
      </c>
      <c r="T645" s="139">
        <f>VLOOKUP(I645,'3-Productie normen'!A:AF,28,FALSE)</f>
        <v>0</v>
      </c>
      <c r="U645" s="140"/>
      <c r="W645" s="141">
        <f t="shared" si="54"/>
        <v>0</v>
      </c>
    </row>
    <row r="646" spans="1:23" ht="13.9" customHeight="1">
      <c r="A646" s="132">
        <v>646</v>
      </c>
      <c r="B646" s="49" t="s">
        <v>1680</v>
      </c>
      <c r="C646" s="49" t="s">
        <v>668</v>
      </c>
      <c r="D646" s="145" t="s">
        <v>246</v>
      </c>
      <c r="E646" s="146" t="s">
        <v>1253</v>
      </c>
      <c r="F646" s="146"/>
      <c r="G646" s="145" t="s">
        <v>237</v>
      </c>
      <c r="H646" s="145" t="s">
        <v>257</v>
      </c>
      <c r="I646" s="91" t="s">
        <v>239</v>
      </c>
      <c r="J646" s="149" t="s">
        <v>231</v>
      </c>
      <c r="K646" s="150"/>
      <c r="L646" s="151">
        <v>0.56000000000000005</v>
      </c>
      <c r="M646" s="136">
        <f t="shared" si="50"/>
        <v>0</v>
      </c>
      <c r="N646" s="2" t="s">
        <v>273</v>
      </c>
      <c r="O646" s="2"/>
      <c r="P646" s="137">
        <f t="shared" si="51"/>
        <v>0</v>
      </c>
      <c r="Q646" s="137">
        <f t="shared" si="52"/>
        <v>0</v>
      </c>
      <c r="R646" s="138">
        <f>IF(N646="nio",0,IF(N646&gt;0,VLOOKUP(I646,'3-Productie normen'!A:V,VLOOKUP(N646,'3-Productie normen'!$B$35:$C$56,2,FALSE),FALSE)))/VLOOKUP(B646,'2-Kosten per locatie'!$A$11:$C$18,3,FALSE)</f>
        <v>0</v>
      </c>
      <c r="S646" s="138">
        <f t="shared" si="53"/>
        <v>0</v>
      </c>
      <c r="T646" s="139">
        <f>VLOOKUP(I646,'3-Productie normen'!A:AF,28,FALSE)</f>
        <v>0</v>
      </c>
      <c r="U646" s="140"/>
      <c r="W646" s="141">
        <f t="shared" si="54"/>
        <v>0</v>
      </c>
    </row>
    <row r="647" spans="1:23" ht="13.9" customHeight="1">
      <c r="A647" s="132">
        <v>647</v>
      </c>
      <c r="B647" s="49" t="s">
        <v>1680</v>
      </c>
      <c r="C647" s="49" t="s">
        <v>668</v>
      </c>
      <c r="D647" s="145" t="s">
        <v>246</v>
      </c>
      <c r="E647" s="146" t="s">
        <v>1254</v>
      </c>
      <c r="F647" s="146"/>
      <c r="G647" s="145" t="s">
        <v>237</v>
      </c>
      <c r="H647" s="145" t="s">
        <v>257</v>
      </c>
      <c r="I647" s="91" t="s">
        <v>239</v>
      </c>
      <c r="J647" s="149" t="s">
        <v>231</v>
      </c>
      <c r="K647" s="150"/>
      <c r="L647" s="151">
        <v>0.8</v>
      </c>
      <c r="M647" s="136">
        <f t="shared" si="50"/>
        <v>0</v>
      </c>
      <c r="N647" s="2" t="s">
        <v>273</v>
      </c>
      <c r="O647" s="2"/>
      <c r="P647" s="137">
        <f t="shared" si="51"/>
        <v>0</v>
      </c>
      <c r="Q647" s="137">
        <f t="shared" si="52"/>
        <v>0</v>
      </c>
      <c r="R647" s="138">
        <f>IF(N647="nio",0,IF(N647&gt;0,VLOOKUP(I647,'3-Productie normen'!A:V,VLOOKUP(N647,'3-Productie normen'!$B$35:$C$56,2,FALSE),FALSE)))/VLOOKUP(B647,'2-Kosten per locatie'!$A$11:$C$18,3,FALSE)</f>
        <v>0</v>
      </c>
      <c r="S647" s="138">
        <f t="shared" si="53"/>
        <v>0</v>
      </c>
      <c r="T647" s="139">
        <f>VLOOKUP(I647,'3-Productie normen'!A:AF,28,FALSE)</f>
        <v>0</v>
      </c>
      <c r="U647" s="140"/>
      <c r="W647" s="141">
        <f t="shared" si="54"/>
        <v>0</v>
      </c>
    </row>
    <row r="648" spans="1:23" ht="13.9" customHeight="1">
      <c r="A648" s="118">
        <v>648</v>
      </c>
      <c r="B648" s="49" t="s">
        <v>1680</v>
      </c>
      <c r="C648" s="49" t="s">
        <v>668</v>
      </c>
      <c r="D648" s="145" t="s">
        <v>246</v>
      </c>
      <c r="E648" s="146" t="s">
        <v>1255</v>
      </c>
      <c r="F648" s="146"/>
      <c r="G648" s="145" t="s">
        <v>237</v>
      </c>
      <c r="H648" s="145" t="s">
        <v>257</v>
      </c>
      <c r="I648" s="91" t="s">
        <v>239</v>
      </c>
      <c r="J648" s="149" t="s">
        <v>231</v>
      </c>
      <c r="K648" s="150"/>
      <c r="L648" s="151">
        <v>1.03</v>
      </c>
      <c r="M648" s="136">
        <f t="shared" si="50"/>
        <v>0</v>
      </c>
      <c r="N648" s="2" t="s">
        <v>273</v>
      </c>
      <c r="O648" s="2"/>
      <c r="P648" s="137">
        <f t="shared" si="51"/>
        <v>0</v>
      </c>
      <c r="Q648" s="137">
        <f t="shared" si="52"/>
        <v>0</v>
      </c>
      <c r="R648" s="138">
        <f>IF(N648="nio",0,IF(N648&gt;0,VLOOKUP(I648,'3-Productie normen'!A:V,VLOOKUP(N648,'3-Productie normen'!$B$35:$C$56,2,FALSE),FALSE)))/VLOOKUP(B648,'2-Kosten per locatie'!$A$11:$C$18,3,FALSE)</f>
        <v>0</v>
      </c>
      <c r="S648" s="138">
        <f t="shared" si="53"/>
        <v>0</v>
      </c>
      <c r="T648" s="139">
        <f>VLOOKUP(I648,'3-Productie normen'!A:AF,28,FALSE)</f>
        <v>0</v>
      </c>
      <c r="U648" s="140"/>
      <c r="W648" s="141">
        <f t="shared" si="54"/>
        <v>0</v>
      </c>
    </row>
    <row r="649" spans="1:23" ht="13.9" customHeight="1">
      <c r="A649" s="132">
        <v>649</v>
      </c>
      <c r="B649" s="49" t="s">
        <v>1680</v>
      </c>
      <c r="C649" s="49" t="s">
        <v>668</v>
      </c>
      <c r="D649" s="145" t="s">
        <v>246</v>
      </c>
      <c r="E649" s="146" t="s">
        <v>1256</v>
      </c>
      <c r="F649" s="146"/>
      <c r="G649" s="145" t="s">
        <v>237</v>
      </c>
      <c r="H649" s="145" t="s">
        <v>257</v>
      </c>
      <c r="I649" s="91" t="s">
        <v>239</v>
      </c>
      <c r="J649" s="149" t="s">
        <v>231</v>
      </c>
      <c r="K649" s="150"/>
      <c r="L649" s="151">
        <v>0.97</v>
      </c>
      <c r="M649" s="136">
        <f t="shared" si="50"/>
        <v>0</v>
      </c>
      <c r="N649" s="2" t="s">
        <v>273</v>
      </c>
      <c r="O649" s="2"/>
      <c r="P649" s="137">
        <f t="shared" si="51"/>
        <v>0</v>
      </c>
      <c r="Q649" s="137">
        <f t="shared" si="52"/>
        <v>0</v>
      </c>
      <c r="R649" s="138">
        <f>IF(N649="nio",0,IF(N649&gt;0,VLOOKUP(I649,'3-Productie normen'!A:V,VLOOKUP(N649,'3-Productie normen'!$B$35:$C$56,2,FALSE),FALSE)))/VLOOKUP(B649,'2-Kosten per locatie'!$A$11:$C$18,3,FALSE)</f>
        <v>0</v>
      </c>
      <c r="S649" s="138">
        <f t="shared" si="53"/>
        <v>0</v>
      </c>
      <c r="T649" s="139">
        <f>VLOOKUP(I649,'3-Productie normen'!A:AF,28,FALSE)</f>
        <v>0</v>
      </c>
      <c r="U649" s="140"/>
      <c r="W649" s="141">
        <f t="shared" si="54"/>
        <v>0</v>
      </c>
    </row>
    <row r="650" spans="1:23" ht="13.9" customHeight="1">
      <c r="A650" s="132">
        <v>650</v>
      </c>
      <c r="B650" s="49" t="s">
        <v>1680</v>
      </c>
      <c r="C650" s="49" t="s">
        <v>668</v>
      </c>
      <c r="D650" s="145" t="s">
        <v>246</v>
      </c>
      <c r="E650" s="146" t="s">
        <v>1257</v>
      </c>
      <c r="F650" s="146"/>
      <c r="G650" s="145" t="s">
        <v>44</v>
      </c>
      <c r="H650" s="145" t="s">
        <v>260</v>
      </c>
      <c r="I650" s="145" t="s">
        <v>259</v>
      </c>
      <c r="J650" s="149" t="s">
        <v>305</v>
      </c>
      <c r="K650" s="150"/>
      <c r="L650" s="151">
        <v>3.78</v>
      </c>
      <c r="M650" s="136">
        <f t="shared" si="50"/>
        <v>380</v>
      </c>
      <c r="N650" s="2">
        <v>190</v>
      </c>
      <c r="O650" s="2">
        <v>190</v>
      </c>
      <c r="P650" s="137" t="e">
        <f t="shared" si="51"/>
        <v>#DIV/0!</v>
      </c>
      <c r="Q650" s="137" t="e">
        <f t="shared" si="52"/>
        <v>#DIV/0!</v>
      </c>
      <c r="R650" s="138">
        <f>IF(N650="nio",0,IF(N650&gt;0,VLOOKUP(I650,'3-Productie normen'!A:V,VLOOKUP(N650,'3-Productie normen'!$B$35:$C$56,2,FALSE),FALSE)))/VLOOKUP(B650,'2-Kosten per locatie'!$A$11:$C$18,3,FALSE)</f>
        <v>0</v>
      </c>
      <c r="S650" s="138">
        <f t="shared" si="53"/>
        <v>0</v>
      </c>
      <c r="T650" s="139" t="str">
        <f>VLOOKUP(I650,'3-Productie normen'!A:AF,28,FALSE)</f>
        <v>S</v>
      </c>
      <c r="U650" s="140"/>
      <c r="W650" s="141">
        <f t="shared" si="54"/>
        <v>1436.3999999999999</v>
      </c>
    </row>
    <row r="651" spans="1:23" ht="13.9" customHeight="1">
      <c r="A651" s="118">
        <v>651</v>
      </c>
      <c r="B651" s="49" t="s">
        <v>1680</v>
      </c>
      <c r="C651" s="49" t="s">
        <v>668</v>
      </c>
      <c r="D651" s="145" t="s">
        <v>246</v>
      </c>
      <c r="E651" s="146" t="s">
        <v>1258</v>
      </c>
      <c r="F651" s="146"/>
      <c r="G651" s="145" t="s">
        <v>44</v>
      </c>
      <c r="H651" s="145" t="s">
        <v>258</v>
      </c>
      <c r="I651" s="145" t="s">
        <v>259</v>
      </c>
      <c r="J651" s="149" t="s">
        <v>256</v>
      </c>
      <c r="K651" s="150"/>
      <c r="L651" s="151">
        <v>15.66</v>
      </c>
      <c r="M651" s="136">
        <f t="shared" si="50"/>
        <v>380</v>
      </c>
      <c r="N651" s="2">
        <v>190</v>
      </c>
      <c r="O651" s="2">
        <v>190</v>
      </c>
      <c r="P651" s="137" t="e">
        <f t="shared" si="51"/>
        <v>#DIV/0!</v>
      </c>
      <c r="Q651" s="137" t="e">
        <f t="shared" si="52"/>
        <v>#DIV/0!</v>
      </c>
      <c r="R651" s="138">
        <f>IF(N651="nio",0,IF(N651&gt;0,VLOOKUP(I651,'3-Productie normen'!A:V,VLOOKUP(N651,'3-Productie normen'!$B$35:$C$56,2,FALSE),FALSE)))/VLOOKUP(B651,'2-Kosten per locatie'!$A$11:$C$18,3,FALSE)</f>
        <v>0</v>
      </c>
      <c r="S651" s="138">
        <f t="shared" si="53"/>
        <v>0</v>
      </c>
      <c r="T651" s="139" t="str">
        <f>VLOOKUP(I651,'3-Productie normen'!A:AF,28,FALSE)</f>
        <v>S</v>
      </c>
      <c r="U651" s="140"/>
      <c r="W651" s="141">
        <f t="shared" si="54"/>
        <v>5950.8</v>
      </c>
    </row>
    <row r="652" spans="1:23" ht="13.9" customHeight="1">
      <c r="A652" s="132">
        <v>652</v>
      </c>
      <c r="B652" s="49" t="s">
        <v>1680</v>
      </c>
      <c r="C652" s="49" t="s">
        <v>668</v>
      </c>
      <c r="D652" s="145" t="s">
        <v>246</v>
      </c>
      <c r="E652" s="146" t="s">
        <v>1259</v>
      </c>
      <c r="F652" s="146"/>
      <c r="G652" s="145" t="s">
        <v>44</v>
      </c>
      <c r="H652" s="145" t="s">
        <v>260</v>
      </c>
      <c r="I652" s="145" t="s">
        <v>259</v>
      </c>
      <c r="J652" s="149" t="s">
        <v>256</v>
      </c>
      <c r="K652" s="150"/>
      <c r="L652" s="151">
        <v>1.01</v>
      </c>
      <c r="M652" s="136">
        <f t="shared" si="50"/>
        <v>380</v>
      </c>
      <c r="N652" s="2">
        <v>190</v>
      </c>
      <c r="O652" s="2">
        <v>190</v>
      </c>
      <c r="P652" s="137" t="e">
        <f t="shared" si="51"/>
        <v>#DIV/0!</v>
      </c>
      <c r="Q652" s="137" t="e">
        <f t="shared" si="52"/>
        <v>#DIV/0!</v>
      </c>
      <c r="R652" s="138">
        <f>IF(N652="nio",0,IF(N652&gt;0,VLOOKUP(I652,'3-Productie normen'!A:V,VLOOKUP(N652,'3-Productie normen'!$B$35:$C$56,2,FALSE),FALSE)))/VLOOKUP(B652,'2-Kosten per locatie'!$A$11:$C$18,3,FALSE)</f>
        <v>0</v>
      </c>
      <c r="S652" s="138">
        <f t="shared" si="53"/>
        <v>0</v>
      </c>
      <c r="T652" s="139" t="str">
        <f>VLOOKUP(I652,'3-Productie normen'!A:AF,28,FALSE)</f>
        <v>S</v>
      </c>
      <c r="U652" s="140"/>
      <c r="W652" s="141">
        <f t="shared" si="54"/>
        <v>383.8</v>
      </c>
    </row>
    <row r="653" spans="1:23" ht="13.9" customHeight="1">
      <c r="A653" s="132">
        <v>653</v>
      </c>
      <c r="B653" s="49" t="s">
        <v>1680</v>
      </c>
      <c r="C653" s="49" t="s">
        <v>668</v>
      </c>
      <c r="D653" s="145" t="s">
        <v>246</v>
      </c>
      <c r="E653" s="146" t="s">
        <v>1260</v>
      </c>
      <c r="F653" s="146"/>
      <c r="G653" s="145" t="s">
        <v>44</v>
      </c>
      <c r="H653" s="145" t="s">
        <v>260</v>
      </c>
      <c r="I653" s="145" t="s">
        <v>259</v>
      </c>
      <c r="J653" s="149" t="s">
        <v>256</v>
      </c>
      <c r="K653" s="150"/>
      <c r="L653" s="151">
        <v>1.01</v>
      </c>
      <c r="M653" s="136">
        <f t="shared" si="50"/>
        <v>380</v>
      </c>
      <c r="N653" s="2">
        <v>190</v>
      </c>
      <c r="O653" s="2">
        <v>190</v>
      </c>
      <c r="P653" s="137" t="e">
        <f t="shared" si="51"/>
        <v>#DIV/0!</v>
      </c>
      <c r="Q653" s="137" t="e">
        <f t="shared" si="52"/>
        <v>#DIV/0!</v>
      </c>
      <c r="R653" s="138">
        <f>IF(N653="nio",0,IF(N653&gt;0,VLOOKUP(I653,'3-Productie normen'!A:V,VLOOKUP(N653,'3-Productie normen'!$B$35:$C$56,2,FALSE),FALSE)))/VLOOKUP(B653,'2-Kosten per locatie'!$A$11:$C$18,3,FALSE)</f>
        <v>0</v>
      </c>
      <c r="S653" s="138">
        <f t="shared" si="53"/>
        <v>0</v>
      </c>
      <c r="T653" s="139" t="str">
        <f>VLOOKUP(I653,'3-Productie normen'!A:AF,28,FALSE)</f>
        <v>S</v>
      </c>
      <c r="U653" s="140"/>
      <c r="W653" s="141">
        <f t="shared" si="54"/>
        <v>383.8</v>
      </c>
    </row>
    <row r="654" spans="1:23" ht="13.9" customHeight="1">
      <c r="A654" s="118">
        <v>654</v>
      </c>
      <c r="B654" s="49" t="s">
        <v>1680</v>
      </c>
      <c r="C654" s="49" t="s">
        <v>668</v>
      </c>
      <c r="D654" s="145" t="s">
        <v>246</v>
      </c>
      <c r="E654" s="146" t="s">
        <v>1261</v>
      </c>
      <c r="F654" s="146"/>
      <c r="G654" s="145" t="s">
        <v>44</v>
      </c>
      <c r="H654" s="145" t="s">
        <v>260</v>
      </c>
      <c r="I654" s="145" t="s">
        <v>259</v>
      </c>
      <c r="J654" s="149" t="s">
        <v>256</v>
      </c>
      <c r="K654" s="150"/>
      <c r="L654" s="151">
        <v>1.01</v>
      </c>
      <c r="M654" s="136">
        <f t="shared" si="50"/>
        <v>380</v>
      </c>
      <c r="N654" s="2">
        <v>190</v>
      </c>
      <c r="O654" s="2">
        <v>190</v>
      </c>
      <c r="P654" s="137" t="e">
        <f t="shared" si="51"/>
        <v>#DIV/0!</v>
      </c>
      <c r="Q654" s="137" t="e">
        <f t="shared" si="52"/>
        <v>#DIV/0!</v>
      </c>
      <c r="R654" s="138">
        <f>IF(N654="nio",0,IF(N654&gt;0,VLOOKUP(I654,'3-Productie normen'!A:V,VLOOKUP(N654,'3-Productie normen'!$B$35:$C$56,2,FALSE),FALSE)))/VLOOKUP(B654,'2-Kosten per locatie'!$A$11:$C$18,3,FALSE)</f>
        <v>0</v>
      </c>
      <c r="S654" s="138">
        <f t="shared" si="53"/>
        <v>0</v>
      </c>
      <c r="T654" s="139" t="str">
        <f>VLOOKUP(I654,'3-Productie normen'!A:AF,28,FALSE)</f>
        <v>S</v>
      </c>
      <c r="U654" s="140"/>
      <c r="W654" s="141">
        <f t="shared" si="54"/>
        <v>383.8</v>
      </c>
    </row>
    <row r="655" spans="1:23" ht="13.9" customHeight="1">
      <c r="A655" s="132">
        <v>655</v>
      </c>
      <c r="B655" s="49" t="s">
        <v>1680</v>
      </c>
      <c r="C655" s="49" t="s">
        <v>668</v>
      </c>
      <c r="D655" s="145" t="s">
        <v>246</v>
      </c>
      <c r="E655" s="146" t="s">
        <v>1262</v>
      </c>
      <c r="F655" s="146"/>
      <c r="G655" s="145" t="s">
        <v>44</v>
      </c>
      <c r="H655" s="145" t="s">
        <v>258</v>
      </c>
      <c r="I655" s="145" t="s">
        <v>259</v>
      </c>
      <c r="J655" s="149" t="s">
        <v>256</v>
      </c>
      <c r="K655" s="150"/>
      <c r="L655" s="151">
        <v>2.0099999999999998</v>
      </c>
      <c r="M655" s="136">
        <f t="shared" si="50"/>
        <v>380</v>
      </c>
      <c r="N655" s="2">
        <v>190</v>
      </c>
      <c r="O655" s="2">
        <v>190</v>
      </c>
      <c r="P655" s="137" t="e">
        <f t="shared" si="51"/>
        <v>#DIV/0!</v>
      </c>
      <c r="Q655" s="137" t="e">
        <f t="shared" si="52"/>
        <v>#DIV/0!</v>
      </c>
      <c r="R655" s="138">
        <f>IF(N655="nio",0,IF(N655&gt;0,VLOOKUP(I655,'3-Productie normen'!A:V,VLOOKUP(N655,'3-Productie normen'!$B$35:$C$56,2,FALSE),FALSE)))/VLOOKUP(B655,'2-Kosten per locatie'!$A$11:$C$18,3,FALSE)</f>
        <v>0</v>
      </c>
      <c r="S655" s="138">
        <f t="shared" si="53"/>
        <v>0</v>
      </c>
      <c r="T655" s="139" t="str">
        <f>VLOOKUP(I655,'3-Productie normen'!A:AF,28,FALSE)</f>
        <v>S</v>
      </c>
      <c r="U655" s="140"/>
      <c r="W655" s="141">
        <f t="shared" si="54"/>
        <v>763.8</v>
      </c>
    </row>
    <row r="656" spans="1:23" ht="13.9" customHeight="1">
      <c r="A656" s="132">
        <v>656</v>
      </c>
      <c r="B656" s="49" t="s">
        <v>1680</v>
      </c>
      <c r="C656" s="49" t="s">
        <v>668</v>
      </c>
      <c r="D656" s="145" t="s">
        <v>246</v>
      </c>
      <c r="E656" s="146" t="s">
        <v>1263</v>
      </c>
      <c r="F656" s="146"/>
      <c r="G656" s="145" t="s">
        <v>44</v>
      </c>
      <c r="H656" s="145" t="s">
        <v>260</v>
      </c>
      <c r="I656" s="145" t="s">
        <v>259</v>
      </c>
      <c r="J656" s="149" t="s">
        <v>256</v>
      </c>
      <c r="K656" s="150"/>
      <c r="L656" s="151">
        <v>1.1100000000000001</v>
      </c>
      <c r="M656" s="136">
        <f t="shared" si="50"/>
        <v>380</v>
      </c>
      <c r="N656" s="2">
        <v>190</v>
      </c>
      <c r="O656" s="2">
        <v>190</v>
      </c>
      <c r="P656" s="137" t="e">
        <f t="shared" si="51"/>
        <v>#DIV/0!</v>
      </c>
      <c r="Q656" s="137" t="e">
        <f t="shared" si="52"/>
        <v>#DIV/0!</v>
      </c>
      <c r="R656" s="138">
        <f>IF(N656="nio",0,IF(N656&gt;0,VLOOKUP(I656,'3-Productie normen'!A:V,VLOOKUP(N656,'3-Productie normen'!$B$35:$C$56,2,FALSE),FALSE)))/VLOOKUP(B656,'2-Kosten per locatie'!$A$11:$C$18,3,FALSE)</f>
        <v>0</v>
      </c>
      <c r="S656" s="138">
        <f t="shared" si="53"/>
        <v>0</v>
      </c>
      <c r="T656" s="139" t="str">
        <f>VLOOKUP(I656,'3-Productie normen'!A:AF,28,FALSE)</f>
        <v>S</v>
      </c>
      <c r="U656" s="140"/>
      <c r="W656" s="141">
        <f t="shared" si="54"/>
        <v>421.8</v>
      </c>
    </row>
    <row r="657" spans="1:23" ht="13.9" customHeight="1">
      <c r="A657" s="118">
        <v>657</v>
      </c>
      <c r="B657" s="49" t="s">
        <v>1680</v>
      </c>
      <c r="C657" s="49" t="s">
        <v>668</v>
      </c>
      <c r="D657" s="145" t="s">
        <v>246</v>
      </c>
      <c r="E657" s="146" t="s">
        <v>1264</v>
      </c>
      <c r="F657" s="146"/>
      <c r="G657" s="145" t="s">
        <v>44</v>
      </c>
      <c r="H657" s="145" t="s">
        <v>260</v>
      </c>
      <c r="I657" s="145" t="s">
        <v>259</v>
      </c>
      <c r="J657" s="149" t="s">
        <v>256</v>
      </c>
      <c r="K657" s="150"/>
      <c r="L657" s="151">
        <v>1.1000000000000001</v>
      </c>
      <c r="M657" s="136">
        <f t="shared" si="50"/>
        <v>380</v>
      </c>
      <c r="N657" s="2">
        <v>190</v>
      </c>
      <c r="O657" s="2">
        <v>190</v>
      </c>
      <c r="P657" s="137" t="e">
        <f t="shared" si="51"/>
        <v>#DIV/0!</v>
      </c>
      <c r="Q657" s="137" t="e">
        <f t="shared" si="52"/>
        <v>#DIV/0!</v>
      </c>
      <c r="R657" s="138">
        <f>IF(N657="nio",0,IF(N657&gt;0,VLOOKUP(I657,'3-Productie normen'!A:V,VLOOKUP(N657,'3-Productie normen'!$B$35:$C$56,2,FALSE),FALSE)))/VLOOKUP(B657,'2-Kosten per locatie'!$A$11:$C$18,3,FALSE)</f>
        <v>0</v>
      </c>
      <c r="S657" s="138">
        <f t="shared" si="53"/>
        <v>0</v>
      </c>
      <c r="T657" s="139" t="str">
        <f>VLOOKUP(I657,'3-Productie normen'!A:AF,28,FALSE)</f>
        <v>S</v>
      </c>
      <c r="U657" s="140"/>
      <c r="W657" s="141">
        <f t="shared" si="54"/>
        <v>418.00000000000006</v>
      </c>
    </row>
    <row r="658" spans="1:23" ht="13.9" customHeight="1">
      <c r="A658" s="132">
        <v>658</v>
      </c>
      <c r="B658" s="49" t="s">
        <v>1680</v>
      </c>
      <c r="C658" s="49" t="s">
        <v>668</v>
      </c>
      <c r="D658" s="145" t="s">
        <v>246</v>
      </c>
      <c r="E658" s="146" t="s">
        <v>1265</v>
      </c>
      <c r="F658" s="146"/>
      <c r="G658" s="145" t="s">
        <v>44</v>
      </c>
      <c r="H658" s="145" t="s">
        <v>258</v>
      </c>
      <c r="I658" s="145" t="s">
        <v>259</v>
      </c>
      <c r="J658" s="149" t="s">
        <v>256</v>
      </c>
      <c r="K658" s="150"/>
      <c r="L658" s="151">
        <v>7.2</v>
      </c>
      <c r="M658" s="136">
        <f t="shared" si="50"/>
        <v>380</v>
      </c>
      <c r="N658" s="2">
        <v>190</v>
      </c>
      <c r="O658" s="2">
        <v>190</v>
      </c>
      <c r="P658" s="137" t="e">
        <f t="shared" si="51"/>
        <v>#DIV/0!</v>
      </c>
      <c r="Q658" s="137" t="e">
        <f t="shared" si="52"/>
        <v>#DIV/0!</v>
      </c>
      <c r="R658" s="138">
        <f>IF(N658="nio",0,IF(N658&gt;0,VLOOKUP(I658,'3-Productie normen'!A:V,VLOOKUP(N658,'3-Productie normen'!$B$35:$C$56,2,FALSE),FALSE)))/VLOOKUP(B658,'2-Kosten per locatie'!$A$11:$C$18,3,FALSE)</f>
        <v>0</v>
      </c>
      <c r="S658" s="138">
        <f t="shared" si="53"/>
        <v>0</v>
      </c>
      <c r="T658" s="139" t="str">
        <f>VLOOKUP(I658,'3-Productie normen'!A:AF,28,FALSE)</f>
        <v>S</v>
      </c>
      <c r="U658" s="140"/>
      <c r="W658" s="141">
        <f t="shared" si="54"/>
        <v>2736</v>
      </c>
    </row>
    <row r="659" spans="1:23" ht="13.9" customHeight="1">
      <c r="A659" s="132">
        <v>659</v>
      </c>
      <c r="B659" s="49" t="s">
        <v>1680</v>
      </c>
      <c r="C659" s="49" t="s">
        <v>668</v>
      </c>
      <c r="D659" s="145" t="s">
        <v>246</v>
      </c>
      <c r="E659" s="146" t="s">
        <v>1266</v>
      </c>
      <c r="F659" s="146"/>
      <c r="G659" s="145" t="s">
        <v>44</v>
      </c>
      <c r="H659" s="145" t="s">
        <v>260</v>
      </c>
      <c r="I659" s="145" t="s">
        <v>259</v>
      </c>
      <c r="J659" s="149" t="s">
        <v>256</v>
      </c>
      <c r="K659" s="150"/>
      <c r="L659" s="151">
        <v>1.01</v>
      </c>
      <c r="M659" s="136">
        <f t="shared" si="50"/>
        <v>380</v>
      </c>
      <c r="N659" s="2">
        <v>190</v>
      </c>
      <c r="O659" s="2">
        <v>190</v>
      </c>
      <c r="P659" s="137" t="e">
        <f t="shared" si="51"/>
        <v>#DIV/0!</v>
      </c>
      <c r="Q659" s="137" t="e">
        <f t="shared" si="52"/>
        <v>#DIV/0!</v>
      </c>
      <c r="R659" s="138">
        <f>IF(N659="nio",0,IF(N659&gt;0,VLOOKUP(I659,'3-Productie normen'!A:V,VLOOKUP(N659,'3-Productie normen'!$B$35:$C$56,2,FALSE),FALSE)))/VLOOKUP(B659,'2-Kosten per locatie'!$A$11:$C$18,3,FALSE)</f>
        <v>0</v>
      </c>
      <c r="S659" s="138">
        <f t="shared" si="53"/>
        <v>0</v>
      </c>
      <c r="T659" s="139" t="str">
        <f>VLOOKUP(I659,'3-Productie normen'!A:AF,28,FALSE)</f>
        <v>S</v>
      </c>
      <c r="U659" s="140"/>
      <c r="W659" s="141">
        <f t="shared" si="54"/>
        <v>383.8</v>
      </c>
    </row>
    <row r="660" spans="1:23" ht="13.9" customHeight="1">
      <c r="A660" s="118">
        <v>660</v>
      </c>
      <c r="B660" s="49" t="s">
        <v>1680</v>
      </c>
      <c r="C660" s="49" t="s">
        <v>668</v>
      </c>
      <c r="D660" s="145" t="s">
        <v>246</v>
      </c>
      <c r="E660" s="146" t="s">
        <v>1267</v>
      </c>
      <c r="F660" s="146"/>
      <c r="G660" s="145" t="s">
        <v>44</v>
      </c>
      <c r="H660" s="145" t="s">
        <v>260</v>
      </c>
      <c r="I660" s="145" t="s">
        <v>259</v>
      </c>
      <c r="J660" s="149" t="s">
        <v>256</v>
      </c>
      <c r="K660" s="150"/>
      <c r="L660" s="151">
        <v>1.01</v>
      </c>
      <c r="M660" s="136">
        <f t="shared" si="50"/>
        <v>380</v>
      </c>
      <c r="N660" s="2">
        <v>190</v>
      </c>
      <c r="O660" s="2">
        <v>190</v>
      </c>
      <c r="P660" s="137" t="e">
        <f t="shared" si="51"/>
        <v>#DIV/0!</v>
      </c>
      <c r="Q660" s="137" t="e">
        <f t="shared" si="52"/>
        <v>#DIV/0!</v>
      </c>
      <c r="R660" s="138">
        <f>IF(N660="nio",0,IF(N660&gt;0,VLOOKUP(I660,'3-Productie normen'!A:V,VLOOKUP(N660,'3-Productie normen'!$B$35:$C$56,2,FALSE),FALSE)))/VLOOKUP(B660,'2-Kosten per locatie'!$A$11:$C$18,3,FALSE)</f>
        <v>0</v>
      </c>
      <c r="S660" s="138">
        <f t="shared" si="53"/>
        <v>0</v>
      </c>
      <c r="T660" s="139" t="str">
        <f>VLOOKUP(I660,'3-Productie normen'!A:AF,28,FALSE)</f>
        <v>S</v>
      </c>
      <c r="U660" s="140"/>
      <c r="W660" s="141">
        <f t="shared" si="54"/>
        <v>383.8</v>
      </c>
    </row>
    <row r="661" spans="1:23" ht="13.9" customHeight="1">
      <c r="A661" s="132">
        <v>661</v>
      </c>
      <c r="B661" s="49" t="s">
        <v>1680</v>
      </c>
      <c r="C661" s="49" t="s">
        <v>668</v>
      </c>
      <c r="D661" s="145" t="s">
        <v>246</v>
      </c>
      <c r="E661" s="146" t="s">
        <v>1268</v>
      </c>
      <c r="F661" s="146"/>
      <c r="G661" s="145" t="s">
        <v>44</v>
      </c>
      <c r="H661" s="145" t="s">
        <v>260</v>
      </c>
      <c r="I661" s="145" t="s">
        <v>259</v>
      </c>
      <c r="J661" s="149" t="s">
        <v>256</v>
      </c>
      <c r="K661" s="150"/>
      <c r="L661" s="151">
        <v>1.01</v>
      </c>
      <c r="M661" s="136">
        <f t="shared" si="50"/>
        <v>380</v>
      </c>
      <c r="N661" s="2">
        <v>190</v>
      </c>
      <c r="O661" s="2">
        <v>190</v>
      </c>
      <c r="P661" s="137" t="e">
        <f t="shared" si="51"/>
        <v>#DIV/0!</v>
      </c>
      <c r="Q661" s="137" t="e">
        <f t="shared" si="52"/>
        <v>#DIV/0!</v>
      </c>
      <c r="R661" s="138">
        <f>IF(N661="nio",0,IF(N661&gt;0,VLOOKUP(I661,'3-Productie normen'!A:V,VLOOKUP(N661,'3-Productie normen'!$B$35:$C$56,2,FALSE),FALSE)))/VLOOKUP(B661,'2-Kosten per locatie'!$A$11:$C$18,3,FALSE)</f>
        <v>0</v>
      </c>
      <c r="S661" s="138">
        <f t="shared" si="53"/>
        <v>0</v>
      </c>
      <c r="T661" s="139" t="str">
        <f>VLOOKUP(I661,'3-Productie normen'!A:AF,28,FALSE)</f>
        <v>S</v>
      </c>
      <c r="U661" s="140"/>
      <c r="W661" s="141">
        <f t="shared" si="54"/>
        <v>383.8</v>
      </c>
    </row>
    <row r="662" spans="1:23" ht="13.9" customHeight="1">
      <c r="A662" s="132">
        <v>662</v>
      </c>
      <c r="B662" s="49" t="s">
        <v>1680</v>
      </c>
      <c r="C662" s="49" t="s">
        <v>668</v>
      </c>
      <c r="D662" s="145" t="s">
        <v>246</v>
      </c>
      <c r="E662" s="146" t="s">
        <v>1269</v>
      </c>
      <c r="F662" s="146"/>
      <c r="G662" s="145" t="s">
        <v>44</v>
      </c>
      <c r="H662" s="145" t="s">
        <v>260</v>
      </c>
      <c r="I662" s="145" t="s">
        <v>259</v>
      </c>
      <c r="J662" s="149" t="s">
        <v>256</v>
      </c>
      <c r="K662" s="150"/>
      <c r="L662" s="151">
        <v>0.95</v>
      </c>
      <c r="M662" s="136">
        <f t="shared" si="50"/>
        <v>380</v>
      </c>
      <c r="N662" s="2">
        <v>190</v>
      </c>
      <c r="O662" s="2">
        <v>190</v>
      </c>
      <c r="P662" s="137" t="e">
        <f t="shared" si="51"/>
        <v>#DIV/0!</v>
      </c>
      <c r="Q662" s="137" t="e">
        <f t="shared" si="52"/>
        <v>#DIV/0!</v>
      </c>
      <c r="R662" s="138">
        <f>IF(N662="nio",0,IF(N662&gt;0,VLOOKUP(I662,'3-Productie normen'!A:V,VLOOKUP(N662,'3-Productie normen'!$B$35:$C$56,2,FALSE),FALSE)))/VLOOKUP(B662,'2-Kosten per locatie'!$A$11:$C$18,3,FALSE)</f>
        <v>0</v>
      </c>
      <c r="S662" s="138">
        <f t="shared" si="53"/>
        <v>0</v>
      </c>
      <c r="T662" s="139" t="str">
        <f>VLOOKUP(I662,'3-Productie normen'!A:AF,28,FALSE)</f>
        <v>S</v>
      </c>
      <c r="U662" s="140"/>
      <c r="W662" s="141">
        <f t="shared" si="54"/>
        <v>361</v>
      </c>
    </row>
    <row r="663" spans="1:23" ht="13.9" customHeight="1">
      <c r="A663" s="118">
        <v>663</v>
      </c>
      <c r="B663" s="49" t="s">
        <v>1680</v>
      </c>
      <c r="C663" s="49" t="s">
        <v>668</v>
      </c>
      <c r="D663" s="145" t="s">
        <v>246</v>
      </c>
      <c r="E663" s="146" t="s">
        <v>1270</v>
      </c>
      <c r="F663" s="146"/>
      <c r="G663" s="145" t="s">
        <v>44</v>
      </c>
      <c r="H663" s="145" t="s">
        <v>258</v>
      </c>
      <c r="I663" s="145" t="s">
        <v>259</v>
      </c>
      <c r="J663" s="149" t="s">
        <v>256</v>
      </c>
      <c r="K663" s="150"/>
      <c r="L663" s="151">
        <v>7.05</v>
      </c>
      <c r="M663" s="136">
        <f t="shared" ref="M663:M726" si="55">SUM(N663:O663)</f>
        <v>380</v>
      </c>
      <c r="N663" s="2">
        <v>190</v>
      </c>
      <c r="O663" s="2">
        <v>190</v>
      </c>
      <c r="P663" s="137" t="e">
        <f t="shared" ref="P663:P726" si="56">IF(N663="nio",0,IF(N663&gt;0,N663*L663/R663,0))</f>
        <v>#DIV/0!</v>
      </c>
      <c r="Q663" s="137" t="e">
        <f t="shared" ref="Q663:Q726" si="57">IF(O663&gt;0,O663*L663/S663,0)</f>
        <v>#DIV/0!</v>
      </c>
      <c r="R663" s="138">
        <f>IF(N663="nio",0,IF(N663&gt;0,VLOOKUP(I663,'3-Productie normen'!A:V,VLOOKUP(N663,'3-Productie normen'!$B$35:$C$56,2,FALSE),FALSE)))/VLOOKUP(B663,'2-Kosten per locatie'!$A$11:$C$18,3,FALSE)</f>
        <v>0</v>
      </c>
      <c r="S663" s="138">
        <f t="shared" ref="S663:S726" si="58">IF(O663&gt;0,R663*$S$8,0)</f>
        <v>0</v>
      </c>
      <c r="T663" s="139" t="str">
        <f>VLOOKUP(I663,'3-Productie normen'!A:AF,28,FALSE)</f>
        <v>S</v>
      </c>
      <c r="U663" s="140"/>
      <c r="W663" s="141">
        <f t="shared" ref="W663:W726" si="59">M663*L663</f>
        <v>2679</v>
      </c>
    </row>
    <row r="664" spans="1:23" ht="13.9" customHeight="1">
      <c r="A664" s="132">
        <v>664</v>
      </c>
      <c r="B664" s="49" t="s">
        <v>1680</v>
      </c>
      <c r="C664" s="49" t="s">
        <v>668</v>
      </c>
      <c r="D664" s="145" t="s">
        <v>246</v>
      </c>
      <c r="E664" s="146" t="s">
        <v>1271</v>
      </c>
      <c r="F664" s="146"/>
      <c r="G664" s="145" t="s">
        <v>44</v>
      </c>
      <c r="H664" s="145" t="s">
        <v>260</v>
      </c>
      <c r="I664" s="145" t="s">
        <v>259</v>
      </c>
      <c r="J664" s="149" t="s">
        <v>256</v>
      </c>
      <c r="K664" s="150"/>
      <c r="L664" s="151">
        <v>0.68</v>
      </c>
      <c r="M664" s="136">
        <f t="shared" si="55"/>
        <v>380</v>
      </c>
      <c r="N664" s="2">
        <v>190</v>
      </c>
      <c r="O664" s="2">
        <v>190</v>
      </c>
      <c r="P664" s="137" t="e">
        <f t="shared" si="56"/>
        <v>#DIV/0!</v>
      </c>
      <c r="Q664" s="137" t="e">
        <f t="shared" si="57"/>
        <v>#DIV/0!</v>
      </c>
      <c r="R664" s="138">
        <f>IF(N664="nio",0,IF(N664&gt;0,VLOOKUP(I664,'3-Productie normen'!A:V,VLOOKUP(N664,'3-Productie normen'!$B$35:$C$56,2,FALSE),FALSE)))/VLOOKUP(B664,'2-Kosten per locatie'!$A$11:$C$18,3,FALSE)</f>
        <v>0</v>
      </c>
      <c r="S664" s="138">
        <f t="shared" si="58"/>
        <v>0</v>
      </c>
      <c r="T664" s="139" t="str">
        <f>VLOOKUP(I664,'3-Productie normen'!A:AF,28,FALSE)</f>
        <v>S</v>
      </c>
      <c r="U664" s="140"/>
      <c r="W664" s="141">
        <f t="shared" si="59"/>
        <v>258.40000000000003</v>
      </c>
    </row>
    <row r="665" spans="1:23" ht="13.9" customHeight="1">
      <c r="A665" s="132">
        <v>665</v>
      </c>
      <c r="B665" s="49" t="s">
        <v>1680</v>
      </c>
      <c r="C665" s="49" t="s">
        <v>668</v>
      </c>
      <c r="D665" s="145" t="s">
        <v>246</v>
      </c>
      <c r="E665" s="146" t="s">
        <v>1272</v>
      </c>
      <c r="F665" s="146"/>
      <c r="G665" s="145" t="s">
        <v>44</v>
      </c>
      <c r="H665" s="145" t="s">
        <v>260</v>
      </c>
      <c r="I665" s="145" t="s">
        <v>259</v>
      </c>
      <c r="J665" s="149" t="s">
        <v>256</v>
      </c>
      <c r="K665" s="150"/>
      <c r="L665" s="151">
        <v>0.73</v>
      </c>
      <c r="M665" s="136">
        <f t="shared" si="55"/>
        <v>380</v>
      </c>
      <c r="N665" s="2">
        <v>190</v>
      </c>
      <c r="O665" s="2">
        <v>190</v>
      </c>
      <c r="P665" s="137" t="e">
        <f t="shared" si="56"/>
        <v>#DIV/0!</v>
      </c>
      <c r="Q665" s="137" t="e">
        <f t="shared" si="57"/>
        <v>#DIV/0!</v>
      </c>
      <c r="R665" s="138">
        <f>IF(N665="nio",0,IF(N665&gt;0,VLOOKUP(I665,'3-Productie normen'!A:V,VLOOKUP(N665,'3-Productie normen'!$B$35:$C$56,2,FALSE),FALSE)))/VLOOKUP(B665,'2-Kosten per locatie'!$A$11:$C$18,3,FALSE)</f>
        <v>0</v>
      </c>
      <c r="S665" s="138">
        <f t="shared" si="58"/>
        <v>0</v>
      </c>
      <c r="T665" s="139" t="str">
        <f>VLOOKUP(I665,'3-Productie normen'!A:AF,28,FALSE)</f>
        <v>S</v>
      </c>
      <c r="U665" s="140"/>
      <c r="W665" s="141">
        <f t="shared" si="59"/>
        <v>277.39999999999998</v>
      </c>
    </row>
    <row r="666" spans="1:23" ht="13.9" customHeight="1">
      <c r="A666" s="118">
        <v>666</v>
      </c>
      <c r="B666" s="49" t="s">
        <v>1680</v>
      </c>
      <c r="C666" s="49" t="s">
        <v>668</v>
      </c>
      <c r="D666" s="145" t="s">
        <v>246</v>
      </c>
      <c r="E666" s="146" t="s">
        <v>1273</v>
      </c>
      <c r="F666" s="146"/>
      <c r="G666" s="145" t="s">
        <v>44</v>
      </c>
      <c r="H666" s="145" t="s">
        <v>260</v>
      </c>
      <c r="I666" s="145" t="s">
        <v>259</v>
      </c>
      <c r="J666" s="149" t="s">
        <v>305</v>
      </c>
      <c r="K666" s="150"/>
      <c r="L666" s="151">
        <v>1.44</v>
      </c>
      <c r="M666" s="136">
        <f t="shared" si="55"/>
        <v>380</v>
      </c>
      <c r="N666" s="2">
        <v>190</v>
      </c>
      <c r="O666" s="2">
        <v>190</v>
      </c>
      <c r="P666" s="137" t="e">
        <f t="shared" si="56"/>
        <v>#DIV/0!</v>
      </c>
      <c r="Q666" s="137" t="e">
        <f t="shared" si="57"/>
        <v>#DIV/0!</v>
      </c>
      <c r="R666" s="138">
        <f>IF(N666="nio",0,IF(N666&gt;0,VLOOKUP(I666,'3-Productie normen'!A:V,VLOOKUP(N666,'3-Productie normen'!$B$35:$C$56,2,FALSE),FALSE)))/VLOOKUP(B666,'2-Kosten per locatie'!$A$11:$C$18,3,FALSE)</f>
        <v>0</v>
      </c>
      <c r="S666" s="138">
        <f t="shared" si="58"/>
        <v>0</v>
      </c>
      <c r="T666" s="139" t="str">
        <f>VLOOKUP(I666,'3-Productie normen'!A:AF,28,FALSE)</f>
        <v>S</v>
      </c>
      <c r="U666" s="140"/>
      <c r="W666" s="141">
        <f t="shared" si="59"/>
        <v>547.19999999999993</v>
      </c>
    </row>
    <row r="667" spans="1:23" ht="13.9" customHeight="1">
      <c r="A667" s="132">
        <v>667</v>
      </c>
      <c r="B667" s="49" t="s">
        <v>1680</v>
      </c>
      <c r="C667" s="49" t="s">
        <v>668</v>
      </c>
      <c r="D667" s="145" t="s">
        <v>246</v>
      </c>
      <c r="E667" s="146" t="s">
        <v>1274</v>
      </c>
      <c r="F667" s="146"/>
      <c r="G667" s="145" t="s">
        <v>44</v>
      </c>
      <c r="H667" s="145" t="s">
        <v>260</v>
      </c>
      <c r="I667" s="145" t="s">
        <v>259</v>
      </c>
      <c r="J667" s="149" t="s">
        <v>305</v>
      </c>
      <c r="K667" s="150"/>
      <c r="L667" s="151">
        <v>2.73</v>
      </c>
      <c r="M667" s="136">
        <f t="shared" si="55"/>
        <v>380</v>
      </c>
      <c r="N667" s="2">
        <v>190</v>
      </c>
      <c r="O667" s="2">
        <v>190</v>
      </c>
      <c r="P667" s="137" t="e">
        <f t="shared" si="56"/>
        <v>#DIV/0!</v>
      </c>
      <c r="Q667" s="137" t="e">
        <f t="shared" si="57"/>
        <v>#DIV/0!</v>
      </c>
      <c r="R667" s="138">
        <f>IF(N667="nio",0,IF(N667&gt;0,VLOOKUP(I667,'3-Productie normen'!A:V,VLOOKUP(N667,'3-Productie normen'!$B$35:$C$56,2,FALSE),FALSE)))/VLOOKUP(B667,'2-Kosten per locatie'!$A$11:$C$18,3,FALSE)</f>
        <v>0</v>
      </c>
      <c r="S667" s="138">
        <f t="shared" si="58"/>
        <v>0</v>
      </c>
      <c r="T667" s="139" t="str">
        <f>VLOOKUP(I667,'3-Productie normen'!A:AF,28,FALSE)</f>
        <v>S</v>
      </c>
      <c r="U667" s="140"/>
      <c r="W667" s="141">
        <f t="shared" si="59"/>
        <v>1037.4000000000001</v>
      </c>
    </row>
    <row r="668" spans="1:23" ht="13.9" customHeight="1">
      <c r="A668" s="132">
        <v>668</v>
      </c>
      <c r="B668" s="49" t="s">
        <v>1680</v>
      </c>
      <c r="C668" s="49" t="s">
        <v>668</v>
      </c>
      <c r="D668" s="145" t="s">
        <v>246</v>
      </c>
      <c r="E668" s="146" t="s">
        <v>1275</v>
      </c>
      <c r="F668" s="146"/>
      <c r="G668" s="145" t="s">
        <v>44</v>
      </c>
      <c r="H668" s="145" t="s">
        <v>354</v>
      </c>
      <c r="I668" s="49" t="s">
        <v>1486</v>
      </c>
      <c r="J668" s="149" t="s">
        <v>251</v>
      </c>
      <c r="K668" s="152" t="s">
        <v>1522</v>
      </c>
      <c r="L668" s="151">
        <v>4.25</v>
      </c>
      <c r="M668" s="136">
        <f t="shared" si="55"/>
        <v>190</v>
      </c>
      <c r="N668" s="2">
        <v>190</v>
      </c>
      <c r="O668" s="2"/>
      <c r="P668" s="137" t="e">
        <f t="shared" si="56"/>
        <v>#DIV/0!</v>
      </c>
      <c r="Q668" s="137">
        <f t="shared" si="57"/>
        <v>0</v>
      </c>
      <c r="R668" s="138">
        <f>IF(N668="nio",0,IF(N668&gt;0,VLOOKUP(I668,'3-Productie normen'!A:V,VLOOKUP(N668,'3-Productie normen'!$B$35:$C$56,2,FALSE),FALSE)))/VLOOKUP(B668,'2-Kosten per locatie'!$A$11:$C$18,3,FALSE)</f>
        <v>0</v>
      </c>
      <c r="S668" s="138">
        <f t="shared" si="58"/>
        <v>0</v>
      </c>
      <c r="T668" s="139" t="str">
        <f>VLOOKUP(I668,'3-Productie normen'!A:AF,28,FALSE)</f>
        <v>V</v>
      </c>
      <c r="U668" s="140"/>
      <c r="W668" s="141">
        <f t="shared" si="59"/>
        <v>807.5</v>
      </c>
    </row>
    <row r="669" spans="1:23" ht="13.9" customHeight="1">
      <c r="A669" s="118">
        <v>669</v>
      </c>
      <c r="B669" s="49" t="s">
        <v>1680</v>
      </c>
      <c r="C669" s="49" t="s">
        <v>668</v>
      </c>
      <c r="D669" s="145" t="s">
        <v>246</v>
      </c>
      <c r="E669" s="146" t="s">
        <v>1276</v>
      </c>
      <c r="F669" s="146"/>
      <c r="G669" s="145" t="s">
        <v>44</v>
      </c>
      <c r="H669" s="145" t="s">
        <v>260</v>
      </c>
      <c r="I669" s="145" t="s">
        <v>259</v>
      </c>
      <c r="J669" s="149" t="s">
        <v>305</v>
      </c>
      <c r="K669" s="150"/>
      <c r="L669" s="151">
        <v>1.67</v>
      </c>
      <c r="M669" s="136">
        <f t="shared" si="55"/>
        <v>380</v>
      </c>
      <c r="N669" s="2">
        <v>190</v>
      </c>
      <c r="O669" s="2">
        <v>190</v>
      </c>
      <c r="P669" s="137" t="e">
        <f t="shared" si="56"/>
        <v>#DIV/0!</v>
      </c>
      <c r="Q669" s="137" t="e">
        <f t="shared" si="57"/>
        <v>#DIV/0!</v>
      </c>
      <c r="R669" s="138">
        <f>IF(N669="nio",0,IF(N669&gt;0,VLOOKUP(I669,'3-Productie normen'!A:V,VLOOKUP(N669,'3-Productie normen'!$B$35:$C$56,2,FALSE),FALSE)))/VLOOKUP(B669,'2-Kosten per locatie'!$A$11:$C$18,3,FALSE)</f>
        <v>0</v>
      </c>
      <c r="S669" s="138">
        <f t="shared" si="58"/>
        <v>0</v>
      </c>
      <c r="T669" s="139" t="str">
        <f>VLOOKUP(I669,'3-Productie normen'!A:AF,28,FALSE)</f>
        <v>S</v>
      </c>
      <c r="U669" s="140"/>
      <c r="W669" s="141">
        <f t="shared" si="59"/>
        <v>634.6</v>
      </c>
    </row>
    <row r="670" spans="1:23" ht="13.9" customHeight="1">
      <c r="A670" s="132">
        <v>670</v>
      </c>
      <c r="B670" s="49" t="s">
        <v>1680</v>
      </c>
      <c r="C670" s="49" t="s">
        <v>668</v>
      </c>
      <c r="D670" s="145" t="s">
        <v>246</v>
      </c>
      <c r="E670" s="146" t="s">
        <v>1277</v>
      </c>
      <c r="F670" s="146"/>
      <c r="G670" s="145" t="s">
        <v>44</v>
      </c>
      <c r="H670" s="145" t="s">
        <v>260</v>
      </c>
      <c r="I670" s="145" t="s">
        <v>259</v>
      </c>
      <c r="J670" s="149" t="s">
        <v>305</v>
      </c>
      <c r="K670" s="150"/>
      <c r="L670" s="151">
        <v>1.67</v>
      </c>
      <c r="M670" s="136">
        <f t="shared" si="55"/>
        <v>380</v>
      </c>
      <c r="N670" s="2">
        <v>190</v>
      </c>
      <c r="O670" s="2">
        <v>190</v>
      </c>
      <c r="P670" s="137" t="e">
        <f t="shared" si="56"/>
        <v>#DIV/0!</v>
      </c>
      <c r="Q670" s="137" t="e">
        <f t="shared" si="57"/>
        <v>#DIV/0!</v>
      </c>
      <c r="R670" s="138">
        <f>IF(N670="nio",0,IF(N670&gt;0,VLOOKUP(I670,'3-Productie normen'!A:V,VLOOKUP(N670,'3-Productie normen'!$B$35:$C$56,2,FALSE),FALSE)))/VLOOKUP(B670,'2-Kosten per locatie'!$A$11:$C$18,3,FALSE)</f>
        <v>0</v>
      </c>
      <c r="S670" s="138">
        <f t="shared" si="58"/>
        <v>0</v>
      </c>
      <c r="T670" s="139" t="str">
        <f>VLOOKUP(I670,'3-Productie normen'!A:AF,28,FALSE)</f>
        <v>S</v>
      </c>
      <c r="U670" s="140"/>
      <c r="W670" s="141">
        <f t="shared" si="59"/>
        <v>634.6</v>
      </c>
    </row>
    <row r="671" spans="1:23" ht="13.9" customHeight="1">
      <c r="A671" s="132">
        <v>671</v>
      </c>
      <c r="B671" s="49" t="s">
        <v>1680</v>
      </c>
      <c r="C671" s="49" t="s">
        <v>668</v>
      </c>
      <c r="D671" s="145" t="s">
        <v>246</v>
      </c>
      <c r="E671" s="146" t="s">
        <v>1278</v>
      </c>
      <c r="F671" s="146"/>
      <c r="G671" s="145" t="s">
        <v>44</v>
      </c>
      <c r="H671" s="145" t="s">
        <v>258</v>
      </c>
      <c r="I671" s="145" t="s">
        <v>259</v>
      </c>
      <c r="J671" s="149" t="s">
        <v>305</v>
      </c>
      <c r="K671" s="150"/>
      <c r="L671" s="151">
        <v>3.07</v>
      </c>
      <c r="M671" s="136">
        <f t="shared" si="55"/>
        <v>380</v>
      </c>
      <c r="N671" s="2">
        <v>190</v>
      </c>
      <c r="O671" s="2">
        <v>190</v>
      </c>
      <c r="P671" s="137" t="e">
        <f t="shared" si="56"/>
        <v>#DIV/0!</v>
      </c>
      <c r="Q671" s="137" t="e">
        <f t="shared" si="57"/>
        <v>#DIV/0!</v>
      </c>
      <c r="R671" s="138">
        <f>IF(N671="nio",0,IF(N671&gt;0,VLOOKUP(I671,'3-Productie normen'!A:V,VLOOKUP(N671,'3-Productie normen'!$B$35:$C$56,2,FALSE),FALSE)))/VLOOKUP(B671,'2-Kosten per locatie'!$A$11:$C$18,3,FALSE)</f>
        <v>0</v>
      </c>
      <c r="S671" s="138">
        <f t="shared" si="58"/>
        <v>0</v>
      </c>
      <c r="T671" s="139" t="str">
        <f>VLOOKUP(I671,'3-Productie normen'!A:AF,28,FALSE)</f>
        <v>S</v>
      </c>
      <c r="U671" s="140"/>
      <c r="W671" s="141">
        <f t="shared" si="59"/>
        <v>1166.5999999999999</v>
      </c>
    </row>
    <row r="672" spans="1:23" ht="13.9" customHeight="1">
      <c r="A672" s="118">
        <v>672</v>
      </c>
      <c r="B672" s="49" t="s">
        <v>1680</v>
      </c>
      <c r="C672" s="49" t="s">
        <v>668</v>
      </c>
      <c r="D672" s="145" t="s">
        <v>246</v>
      </c>
      <c r="E672" s="146" t="s">
        <v>1279</v>
      </c>
      <c r="F672" s="146"/>
      <c r="G672" s="145" t="s">
        <v>44</v>
      </c>
      <c r="H672" s="145" t="s">
        <v>260</v>
      </c>
      <c r="I672" s="145" t="s">
        <v>259</v>
      </c>
      <c r="J672" s="149" t="s">
        <v>305</v>
      </c>
      <c r="K672" s="150"/>
      <c r="L672" s="151">
        <v>1.58</v>
      </c>
      <c r="M672" s="136">
        <f t="shared" si="55"/>
        <v>380</v>
      </c>
      <c r="N672" s="2">
        <v>190</v>
      </c>
      <c r="O672" s="2">
        <v>190</v>
      </c>
      <c r="P672" s="137" t="e">
        <f t="shared" si="56"/>
        <v>#DIV/0!</v>
      </c>
      <c r="Q672" s="137" t="e">
        <f t="shared" si="57"/>
        <v>#DIV/0!</v>
      </c>
      <c r="R672" s="138">
        <f>IF(N672="nio",0,IF(N672&gt;0,VLOOKUP(I672,'3-Productie normen'!A:V,VLOOKUP(N672,'3-Productie normen'!$B$35:$C$56,2,FALSE),FALSE)))/VLOOKUP(B672,'2-Kosten per locatie'!$A$11:$C$18,3,FALSE)</f>
        <v>0</v>
      </c>
      <c r="S672" s="138">
        <f t="shared" si="58"/>
        <v>0</v>
      </c>
      <c r="T672" s="139" t="str">
        <f>VLOOKUP(I672,'3-Productie normen'!A:AF,28,FALSE)</f>
        <v>S</v>
      </c>
      <c r="U672" s="140"/>
      <c r="W672" s="141">
        <f t="shared" si="59"/>
        <v>600.4</v>
      </c>
    </row>
    <row r="673" spans="1:23" ht="13.9" customHeight="1">
      <c r="A673" s="132">
        <v>673</v>
      </c>
      <c r="B673" s="49" t="s">
        <v>1680</v>
      </c>
      <c r="C673" s="49" t="s">
        <v>668</v>
      </c>
      <c r="D673" s="145" t="s">
        <v>246</v>
      </c>
      <c r="E673" s="146" t="s">
        <v>1280</v>
      </c>
      <c r="F673" s="146"/>
      <c r="G673" s="145" t="s">
        <v>44</v>
      </c>
      <c r="H673" s="145" t="s">
        <v>258</v>
      </c>
      <c r="I673" s="145" t="s">
        <v>259</v>
      </c>
      <c r="J673" s="149" t="s">
        <v>305</v>
      </c>
      <c r="K673" s="150"/>
      <c r="L673" s="151">
        <v>3.93</v>
      </c>
      <c r="M673" s="136">
        <f t="shared" si="55"/>
        <v>380</v>
      </c>
      <c r="N673" s="2">
        <v>190</v>
      </c>
      <c r="O673" s="2">
        <v>190</v>
      </c>
      <c r="P673" s="137" t="e">
        <f t="shared" si="56"/>
        <v>#DIV/0!</v>
      </c>
      <c r="Q673" s="137" t="e">
        <f t="shared" si="57"/>
        <v>#DIV/0!</v>
      </c>
      <c r="R673" s="138">
        <f>IF(N673="nio",0,IF(N673&gt;0,VLOOKUP(I673,'3-Productie normen'!A:V,VLOOKUP(N673,'3-Productie normen'!$B$35:$C$56,2,FALSE),FALSE)))/VLOOKUP(B673,'2-Kosten per locatie'!$A$11:$C$18,3,FALSE)</f>
        <v>0</v>
      </c>
      <c r="S673" s="138">
        <f t="shared" si="58"/>
        <v>0</v>
      </c>
      <c r="T673" s="139" t="str">
        <f>VLOOKUP(I673,'3-Productie normen'!A:AF,28,FALSE)</f>
        <v>S</v>
      </c>
      <c r="U673" s="140"/>
      <c r="W673" s="141">
        <f t="shared" si="59"/>
        <v>1493.4</v>
      </c>
    </row>
    <row r="674" spans="1:23" ht="13.9" customHeight="1">
      <c r="A674" s="132">
        <v>674</v>
      </c>
      <c r="B674" s="49" t="s">
        <v>1680</v>
      </c>
      <c r="C674" s="49" t="s">
        <v>668</v>
      </c>
      <c r="D674" s="145" t="s">
        <v>246</v>
      </c>
      <c r="E674" s="146" t="s">
        <v>1281</v>
      </c>
      <c r="F674" s="146"/>
      <c r="G674" s="145" t="s">
        <v>44</v>
      </c>
      <c r="H674" s="145" t="s">
        <v>260</v>
      </c>
      <c r="I674" s="145" t="s">
        <v>259</v>
      </c>
      <c r="J674" s="149" t="s">
        <v>305</v>
      </c>
      <c r="K674" s="150"/>
      <c r="L674" s="151">
        <v>1.58</v>
      </c>
      <c r="M674" s="136">
        <f t="shared" si="55"/>
        <v>380</v>
      </c>
      <c r="N674" s="2">
        <v>190</v>
      </c>
      <c r="O674" s="2">
        <v>190</v>
      </c>
      <c r="P674" s="137" t="e">
        <f t="shared" si="56"/>
        <v>#DIV/0!</v>
      </c>
      <c r="Q674" s="137" t="e">
        <f t="shared" si="57"/>
        <v>#DIV/0!</v>
      </c>
      <c r="R674" s="138">
        <f>IF(N674="nio",0,IF(N674&gt;0,VLOOKUP(I674,'3-Productie normen'!A:V,VLOOKUP(N674,'3-Productie normen'!$B$35:$C$56,2,FALSE),FALSE)))/VLOOKUP(B674,'2-Kosten per locatie'!$A$11:$C$18,3,FALSE)</f>
        <v>0</v>
      </c>
      <c r="S674" s="138">
        <f t="shared" si="58"/>
        <v>0</v>
      </c>
      <c r="T674" s="139" t="str">
        <f>VLOOKUP(I674,'3-Productie normen'!A:AF,28,FALSE)</f>
        <v>S</v>
      </c>
      <c r="U674" s="140"/>
      <c r="W674" s="141">
        <f t="shared" si="59"/>
        <v>600.4</v>
      </c>
    </row>
    <row r="675" spans="1:23" ht="13.9" customHeight="1">
      <c r="A675" s="118">
        <v>675</v>
      </c>
      <c r="B675" s="49" t="s">
        <v>1680</v>
      </c>
      <c r="C675" s="49" t="s">
        <v>668</v>
      </c>
      <c r="D675" s="145" t="s">
        <v>246</v>
      </c>
      <c r="E675" s="146" t="s">
        <v>1282</v>
      </c>
      <c r="F675" s="146"/>
      <c r="G675" s="145" t="s">
        <v>237</v>
      </c>
      <c r="H675" s="145" t="s">
        <v>294</v>
      </c>
      <c r="I675" s="91" t="s">
        <v>239</v>
      </c>
      <c r="J675" s="149" t="s">
        <v>234</v>
      </c>
      <c r="K675" s="150"/>
      <c r="L675" s="151">
        <v>7.4</v>
      </c>
      <c r="M675" s="136">
        <f t="shared" si="55"/>
        <v>0</v>
      </c>
      <c r="N675" s="2" t="s">
        <v>273</v>
      </c>
      <c r="O675" s="2"/>
      <c r="P675" s="137">
        <f t="shared" si="56"/>
        <v>0</v>
      </c>
      <c r="Q675" s="137">
        <f t="shared" si="57"/>
        <v>0</v>
      </c>
      <c r="R675" s="138">
        <f>IF(N675="nio",0,IF(N675&gt;0,VLOOKUP(I675,'3-Productie normen'!A:V,VLOOKUP(N675,'3-Productie normen'!$B$35:$C$56,2,FALSE),FALSE)))/VLOOKUP(B675,'2-Kosten per locatie'!$A$11:$C$18,3,FALSE)</f>
        <v>0</v>
      </c>
      <c r="S675" s="138">
        <f t="shared" si="58"/>
        <v>0</v>
      </c>
      <c r="T675" s="139">
        <f>VLOOKUP(I675,'3-Productie normen'!A:AF,28,FALSE)</f>
        <v>0</v>
      </c>
      <c r="U675" s="140"/>
      <c r="W675" s="141">
        <f t="shared" si="59"/>
        <v>0</v>
      </c>
    </row>
    <row r="676" spans="1:23" ht="13.9" customHeight="1">
      <c r="A676" s="132">
        <v>676</v>
      </c>
      <c r="B676" s="49" t="s">
        <v>1680</v>
      </c>
      <c r="C676" s="49" t="s">
        <v>668</v>
      </c>
      <c r="D676" s="145" t="s">
        <v>246</v>
      </c>
      <c r="E676" s="146" t="s">
        <v>1283</v>
      </c>
      <c r="F676" s="146"/>
      <c r="G676" s="145" t="s">
        <v>237</v>
      </c>
      <c r="H676" s="145" t="s">
        <v>294</v>
      </c>
      <c r="I676" s="91" t="s">
        <v>239</v>
      </c>
      <c r="J676" s="149" t="s">
        <v>234</v>
      </c>
      <c r="K676" s="150"/>
      <c r="L676" s="151">
        <v>4.6399999999999997</v>
      </c>
      <c r="M676" s="136">
        <f t="shared" si="55"/>
        <v>0</v>
      </c>
      <c r="N676" s="2" t="s">
        <v>273</v>
      </c>
      <c r="O676" s="2"/>
      <c r="P676" s="137">
        <f t="shared" si="56"/>
        <v>0</v>
      </c>
      <c r="Q676" s="137">
        <f t="shared" si="57"/>
        <v>0</v>
      </c>
      <c r="R676" s="138">
        <f>IF(N676="nio",0,IF(N676&gt;0,VLOOKUP(I676,'3-Productie normen'!A:V,VLOOKUP(N676,'3-Productie normen'!$B$35:$C$56,2,FALSE),FALSE)))/VLOOKUP(B676,'2-Kosten per locatie'!$A$11:$C$18,3,FALSE)</f>
        <v>0</v>
      </c>
      <c r="S676" s="138">
        <f t="shared" si="58"/>
        <v>0</v>
      </c>
      <c r="T676" s="139">
        <f>VLOOKUP(I676,'3-Productie normen'!A:AF,28,FALSE)</f>
        <v>0</v>
      </c>
      <c r="U676" s="140"/>
      <c r="W676" s="141">
        <f t="shared" si="59"/>
        <v>0</v>
      </c>
    </row>
    <row r="677" spans="1:23" ht="13.9" customHeight="1">
      <c r="A677" s="132">
        <v>677</v>
      </c>
      <c r="B677" s="49" t="s">
        <v>1680</v>
      </c>
      <c r="C677" s="49" t="s">
        <v>668</v>
      </c>
      <c r="D677" s="145" t="s">
        <v>246</v>
      </c>
      <c r="E677" s="146" t="s">
        <v>1284</v>
      </c>
      <c r="F677" s="146"/>
      <c r="G677" s="145" t="s">
        <v>242</v>
      </c>
      <c r="H677" s="145" t="s">
        <v>242</v>
      </c>
      <c r="I677" s="1" t="s">
        <v>242</v>
      </c>
      <c r="J677" s="149" t="s">
        <v>251</v>
      </c>
      <c r="K677" s="152" t="s">
        <v>1522</v>
      </c>
      <c r="L677" s="151">
        <v>6.96</v>
      </c>
      <c r="M677" s="136">
        <f t="shared" si="55"/>
        <v>2</v>
      </c>
      <c r="N677" s="2">
        <v>2</v>
      </c>
      <c r="O677" s="2"/>
      <c r="P677" s="137" t="e">
        <f t="shared" si="56"/>
        <v>#DIV/0!</v>
      </c>
      <c r="Q677" s="137">
        <f t="shared" si="57"/>
        <v>0</v>
      </c>
      <c r="R677" s="138">
        <f>IF(N677="nio",0,IF(N677&gt;0,VLOOKUP(I677,'3-Productie normen'!A:V,VLOOKUP(N677,'3-Productie normen'!$B$35:$C$56,2,FALSE),FALSE)))/VLOOKUP(B677,'2-Kosten per locatie'!$A$11:$C$18,3,FALSE)</f>
        <v>0</v>
      </c>
      <c r="S677" s="138">
        <f t="shared" si="58"/>
        <v>0</v>
      </c>
      <c r="T677" s="139" t="str">
        <f>VLOOKUP(I677,'3-Productie normen'!A:AF,28,FALSE)</f>
        <v>V</v>
      </c>
      <c r="U677" s="140"/>
      <c r="W677" s="141">
        <f t="shared" si="59"/>
        <v>13.92</v>
      </c>
    </row>
    <row r="678" spans="1:23" ht="13.9" customHeight="1">
      <c r="A678" s="118">
        <v>678</v>
      </c>
      <c r="B678" s="49" t="s">
        <v>1680</v>
      </c>
      <c r="C678" s="49" t="s">
        <v>668</v>
      </c>
      <c r="D678" s="145" t="s">
        <v>246</v>
      </c>
      <c r="E678" s="146" t="s">
        <v>1285</v>
      </c>
      <c r="F678" s="146" t="s">
        <v>1286</v>
      </c>
      <c r="G678" s="145" t="s">
        <v>264</v>
      </c>
      <c r="H678" s="145" t="s">
        <v>284</v>
      </c>
      <c r="I678" s="145" t="s">
        <v>284</v>
      </c>
      <c r="J678" s="149" t="s">
        <v>295</v>
      </c>
      <c r="K678" s="150"/>
      <c r="L678" s="151">
        <v>599.63</v>
      </c>
      <c r="M678" s="136">
        <f t="shared" si="55"/>
        <v>76</v>
      </c>
      <c r="N678" s="2">
        <v>76</v>
      </c>
      <c r="O678" s="2"/>
      <c r="P678" s="137" t="e">
        <f t="shared" si="56"/>
        <v>#DIV/0!</v>
      </c>
      <c r="Q678" s="137">
        <f t="shared" si="57"/>
        <v>0</v>
      </c>
      <c r="R678" s="138">
        <f>IF(N678="nio",0,IF(N678&gt;0,VLOOKUP(I678,'3-Productie normen'!A:V,VLOOKUP(N678,'3-Productie normen'!$B$35:$C$56,2,FALSE),FALSE)))/VLOOKUP(B678,'2-Kosten per locatie'!$A$11:$C$18,3,FALSE)</f>
        <v>0</v>
      </c>
      <c r="S678" s="138">
        <f t="shared" si="58"/>
        <v>0</v>
      </c>
      <c r="T678" s="139" t="str">
        <f>VLOOKUP(I678,'3-Productie normen'!A:AF,28,FALSE)</f>
        <v>L</v>
      </c>
      <c r="U678" s="140"/>
      <c r="W678" s="141">
        <f t="shared" si="59"/>
        <v>45571.88</v>
      </c>
    </row>
    <row r="679" spans="1:23" ht="13.9" customHeight="1">
      <c r="A679" s="132">
        <v>679</v>
      </c>
      <c r="B679" s="49" t="s">
        <v>1680</v>
      </c>
      <c r="C679" s="49" t="s">
        <v>668</v>
      </c>
      <c r="D679" s="145" t="s">
        <v>246</v>
      </c>
      <c r="E679" s="146" t="s">
        <v>1288</v>
      </c>
      <c r="F679" s="146"/>
      <c r="G679" s="145" t="s">
        <v>242</v>
      </c>
      <c r="H679" s="145" t="s">
        <v>242</v>
      </c>
      <c r="I679" s="1" t="s">
        <v>242</v>
      </c>
      <c r="J679" s="149" t="s">
        <v>295</v>
      </c>
      <c r="K679" s="150"/>
      <c r="L679" s="151">
        <v>5.94</v>
      </c>
      <c r="M679" s="136">
        <f t="shared" si="55"/>
        <v>2</v>
      </c>
      <c r="N679" s="2">
        <v>2</v>
      </c>
      <c r="O679" s="2"/>
      <c r="P679" s="137" t="e">
        <f t="shared" si="56"/>
        <v>#DIV/0!</v>
      </c>
      <c r="Q679" s="137">
        <f t="shared" si="57"/>
        <v>0</v>
      </c>
      <c r="R679" s="138">
        <f>IF(N679="nio",0,IF(N679&gt;0,VLOOKUP(I679,'3-Productie normen'!A:V,VLOOKUP(N679,'3-Productie normen'!$B$35:$C$56,2,FALSE),FALSE)))/VLOOKUP(B679,'2-Kosten per locatie'!$A$11:$C$18,3,FALSE)</f>
        <v>0</v>
      </c>
      <c r="S679" s="138">
        <f t="shared" si="58"/>
        <v>0</v>
      </c>
      <c r="T679" s="139" t="str">
        <f>VLOOKUP(I679,'3-Productie normen'!A:AF,28,FALSE)</f>
        <v>V</v>
      </c>
      <c r="U679" s="140"/>
      <c r="W679" s="141">
        <f t="shared" si="59"/>
        <v>11.88</v>
      </c>
    </row>
    <row r="680" spans="1:23" ht="13.9" customHeight="1">
      <c r="A680" s="132">
        <v>680</v>
      </c>
      <c r="B680" s="49" t="s">
        <v>1680</v>
      </c>
      <c r="C680" s="49" t="s">
        <v>668</v>
      </c>
      <c r="D680" s="145" t="s">
        <v>246</v>
      </c>
      <c r="E680" s="146" t="s">
        <v>1289</v>
      </c>
      <c r="F680" s="146"/>
      <c r="G680" s="145" t="s">
        <v>264</v>
      </c>
      <c r="H680" s="145" t="s">
        <v>1591</v>
      </c>
      <c r="I680" s="145" t="s">
        <v>285</v>
      </c>
      <c r="J680" s="149" t="s">
        <v>1078</v>
      </c>
      <c r="K680" s="150"/>
      <c r="L680" s="151">
        <v>122.48</v>
      </c>
      <c r="M680" s="136">
        <f t="shared" si="55"/>
        <v>190</v>
      </c>
      <c r="N680" s="2">
        <v>190</v>
      </c>
      <c r="O680" s="2"/>
      <c r="P680" s="137" t="e">
        <f t="shared" si="56"/>
        <v>#DIV/0!</v>
      </c>
      <c r="Q680" s="137">
        <f t="shared" si="57"/>
        <v>0</v>
      </c>
      <c r="R680" s="138">
        <f>IF(N680="nio",0,IF(N680&gt;0,VLOOKUP(I680,'3-Productie normen'!A:V,VLOOKUP(N680,'3-Productie normen'!$B$35:$C$56,2,FALSE),FALSE)))/VLOOKUP(B680,'2-Kosten per locatie'!$A$11:$C$18,3,FALSE)</f>
        <v>0</v>
      </c>
      <c r="S680" s="138">
        <f t="shared" si="58"/>
        <v>0</v>
      </c>
      <c r="T680" s="139" t="str">
        <f>VLOOKUP(I680,'3-Productie normen'!A:AF,28,FALSE)</f>
        <v>L</v>
      </c>
      <c r="U680" s="140"/>
      <c r="W680" s="141">
        <f t="shared" si="59"/>
        <v>23271.200000000001</v>
      </c>
    </row>
    <row r="681" spans="1:23" ht="13.9" customHeight="1">
      <c r="A681" s="118">
        <v>681</v>
      </c>
      <c r="B681" s="49" t="s">
        <v>1680</v>
      </c>
      <c r="C681" s="49" t="s">
        <v>668</v>
      </c>
      <c r="D681" s="145" t="s">
        <v>246</v>
      </c>
      <c r="E681" s="146" t="s">
        <v>1290</v>
      </c>
      <c r="F681" s="146" t="s">
        <v>263</v>
      </c>
      <c r="G681" s="145" t="s">
        <v>264</v>
      </c>
      <c r="H681" s="145" t="s">
        <v>284</v>
      </c>
      <c r="I681" s="145" t="s">
        <v>284</v>
      </c>
      <c r="J681" s="149" t="s">
        <v>234</v>
      </c>
      <c r="K681" s="150"/>
      <c r="L681" s="151">
        <v>130.37</v>
      </c>
      <c r="M681" s="136">
        <f t="shared" si="55"/>
        <v>76</v>
      </c>
      <c r="N681" s="2">
        <v>76</v>
      </c>
      <c r="O681" s="2"/>
      <c r="P681" s="137" t="e">
        <f t="shared" si="56"/>
        <v>#DIV/0!</v>
      </c>
      <c r="Q681" s="137">
        <f t="shared" si="57"/>
        <v>0</v>
      </c>
      <c r="R681" s="138">
        <f>IF(N681="nio",0,IF(N681&gt;0,VLOOKUP(I681,'3-Productie normen'!A:V,VLOOKUP(N681,'3-Productie normen'!$B$35:$C$56,2,FALSE),FALSE)))/VLOOKUP(B681,'2-Kosten per locatie'!$A$11:$C$18,3,FALSE)</f>
        <v>0</v>
      </c>
      <c r="S681" s="138">
        <f t="shared" si="58"/>
        <v>0</v>
      </c>
      <c r="T681" s="139" t="str">
        <f>VLOOKUP(I681,'3-Productie normen'!A:AF,28,FALSE)</f>
        <v>L</v>
      </c>
      <c r="U681" s="140"/>
      <c r="W681" s="141">
        <f t="shared" si="59"/>
        <v>9908.1200000000008</v>
      </c>
    </row>
    <row r="682" spans="1:23" ht="13.9" customHeight="1">
      <c r="A682" s="132">
        <v>682</v>
      </c>
      <c r="B682" s="49" t="s">
        <v>1680</v>
      </c>
      <c r="C682" s="49" t="s">
        <v>668</v>
      </c>
      <c r="D682" s="145" t="s">
        <v>246</v>
      </c>
      <c r="E682" s="146" t="s">
        <v>1291</v>
      </c>
      <c r="F682" s="146"/>
      <c r="G682" s="145" t="s">
        <v>242</v>
      </c>
      <c r="H682" s="145" t="s">
        <v>242</v>
      </c>
      <c r="I682" s="1" t="s">
        <v>242</v>
      </c>
      <c r="J682" s="149" t="s">
        <v>234</v>
      </c>
      <c r="K682" s="150"/>
      <c r="L682" s="151">
        <v>4.87</v>
      </c>
      <c r="M682" s="136">
        <f t="shared" si="55"/>
        <v>2</v>
      </c>
      <c r="N682" s="2">
        <v>2</v>
      </c>
      <c r="O682" s="2"/>
      <c r="P682" s="137" t="e">
        <f t="shared" si="56"/>
        <v>#DIV/0!</v>
      </c>
      <c r="Q682" s="137">
        <f t="shared" si="57"/>
        <v>0</v>
      </c>
      <c r="R682" s="138">
        <f>IF(N682="nio",0,IF(N682&gt;0,VLOOKUP(I682,'3-Productie normen'!A:V,VLOOKUP(N682,'3-Productie normen'!$B$35:$C$56,2,FALSE),FALSE)))/VLOOKUP(B682,'2-Kosten per locatie'!$A$11:$C$18,3,FALSE)</f>
        <v>0</v>
      </c>
      <c r="S682" s="138">
        <f t="shared" si="58"/>
        <v>0</v>
      </c>
      <c r="T682" s="139" t="str">
        <f>VLOOKUP(I682,'3-Productie normen'!A:AF,28,FALSE)</f>
        <v>V</v>
      </c>
      <c r="U682" s="140"/>
      <c r="W682" s="141">
        <f t="shared" si="59"/>
        <v>9.74</v>
      </c>
    </row>
    <row r="683" spans="1:23" ht="13.9" customHeight="1">
      <c r="A683" s="132">
        <v>683</v>
      </c>
      <c r="B683" s="49" t="s">
        <v>1680</v>
      </c>
      <c r="C683" s="49" t="s">
        <v>668</v>
      </c>
      <c r="D683" s="145" t="s">
        <v>246</v>
      </c>
      <c r="E683" s="146" t="s">
        <v>1292</v>
      </c>
      <c r="F683" s="146" t="s">
        <v>309</v>
      </c>
      <c r="G683" s="145" t="s">
        <v>264</v>
      </c>
      <c r="H683" s="145" t="s">
        <v>265</v>
      </c>
      <c r="I683" s="145" t="s">
        <v>284</v>
      </c>
      <c r="J683" s="149" t="s">
        <v>234</v>
      </c>
      <c r="K683" s="150"/>
      <c r="L683" s="151">
        <v>64.180000000000007</v>
      </c>
      <c r="M683" s="136">
        <f t="shared" si="55"/>
        <v>76</v>
      </c>
      <c r="N683" s="2">
        <v>76</v>
      </c>
      <c r="O683" s="2"/>
      <c r="P683" s="137" t="e">
        <f t="shared" si="56"/>
        <v>#DIV/0!</v>
      </c>
      <c r="Q683" s="137">
        <f t="shared" si="57"/>
        <v>0</v>
      </c>
      <c r="R683" s="138">
        <f>IF(N683="nio",0,IF(N683&gt;0,VLOOKUP(I683,'3-Productie normen'!A:V,VLOOKUP(N683,'3-Productie normen'!$B$35:$C$56,2,FALSE),FALSE)))/VLOOKUP(B683,'2-Kosten per locatie'!$A$11:$C$18,3,FALSE)</f>
        <v>0</v>
      </c>
      <c r="S683" s="138">
        <f t="shared" si="58"/>
        <v>0</v>
      </c>
      <c r="T683" s="139" t="str">
        <f>VLOOKUP(I683,'3-Productie normen'!A:AF,28,FALSE)</f>
        <v>L</v>
      </c>
      <c r="U683" s="140"/>
      <c r="W683" s="141">
        <f t="shared" si="59"/>
        <v>4877.68</v>
      </c>
    </row>
    <row r="684" spans="1:23" ht="13.9" customHeight="1">
      <c r="A684" s="118">
        <v>684</v>
      </c>
      <c r="B684" s="49" t="s">
        <v>1680</v>
      </c>
      <c r="C684" s="49" t="s">
        <v>668</v>
      </c>
      <c r="D684" s="145" t="s">
        <v>246</v>
      </c>
      <c r="E684" s="146" t="s">
        <v>1293</v>
      </c>
      <c r="F684" s="146" t="s">
        <v>267</v>
      </c>
      <c r="G684" s="145" t="s">
        <v>245</v>
      </c>
      <c r="H684" s="145" t="s">
        <v>245</v>
      </c>
      <c r="I684" s="92" t="s">
        <v>274</v>
      </c>
      <c r="J684" s="149" t="s">
        <v>251</v>
      </c>
      <c r="K684" s="152" t="s">
        <v>1522</v>
      </c>
      <c r="L684" s="151">
        <v>30.29</v>
      </c>
      <c r="M684" s="136">
        <f t="shared" si="55"/>
        <v>76</v>
      </c>
      <c r="N684" s="2">
        <v>76</v>
      </c>
      <c r="O684" s="2"/>
      <c r="P684" s="137" t="e">
        <f t="shared" si="56"/>
        <v>#DIV/0!</v>
      </c>
      <c r="Q684" s="137">
        <f t="shared" si="57"/>
        <v>0</v>
      </c>
      <c r="R684" s="138">
        <f>IF(N684="nio",0,IF(N684&gt;0,VLOOKUP(I684,'3-Productie normen'!A:V,VLOOKUP(N684,'3-Productie normen'!$B$35:$C$56,2,FALSE),FALSE)))/VLOOKUP(B684,'2-Kosten per locatie'!$A$11:$C$18,3,FALSE)</f>
        <v>0</v>
      </c>
      <c r="S684" s="138">
        <f t="shared" si="58"/>
        <v>0</v>
      </c>
      <c r="T684" s="139" t="str">
        <f>VLOOKUP(I684,'3-Productie normen'!A:AF,28,FALSE)</f>
        <v>B</v>
      </c>
      <c r="U684" s="140"/>
      <c r="W684" s="141">
        <f t="shared" si="59"/>
        <v>2302.04</v>
      </c>
    </row>
    <row r="685" spans="1:23" ht="13.9" customHeight="1">
      <c r="A685" s="132">
        <v>685</v>
      </c>
      <c r="B685" s="49" t="s">
        <v>1680</v>
      </c>
      <c r="C685" s="49" t="s">
        <v>668</v>
      </c>
      <c r="D685" s="145" t="s">
        <v>246</v>
      </c>
      <c r="E685" s="146" t="s">
        <v>1294</v>
      </c>
      <c r="F685" s="146" t="s">
        <v>327</v>
      </c>
      <c r="G685" s="145" t="s">
        <v>243</v>
      </c>
      <c r="H685" s="145" t="s">
        <v>266</v>
      </c>
      <c r="I685" s="145" t="s">
        <v>253</v>
      </c>
      <c r="J685" s="149" t="s">
        <v>251</v>
      </c>
      <c r="K685" s="152" t="s">
        <v>1522</v>
      </c>
      <c r="L685" s="151">
        <v>62.54</v>
      </c>
      <c r="M685" s="136">
        <f t="shared" si="55"/>
        <v>190</v>
      </c>
      <c r="N685" s="2">
        <v>190</v>
      </c>
      <c r="O685" s="2"/>
      <c r="P685" s="137" t="e">
        <f t="shared" si="56"/>
        <v>#DIV/0!</v>
      </c>
      <c r="Q685" s="137">
        <f t="shared" si="57"/>
        <v>0</v>
      </c>
      <c r="R685" s="138">
        <f>IF(N685="nio",0,IF(N685&gt;0,VLOOKUP(I685,'3-Productie normen'!A:V,VLOOKUP(N685,'3-Productie normen'!$B$35:$C$56,2,FALSE),FALSE)))/VLOOKUP(B685,'2-Kosten per locatie'!$A$11:$C$18,3,FALSE)</f>
        <v>0</v>
      </c>
      <c r="S685" s="138">
        <f t="shared" si="58"/>
        <v>0</v>
      </c>
      <c r="T685" s="139" t="str">
        <f>VLOOKUP(I685,'3-Productie normen'!A:AF,28,FALSE)</f>
        <v>V</v>
      </c>
      <c r="U685" s="140"/>
      <c r="W685" s="141">
        <f t="shared" si="59"/>
        <v>11882.6</v>
      </c>
    </row>
    <row r="686" spans="1:23" ht="13.9" customHeight="1">
      <c r="A686" s="132">
        <v>686</v>
      </c>
      <c r="B686" s="49" t="s">
        <v>1680</v>
      </c>
      <c r="C686" s="49" t="s">
        <v>668</v>
      </c>
      <c r="D686" s="145" t="s">
        <v>246</v>
      </c>
      <c r="E686" s="146" t="s">
        <v>1295</v>
      </c>
      <c r="F686" s="146"/>
      <c r="G686" s="145" t="s">
        <v>245</v>
      </c>
      <c r="H686" s="145" t="s">
        <v>245</v>
      </c>
      <c r="I686" s="92" t="s">
        <v>274</v>
      </c>
      <c r="J686" s="149" t="s">
        <v>251</v>
      </c>
      <c r="K686" s="152" t="s">
        <v>1522</v>
      </c>
      <c r="L686" s="151">
        <v>15.47</v>
      </c>
      <c r="M686" s="136">
        <f t="shared" si="55"/>
        <v>76</v>
      </c>
      <c r="N686" s="2">
        <v>76</v>
      </c>
      <c r="O686" s="2"/>
      <c r="P686" s="137" t="e">
        <f t="shared" si="56"/>
        <v>#DIV/0!</v>
      </c>
      <c r="Q686" s="137">
        <f t="shared" si="57"/>
        <v>0</v>
      </c>
      <c r="R686" s="138">
        <f>IF(N686="nio",0,IF(N686&gt;0,VLOOKUP(I686,'3-Productie normen'!A:V,VLOOKUP(N686,'3-Productie normen'!$B$35:$C$56,2,FALSE),FALSE)))/VLOOKUP(B686,'2-Kosten per locatie'!$A$11:$C$18,3,FALSE)</f>
        <v>0</v>
      </c>
      <c r="S686" s="138">
        <f t="shared" si="58"/>
        <v>0</v>
      </c>
      <c r="T686" s="139" t="str">
        <f>VLOOKUP(I686,'3-Productie normen'!A:AF,28,FALSE)</f>
        <v>B</v>
      </c>
      <c r="U686" s="140"/>
      <c r="W686" s="141">
        <f t="shared" si="59"/>
        <v>1175.72</v>
      </c>
    </row>
    <row r="687" spans="1:23" ht="13.9" customHeight="1">
      <c r="A687" s="118">
        <v>687</v>
      </c>
      <c r="B687" s="49" t="s">
        <v>1680</v>
      </c>
      <c r="C687" s="49" t="s">
        <v>668</v>
      </c>
      <c r="D687" s="145" t="s">
        <v>246</v>
      </c>
      <c r="E687" s="146" t="s">
        <v>1296</v>
      </c>
      <c r="F687" s="146" t="s">
        <v>306</v>
      </c>
      <c r="G687" s="145" t="s">
        <v>242</v>
      </c>
      <c r="H687" s="145" t="s">
        <v>242</v>
      </c>
      <c r="I687" s="1" t="s">
        <v>242</v>
      </c>
      <c r="J687" s="149" t="s">
        <v>305</v>
      </c>
      <c r="K687" s="150"/>
      <c r="L687" s="151">
        <v>15.94</v>
      </c>
      <c r="M687" s="136">
        <f t="shared" si="55"/>
        <v>2</v>
      </c>
      <c r="N687" s="2">
        <v>2</v>
      </c>
      <c r="O687" s="2"/>
      <c r="P687" s="137" t="e">
        <f t="shared" si="56"/>
        <v>#DIV/0!</v>
      </c>
      <c r="Q687" s="137">
        <f t="shared" si="57"/>
        <v>0</v>
      </c>
      <c r="R687" s="138">
        <f>IF(N687="nio",0,IF(N687&gt;0,VLOOKUP(I687,'3-Productie normen'!A:V,VLOOKUP(N687,'3-Productie normen'!$B$35:$C$56,2,FALSE),FALSE)))/VLOOKUP(B687,'2-Kosten per locatie'!$A$11:$C$18,3,FALSE)</f>
        <v>0</v>
      </c>
      <c r="S687" s="138">
        <f t="shared" si="58"/>
        <v>0</v>
      </c>
      <c r="T687" s="139" t="str">
        <f>VLOOKUP(I687,'3-Productie normen'!A:AF,28,FALSE)</f>
        <v>V</v>
      </c>
      <c r="U687" s="140"/>
      <c r="W687" s="141">
        <f t="shared" si="59"/>
        <v>31.88</v>
      </c>
    </row>
    <row r="688" spans="1:23" ht="13.9" customHeight="1">
      <c r="A688" s="132">
        <v>688</v>
      </c>
      <c r="B688" s="49" t="s">
        <v>1680</v>
      </c>
      <c r="C688" s="49" t="s">
        <v>668</v>
      </c>
      <c r="D688" s="145" t="s">
        <v>246</v>
      </c>
      <c r="E688" s="146" t="s">
        <v>1297</v>
      </c>
      <c r="F688" s="146"/>
      <c r="G688" s="145" t="s">
        <v>264</v>
      </c>
      <c r="H688" s="145" t="s">
        <v>284</v>
      </c>
      <c r="I688" s="145" t="s">
        <v>284</v>
      </c>
      <c r="J688" s="149" t="s">
        <v>295</v>
      </c>
      <c r="K688" s="150"/>
      <c r="L688" s="151">
        <v>206.24</v>
      </c>
      <c r="M688" s="136">
        <f t="shared" si="55"/>
        <v>76</v>
      </c>
      <c r="N688" s="2">
        <v>76</v>
      </c>
      <c r="O688" s="2"/>
      <c r="P688" s="137" t="e">
        <f t="shared" si="56"/>
        <v>#DIV/0!</v>
      </c>
      <c r="Q688" s="137">
        <f t="shared" si="57"/>
        <v>0</v>
      </c>
      <c r="R688" s="138">
        <f>IF(N688="nio",0,IF(N688&gt;0,VLOOKUP(I688,'3-Productie normen'!A:V,VLOOKUP(N688,'3-Productie normen'!$B$35:$C$56,2,FALSE),FALSE)))/VLOOKUP(B688,'2-Kosten per locatie'!$A$11:$C$18,3,FALSE)</f>
        <v>0</v>
      </c>
      <c r="S688" s="138">
        <f t="shared" si="58"/>
        <v>0</v>
      </c>
      <c r="T688" s="139" t="str">
        <f>VLOOKUP(I688,'3-Productie normen'!A:AF,28,FALSE)</f>
        <v>L</v>
      </c>
      <c r="U688" s="140"/>
      <c r="W688" s="141">
        <f t="shared" si="59"/>
        <v>15674.240000000002</v>
      </c>
    </row>
    <row r="689" spans="1:23" ht="13.9" customHeight="1">
      <c r="A689" s="132">
        <v>689</v>
      </c>
      <c r="B689" s="49" t="s">
        <v>1680</v>
      </c>
      <c r="C689" s="49" t="s">
        <v>668</v>
      </c>
      <c r="D689" s="145" t="s">
        <v>246</v>
      </c>
      <c r="E689" s="146" t="s">
        <v>1298</v>
      </c>
      <c r="F689" s="146" t="s">
        <v>1299</v>
      </c>
      <c r="G689" s="145" t="s">
        <v>264</v>
      </c>
      <c r="H689" s="145" t="s">
        <v>1591</v>
      </c>
      <c r="I689" s="145" t="s">
        <v>285</v>
      </c>
      <c r="J689" s="149" t="s">
        <v>1078</v>
      </c>
      <c r="K689" s="150"/>
      <c r="L689" s="151">
        <v>140.94999999999999</v>
      </c>
      <c r="M689" s="136">
        <f t="shared" si="55"/>
        <v>190</v>
      </c>
      <c r="N689" s="2">
        <v>190</v>
      </c>
      <c r="O689" s="2"/>
      <c r="P689" s="137" t="e">
        <f t="shared" si="56"/>
        <v>#DIV/0!</v>
      </c>
      <c r="Q689" s="137">
        <f t="shared" si="57"/>
        <v>0</v>
      </c>
      <c r="R689" s="138">
        <f>IF(N689="nio",0,IF(N689&gt;0,VLOOKUP(I689,'3-Productie normen'!A:V,VLOOKUP(N689,'3-Productie normen'!$B$35:$C$56,2,FALSE),FALSE)))/VLOOKUP(B689,'2-Kosten per locatie'!$A$11:$C$18,3,FALSE)</f>
        <v>0</v>
      </c>
      <c r="S689" s="138">
        <f t="shared" si="58"/>
        <v>0</v>
      </c>
      <c r="T689" s="139" t="str">
        <f>VLOOKUP(I689,'3-Productie normen'!A:AF,28,FALSE)</f>
        <v>L</v>
      </c>
      <c r="U689" s="140"/>
      <c r="W689" s="141">
        <f t="shared" si="59"/>
        <v>26780.499999999996</v>
      </c>
    </row>
    <row r="690" spans="1:23" ht="13.9" customHeight="1">
      <c r="A690" s="118">
        <v>690</v>
      </c>
      <c r="B690" s="49" t="s">
        <v>1680</v>
      </c>
      <c r="C690" s="49" t="s">
        <v>668</v>
      </c>
      <c r="D690" s="145" t="s">
        <v>246</v>
      </c>
      <c r="E690" s="146" t="s">
        <v>1300</v>
      </c>
      <c r="F690" s="146"/>
      <c r="G690" s="145" t="s">
        <v>242</v>
      </c>
      <c r="H690" s="145" t="s">
        <v>242</v>
      </c>
      <c r="I690" s="1" t="s">
        <v>242</v>
      </c>
      <c r="J690" s="149" t="s">
        <v>234</v>
      </c>
      <c r="K690" s="150"/>
      <c r="L690" s="151">
        <v>8.7899999999999991</v>
      </c>
      <c r="M690" s="136">
        <f t="shared" si="55"/>
        <v>2</v>
      </c>
      <c r="N690" s="2">
        <v>2</v>
      </c>
      <c r="O690" s="2"/>
      <c r="P690" s="137" t="e">
        <f t="shared" si="56"/>
        <v>#DIV/0!</v>
      </c>
      <c r="Q690" s="137">
        <f t="shared" si="57"/>
        <v>0</v>
      </c>
      <c r="R690" s="138">
        <f>IF(N690="nio",0,IF(N690&gt;0,VLOOKUP(I690,'3-Productie normen'!A:V,VLOOKUP(N690,'3-Productie normen'!$B$35:$C$56,2,FALSE),FALSE)))/VLOOKUP(B690,'2-Kosten per locatie'!$A$11:$C$18,3,FALSE)</f>
        <v>0</v>
      </c>
      <c r="S690" s="138">
        <f t="shared" si="58"/>
        <v>0</v>
      </c>
      <c r="T690" s="139" t="str">
        <f>VLOOKUP(I690,'3-Productie normen'!A:AF,28,FALSE)</f>
        <v>V</v>
      </c>
      <c r="U690" s="140"/>
      <c r="W690" s="141">
        <f t="shared" si="59"/>
        <v>17.579999999999998</v>
      </c>
    </row>
    <row r="691" spans="1:23" ht="13.9" customHeight="1">
      <c r="A691" s="132">
        <v>691</v>
      </c>
      <c r="B691" s="49" t="s">
        <v>1680</v>
      </c>
      <c r="C691" s="49" t="s">
        <v>668</v>
      </c>
      <c r="D691" s="145" t="s">
        <v>246</v>
      </c>
      <c r="E691" s="146" t="s">
        <v>1301</v>
      </c>
      <c r="F691" s="146"/>
      <c r="G691" s="145" t="s">
        <v>242</v>
      </c>
      <c r="H691" s="145" t="s">
        <v>242</v>
      </c>
      <c r="I691" s="1" t="s">
        <v>242</v>
      </c>
      <c r="J691" s="149" t="s">
        <v>251</v>
      </c>
      <c r="K691" s="152" t="s">
        <v>1522</v>
      </c>
      <c r="L691" s="151">
        <v>6.21</v>
      </c>
      <c r="M691" s="136">
        <f t="shared" si="55"/>
        <v>2</v>
      </c>
      <c r="N691" s="2">
        <v>2</v>
      </c>
      <c r="O691" s="2"/>
      <c r="P691" s="137" t="e">
        <f t="shared" si="56"/>
        <v>#DIV/0!</v>
      </c>
      <c r="Q691" s="137">
        <f t="shared" si="57"/>
        <v>0</v>
      </c>
      <c r="R691" s="138">
        <f>IF(N691="nio",0,IF(N691&gt;0,VLOOKUP(I691,'3-Productie normen'!A:V,VLOOKUP(N691,'3-Productie normen'!$B$35:$C$56,2,FALSE),FALSE)))/VLOOKUP(B691,'2-Kosten per locatie'!$A$11:$C$18,3,FALSE)</f>
        <v>0</v>
      </c>
      <c r="S691" s="138">
        <f t="shared" si="58"/>
        <v>0</v>
      </c>
      <c r="T691" s="139" t="str">
        <f>VLOOKUP(I691,'3-Productie normen'!A:AF,28,FALSE)</f>
        <v>V</v>
      </c>
      <c r="U691" s="140"/>
      <c r="W691" s="141">
        <f t="shared" si="59"/>
        <v>12.42</v>
      </c>
    </row>
    <row r="692" spans="1:23" ht="13.9" customHeight="1">
      <c r="A692" s="132">
        <v>692</v>
      </c>
      <c r="B692" s="49" t="s">
        <v>1680</v>
      </c>
      <c r="C692" s="49" t="s">
        <v>668</v>
      </c>
      <c r="D692" s="145" t="s">
        <v>246</v>
      </c>
      <c r="E692" s="146" t="s">
        <v>1302</v>
      </c>
      <c r="F692" s="146"/>
      <c r="G692" s="145" t="s">
        <v>243</v>
      </c>
      <c r="H692" s="145" t="s">
        <v>266</v>
      </c>
      <c r="I692" s="145" t="s">
        <v>253</v>
      </c>
      <c r="J692" s="149" t="s">
        <v>256</v>
      </c>
      <c r="K692" s="150"/>
      <c r="L692" s="151">
        <v>327.01</v>
      </c>
      <c r="M692" s="136">
        <f t="shared" si="55"/>
        <v>190</v>
      </c>
      <c r="N692" s="2">
        <v>190</v>
      </c>
      <c r="O692" s="2"/>
      <c r="P692" s="137" t="e">
        <f t="shared" si="56"/>
        <v>#DIV/0!</v>
      </c>
      <c r="Q692" s="137">
        <f t="shared" si="57"/>
        <v>0</v>
      </c>
      <c r="R692" s="138">
        <f>IF(N692="nio",0,IF(N692&gt;0,VLOOKUP(I692,'3-Productie normen'!A:V,VLOOKUP(N692,'3-Productie normen'!$B$35:$C$56,2,FALSE),FALSE)))/VLOOKUP(B692,'2-Kosten per locatie'!$A$11:$C$18,3,FALSE)</f>
        <v>0</v>
      </c>
      <c r="S692" s="138">
        <f t="shared" si="58"/>
        <v>0</v>
      </c>
      <c r="T692" s="139" t="str">
        <f>VLOOKUP(I692,'3-Productie normen'!A:AF,28,FALSE)</f>
        <v>V</v>
      </c>
      <c r="U692" s="140"/>
      <c r="W692" s="141">
        <f t="shared" si="59"/>
        <v>62131.9</v>
      </c>
    </row>
    <row r="693" spans="1:23" ht="13.9" customHeight="1">
      <c r="A693" s="118">
        <v>693</v>
      </c>
      <c r="B693" s="49" t="s">
        <v>1680</v>
      </c>
      <c r="C693" s="49" t="s">
        <v>668</v>
      </c>
      <c r="D693" s="145" t="s">
        <v>246</v>
      </c>
      <c r="E693" s="146" t="s">
        <v>1303</v>
      </c>
      <c r="F693" s="146"/>
      <c r="G693" s="145" t="s">
        <v>243</v>
      </c>
      <c r="H693" s="148" t="s">
        <v>254</v>
      </c>
      <c r="I693" s="86" t="s">
        <v>47</v>
      </c>
      <c r="J693" s="149" t="s">
        <v>256</v>
      </c>
      <c r="K693" s="150"/>
      <c r="L693" s="151">
        <v>15.2</v>
      </c>
      <c r="M693" s="136">
        <f t="shared" si="55"/>
        <v>190</v>
      </c>
      <c r="N693" s="2">
        <v>190</v>
      </c>
      <c r="O693" s="2"/>
      <c r="P693" s="137" t="e">
        <f t="shared" si="56"/>
        <v>#DIV/0!</v>
      </c>
      <c r="Q693" s="137">
        <f t="shared" si="57"/>
        <v>0</v>
      </c>
      <c r="R693" s="138">
        <f>IF(N693="nio",0,IF(N693&gt;0,VLOOKUP(I693,'3-Productie normen'!A:V,VLOOKUP(N693,'3-Productie normen'!$B$35:$C$56,2,FALSE),FALSE)))/VLOOKUP(B693,'2-Kosten per locatie'!$A$11:$C$18,3,FALSE)</f>
        <v>0</v>
      </c>
      <c r="S693" s="138">
        <f t="shared" si="58"/>
        <v>0</v>
      </c>
      <c r="T693" s="139" t="str">
        <f>VLOOKUP(I693,'3-Productie normen'!A:AF,28,FALSE)</f>
        <v>V</v>
      </c>
      <c r="U693" s="140"/>
      <c r="W693" s="141">
        <f t="shared" si="59"/>
        <v>2888</v>
      </c>
    </row>
    <row r="694" spans="1:23" ht="13.9" customHeight="1">
      <c r="A694" s="132">
        <v>694</v>
      </c>
      <c r="B694" s="49" t="s">
        <v>1680</v>
      </c>
      <c r="C694" s="49" t="s">
        <v>668</v>
      </c>
      <c r="D694" s="145" t="s">
        <v>246</v>
      </c>
      <c r="E694" s="146" t="s">
        <v>1304</v>
      </c>
      <c r="F694" s="146"/>
      <c r="G694" s="145" t="s">
        <v>245</v>
      </c>
      <c r="H694" s="145" t="s">
        <v>245</v>
      </c>
      <c r="I694" s="92" t="s">
        <v>274</v>
      </c>
      <c r="J694" s="149" t="s">
        <v>256</v>
      </c>
      <c r="K694" s="150"/>
      <c r="L694" s="151">
        <v>8.6</v>
      </c>
      <c r="M694" s="136">
        <f t="shared" si="55"/>
        <v>76</v>
      </c>
      <c r="N694" s="2">
        <v>76</v>
      </c>
      <c r="O694" s="2"/>
      <c r="P694" s="137" t="e">
        <f t="shared" si="56"/>
        <v>#DIV/0!</v>
      </c>
      <c r="Q694" s="137">
        <f t="shared" si="57"/>
        <v>0</v>
      </c>
      <c r="R694" s="138">
        <f>IF(N694="nio",0,IF(N694&gt;0,VLOOKUP(I694,'3-Productie normen'!A:V,VLOOKUP(N694,'3-Productie normen'!$B$35:$C$56,2,FALSE),FALSE)))/VLOOKUP(B694,'2-Kosten per locatie'!$A$11:$C$18,3,FALSE)</f>
        <v>0</v>
      </c>
      <c r="S694" s="138">
        <f t="shared" si="58"/>
        <v>0</v>
      </c>
      <c r="T694" s="139" t="str">
        <f>VLOOKUP(I694,'3-Productie normen'!A:AF,28,FALSE)</f>
        <v>B</v>
      </c>
      <c r="U694" s="140"/>
      <c r="W694" s="141">
        <f t="shared" si="59"/>
        <v>653.6</v>
      </c>
    </row>
    <row r="695" spans="1:23" ht="13.9" customHeight="1">
      <c r="A695" s="132">
        <v>695</v>
      </c>
      <c r="B695" s="49" t="s">
        <v>1680</v>
      </c>
      <c r="C695" s="49" t="s">
        <v>668</v>
      </c>
      <c r="D695" s="145" t="s">
        <v>246</v>
      </c>
      <c r="E695" s="146" t="s">
        <v>1305</v>
      </c>
      <c r="F695" s="146"/>
      <c r="G695" s="145" t="s">
        <v>242</v>
      </c>
      <c r="H695" s="145" t="s">
        <v>242</v>
      </c>
      <c r="I695" s="1" t="s">
        <v>242</v>
      </c>
      <c r="J695" s="149" t="s">
        <v>251</v>
      </c>
      <c r="K695" s="152" t="s">
        <v>1522</v>
      </c>
      <c r="L695" s="151">
        <v>2.91</v>
      </c>
      <c r="M695" s="136">
        <f t="shared" si="55"/>
        <v>2</v>
      </c>
      <c r="N695" s="2">
        <v>2</v>
      </c>
      <c r="O695" s="2"/>
      <c r="P695" s="137" t="e">
        <f t="shared" si="56"/>
        <v>#DIV/0!</v>
      </c>
      <c r="Q695" s="137">
        <f t="shared" si="57"/>
        <v>0</v>
      </c>
      <c r="R695" s="138">
        <f>IF(N695="nio",0,IF(N695&gt;0,VLOOKUP(I695,'3-Productie normen'!A:V,VLOOKUP(N695,'3-Productie normen'!$B$35:$C$56,2,FALSE),FALSE)))/VLOOKUP(B695,'2-Kosten per locatie'!$A$11:$C$18,3,FALSE)</f>
        <v>0</v>
      </c>
      <c r="S695" s="138">
        <f t="shared" si="58"/>
        <v>0</v>
      </c>
      <c r="T695" s="139" t="str">
        <f>VLOOKUP(I695,'3-Productie normen'!A:AF,28,FALSE)</f>
        <v>V</v>
      </c>
      <c r="U695" s="140"/>
      <c r="W695" s="141">
        <f t="shared" si="59"/>
        <v>5.82</v>
      </c>
    </row>
    <row r="696" spans="1:23" ht="13.9" customHeight="1">
      <c r="A696" s="118">
        <v>696</v>
      </c>
      <c r="B696" s="49" t="s">
        <v>1680</v>
      </c>
      <c r="C696" s="49" t="s">
        <v>668</v>
      </c>
      <c r="D696" s="145" t="s">
        <v>246</v>
      </c>
      <c r="E696" s="146" t="s">
        <v>1306</v>
      </c>
      <c r="F696" s="146"/>
      <c r="G696" s="145" t="s">
        <v>243</v>
      </c>
      <c r="H696" s="145" t="s">
        <v>286</v>
      </c>
      <c r="I696" s="134" t="s">
        <v>49</v>
      </c>
      <c r="J696" s="149" t="s">
        <v>256</v>
      </c>
      <c r="K696" s="150"/>
      <c r="L696" s="151">
        <v>30.02</v>
      </c>
      <c r="M696" s="136">
        <f t="shared" si="55"/>
        <v>190</v>
      </c>
      <c r="N696" s="2">
        <v>190</v>
      </c>
      <c r="O696" s="2"/>
      <c r="P696" s="137" t="e">
        <f t="shared" si="56"/>
        <v>#DIV/0!</v>
      </c>
      <c r="Q696" s="137">
        <f t="shared" si="57"/>
        <v>0</v>
      </c>
      <c r="R696" s="138">
        <f>IF(N696="nio",0,IF(N696&gt;0,VLOOKUP(I696,'3-Productie normen'!A:V,VLOOKUP(N696,'3-Productie normen'!$B$35:$C$56,2,FALSE),FALSE)))/VLOOKUP(B696,'2-Kosten per locatie'!$A$11:$C$18,3,FALSE)</f>
        <v>0</v>
      </c>
      <c r="S696" s="138">
        <f t="shared" si="58"/>
        <v>0</v>
      </c>
      <c r="T696" s="139" t="str">
        <f>VLOOKUP(I696,'3-Productie normen'!A:AF,28,FALSE)</f>
        <v>V</v>
      </c>
      <c r="U696" s="140"/>
      <c r="W696" s="141">
        <f t="shared" si="59"/>
        <v>5703.8</v>
      </c>
    </row>
    <row r="697" spans="1:23" ht="13.9" customHeight="1">
      <c r="A697" s="132">
        <v>697</v>
      </c>
      <c r="B697" s="49" t="s">
        <v>1680</v>
      </c>
      <c r="C697" s="49" t="s">
        <v>668</v>
      </c>
      <c r="D697" s="145" t="s">
        <v>246</v>
      </c>
      <c r="E697" s="146" t="s">
        <v>1307</v>
      </c>
      <c r="F697" s="146"/>
      <c r="G697" s="145" t="s">
        <v>243</v>
      </c>
      <c r="H697" s="145" t="s">
        <v>1308</v>
      </c>
      <c r="I697" s="91" t="s">
        <v>1488</v>
      </c>
      <c r="J697" s="149" t="s">
        <v>256</v>
      </c>
      <c r="K697" s="150"/>
      <c r="L697" s="151">
        <v>10.1</v>
      </c>
      <c r="M697" s="136">
        <f t="shared" si="55"/>
        <v>380</v>
      </c>
      <c r="N697" s="2">
        <v>190</v>
      </c>
      <c r="O697" s="2">
        <v>190</v>
      </c>
      <c r="P697" s="137" t="e">
        <f t="shared" si="56"/>
        <v>#DIV/0!</v>
      </c>
      <c r="Q697" s="137" t="e">
        <f t="shared" si="57"/>
        <v>#DIV/0!</v>
      </c>
      <c r="R697" s="138">
        <f>IF(N697="nio",0,IF(N697&gt;0,VLOOKUP(I697,'3-Productie normen'!A:V,VLOOKUP(N697,'3-Productie normen'!$B$35:$C$56,2,FALSE),FALSE)))/VLOOKUP(B697,'2-Kosten per locatie'!$A$11:$C$18,3,FALSE)</f>
        <v>0</v>
      </c>
      <c r="S697" s="138">
        <f t="shared" si="58"/>
        <v>0</v>
      </c>
      <c r="T697" s="139" t="str">
        <f>VLOOKUP(I697,'3-Productie normen'!A:AF,28,FALSE)</f>
        <v>S</v>
      </c>
      <c r="U697" s="140"/>
      <c r="W697" s="141">
        <f t="shared" si="59"/>
        <v>3838</v>
      </c>
    </row>
    <row r="698" spans="1:23" ht="13.9" customHeight="1">
      <c r="A698" s="132">
        <v>698</v>
      </c>
      <c r="B698" s="49" t="s">
        <v>1680</v>
      </c>
      <c r="C698" s="49" t="s">
        <v>668</v>
      </c>
      <c r="D698" s="145" t="s">
        <v>246</v>
      </c>
      <c r="E698" s="146" t="s">
        <v>1309</v>
      </c>
      <c r="F698" s="146"/>
      <c r="G698" s="145" t="s">
        <v>264</v>
      </c>
      <c r="H698" s="145" t="s">
        <v>867</v>
      </c>
      <c r="I698" s="86" t="s">
        <v>51</v>
      </c>
      <c r="J698" s="149" t="s">
        <v>292</v>
      </c>
      <c r="K698" s="150"/>
      <c r="L698" s="151">
        <v>257.06</v>
      </c>
      <c r="M698" s="136">
        <f t="shared" si="55"/>
        <v>190</v>
      </c>
      <c r="N698" s="2">
        <v>190</v>
      </c>
      <c r="O698" s="2"/>
      <c r="P698" s="137" t="e">
        <f t="shared" si="56"/>
        <v>#DIV/0!</v>
      </c>
      <c r="Q698" s="137">
        <f t="shared" si="57"/>
        <v>0</v>
      </c>
      <c r="R698" s="138">
        <f>IF(N698="nio",0,IF(N698&gt;0,VLOOKUP(I698,'3-Productie normen'!A:V,VLOOKUP(N698,'3-Productie normen'!$B$35:$C$56,2,FALSE),FALSE)))/VLOOKUP(B698,'2-Kosten per locatie'!$A$11:$C$18,3,FALSE)</f>
        <v>0</v>
      </c>
      <c r="S698" s="138">
        <f t="shared" si="58"/>
        <v>0</v>
      </c>
      <c r="T698" s="139" t="str">
        <f>VLOOKUP(I698,'3-Productie normen'!A:AF,28,FALSE)</f>
        <v>V</v>
      </c>
      <c r="U698" s="140"/>
      <c r="W698" s="141">
        <f t="shared" si="59"/>
        <v>48841.4</v>
      </c>
    </row>
    <row r="699" spans="1:23" ht="13.9" customHeight="1">
      <c r="A699" s="118">
        <v>699</v>
      </c>
      <c r="B699" s="49" t="s">
        <v>1680</v>
      </c>
      <c r="C699" s="49" t="s">
        <v>668</v>
      </c>
      <c r="D699" s="145" t="s">
        <v>246</v>
      </c>
      <c r="E699" s="146" t="s">
        <v>1310</v>
      </c>
      <c r="F699" s="146"/>
      <c r="G699" s="145" t="s">
        <v>242</v>
      </c>
      <c r="H699" s="145" t="s">
        <v>242</v>
      </c>
      <c r="I699" s="1" t="s">
        <v>242</v>
      </c>
      <c r="J699" s="149" t="s">
        <v>292</v>
      </c>
      <c r="K699" s="150"/>
      <c r="L699" s="151">
        <v>32</v>
      </c>
      <c r="M699" s="136">
        <f t="shared" si="55"/>
        <v>2</v>
      </c>
      <c r="N699" s="2">
        <v>2</v>
      </c>
      <c r="O699" s="2"/>
      <c r="P699" s="137" t="e">
        <f t="shared" si="56"/>
        <v>#DIV/0!</v>
      </c>
      <c r="Q699" s="137">
        <f t="shared" si="57"/>
        <v>0</v>
      </c>
      <c r="R699" s="138">
        <f>IF(N699="nio",0,IF(N699&gt;0,VLOOKUP(I699,'3-Productie normen'!A:V,VLOOKUP(N699,'3-Productie normen'!$B$35:$C$56,2,FALSE),FALSE)))/VLOOKUP(B699,'2-Kosten per locatie'!$A$11:$C$18,3,FALSE)</f>
        <v>0</v>
      </c>
      <c r="S699" s="138">
        <f t="shared" si="58"/>
        <v>0</v>
      </c>
      <c r="T699" s="139" t="str">
        <f>VLOOKUP(I699,'3-Productie normen'!A:AF,28,FALSE)</f>
        <v>V</v>
      </c>
      <c r="U699" s="140"/>
      <c r="W699" s="141">
        <f t="shared" si="59"/>
        <v>64</v>
      </c>
    </row>
    <row r="700" spans="1:23" ht="13.9" customHeight="1">
      <c r="A700" s="132">
        <v>700</v>
      </c>
      <c r="B700" s="49" t="s">
        <v>1680</v>
      </c>
      <c r="C700" s="49" t="s">
        <v>668</v>
      </c>
      <c r="D700" s="145" t="s">
        <v>246</v>
      </c>
      <c r="E700" s="146" t="s">
        <v>1311</v>
      </c>
      <c r="F700" s="146"/>
      <c r="G700" s="145" t="s">
        <v>243</v>
      </c>
      <c r="H700" s="145" t="s">
        <v>286</v>
      </c>
      <c r="I700" s="134" t="s">
        <v>49</v>
      </c>
      <c r="J700" s="149" t="s">
        <v>256</v>
      </c>
      <c r="K700" s="150"/>
      <c r="L700" s="151">
        <v>16.5</v>
      </c>
      <c r="M700" s="136">
        <f t="shared" si="55"/>
        <v>190</v>
      </c>
      <c r="N700" s="2">
        <v>190</v>
      </c>
      <c r="O700" s="2"/>
      <c r="P700" s="137" t="e">
        <f t="shared" si="56"/>
        <v>#DIV/0!</v>
      </c>
      <c r="Q700" s="137">
        <f t="shared" si="57"/>
        <v>0</v>
      </c>
      <c r="R700" s="138">
        <f>IF(N700="nio",0,IF(N700&gt;0,VLOOKUP(I700,'3-Productie normen'!A:V,VLOOKUP(N700,'3-Productie normen'!$B$35:$C$56,2,FALSE),FALSE)))/VLOOKUP(B700,'2-Kosten per locatie'!$A$11:$C$18,3,FALSE)</f>
        <v>0</v>
      </c>
      <c r="S700" s="138">
        <f t="shared" si="58"/>
        <v>0</v>
      </c>
      <c r="T700" s="139" t="str">
        <f>VLOOKUP(I700,'3-Productie normen'!A:AF,28,FALSE)</f>
        <v>V</v>
      </c>
      <c r="U700" s="140"/>
      <c r="W700" s="141">
        <f t="shared" si="59"/>
        <v>3135</v>
      </c>
    </row>
    <row r="701" spans="1:23" ht="13.9" customHeight="1">
      <c r="A701" s="132">
        <v>701</v>
      </c>
      <c r="B701" s="49" t="s">
        <v>1680</v>
      </c>
      <c r="C701" s="49" t="s">
        <v>668</v>
      </c>
      <c r="D701" s="145" t="s">
        <v>246</v>
      </c>
      <c r="E701" s="146" t="s">
        <v>1312</v>
      </c>
      <c r="F701" s="146"/>
      <c r="G701" s="145" t="s">
        <v>243</v>
      </c>
      <c r="H701" s="145" t="s">
        <v>1308</v>
      </c>
      <c r="I701" s="91" t="s">
        <v>1488</v>
      </c>
      <c r="J701" s="149" t="s">
        <v>256</v>
      </c>
      <c r="K701" s="150"/>
      <c r="L701" s="151">
        <v>8.91</v>
      </c>
      <c r="M701" s="136">
        <f t="shared" si="55"/>
        <v>380</v>
      </c>
      <c r="N701" s="2">
        <v>190</v>
      </c>
      <c r="O701" s="2">
        <v>190</v>
      </c>
      <c r="P701" s="137" t="e">
        <f t="shared" si="56"/>
        <v>#DIV/0!</v>
      </c>
      <c r="Q701" s="137" t="e">
        <f t="shared" si="57"/>
        <v>#DIV/0!</v>
      </c>
      <c r="R701" s="138">
        <f>IF(N701="nio",0,IF(N701&gt;0,VLOOKUP(I701,'3-Productie normen'!A:V,VLOOKUP(N701,'3-Productie normen'!$B$35:$C$56,2,FALSE),FALSE)))/VLOOKUP(B701,'2-Kosten per locatie'!$A$11:$C$18,3,FALSE)</f>
        <v>0</v>
      </c>
      <c r="S701" s="138">
        <f t="shared" si="58"/>
        <v>0</v>
      </c>
      <c r="T701" s="139" t="str">
        <f>VLOOKUP(I701,'3-Productie normen'!A:AF,28,FALSE)</f>
        <v>S</v>
      </c>
      <c r="U701" s="140"/>
      <c r="W701" s="141">
        <f t="shared" si="59"/>
        <v>3385.8</v>
      </c>
    </row>
    <row r="702" spans="1:23" ht="13.9" customHeight="1">
      <c r="A702" s="118">
        <v>702</v>
      </c>
      <c r="B702" s="49" t="s">
        <v>1680</v>
      </c>
      <c r="C702" s="49" t="s">
        <v>668</v>
      </c>
      <c r="D702" s="145" t="s">
        <v>246</v>
      </c>
      <c r="E702" s="146" t="s">
        <v>1313</v>
      </c>
      <c r="F702" s="146"/>
      <c r="G702" s="145" t="s">
        <v>245</v>
      </c>
      <c r="H702" s="145" t="s">
        <v>245</v>
      </c>
      <c r="I702" s="92" t="s">
        <v>274</v>
      </c>
      <c r="J702" s="149" t="s">
        <v>251</v>
      </c>
      <c r="K702" s="152" t="s">
        <v>1522</v>
      </c>
      <c r="L702" s="151">
        <v>7.42</v>
      </c>
      <c r="M702" s="136">
        <f t="shared" si="55"/>
        <v>76</v>
      </c>
      <c r="N702" s="2">
        <v>76</v>
      </c>
      <c r="O702" s="2"/>
      <c r="P702" s="137" t="e">
        <f t="shared" si="56"/>
        <v>#DIV/0!</v>
      </c>
      <c r="Q702" s="137">
        <f t="shared" si="57"/>
        <v>0</v>
      </c>
      <c r="R702" s="138">
        <f>IF(N702="nio",0,IF(N702&gt;0,VLOOKUP(I702,'3-Productie normen'!A:V,VLOOKUP(N702,'3-Productie normen'!$B$35:$C$56,2,FALSE),FALSE)))/VLOOKUP(B702,'2-Kosten per locatie'!$A$11:$C$18,3,FALSE)</f>
        <v>0</v>
      </c>
      <c r="S702" s="138">
        <f t="shared" si="58"/>
        <v>0</v>
      </c>
      <c r="T702" s="139" t="str">
        <f>VLOOKUP(I702,'3-Productie normen'!A:AF,28,FALSE)</f>
        <v>B</v>
      </c>
      <c r="U702" s="140"/>
      <c r="W702" s="141">
        <f t="shared" si="59"/>
        <v>563.91999999999996</v>
      </c>
    </row>
    <row r="703" spans="1:23" ht="13.9" customHeight="1">
      <c r="A703" s="132">
        <v>703</v>
      </c>
      <c r="B703" s="49" t="s">
        <v>1680</v>
      </c>
      <c r="C703" s="49" t="s">
        <v>668</v>
      </c>
      <c r="D703" s="145" t="s">
        <v>246</v>
      </c>
      <c r="E703" s="146" t="s">
        <v>1314</v>
      </c>
      <c r="F703" s="146"/>
      <c r="G703" s="145" t="s">
        <v>243</v>
      </c>
      <c r="H703" s="145" t="s">
        <v>1308</v>
      </c>
      <c r="I703" s="91" t="s">
        <v>1488</v>
      </c>
      <c r="J703" s="149" t="s">
        <v>305</v>
      </c>
      <c r="K703" s="150"/>
      <c r="L703" s="151">
        <v>2.21</v>
      </c>
      <c r="M703" s="136">
        <f t="shared" si="55"/>
        <v>380</v>
      </c>
      <c r="N703" s="2">
        <v>190</v>
      </c>
      <c r="O703" s="2">
        <v>190</v>
      </c>
      <c r="P703" s="137" t="e">
        <f t="shared" si="56"/>
        <v>#DIV/0!</v>
      </c>
      <c r="Q703" s="137" t="e">
        <f t="shared" si="57"/>
        <v>#DIV/0!</v>
      </c>
      <c r="R703" s="138">
        <f>IF(N703="nio",0,IF(N703&gt;0,VLOOKUP(I703,'3-Productie normen'!A:V,VLOOKUP(N703,'3-Productie normen'!$B$35:$C$56,2,FALSE),FALSE)))/VLOOKUP(B703,'2-Kosten per locatie'!$A$11:$C$18,3,FALSE)</f>
        <v>0</v>
      </c>
      <c r="S703" s="138">
        <f t="shared" si="58"/>
        <v>0</v>
      </c>
      <c r="T703" s="139" t="str">
        <f>VLOOKUP(I703,'3-Productie normen'!A:AF,28,FALSE)</f>
        <v>S</v>
      </c>
      <c r="U703" s="140"/>
      <c r="W703" s="141">
        <f t="shared" si="59"/>
        <v>839.8</v>
      </c>
    </row>
    <row r="704" spans="1:23" ht="13.9" customHeight="1">
      <c r="A704" s="132">
        <v>704</v>
      </c>
      <c r="B704" s="49" t="s">
        <v>1680</v>
      </c>
      <c r="C704" s="49" t="s">
        <v>668</v>
      </c>
      <c r="D704" s="145" t="s">
        <v>246</v>
      </c>
      <c r="E704" s="146" t="s">
        <v>1315</v>
      </c>
      <c r="F704" s="146"/>
      <c r="G704" s="145" t="s">
        <v>264</v>
      </c>
      <c r="H704" s="145" t="s">
        <v>867</v>
      </c>
      <c r="I704" s="86" t="s">
        <v>51</v>
      </c>
      <c r="J704" s="149" t="s">
        <v>292</v>
      </c>
      <c r="K704" s="150"/>
      <c r="L704" s="151">
        <v>257.27</v>
      </c>
      <c r="M704" s="136">
        <f t="shared" si="55"/>
        <v>190</v>
      </c>
      <c r="N704" s="2">
        <v>190</v>
      </c>
      <c r="O704" s="2"/>
      <c r="P704" s="137" t="e">
        <f t="shared" si="56"/>
        <v>#DIV/0!</v>
      </c>
      <c r="Q704" s="137">
        <f t="shared" si="57"/>
        <v>0</v>
      </c>
      <c r="R704" s="138">
        <f>IF(N704="nio",0,IF(N704&gt;0,VLOOKUP(I704,'3-Productie normen'!A:V,VLOOKUP(N704,'3-Productie normen'!$B$35:$C$56,2,FALSE),FALSE)))/VLOOKUP(B704,'2-Kosten per locatie'!$A$11:$C$18,3,FALSE)</f>
        <v>0</v>
      </c>
      <c r="S704" s="138">
        <f t="shared" si="58"/>
        <v>0</v>
      </c>
      <c r="T704" s="139" t="str">
        <f>VLOOKUP(I704,'3-Productie normen'!A:AF,28,FALSE)</f>
        <v>V</v>
      </c>
      <c r="U704" s="140"/>
      <c r="W704" s="141">
        <f t="shared" si="59"/>
        <v>48881.299999999996</v>
      </c>
    </row>
    <row r="705" spans="1:23" ht="13.9" customHeight="1">
      <c r="A705" s="118">
        <v>705</v>
      </c>
      <c r="B705" s="49" t="s">
        <v>1680</v>
      </c>
      <c r="C705" s="49" t="s">
        <v>668</v>
      </c>
      <c r="D705" s="145" t="s">
        <v>246</v>
      </c>
      <c r="E705" s="146" t="s">
        <v>1316</v>
      </c>
      <c r="F705" s="146"/>
      <c r="G705" s="145" t="s">
        <v>242</v>
      </c>
      <c r="H705" s="145" t="s">
        <v>242</v>
      </c>
      <c r="I705" s="1" t="s">
        <v>242</v>
      </c>
      <c r="J705" s="149" t="s">
        <v>292</v>
      </c>
      <c r="K705" s="150"/>
      <c r="L705" s="151">
        <v>30.72</v>
      </c>
      <c r="M705" s="136">
        <f t="shared" si="55"/>
        <v>2</v>
      </c>
      <c r="N705" s="2">
        <v>2</v>
      </c>
      <c r="O705" s="2"/>
      <c r="P705" s="137" t="e">
        <f t="shared" si="56"/>
        <v>#DIV/0!</v>
      </c>
      <c r="Q705" s="137">
        <f t="shared" si="57"/>
        <v>0</v>
      </c>
      <c r="R705" s="138">
        <f>IF(N705="nio",0,IF(N705&gt;0,VLOOKUP(I705,'3-Productie normen'!A:V,VLOOKUP(N705,'3-Productie normen'!$B$35:$C$56,2,FALSE),FALSE)))/VLOOKUP(B705,'2-Kosten per locatie'!$A$11:$C$18,3,FALSE)</f>
        <v>0</v>
      </c>
      <c r="S705" s="138">
        <f t="shared" si="58"/>
        <v>0</v>
      </c>
      <c r="T705" s="139" t="str">
        <f>VLOOKUP(I705,'3-Productie normen'!A:AF,28,FALSE)</f>
        <v>V</v>
      </c>
      <c r="U705" s="140"/>
      <c r="W705" s="141">
        <f t="shared" si="59"/>
        <v>61.44</v>
      </c>
    </row>
    <row r="706" spans="1:23" ht="13.9" customHeight="1">
      <c r="A706" s="132">
        <v>706</v>
      </c>
      <c r="B706" s="49" t="s">
        <v>1680</v>
      </c>
      <c r="C706" s="49" t="s">
        <v>668</v>
      </c>
      <c r="D706" s="145" t="s">
        <v>246</v>
      </c>
      <c r="E706" s="146" t="s">
        <v>1317</v>
      </c>
      <c r="F706" s="146"/>
      <c r="G706" s="145" t="s">
        <v>243</v>
      </c>
      <c r="H706" s="145" t="s">
        <v>286</v>
      </c>
      <c r="I706" s="134" t="s">
        <v>49</v>
      </c>
      <c r="J706" s="149" t="s">
        <v>256</v>
      </c>
      <c r="K706" s="150"/>
      <c r="L706" s="151">
        <v>16.09</v>
      </c>
      <c r="M706" s="136">
        <f t="shared" si="55"/>
        <v>190</v>
      </c>
      <c r="N706" s="2">
        <v>190</v>
      </c>
      <c r="O706" s="2"/>
      <c r="P706" s="137" t="e">
        <f t="shared" si="56"/>
        <v>#DIV/0!</v>
      </c>
      <c r="Q706" s="137">
        <f t="shared" si="57"/>
        <v>0</v>
      </c>
      <c r="R706" s="138">
        <f>IF(N706="nio",0,IF(N706&gt;0,VLOOKUP(I706,'3-Productie normen'!A:V,VLOOKUP(N706,'3-Productie normen'!$B$35:$C$56,2,FALSE),FALSE)))/VLOOKUP(B706,'2-Kosten per locatie'!$A$11:$C$18,3,FALSE)</f>
        <v>0</v>
      </c>
      <c r="S706" s="138">
        <f t="shared" si="58"/>
        <v>0</v>
      </c>
      <c r="T706" s="139" t="str">
        <f>VLOOKUP(I706,'3-Productie normen'!A:AF,28,FALSE)</f>
        <v>V</v>
      </c>
      <c r="U706" s="140"/>
      <c r="W706" s="141">
        <f t="shared" si="59"/>
        <v>3057.1</v>
      </c>
    </row>
    <row r="707" spans="1:23" ht="13.9" customHeight="1">
      <c r="A707" s="132">
        <v>707</v>
      </c>
      <c r="B707" s="49" t="s">
        <v>1680</v>
      </c>
      <c r="C707" s="49" t="s">
        <v>668</v>
      </c>
      <c r="D707" s="145" t="s">
        <v>246</v>
      </c>
      <c r="E707" s="146" t="s">
        <v>1318</v>
      </c>
      <c r="F707" s="146"/>
      <c r="G707" s="145" t="s">
        <v>243</v>
      </c>
      <c r="H707" s="145" t="s">
        <v>1308</v>
      </c>
      <c r="I707" s="91" t="s">
        <v>1488</v>
      </c>
      <c r="J707" s="149" t="s">
        <v>256</v>
      </c>
      <c r="K707" s="150"/>
      <c r="L707" s="151">
        <v>9.17</v>
      </c>
      <c r="M707" s="136">
        <f t="shared" si="55"/>
        <v>380</v>
      </c>
      <c r="N707" s="2">
        <v>190</v>
      </c>
      <c r="O707" s="2">
        <v>190</v>
      </c>
      <c r="P707" s="137" t="e">
        <f t="shared" si="56"/>
        <v>#DIV/0!</v>
      </c>
      <c r="Q707" s="137" t="e">
        <f t="shared" si="57"/>
        <v>#DIV/0!</v>
      </c>
      <c r="R707" s="138">
        <f>IF(N707="nio",0,IF(N707&gt;0,VLOOKUP(I707,'3-Productie normen'!A:V,VLOOKUP(N707,'3-Productie normen'!$B$35:$C$56,2,FALSE),FALSE)))/VLOOKUP(B707,'2-Kosten per locatie'!$A$11:$C$18,3,FALSE)</f>
        <v>0</v>
      </c>
      <c r="S707" s="138">
        <f t="shared" si="58"/>
        <v>0</v>
      </c>
      <c r="T707" s="139" t="str">
        <f>VLOOKUP(I707,'3-Productie normen'!A:AF,28,FALSE)</f>
        <v>S</v>
      </c>
      <c r="U707" s="140"/>
      <c r="W707" s="141">
        <f t="shared" si="59"/>
        <v>3484.6</v>
      </c>
    </row>
    <row r="708" spans="1:23" ht="13.9" customHeight="1">
      <c r="A708" s="118">
        <v>708</v>
      </c>
      <c r="B708" s="49" t="s">
        <v>1680</v>
      </c>
      <c r="C708" s="49" t="s">
        <v>668</v>
      </c>
      <c r="D708" s="145" t="s">
        <v>246</v>
      </c>
      <c r="E708" s="146" t="s">
        <v>1319</v>
      </c>
      <c r="F708" s="146"/>
      <c r="G708" s="145" t="s">
        <v>243</v>
      </c>
      <c r="H708" s="145" t="s">
        <v>286</v>
      </c>
      <c r="I708" s="134" t="s">
        <v>49</v>
      </c>
      <c r="J708" s="149" t="s">
        <v>256</v>
      </c>
      <c r="K708" s="150"/>
      <c r="L708" s="151">
        <v>22.82</v>
      </c>
      <c r="M708" s="136">
        <f t="shared" si="55"/>
        <v>190</v>
      </c>
      <c r="N708" s="2">
        <v>190</v>
      </c>
      <c r="O708" s="2"/>
      <c r="P708" s="137" t="e">
        <f t="shared" si="56"/>
        <v>#DIV/0!</v>
      </c>
      <c r="Q708" s="137">
        <f t="shared" si="57"/>
        <v>0</v>
      </c>
      <c r="R708" s="138">
        <f>IF(N708="nio",0,IF(N708&gt;0,VLOOKUP(I708,'3-Productie normen'!A:V,VLOOKUP(N708,'3-Productie normen'!$B$35:$C$56,2,FALSE),FALSE)))/VLOOKUP(B708,'2-Kosten per locatie'!$A$11:$C$18,3,FALSE)</f>
        <v>0</v>
      </c>
      <c r="S708" s="138">
        <f t="shared" si="58"/>
        <v>0</v>
      </c>
      <c r="T708" s="139" t="str">
        <f>VLOOKUP(I708,'3-Productie normen'!A:AF,28,FALSE)</f>
        <v>V</v>
      </c>
      <c r="U708" s="140"/>
      <c r="W708" s="141">
        <f t="shared" si="59"/>
        <v>4335.8</v>
      </c>
    </row>
    <row r="709" spans="1:23" ht="13.9" customHeight="1">
      <c r="A709" s="132">
        <v>709</v>
      </c>
      <c r="B709" s="49" t="s">
        <v>1680</v>
      </c>
      <c r="C709" s="49" t="s">
        <v>668</v>
      </c>
      <c r="D709" s="145" t="s">
        <v>246</v>
      </c>
      <c r="E709" s="146" t="s">
        <v>1320</v>
      </c>
      <c r="F709" s="146"/>
      <c r="G709" s="145" t="s">
        <v>243</v>
      </c>
      <c r="H709" s="145" t="s">
        <v>1308</v>
      </c>
      <c r="I709" s="91" t="s">
        <v>1488</v>
      </c>
      <c r="J709" s="149" t="s">
        <v>256</v>
      </c>
      <c r="K709" s="150"/>
      <c r="L709" s="151">
        <v>10.93</v>
      </c>
      <c r="M709" s="136">
        <f t="shared" si="55"/>
        <v>380</v>
      </c>
      <c r="N709" s="2">
        <v>190</v>
      </c>
      <c r="O709" s="2">
        <v>190</v>
      </c>
      <c r="P709" s="137" t="e">
        <f t="shared" si="56"/>
        <v>#DIV/0!</v>
      </c>
      <c r="Q709" s="137" t="e">
        <f t="shared" si="57"/>
        <v>#DIV/0!</v>
      </c>
      <c r="R709" s="138">
        <f>IF(N709="nio",0,IF(N709&gt;0,VLOOKUP(I709,'3-Productie normen'!A:V,VLOOKUP(N709,'3-Productie normen'!$B$35:$C$56,2,FALSE),FALSE)))/VLOOKUP(B709,'2-Kosten per locatie'!$A$11:$C$18,3,FALSE)</f>
        <v>0</v>
      </c>
      <c r="S709" s="138">
        <f t="shared" si="58"/>
        <v>0</v>
      </c>
      <c r="T709" s="139" t="str">
        <f>VLOOKUP(I709,'3-Productie normen'!A:AF,28,FALSE)</f>
        <v>S</v>
      </c>
      <c r="U709" s="140"/>
      <c r="W709" s="141">
        <f t="shared" si="59"/>
        <v>4153.3999999999996</v>
      </c>
    </row>
    <row r="710" spans="1:23" ht="13.9" customHeight="1">
      <c r="A710" s="132">
        <v>710</v>
      </c>
      <c r="B710" s="49" t="s">
        <v>1680</v>
      </c>
      <c r="C710" s="49" t="s">
        <v>668</v>
      </c>
      <c r="D710" s="145" t="s">
        <v>246</v>
      </c>
      <c r="E710" s="146" t="s">
        <v>1321</v>
      </c>
      <c r="F710" s="146"/>
      <c r="G710" s="145" t="s">
        <v>242</v>
      </c>
      <c r="H710" s="145" t="s">
        <v>242</v>
      </c>
      <c r="I710" s="1" t="s">
        <v>242</v>
      </c>
      <c r="J710" s="149" t="s">
        <v>234</v>
      </c>
      <c r="K710" s="150"/>
      <c r="L710" s="151">
        <v>11.51</v>
      </c>
      <c r="M710" s="136">
        <f t="shared" si="55"/>
        <v>2</v>
      </c>
      <c r="N710" s="2">
        <v>2</v>
      </c>
      <c r="O710" s="2"/>
      <c r="P710" s="137" t="e">
        <f t="shared" si="56"/>
        <v>#DIV/0!</v>
      </c>
      <c r="Q710" s="137">
        <f t="shared" si="57"/>
        <v>0</v>
      </c>
      <c r="R710" s="138">
        <f>IF(N710="nio",0,IF(N710&gt;0,VLOOKUP(I710,'3-Productie normen'!A:V,VLOOKUP(N710,'3-Productie normen'!$B$35:$C$56,2,FALSE),FALSE)))/VLOOKUP(B710,'2-Kosten per locatie'!$A$11:$C$18,3,FALSE)</f>
        <v>0</v>
      </c>
      <c r="S710" s="138">
        <f t="shared" si="58"/>
        <v>0</v>
      </c>
      <c r="T710" s="139" t="str">
        <f>VLOOKUP(I710,'3-Productie normen'!A:AF,28,FALSE)</f>
        <v>V</v>
      </c>
      <c r="U710" s="140"/>
      <c r="W710" s="141">
        <f t="shared" si="59"/>
        <v>23.02</v>
      </c>
    </row>
    <row r="711" spans="1:23" ht="13.9" customHeight="1">
      <c r="A711" s="118">
        <v>711</v>
      </c>
      <c r="B711" s="49" t="s">
        <v>1680</v>
      </c>
      <c r="C711" s="49" t="s">
        <v>668</v>
      </c>
      <c r="D711" s="145" t="s">
        <v>246</v>
      </c>
      <c r="E711" s="146" t="s">
        <v>1322</v>
      </c>
      <c r="F711" s="146" t="s">
        <v>933</v>
      </c>
      <c r="G711" s="145" t="s">
        <v>243</v>
      </c>
      <c r="H711" s="145" t="s">
        <v>266</v>
      </c>
      <c r="I711" s="145" t="s">
        <v>253</v>
      </c>
      <c r="J711" s="149" t="s">
        <v>251</v>
      </c>
      <c r="K711" s="152" t="s">
        <v>1522</v>
      </c>
      <c r="L711" s="151">
        <v>122.05</v>
      </c>
      <c r="M711" s="136">
        <f t="shared" si="55"/>
        <v>190</v>
      </c>
      <c r="N711" s="2">
        <v>190</v>
      </c>
      <c r="O711" s="2"/>
      <c r="P711" s="137" t="e">
        <f t="shared" si="56"/>
        <v>#DIV/0!</v>
      </c>
      <c r="Q711" s="137">
        <f t="shared" si="57"/>
        <v>0</v>
      </c>
      <c r="R711" s="138">
        <f>IF(N711="nio",0,IF(N711&gt;0,VLOOKUP(I711,'3-Productie normen'!A:V,VLOOKUP(N711,'3-Productie normen'!$B$35:$C$56,2,FALSE),FALSE)))/VLOOKUP(B711,'2-Kosten per locatie'!$A$11:$C$18,3,FALSE)</f>
        <v>0</v>
      </c>
      <c r="S711" s="138">
        <f t="shared" si="58"/>
        <v>0</v>
      </c>
      <c r="T711" s="139" t="str">
        <f>VLOOKUP(I711,'3-Productie normen'!A:AF,28,FALSE)</f>
        <v>V</v>
      </c>
      <c r="U711" s="140"/>
      <c r="W711" s="141">
        <f t="shared" si="59"/>
        <v>23189.5</v>
      </c>
    </row>
    <row r="712" spans="1:23" ht="13.9" customHeight="1">
      <c r="A712" s="132">
        <v>712</v>
      </c>
      <c r="B712" s="49" t="s">
        <v>1680</v>
      </c>
      <c r="C712" s="49" t="s">
        <v>668</v>
      </c>
      <c r="D712" s="145" t="s">
        <v>246</v>
      </c>
      <c r="E712" s="146" t="s">
        <v>1323</v>
      </c>
      <c r="F712" s="146" t="s">
        <v>263</v>
      </c>
      <c r="G712" s="145" t="s">
        <v>243</v>
      </c>
      <c r="H712" s="148" t="s">
        <v>254</v>
      </c>
      <c r="I712" s="86" t="s">
        <v>47</v>
      </c>
      <c r="J712" s="149" t="s">
        <v>256</v>
      </c>
      <c r="K712" s="150"/>
      <c r="L712" s="151">
        <v>172.86</v>
      </c>
      <c r="M712" s="136">
        <f t="shared" si="55"/>
        <v>190</v>
      </c>
      <c r="N712" s="2">
        <v>190</v>
      </c>
      <c r="O712" s="2"/>
      <c r="P712" s="137" t="e">
        <f t="shared" si="56"/>
        <v>#DIV/0!</v>
      </c>
      <c r="Q712" s="137">
        <f t="shared" si="57"/>
        <v>0</v>
      </c>
      <c r="R712" s="138">
        <f>IF(N712="nio",0,IF(N712&gt;0,VLOOKUP(I712,'3-Productie normen'!A:V,VLOOKUP(N712,'3-Productie normen'!$B$35:$C$56,2,FALSE),FALSE)))/VLOOKUP(B712,'2-Kosten per locatie'!$A$11:$C$18,3,FALSE)</f>
        <v>0</v>
      </c>
      <c r="S712" s="138">
        <f t="shared" si="58"/>
        <v>0</v>
      </c>
      <c r="T712" s="139" t="str">
        <f>VLOOKUP(I712,'3-Productie normen'!A:AF,28,FALSE)</f>
        <v>V</v>
      </c>
      <c r="U712" s="140"/>
      <c r="W712" s="141">
        <f t="shared" si="59"/>
        <v>32843.4</v>
      </c>
    </row>
    <row r="713" spans="1:23" ht="13.9" customHeight="1">
      <c r="A713" s="132">
        <v>713</v>
      </c>
      <c r="B713" s="49" t="s">
        <v>1680</v>
      </c>
      <c r="C713" s="49" t="s">
        <v>668</v>
      </c>
      <c r="D713" s="145" t="s">
        <v>246</v>
      </c>
      <c r="E713" s="146" t="s">
        <v>1324</v>
      </c>
      <c r="F713" s="146"/>
      <c r="G713" s="145" t="s">
        <v>243</v>
      </c>
      <c r="H713" s="148" t="s">
        <v>254</v>
      </c>
      <c r="I713" s="86" t="s">
        <v>47</v>
      </c>
      <c r="J713" s="149" t="s">
        <v>256</v>
      </c>
      <c r="K713" s="150"/>
      <c r="L713" s="151">
        <v>16.510000000000002</v>
      </c>
      <c r="M713" s="136">
        <f t="shared" si="55"/>
        <v>190</v>
      </c>
      <c r="N713" s="2">
        <v>190</v>
      </c>
      <c r="O713" s="2"/>
      <c r="P713" s="137" t="e">
        <f t="shared" si="56"/>
        <v>#DIV/0!</v>
      </c>
      <c r="Q713" s="137">
        <f t="shared" si="57"/>
        <v>0</v>
      </c>
      <c r="R713" s="138">
        <f>IF(N713="nio",0,IF(N713&gt;0,VLOOKUP(I713,'3-Productie normen'!A:V,VLOOKUP(N713,'3-Productie normen'!$B$35:$C$56,2,FALSE),FALSE)))/VLOOKUP(B713,'2-Kosten per locatie'!$A$11:$C$18,3,FALSE)</f>
        <v>0</v>
      </c>
      <c r="S713" s="138">
        <f t="shared" si="58"/>
        <v>0</v>
      </c>
      <c r="T713" s="139" t="str">
        <f>VLOOKUP(I713,'3-Productie normen'!A:AF,28,FALSE)</f>
        <v>V</v>
      </c>
      <c r="U713" s="140"/>
      <c r="W713" s="141">
        <f t="shared" si="59"/>
        <v>3136.9</v>
      </c>
    </row>
    <row r="714" spans="1:23" ht="13.9" customHeight="1">
      <c r="A714" s="118">
        <v>714</v>
      </c>
      <c r="B714" s="49" t="s">
        <v>1680</v>
      </c>
      <c r="C714" s="49" t="s">
        <v>668</v>
      </c>
      <c r="D714" s="145" t="s">
        <v>246</v>
      </c>
      <c r="E714" s="146" t="s">
        <v>1325</v>
      </c>
      <c r="F714" s="146"/>
      <c r="G714" s="145" t="s">
        <v>242</v>
      </c>
      <c r="H714" s="145" t="s">
        <v>242</v>
      </c>
      <c r="I714" s="1" t="s">
        <v>242</v>
      </c>
      <c r="J714" s="149" t="s">
        <v>256</v>
      </c>
      <c r="K714" s="150"/>
      <c r="L714" s="151">
        <v>14.35</v>
      </c>
      <c r="M714" s="136">
        <f t="shared" si="55"/>
        <v>2</v>
      </c>
      <c r="N714" s="2">
        <v>2</v>
      </c>
      <c r="O714" s="2"/>
      <c r="P714" s="137" t="e">
        <f t="shared" si="56"/>
        <v>#DIV/0!</v>
      </c>
      <c r="Q714" s="137">
        <f t="shared" si="57"/>
        <v>0</v>
      </c>
      <c r="R714" s="138">
        <f>IF(N714="nio",0,IF(N714&gt;0,VLOOKUP(I714,'3-Productie normen'!A:V,VLOOKUP(N714,'3-Productie normen'!$B$35:$C$56,2,FALSE),FALSE)))/VLOOKUP(B714,'2-Kosten per locatie'!$A$11:$C$18,3,FALSE)</f>
        <v>0</v>
      </c>
      <c r="S714" s="138">
        <f t="shared" si="58"/>
        <v>0</v>
      </c>
      <c r="T714" s="139" t="str">
        <f>VLOOKUP(I714,'3-Productie normen'!A:AF,28,FALSE)</f>
        <v>V</v>
      </c>
      <c r="U714" s="140"/>
      <c r="W714" s="141">
        <f t="shared" si="59"/>
        <v>28.7</v>
      </c>
    </row>
    <row r="715" spans="1:23" ht="13.9" customHeight="1">
      <c r="A715" s="132">
        <v>715</v>
      </c>
      <c r="B715" s="49" t="s">
        <v>1680</v>
      </c>
      <c r="C715" s="49" t="s">
        <v>668</v>
      </c>
      <c r="D715" s="145" t="s">
        <v>246</v>
      </c>
      <c r="E715" s="146" t="s">
        <v>1326</v>
      </c>
      <c r="F715" s="146"/>
      <c r="G715" s="145" t="s">
        <v>242</v>
      </c>
      <c r="H715" s="145" t="s">
        <v>242</v>
      </c>
      <c r="I715" s="1" t="s">
        <v>242</v>
      </c>
      <c r="J715" s="149" t="s">
        <v>256</v>
      </c>
      <c r="K715" s="150"/>
      <c r="L715" s="151">
        <v>11.39</v>
      </c>
      <c r="M715" s="136">
        <f t="shared" si="55"/>
        <v>2</v>
      </c>
      <c r="N715" s="2">
        <v>2</v>
      </c>
      <c r="O715" s="2"/>
      <c r="P715" s="137" t="e">
        <f t="shared" si="56"/>
        <v>#DIV/0!</v>
      </c>
      <c r="Q715" s="137">
        <f t="shared" si="57"/>
        <v>0</v>
      </c>
      <c r="R715" s="138">
        <f>IF(N715="nio",0,IF(N715&gt;0,VLOOKUP(I715,'3-Productie normen'!A:V,VLOOKUP(N715,'3-Productie normen'!$B$35:$C$56,2,FALSE),FALSE)))/VLOOKUP(B715,'2-Kosten per locatie'!$A$11:$C$18,3,FALSE)</f>
        <v>0</v>
      </c>
      <c r="S715" s="138">
        <f t="shared" si="58"/>
        <v>0</v>
      </c>
      <c r="T715" s="139" t="str">
        <f>VLOOKUP(I715,'3-Productie normen'!A:AF,28,FALSE)</f>
        <v>V</v>
      </c>
      <c r="U715" s="140"/>
      <c r="W715" s="141">
        <f t="shared" si="59"/>
        <v>22.78</v>
      </c>
    </row>
    <row r="716" spans="1:23" ht="13.9" customHeight="1">
      <c r="A716" s="132">
        <v>716</v>
      </c>
      <c r="B716" s="49" t="s">
        <v>1680</v>
      </c>
      <c r="C716" s="49" t="s">
        <v>668</v>
      </c>
      <c r="D716" s="145" t="s">
        <v>246</v>
      </c>
      <c r="E716" s="146" t="s">
        <v>1327</v>
      </c>
      <c r="F716" s="146"/>
      <c r="G716" s="145" t="s">
        <v>243</v>
      </c>
      <c r="H716" s="145" t="s">
        <v>286</v>
      </c>
      <c r="I716" s="134" t="s">
        <v>49</v>
      </c>
      <c r="J716" s="149" t="s">
        <v>256</v>
      </c>
      <c r="K716" s="150"/>
      <c r="L716" s="151">
        <v>17.5</v>
      </c>
      <c r="M716" s="136">
        <f t="shared" si="55"/>
        <v>190</v>
      </c>
      <c r="N716" s="2">
        <v>190</v>
      </c>
      <c r="O716" s="2"/>
      <c r="P716" s="137" t="e">
        <f t="shared" si="56"/>
        <v>#DIV/0!</v>
      </c>
      <c r="Q716" s="137">
        <f t="shared" si="57"/>
        <v>0</v>
      </c>
      <c r="R716" s="138">
        <f>IF(N716="nio",0,IF(N716&gt;0,VLOOKUP(I716,'3-Productie normen'!A:V,VLOOKUP(N716,'3-Productie normen'!$B$35:$C$56,2,FALSE),FALSE)))/VLOOKUP(B716,'2-Kosten per locatie'!$A$11:$C$18,3,FALSE)</f>
        <v>0</v>
      </c>
      <c r="S716" s="138">
        <f t="shared" si="58"/>
        <v>0</v>
      </c>
      <c r="T716" s="139" t="str">
        <f>VLOOKUP(I716,'3-Productie normen'!A:AF,28,FALSE)</f>
        <v>V</v>
      </c>
      <c r="U716" s="140"/>
      <c r="W716" s="141">
        <f t="shared" si="59"/>
        <v>3325</v>
      </c>
    </row>
    <row r="717" spans="1:23" ht="13.9" customHeight="1">
      <c r="A717" s="118">
        <v>717</v>
      </c>
      <c r="B717" s="49" t="s">
        <v>1680</v>
      </c>
      <c r="C717" s="49" t="s">
        <v>668</v>
      </c>
      <c r="D717" s="145" t="s">
        <v>246</v>
      </c>
      <c r="E717" s="146" t="s">
        <v>1328</v>
      </c>
      <c r="F717" s="146"/>
      <c r="G717" s="145" t="s">
        <v>243</v>
      </c>
      <c r="H717" s="145" t="s">
        <v>286</v>
      </c>
      <c r="I717" s="134" t="s">
        <v>49</v>
      </c>
      <c r="J717" s="149" t="s">
        <v>256</v>
      </c>
      <c r="K717" s="150"/>
      <c r="L717" s="151">
        <v>18.100000000000001</v>
      </c>
      <c r="M717" s="136">
        <f t="shared" si="55"/>
        <v>190</v>
      </c>
      <c r="N717" s="2">
        <v>190</v>
      </c>
      <c r="O717" s="2"/>
      <c r="P717" s="137" t="e">
        <f t="shared" si="56"/>
        <v>#DIV/0!</v>
      </c>
      <c r="Q717" s="137">
        <f t="shared" si="57"/>
        <v>0</v>
      </c>
      <c r="R717" s="138">
        <f>IF(N717="nio",0,IF(N717&gt;0,VLOOKUP(I717,'3-Productie normen'!A:V,VLOOKUP(N717,'3-Productie normen'!$B$35:$C$56,2,FALSE),FALSE)))/VLOOKUP(B717,'2-Kosten per locatie'!$A$11:$C$18,3,FALSE)</f>
        <v>0</v>
      </c>
      <c r="S717" s="138">
        <f t="shared" si="58"/>
        <v>0</v>
      </c>
      <c r="T717" s="139" t="str">
        <f>VLOOKUP(I717,'3-Productie normen'!A:AF,28,FALSE)</f>
        <v>V</v>
      </c>
      <c r="U717" s="140"/>
      <c r="W717" s="141">
        <f t="shared" si="59"/>
        <v>3439.0000000000005</v>
      </c>
    </row>
    <row r="718" spans="1:23" ht="13.9" customHeight="1">
      <c r="A718" s="132">
        <v>718</v>
      </c>
      <c r="B718" s="49" t="s">
        <v>1680</v>
      </c>
      <c r="C718" s="49" t="s">
        <v>668</v>
      </c>
      <c r="D718" s="145" t="s">
        <v>246</v>
      </c>
      <c r="E718" s="146" t="s">
        <v>1329</v>
      </c>
      <c r="F718" s="146" t="s">
        <v>1330</v>
      </c>
      <c r="G718" s="145" t="s">
        <v>264</v>
      </c>
      <c r="H718" s="145" t="s">
        <v>265</v>
      </c>
      <c r="I718" s="145" t="s">
        <v>284</v>
      </c>
      <c r="J718" s="149" t="s">
        <v>251</v>
      </c>
      <c r="K718" s="152" t="s">
        <v>1522</v>
      </c>
      <c r="L718" s="151">
        <v>52.34</v>
      </c>
      <c r="M718" s="136">
        <f t="shared" si="55"/>
        <v>76</v>
      </c>
      <c r="N718" s="2">
        <v>76</v>
      </c>
      <c r="O718" s="2"/>
      <c r="P718" s="137" t="e">
        <f t="shared" si="56"/>
        <v>#DIV/0!</v>
      </c>
      <c r="Q718" s="137">
        <f t="shared" si="57"/>
        <v>0</v>
      </c>
      <c r="R718" s="138">
        <f>IF(N718="nio",0,IF(N718&gt;0,VLOOKUP(I718,'3-Productie normen'!A:V,VLOOKUP(N718,'3-Productie normen'!$B$35:$C$56,2,FALSE),FALSE)))/VLOOKUP(B718,'2-Kosten per locatie'!$A$11:$C$18,3,FALSE)</f>
        <v>0</v>
      </c>
      <c r="S718" s="138">
        <f t="shared" si="58"/>
        <v>0</v>
      </c>
      <c r="T718" s="139" t="str">
        <f>VLOOKUP(I718,'3-Productie normen'!A:AF,28,FALSE)</f>
        <v>L</v>
      </c>
      <c r="U718" s="140"/>
      <c r="W718" s="141">
        <f t="shared" si="59"/>
        <v>3977.84</v>
      </c>
    </row>
    <row r="719" spans="1:23" ht="13.9" customHeight="1">
      <c r="A719" s="132">
        <v>719</v>
      </c>
      <c r="B719" s="49" t="s">
        <v>1680</v>
      </c>
      <c r="C719" s="49" t="s">
        <v>668</v>
      </c>
      <c r="D719" s="145" t="s">
        <v>246</v>
      </c>
      <c r="E719" s="146" t="s">
        <v>1331</v>
      </c>
      <c r="F719" s="146" t="s">
        <v>1332</v>
      </c>
      <c r="G719" s="145" t="s">
        <v>264</v>
      </c>
      <c r="H719" s="145" t="s">
        <v>265</v>
      </c>
      <c r="I719" s="145" t="s">
        <v>284</v>
      </c>
      <c r="J719" s="149" t="s">
        <v>251</v>
      </c>
      <c r="K719" s="152" t="s">
        <v>1522</v>
      </c>
      <c r="L719" s="151">
        <v>169.38</v>
      </c>
      <c r="M719" s="136">
        <f t="shared" si="55"/>
        <v>76</v>
      </c>
      <c r="N719" s="2">
        <v>76</v>
      </c>
      <c r="O719" s="2"/>
      <c r="P719" s="137" t="e">
        <f t="shared" si="56"/>
        <v>#DIV/0!</v>
      </c>
      <c r="Q719" s="137">
        <f t="shared" si="57"/>
        <v>0</v>
      </c>
      <c r="R719" s="138">
        <f>IF(N719="nio",0,IF(N719&gt;0,VLOOKUP(I719,'3-Productie normen'!A:V,VLOOKUP(N719,'3-Productie normen'!$B$35:$C$56,2,FALSE),FALSE)))/VLOOKUP(B719,'2-Kosten per locatie'!$A$11:$C$18,3,FALSE)</f>
        <v>0</v>
      </c>
      <c r="S719" s="138">
        <f t="shared" si="58"/>
        <v>0</v>
      </c>
      <c r="T719" s="139" t="str">
        <f>VLOOKUP(I719,'3-Productie normen'!A:AF,28,FALSE)</f>
        <v>L</v>
      </c>
      <c r="U719" s="140"/>
      <c r="W719" s="141">
        <f t="shared" si="59"/>
        <v>12872.88</v>
      </c>
    </row>
    <row r="720" spans="1:23" ht="13.9" customHeight="1">
      <c r="A720" s="118">
        <v>720</v>
      </c>
      <c r="B720" s="49" t="s">
        <v>1680</v>
      </c>
      <c r="C720" s="49" t="s">
        <v>668</v>
      </c>
      <c r="D720" s="145" t="s">
        <v>246</v>
      </c>
      <c r="E720" s="146" t="s">
        <v>1333</v>
      </c>
      <c r="F720" s="146"/>
      <c r="G720" s="145" t="s">
        <v>242</v>
      </c>
      <c r="H720" s="145" t="s">
        <v>242</v>
      </c>
      <c r="I720" s="1" t="s">
        <v>242</v>
      </c>
      <c r="J720" s="149" t="s">
        <v>251</v>
      </c>
      <c r="K720" s="152" t="s">
        <v>1522</v>
      </c>
      <c r="L720" s="151">
        <v>14.2</v>
      </c>
      <c r="M720" s="136">
        <f t="shared" si="55"/>
        <v>2</v>
      </c>
      <c r="N720" s="2">
        <v>2</v>
      </c>
      <c r="O720" s="2"/>
      <c r="P720" s="137" t="e">
        <f t="shared" si="56"/>
        <v>#DIV/0!</v>
      </c>
      <c r="Q720" s="137">
        <f t="shared" si="57"/>
        <v>0</v>
      </c>
      <c r="R720" s="138">
        <f>IF(N720="nio",0,IF(N720&gt;0,VLOOKUP(I720,'3-Productie normen'!A:V,VLOOKUP(N720,'3-Productie normen'!$B$35:$C$56,2,FALSE),FALSE)))/VLOOKUP(B720,'2-Kosten per locatie'!$A$11:$C$18,3,FALSE)</f>
        <v>0</v>
      </c>
      <c r="S720" s="138">
        <f t="shared" si="58"/>
        <v>0</v>
      </c>
      <c r="T720" s="139" t="str">
        <f>VLOOKUP(I720,'3-Productie normen'!A:AF,28,FALSE)</f>
        <v>V</v>
      </c>
      <c r="U720" s="140"/>
      <c r="W720" s="141">
        <f t="shared" si="59"/>
        <v>28.4</v>
      </c>
    </row>
    <row r="721" spans="1:23" ht="13.9" customHeight="1">
      <c r="A721" s="132">
        <v>721</v>
      </c>
      <c r="B721" s="49" t="s">
        <v>1680</v>
      </c>
      <c r="C721" s="49" t="s">
        <v>668</v>
      </c>
      <c r="D721" s="145" t="s">
        <v>246</v>
      </c>
      <c r="E721" s="146" t="s">
        <v>1334</v>
      </c>
      <c r="F721" s="146"/>
      <c r="G721" s="145" t="s">
        <v>245</v>
      </c>
      <c r="H721" s="145" t="s">
        <v>245</v>
      </c>
      <c r="I721" s="92" t="s">
        <v>274</v>
      </c>
      <c r="J721" s="149" t="s">
        <v>251</v>
      </c>
      <c r="K721" s="152" t="s">
        <v>1522</v>
      </c>
      <c r="L721" s="151">
        <v>64.11</v>
      </c>
      <c r="M721" s="136">
        <f t="shared" si="55"/>
        <v>76</v>
      </c>
      <c r="N721" s="2">
        <v>76</v>
      </c>
      <c r="O721" s="2"/>
      <c r="P721" s="137" t="e">
        <f t="shared" si="56"/>
        <v>#DIV/0!</v>
      </c>
      <c r="Q721" s="137">
        <f t="shared" si="57"/>
        <v>0</v>
      </c>
      <c r="R721" s="138">
        <f>IF(N721="nio",0,IF(N721&gt;0,VLOOKUP(I721,'3-Productie normen'!A:V,VLOOKUP(N721,'3-Productie normen'!$B$35:$C$56,2,FALSE),FALSE)))/VLOOKUP(B721,'2-Kosten per locatie'!$A$11:$C$18,3,FALSE)</f>
        <v>0</v>
      </c>
      <c r="S721" s="138">
        <f t="shared" si="58"/>
        <v>0</v>
      </c>
      <c r="T721" s="139" t="str">
        <f>VLOOKUP(I721,'3-Productie normen'!A:AF,28,FALSE)</f>
        <v>B</v>
      </c>
      <c r="U721" s="140"/>
      <c r="W721" s="141">
        <f t="shared" si="59"/>
        <v>4872.3599999999997</v>
      </c>
    </row>
    <row r="722" spans="1:23" ht="13.9" customHeight="1">
      <c r="A722" s="132">
        <v>722</v>
      </c>
      <c r="B722" s="49" t="s">
        <v>1680</v>
      </c>
      <c r="C722" s="49" t="s">
        <v>668</v>
      </c>
      <c r="D722" s="145" t="s">
        <v>246</v>
      </c>
      <c r="E722" s="146" t="s">
        <v>1335</v>
      </c>
      <c r="F722" s="146"/>
      <c r="G722" s="145" t="s">
        <v>44</v>
      </c>
      <c r="H722" s="145" t="s">
        <v>354</v>
      </c>
      <c r="I722" s="49" t="s">
        <v>1486</v>
      </c>
      <c r="J722" s="149" t="s">
        <v>251</v>
      </c>
      <c r="K722" s="152" t="s">
        <v>1522</v>
      </c>
      <c r="L722" s="151">
        <v>12.21</v>
      </c>
      <c r="M722" s="136">
        <f t="shared" si="55"/>
        <v>190</v>
      </c>
      <c r="N722" s="2">
        <v>190</v>
      </c>
      <c r="O722" s="2"/>
      <c r="P722" s="137" t="e">
        <f t="shared" si="56"/>
        <v>#DIV/0!</v>
      </c>
      <c r="Q722" s="137">
        <f t="shared" si="57"/>
        <v>0</v>
      </c>
      <c r="R722" s="138">
        <f>IF(N722="nio",0,IF(N722&gt;0,VLOOKUP(I722,'3-Productie normen'!A:V,VLOOKUP(N722,'3-Productie normen'!$B$35:$C$56,2,FALSE),FALSE)))/VLOOKUP(B722,'2-Kosten per locatie'!$A$11:$C$18,3,FALSE)</f>
        <v>0</v>
      </c>
      <c r="S722" s="138">
        <f t="shared" si="58"/>
        <v>0</v>
      </c>
      <c r="T722" s="139" t="str">
        <f>VLOOKUP(I722,'3-Productie normen'!A:AF,28,FALSE)</f>
        <v>V</v>
      </c>
      <c r="U722" s="140"/>
      <c r="W722" s="141">
        <f t="shared" si="59"/>
        <v>2319.9</v>
      </c>
    </row>
    <row r="723" spans="1:23" ht="13.9" customHeight="1">
      <c r="A723" s="118">
        <v>723</v>
      </c>
      <c r="B723" s="49" t="s">
        <v>1680</v>
      </c>
      <c r="C723" s="49" t="s">
        <v>668</v>
      </c>
      <c r="D723" s="145" t="s">
        <v>246</v>
      </c>
      <c r="E723" s="146" t="s">
        <v>1336</v>
      </c>
      <c r="F723" s="146"/>
      <c r="G723" s="145" t="s">
        <v>245</v>
      </c>
      <c r="H723" s="145" t="s">
        <v>245</v>
      </c>
      <c r="I723" s="92" t="s">
        <v>274</v>
      </c>
      <c r="J723" s="149" t="s">
        <v>251</v>
      </c>
      <c r="K723" s="152" t="s">
        <v>1522</v>
      </c>
      <c r="L723" s="151">
        <v>7.68</v>
      </c>
      <c r="M723" s="136">
        <f t="shared" si="55"/>
        <v>76</v>
      </c>
      <c r="N723" s="2">
        <v>76</v>
      </c>
      <c r="O723" s="2"/>
      <c r="P723" s="137" t="e">
        <f t="shared" si="56"/>
        <v>#DIV/0!</v>
      </c>
      <c r="Q723" s="137">
        <f t="shared" si="57"/>
        <v>0</v>
      </c>
      <c r="R723" s="138">
        <f>IF(N723="nio",0,IF(N723&gt;0,VLOOKUP(I723,'3-Productie normen'!A:V,VLOOKUP(N723,'3-Productie normen'!$B$35:$C$56,2,FALSE),FALSE)))/VLOOKUP(B723,'2-Kosten per locatie'!$A$11:$C$18,3,FALSE)</f>
        <v>0</v>
      </c>
      <c r="S723" s="138">
        <f t="shared" si="58"/>
        <v>0</v>
      </c>
      <c r="T723" s="139" t="str">
        <f>VLOOKUP(I723,'3-Productie normen'!A:AF,28,FALSE)</f>
        <v>B</v>
      </c>
      <c r="U723" s="140"/>
      <c r="W723" s="141">
        <f t="shared" si="59"/>
        <v>583.67999999999995</v>
      </c>
    </row>
    <row r="724" spans="1:23" ht="13.9" customHeight="1">
      <c r="A724" s="132">
        <v>724</v>
      </c>
      <c r="B724" s="49" t="s">
        <v>1680</v>
      </c>
      <c r="C724" s="49" t="s">
        <v>668</v>
      </c>
      <c r="D724" s="145" t="s">
        <v>246</v>
      </c>
      <c r="E724" s="146" t="s">
        <v>1337</v>
      </c>
      <c r="F724" s="146"/>
      <c r="G724" s="145" t="s">
        <v>243</v>
      </c>
      <c r="H724" s="145" t="s">
        <v>367</v>
      </c>
      <c r="I724" s="49" t="s">
        <v>274</v>
      </c>
      <c r="J724" s="149" t="s">
        <v>251</v>
      </c>
      <c r="K724" s="152" t="s">
        <v>1522</v>
      </c>
      <c r="L724" s="151">
        <v>4.6399999999999997</v>
      </c>
      <c r="M724" s="136">
        <f t="shared" si="55"/>
        <v>76</v>
      </c>
      <c r="N724" s="2">
        <v>76</v>
      </c>
      <c r="O724" s="2"/>
      <c r="P724" s="137" t="e">
        <f t="shared" si="56"/>
        <v>#DIV/0!</v>
      </c>
      <c r="Q724" s="137">
        <f t="shared" si="57"/>
        <v>0</v>
      </c>
      <c r="R724" s="138">
        <f>IF(N724="nio",0,IF(N724&gt;0,VLOOKUP(I724,'3-Productie normen'!A:V,VLOOKUP(N724,'3-Productie normen'!$B$35:$C$56,2,FALSE),FALSE)))/VLOOKUP(B724,'2-Kosten per locatie'!$A$11:$C$18,3,FALSE)</f>
        <v>0</v>
      </c>
      <c r="S724" s="138">
        <f t="shared" si="58"/>
        <v>0</v>
      </c>
      <c r="T724" s="139" t="str">
        <f>VLOOKUP(I724,'3-Productie normen'!A:AF,28,FALSE)</f>
        <v>B</v>
      </c>
      <c r="U724" s="140"/>
      <c r="W724" s="141">
        <f t="shared" si="59"/>
        <v>352.64</v>
      </c>
    </row>
    <row r="725" spans="1:23" ht="13.9" customHeight="1">
      <c r="A725" s="132">
        <v>725</v>
      </c>
      <c r="B725" s="49" t="s">
        <v>1680</v>
      </c>
      <c r="C725" s="49" t="s">
        <v>668</v>
      </c>
      <c r="D725" s="145" t="s">
        <v>246</v>
      </c>
      <c r="E725" s="146" t="s">
        <v>1338</v>
      </c>
      <c r="F725" s="146"/>
      <c r="G725" s="145" t="s">
        <v>245</v>
      </c>
      <c r="H725" s="145" t="s">
        <v>245</v>
      </c>
      <c r="I725" s="92" t="s">
        <v>274</v>
      </c>
      <c r="J725" s="149" t="s">
        <v>251</v>
      </c>
      <c r="K725" s="152" t="s">
        <v>1522</v>
      </c>
      <c r="L725" s="151">
        <v>14.92</v>
      </c>
      <c r="M725" s="136">
        <f t="shared" si="55"/>
        <v>76</v>
      </c>
      <c r="N725" s="2">
        <v>76</v>
      </c>
      <c r="O725" s="2"/>
      <c r="P725" s="137" t="e">
        <f t="shared" si="56"/>
        <v>#DIV/0!</v>
      </c>
      <c r="Q725" s="137">
        <f t="shared" si="57"/>
        <v>0</v>
      </c>
      <c r="R725" s="138">
        <f>IF(N725="nio",0,IF(N725&gt;0,VLOOKUP(I725,'3-Productie normen'!A:V,VLOOKUP(N725,'3-Productie normen'!$B$35:$C$56,2,FALSE),FALSE)))/VLOOKUP(B725,'2-Kosten per locatie'!$A$11:$C$18,3,FALSE)</f>
        <v>0</v>
      </c>
      <c r="S725" s="138">
        <f t="shared" si="58"/>
        <v>0</v>
      </c>
      <c r="T725" s="139" t="str">
        <f>VLOOKUP(I725,'3-Productie normen'!A:AF,28,FALSE)</f>
        <v>B</v>
      </c>
      <c r="U725" s="140"/>
      <c r="W725" s="141">
        <f t="shared" si="59"/>
        <v>1133.92</v>
      </c>
    </row>
    <row r="726" spans="1:23" ht="13.9" customHeight="1">
      <c r="A726" s="118">
        <v>726</v>
      </c>
      <c r="B726" s="49" t="s">
        <v>1680</v>
      </c>
      <c r="C726" s="49" t="s">
        <v>668</v>
      </c>
      <c r="D726" s="145" t="s">
        <v>246</v>
      </c>
      <c r="E726" s="146" t="s">
        <v>1339</v>
      </c>
      <c r="F726" s="146"/>
      <c r="G726" s="145" t="s">
        <v>245</v>
      </c>
      <c r="H726" s="145" t="s">
        <v>261</v>
      </c>
      <c r="I726" s="92" t="s">
        <v>274</v>
      </c>
      <c r="J726" s="149" t="s">
        <v>251</v>
      </c>
      <c r="K726" s="152" t="s">
        <v>1522</v>
      </c>
      <c r="L726" s="151">
        <v>12.98</v>
      </c>
      <c r="M726" s="136">
        <f t="shared" si="55"/>
        <v>76</v>
      </c>
      <c r="N726" s="2">
        <v>76</v>
      </c>
      <c r="O726" s="2"/>
      <c r="P726" s="137" t="e">
        <f t="shared" si="56"/>
        <v>#DIV/0!</v>
      </c>
      <c r="Q726" s="137">
        <f t="shared" si="57"/>
        <v>0</v>
      </c>
      <c r="R726" s="138">
        <f>IF(N726="nio",0,IF(N726&gt;0,VLOOKUP(I726,'3-Productie normen'!A:V,VLOOKUP(N726,'3-Productie normen'!$B$35:$C$56,2,FALSE),FALSE)))/VLOOKUP(B726,'2-Kosten per locatie'!$A$11:$C$18,3,FALSE)</f>
        <v>0</v>
      </c>
      <c r="S726" s="138">
        <f t="shared" si="58"/>
        <v>0</v>
      </c>
      <c r="T726" s="139" t="str">
        <f>VLOOKUP(I726,'3-Productie normen'!A:AF,28,FALSE)</f>
        <v>B</v>
      </c>
      <c r="U726" s="140"/>
      <c r="W726" s="141">
        <f t="shared" si="59"/>
        <v>986.48</v>
      </c>
    </row>
    <row r="727" spans="1:23" ht="13.9" customHeight="1">
      <c r="A727" s="132">
        <v>727</v>
      </c>
      <c r="B727" s="49" t="s">
        <v>1680</v>
      </c>
      <c r="C727" s="49" t="s">
        <v>668</v>
      </c>
      <c r="D727" s="145" t="s">
        <v>268</v>
      </c>
      <c r="E727" s="146" t="s">
        <v>1340</v>
      </c>
      <c r="F727" s="146"/>
      <c r="G727" s="145" t="s">
        <v>275</v>
      </c>
      <c r="H727" s="145" t="s">
        <v>53</v>
      </c>
      <c r="I727" s="1" t="s">
        <v>233</v>
      </c>
      <c r="J727" s="149" t="s">
        <v>305</v>
      </c>
      <c r="K727" s="150"/>
      <c r="L727" s="151">
        <v>83.45</v>
      </c>
      <c r="M727" s="136">
        <f t="shared" ref="M727:M790" si="60">SUM(N727:O727)</f>
        <v>190</v>
      </c>
      <c r="N727" s="2">
        <v>190</v>
      </c>
      <c r="O727" s="2"/>
      <c r="P727" s="137" t="e">
        <f t="shared" ref="P727:P790" si="61">IF(N727="nio",0,IF(N727&gt;0,N727*L727/R727,0))</f>
        <v>#DIV/0!</v>
      </c>
      <c r="Q727" s="137">
        <f t="shared" ref="Q727:Q790" si="62">IF(O727&gt;0,O727*L727/S727,0)</f>
        <v>0</v>
      </c>
      <c r="R727" s="138">
        <f>IF(N727="nio",0,IF(N727&gt;0,VLOOKUP(I727,'3-Productie normen'!A:V,VLOOKUP(N727,'3-Productie normen'!$B$35:$C$56,2,FALSE),FALSE)))/VLOOKUP(B727,'2-Kosten per locatie'!$A$11:$C$18,3,FALSE)</f>
        <v>0</v>
      </c>
      <c r="S727" s="138">
        <f t="shared" ref="S727:S790" si="63">IF(O727&gt;0,R727*$S$8,0)</f>
        <v>0</v>
      </c>
      <c r="T727" s="139" t="str">
        <f>VLOOKUP(I727,'3-Productie normen'!A:AF,28,FALSE)</f>
        <v>V</v>
      </c>
      <c r="U727" s="140"/>
      <c r="W727" s="141">
        <f t="shared" ref="W727:W790" si="64">M727*L727</f>
        <v>15855.5</v>
      </c>
    </row>
    <row r="728" spans="1:23" ht="13.9" customHeight="1">
      <c r="A728" s="132">
        <v>728</v>
      </c>
      <c r="B728" s="49" t="s">
        <v>1680</v>
      </c>
      <c r="C728" s="49" t="s">
        <v>668</v>
      </c>
      <c r="D728" s="145" t="s">
        <v>268</v>
      </c>
      <c r="E728" s="146" t="s">
        <v>1341</v>
      </c>
      <c r="F728" s="146"/>
      <c r="G728" s="145" t="s">
        <v>275</v>
      </c>
      <c r="H728" s="145" t="s">
        <v>53</v>
      </c>
      <c r="I728" s="1" t="s">
        <v>233</v>
      </c>
      <c r="J728" s="149" t="s">
        <v>305</v>
      </c>
      <c r="K728" s="150"/>
      <c r="L728" s="151">
        <v>25.68</v>
      </c>
      <c r="M728" s="136">
        <f t="shared" si="60"/>
        <v>190</v>
      </c>
      <c r="N728" s="2">
        <v>190</v>
      </c>
      <c r="O728" s="2"/>
      <c r="P728" s="137" t="e">
        <f t="shared" si="61"/>
        <v>#DIV/0!</v>
      </c>
      <c r="Q728" s="137">
        <f t="shared" si="62"/>
        <v>0</v>
      </c>
      <c r="R728" s="138">
        <f>IF(N728="nio",0,IF(N728&gt;0,VLOOKUP(I728,'3-Productie normen'!A:V,VLOOKUP(N728,'3-Productie normen'!$B$35:$C$56,2,FALSE),FALSE)))/VLOOKUP(B728,'2-Kosten per locatie'!$A$11:$C$18,3,FALSE)</f>
        <v>0</v>
      </c>
      <c r="S728" s="138">
        <f t="shared" si="63"/>
        <v>0</v>
      </c>
      <c r="T728" s="139" t="str">
        <f>VLOOKUP(I728,'3-Productie normen'!A:AF,28,FALSE)</f>
        <v>V</v>
      </c>
      <c r="U728" s="140"/>
      <c r="W728" s="141">
        <f t="shared" si="64"/>
        <v>4879.2</v>
      </c>
    </row>
    <row r="729" spans="1:23" ht="13.9" customHeight="1">
      <c r="A729" s="118">
        <v>729</v>
      </c>
      <c r="B729" s="49" t="s">
        <v>1680</v>
      </c>
      <c r="C729" s="49" t="s">
        <v>668</v>
      </c>
      <c r="D729" s="145" t="s">
        <v>268</v>
      </c>
      <c r="E729" s="146" t="s">
        <v>1342</v>
      </c>
      <c r="F729" s="146"/>
      <c r="G729" s="145" t="s">
        <v>275</v>
      </c>
      <c r="H729" s="145" t="s">
        <v>53</v>
      </c>
      <c r="I729" s="1" t="s">
        <v>233</v>
      </c>
      <c r="J729" s="149" t="s">
        <v>1343</v>
      </c>
      <c r="K729" s="150"/>
      <c r="L729" s="151">
        <v>17.239999999999998</v>
      </c>
      <c r="M729" s="136">
        <f t="shared" si="60"/>
        <v>190</v>
      </c>
      <c r="N729" s="2">
        <v>190</v>
      </c>
      <c r="O729" s="2"/>
      <c r="P729" s="137" t="e">
        <f t="shared" si="61"/>
        <v>#DIV/0!</v>
      </c>
      <c r="Q729" s="137">
        <f t="shared" si="62"/>
        <v>0</v>
      </c>
      <c r="R729" s="138">
        <f>IF(N729="nio",0,IF(N729&gt;0,VLOOKUP(I729,'3-Productie normen'!A:V,VLOOKUP(N729,'3-Productie normen'!$B$35:$C$56,2,FALSE),FALSE)))/VLOOKUP(B729,'2-Kosten per locatie'!$A$11:$C$18,3,FALSE)</f>
        <v>0</v>
      </c>
      <c r="S729" s="138">
        <f t="shared" si="63"/>
        <v>0</v>
      </c>
      <c r="T729" s="139" t="str">
        <f>VLOOKUP(I729,'3-Productie normen'!A:AF,28,FALSE)</f>
        <v>V</v>
      </c>
      <c r="U729" s="140"/>
      <c r="W729" s="141">
        <f t="shared" si="64"/>
        <v>3275.6</v>
      </c>
    </row>
    <row r="730" spans="1:23" ht="13.9" customHeight="1">
      <c r="A730" s="132">
        <v>730</v>
      </c>
      <c r="B730" s="49" t="s">
        <v>1680</v>
      </c>
      <c r="C730" s="49" t="s">
        <v>668</v>
      </c>
      <c r="D730" s="145" t="s">
        <v>268</v>
      </c>
      <c r="E730" s="146" t="s">
        <v>1344</v>
      </c>
      <c r="F730" s="146"/>
      <c r="G730" s="145" t="s">
        <v>275</v>
      </c>
      <c r="H730" s="145" t="s">
        <v>54</v>
      </c>
      <c r="I730" s="145" t="s">
        <v>239</v>
      </c>
      <c r="J730" s="149" t="s">
        <v>231</v>
      </c>
      <c r="K730" s="150"/>
      <c r="L730" s="151">
        <v>0</v>
      </c>
      <c r="M730" s="136">
        <f t="shared" si="60"/>
        <v>0</v>
      </c>
      <c r="N730" s="2" t="s">
        <v>273</v>
      </c>
      <c r="O730" s="2"/>
      <c r="P730" s="137">
        <f t="shared" si="61"/>
        <v>0</v>
      </c>
      <c r="Q730" s="137">
        <f t="shared" si="62"/>
        <v>0</v>
      </c>
      <c r="R730" s="138">
        <f>IF(N730="nio",0,IF(N730&gt;0,VLOOKUP(I730,'3-Productie normen'!A:V,VLOOKUP(N730,'3-Productie normen'!$B$35:$C$56,2,FALSE),FALSE)))/VLOOKUP(B730,'2-Kosten per locatie'!$A$11:$C$18,3,FALSE)</f>
        <v>0</v>
      </c>
      <c r="S730" s="138">
        <f t="shared" si="63"/>
        <v>0</v>
      </c>
      <c r="T730" s="139">
        <f>VLOOKUP(I730,'3-Productie normen'!A:AF,28,FALSE)</f>
        <v>0</v>
      </c>
      <c r="U730" s="140"/>
      <c r="W730" s="141">
        <f t="shared" si="64"/>
        <v>0</v>
      </c>
    </row>
    <row r="731" spans="1:23" ht="13.9" customHeight="1">
      <c r="A731" s="132">
        <v>731</v>
      </c>
      <c r="B731" s="49" t="s">
        <v>1680</v>
      </c>
      <c r="C731" s="49" t="s">
        <v>668</v>
      </c>
      <c r="D731" s="145" t="s">
        <v>268</v>
      </c>
      <c r="E731" s="146" t="s">
        <v>1345</v>
      </c>
      <c r="F731" s="146"/>
      <c r="G731" s="145" t="s">
        <v>275</v>
      </c>
      <c r="H731" s="145" t="s">
        <v>53</v>
      </c>
      <c r="I731" s="1" t="s">
        <v>233</v>
      </c>
      <c r="J731" s="149" t="s">
        <v>251</v>
      </c>
      <c r="K731" s="152" t="s">
        <v>1522</v>
      </c>
      <c r="L731" s="151">
        <v>6.11</v>
      </c>
      <c r="M731" s="136">
        <f t="shared" si="60"/>
        <v>190</v>
      </c>
      <c r="N731" s="2">
        <v>190</v>
      </c>
      <c r="O731" s="2"/>
      <c r="P731" s="137" t="e">
        <f t="shared" si="61"/>
        <v>#DIV/0!</v>
      </c>
      <c r="Q731" s="137">
        <f t="shared" si="62"/>
        <v>0</v>
      </c>
      <c r="R731" s="138">
        <f>IF(N731="nio",0,IF(N731&gt;0,VLOOKUP(I731,'3-Productie normen'!A:V,VLOOKUP(N731,'3-Productie normen'!$B$35:$C$56,2,FALSE),FALSE)))/VLOOKUP(B731,'2-Kosten per locatie'!$A$11:$C$18,3,FALSE)</f>
        <v>0</v>
      </c>
      <c r="S731" s="138">
        <f t="shared" si="63"/>
        <v>0</v>
      </c>
      <c r="T731" s="139" t="str">
        <f>VLOOKUP(I731,'3-Productie normen'!A:AF,28,FALSE)</f>
        <v>V</v>
      </c>
      <c r="U731" s="140"/>
      <c r="W731" s="141">
        <f t="shared" si="64"/>
        <v>1160.9000000000001</v>
      </c>
    </row>
    <row r="732" spans="1:23" ht="13.9" customHeight="1">
      <c r="A732" s="118">
        <v>732</v>
      </c>
      <c r="B732" s="49" t="s">
        <v>1680</v>
      </c>
      <c r="C732" s="49" t="s">
        <v>668</v>
      </c>
      <c r="D732" s="145" t="s">
        <v>268</v>
      </c>
      <c r="E732" s="146" t="s">
        <v>1346</v>
      </c>
      <c r="F732" s="146"/>
      <c r="G732" s="145" t="s">
        <v>276</v>
      </c>
      <c r="H732" s="145" t="s">
        <v>236</v>
      </c>
      <c r="I732" s="49" t="s">
        <v>1486</v>
      </c>
      <c r="J732" s="149" t="s">
        <v>305</v>
      </c>
      <c r="K732" s="150"/>
      <c r="L732" s="151">
        <v>70.09</v>
      </c>
      <c r="M732" s="136">
        <f t="shared" si="60"/>
        <v>190</v>
      </c>
      <c r="N732" s="2">
        <v>190</v>
      </c>
      <c r="O732" s="2"/>
      <c r="P732" s="137" t="e">
        <f t="shared" si="61"/>
        <v>#DIV/0!</v>
      </c>
      <c r="Q732" s="137">
        <f t="shared" si="62"/>
        <v>0</v>
      </c>
      <c r="R732" s="138">
        <f>IF(N732="nio",0,IF(N732&gt;0,VLOOKUP(I732,'3-Productie normen'!A:V,VLOOKUP(N732,'3-Productie normen'!$B$35:$C$56,2,FALSE),FALSE)))/VLOOKUP(B732,'2-Kosten per locatie'!$A$11:$C$18,3,FALSE)</f>
        <v>0</v>
      </c>
      <c r="S732" s="138">
        <f t="shared" si="63"/>
        <v>0</v>
      </c>
      <c r="T732" s="139" t="str">
        <f>VLOOKUP(I732,'3-Productie normen'!A:AF,28,FALSE)</f>
        <v>V</v>
      </c>
      <c r="U732" s="140"/>
      <c r="W732" s="141">
        <f t="shared" si="64"/>
        <v>13317.1</v>
      </c>
    </row>
    <row r="733" spans="1:23" ht="13.9" customHeight="1">
      <c r="A733" s="132">
        <v>733</v>
      </c>
      <c r="B733" s="49" t="s">
        <v>1680</v>
      </c>
      <c r="C733" s="49" t="s">
        <v>668</v>
      </c>
      <c r="D733" s="145" t="s">
        <v>268</v>
      </c>
      <c r="E733" s="146" t="s">
        <v>1347</v>
      </c>
      <c r="F733" s="146"/>
      <c r="G733" s="145" t="s">
        <v>276</v>
      </c>
      <c r="H733" s="145" t="s">
        <v>236</v>
      </c>
      <c r="I733" s="49" t="s">
        <v>1486</v>
      </c>
      <c r="J733" s="149" t="s">
        <v>305</v>
      </c>
      <c r="K733" s="150"/>
      <c r="L733" s="151">
        <v>69.06</v>
      </c>
      <c r="M733" s="136">
        <f t="shared" si="60"/>
        <v>190</v>
      </c>
      <c r="N733" s="2">
        <v>190</v>
      </c>
      <c r="O733" s="2"/>
      <c r="P733" s="137" t="e">
        <f t="shared" si="61"/>
        <v>#DIV/0!</v>
      </c>
      <c r="Q733" s="137">
        <f t="shared" si="62"/>
        <v>0</v>
      </c>
      <c r="R733" s="138">
        <f>IF(N733="nio",0,IF(N733&gt;0,VLOOKUP(I733,'3-Productie normen'!A:V,VLOOKUP(N733,'3-Productie normen'!$B$35:$C$56,2,FALSE),FALSE)))/VLOOKUP(B733,'2-Kosten per locatie'!$A$11:$C$18,3,FALSE)</f>
        <v>0</v>
      </c>
      <c r="S733" s="138">
        <f t="shared" si="63"/>
        <v>0</v>
      </c>
      <c r="T733" s="139" t="str">
        <f>VLOOKUP(I733,'3-Productie normen'!A:AF,28,FALSE)</f>
        <v>V</v>
      </c>
      <c r="U733" s="140"/>
      <c r="W733" s="141">
        <f t="shared" si="64"/>
        <v>13121.4</v>
      </c>
    </row>
    <row r="734" spans="1:23" ht="13.9" customHeight="1">
      <c r="A734" s="132">
        <v>734</v>
      </c>
      <c r="B734" s="49" t="s">
        <v>1680</v>
      </c>
      <c r="C734" s="49" t="s">
        <v>668</v>
      </c>
      <c r="D734" s="145" t="s">
        <v>268</v>
      </c>
      <c r="E734" s="146" t="s">
        <v>1348</v>
      </c>
      <c r="F734" s="146"/>
      <c r="G734" s="145" t="s">
        <v>276</v>
      </c>
      <c r="H734" s="145" t="s">
        <v>236</v>
      </c>
      <c r="I734" s="49" t="s">
        <v>1486</v>
      </c>
      <c r="J734" s="149" t="s">
        <v>305</v>
      </c>
      <c r="K734" s="150"/>
      <c r="L734" s="151">
        <v>18.09</v>
      </c>
      <c r="M734" s="136">
        <f t="shared" si="60"/>
        <v>190</v>
      </c>
      <c r="N734" s="2">
        <v>190</v>
      </c>
      <c r="O734" s="2"/>
      <c r="P734" s="137" t="e">
        <f t="shared" si="61"/>
        <v>#DIV/0!</v>
      </c>
      <c r="Q734" s="137">
        <f t="shared" si="62"/>
        <v>0</v>
      </c>
      <c r="R734" s="138">
        <f>IF(N734="nio",0,IF(N734&gt;0,VLOOKUP(I734,'3-Productie normen'!A:V,VLOOKUP(N734,'3-Productie normen'!$B$35:$C$56,2,FALSE),FALSE)))/VLOOKUP(B734,'2-Kosten per locatie'!$A$11:$C$18,3,FALSE)</f>
        <v>0</v>
      </c>
      <c r="S734" s="138">
        <f t="shared" si="63"/>
        <v>0</v>
      </c>
      <c r="T734" s="139" t="str">
        <f>VLOOKUP(I734,'3-Productie normen'!A:AF,28,FALSE)</f>
        <v>V</v>
      </c>
      <c r="U734" s="140"/>
      <c r="W734" s="141">
        <f t="shared" si="64"/>
        <v>3437.1</v>
      </c>
    </row>
    <row r="735" spans="1:23" ht="13.9" customHeight="1">
      <c r="A735" s="118">
        <v>735</v>
      </c>
      <c r="B735" s="49" t="s">
        <v>1680</v>
      </c>
      <c r="C735" s="49" t="s">
        <v>668</v>
      </c>
      <c r="D735" s="145" t="s">
        <v>268</v>
      </c>
      <c r="E735" s="146" t="s">
        <v>1349</v>
      </c>
      <c r="F735" s="146"/>
      <c r="G735" s="145" t="s">
        <v>276</v>
      </c>
      <c r="H735" s="145" t="s">
        <v>236</v>
      </c>
      <c r="I735" s="49" t="s">
        <v>1486</v>
      </c>
      <c r="J735" s="149" t="s">
        <v>305</v>
      </c>
      <c r="K735" s="150"/>
      <c r="L735" s="151">
        <v>19.18</v>
      </c>
      <c r="M735" s="136">
        <f t="shared" si="60"/>
        <v>190</v>
      </c>
      <c r="N735" s="2">
        <v>190</v>
      </c>
      <c r="O735" s="2"/>
      <c r="P735" s="137" t="e">
        <f t="shared" si="61"/>
        <v>#DIV/0!</v>
      </c>
      <c r="Q735" s="137">
        <f t="shared" si="62"/>
        <v>0</v>
      </c>
      <c r="R735" s="138">
        <f>IF(N735="nio",0,IF(N735&gt;0,VLOOKUP(I735,'3-Productie normen'!A:V,VLOOKUP(N735,'3-Productie normen'!$B$35:$C$56,2,FALSE),FALSE)))/VLOOKUP(B735,'2-Kosten per locatie'!$A$11:$C$18,3,FALSE)</f>
        <v>0</v>
      </c>
      <c r="S735" s="138">
        <f t="shared" si="63"/>
        <v>0</v>
      </c>
      <c r="T735" s="139" t="str">
        <f>VLOOKUP(I735,'3-Productie normen'!A:AF,28,FALSE)</f>
        <v>V</v>
      </c>
      <c r="U735" s="140"/>
      <c r="W735" s="141">
        <f t="shared" si="64"/>
        <v>3644.2</v>
      </c>
    </row>
    <row r="736" spans="1:23" ht="13.9" customHeight="1">
      <c r="A736" s="132">
        <v>736</v>
      </c>
      <c r="B736" s="49" t="s">
        <v>1680</v>
      </c>
      <c r="C736" s="49" t="s">
        <v>668</v>
      </c>
      <c r="D736" s="145" t="s">
        <v>268</v>
      </c>
      <c r="E736" s="146" t="s">
        <v>1350</v>
      </c>
      <c r="F736" s="146"/>
      <c r="G736" s="145" t="s">
        <v>276</v>
      </c>
      <c r="H736" s="145" t="s">
        <v>236</v>
      </c>
      <c r="I736" s="49" t="s">
        <v>1486</v>
      </c>
      <c r="J736" s="149" t="s">
        <v>305</v>
      </c>
      <c r="K736" s="150"/>
      <c r="L736" s="151">
        <v>47.73</v>
      </c>
      <c r="M736" s="136">
        <f t="shared" si="60"/>
        <v>190</v>
      </c>
      <c r="N736" s="2">
        <v>190</v>
      </c>
      <c r="O736" s="2"/>
      <c r="P736" s="137" t="e">
        <f t="shared" si="61"/>
        <v>#DIV/0!</v>
      </c>
      <c r="Q736" s="137">
        <f t="shared" si="62"/>
        <v>0</v>
      </c>
      <c r="R736" s="138">
        <f>IF(N736="nio",0,IF(N736&gt;0,VLOOKUP(I736,'3-Productie normen'!A:V,VLOOKUP(N736,'3-Productie normen'!$B$35:$C$56,2,FALSE),FALSE)))/VLOOKUP(B736,'2-Kosten per locatie'!$A$11:$C$18,3,FALSE)</f>
        <v>0</v>
      </c>
      <c r="S736" s="138">
        <f t="shared" si="63"/>
        <v>0</v>
      </c>
      <c r="T736" s="139" t="str">
        <f>VLOOKUP(I736,'3-Productie normen'!A:AF,28,FALSE)</f>
        <v>V</v>
      </c>
      <c r="U736" s="140"/>
      <c r="W736" s="141">
        <f t="shared" si="64"/>
        <v>9068.6999999999989</v>
      </c>
    </row>
    <row r="737" spans="1:23" ht="13.9" customHeight="1">
      <c r="A737" s="132">
        <v>737</v>
      </c>
      <c r="B737" s="49" t="s">
        <v>1680</v>
      </c>
      <c r="C737" s="49" t="s">
        <v>668</v>
      </c>
      <c r="D737" s="145" t="s">
        <v>268</v>
      </c>
      <c r="E737" s="146" t="s">
        <v>1351</v>
      </c>
      <c r="F737" s="146"/>
      <c r="G737" s="145" t="s">
        <v>276</v>
      </c>
      <c r="H737" s="145" t="s">
        <v>52</v>
      </c>
      <c r="I737" s="1" t="s">
        <v>247</v>
      </c>
      <c r="J737" s="149" t="s">
        <v>1078</v>
      </c>
      <c r="K737" s="150"/>
      <c r="L737" s="151">
        <v>20.18</v>
      </c>
      <c r="M737" s="136">
        <f t="shared" si="60"/>
        <v>190</v>
      </c>
      <c r="N737" s="2">
        <v>190</v>
      </c>
      <c r="O737" s="2"/>
      <c r="P737" s="137" t="e">
        <f t="shared" si="61"/>
        <v>#DIV/0!</v>
      </c>
      <c r="Q737" s="137">
        <f t="shared" si="62"/>
        <v>0</v>
      </c>
      <c r="R737" s="138">
        <f>IF(N737="nio",0,IF(N737&gt;0,VLOOKUP(I737,'3-Productie normen'!A:V,VLOOKUP(N737,'3-Productie normen'!$B$35:$C$56,2,FALSE),FALSE)))/VLOOKUP(B737,'2-Kosten per locatie'!$A$11:$C$18,3,FALSE)</f>
        <v>0</v>
      </c>
      <c r="S737" s="138">
        <f t="shared" si="63"/>
        <v>0</v>
      </c>
      <c r="T737" s="139" t="str">
        <f>VLOOKUP(I737,'3-Productie normen'!A:AF,28,FALSE)</f>
        <v>V</v>
      </c>
      <c r="U737" s="140"/>
      <c r="W737" s="141">
        <f t="shared" si="64"/>
        <v>3834.2</v>
      </c>
    </row>
    <row r="738" spans="1:23" ht="13.9" customHeight="1">
      <c r="A738" s="118">
        <v>738</v>
      </c>
      <c r="B738" s="49" t="s">
        <v>1680</v>
      </c>
      <c r="C738" s="49" t="s">
        <v>668</v>
      </c>
      <c r="D738" s="145" t="s">
        <v>268</v>
      </c>
      <c r="E738" s="146" t="s">
        <v>1352</v>
      </c>
      <c r="F738" s="146"/>
      <c r="G738" s="145" t="s">
        <v>237</v>
      </c>
      <c r="H738" s="145" t="s">
        <v>269</v>
      </c>
      <c r="I738" s="91" t="s">
        <v>239</v>
      </c>
      <c r="J738" s="149" t="s">
        <v>251</v>
      </c>
      <c r="K738" s="150"/>
      <c r="L738" s="151">
        <v>8.69</v>
      </c>
      <c r="M738" s="136">
        <f t="shared" si="60"/>
        <v>0</v>
      </c>
      <c r="N738" s="2" t="s">
        <v>273</v>
      </c>
      <c r="O738" s="2"/>
      <c r="P738" s="137">
        <f t="shared" si="61"/>
        <v>0</v>
      </c>
      <c r="Q738" s="137">
        <f t="shared" si="62"/>
        <v>0</v>
      </c>
      <c r="R738" s="138">
        <f>IF(N738="nio",0,IF(N738&gt;0,VLOOKUP(I738,'3-Productie normen'!A:V,VLOOKUP(N738,'3-Productie normen'!$B$35:$C$56,2,FALSE),FALSE)))/VLOOKUP(B738,'2-Kosten per locatie'!$A$11:$C$18,3,FALSE)</f>
        <v>0</v>
      </c>
      <c r="S738" s="138">
        <f t="shared" si="63"/>
        <v>0</v>
      </c>
      <c r="T738" s="139">
        <f>VLOOKUP(I738,'3-Productie normen'!A:AF,28,FALSE)</f>
        <v>0</v>
      </c>
      <c r="U738" s="140"/>
      <c r="W738" s="141">
        <f t="shared" si="64"/>
        <v>0</v>
      </c>
    </row>
    <row r="739" spans="1:23" ht="13.9" customHeight="1">
      <c r="A739" s="132">
        <v>739</v>
      </c>
      <c r="B739" s="49" t="s">
        <v>1680</v>
      </c>
      <c r="C739" s="49" t="s">
        <v>668</v>
      </c>
      <c r="D739" s="145" t="s">
        <v>268</v>
      </c>
      <c r="E739" s="146" t="s">
        <v>1353</v>
      </c>
      <c r="F739" s="146"/>
      <c r="G739" s="145" t="s">
        <v>237</v>
      </c>
      <c r="H739" s="145" t="s">
        <v>299</v>
      </c>
      <c r="I739" s="91" t="s">
        <v>239</v>
      </c>
      <c r="J739" s="149" t="s">
        <v>234</v>
      </c>
      <c r="K739" s="150"/>
      <c r="L739" s="151">
        <v>20.72</v>
      </c>
      <c r="M739" s="136">
        <f t="shared" si="60"/>
        <v>0</v>
      </c>
      <c r="N739" s="2" t="s">
        <v>273</v>
      </c>
      <c r="O739" s="2"/>
      <c r="P739" s="137">
        <f t="shared" si="61"/>
        <v>0</v>
      </c>
      <c r="Q739" s="137">
        <f t="shared" si="62"/>
        <v>0</v>
      </c>
      <c r="R739" s="138">
        <f>IF(N739="nio",0,IF(N739&gt;0,VLOOKUP(I739,'3-Productie normen'!A:V,VLOOKUP(N739,'3-Productie normen'!$B$35:$C$56,2,FALSE),FALSE)))/VLOOKUP(B739,'2-Kosten per locatie'!$A$11:$C$18,3,FALSE)</f>
        <v>0</v>
      </c>
      <c r="S739" s="138">
        <f t="shared" si="63"/>
        <v>0</v>
      </c>
      <c r="T739" s="139">
        <f>VLOOKUP(I739,'3-Productie normen'!A:AF,28,FALSE)</f>
        <v>0</v>
      </c>
      <c r="U739" s="140"/>
      <c r="W739" s="141">
        <f t="shared" si="64"/>
        <v>0</v>
      </c>
    </row>
    <row r="740" spans="1:23" ht="13.9" customHeight="1">
      <c r="A740" s="132">
        <v>740</v>
      </c>
      <c r="B740" s="49" t="s">
        <v>1680</v>
      </c>
      <c r="C740" s="49" t="s">
        <v>668</v>
      </c>
      <c r="D740" s="145" t="s">
        <v>268</v>
      </c>
      <c r="E740" s="146" t="s">
        <v>1354</v>
      </c>
      <c r="F740" s="146"/>
      <c r="G740" s="145" t="s">
        <v>237</v>
      </c>
      <c r="H740" s="145" t="s">
        <v>257</v>
      </c>
      <c r="I740" s="91" t="s">
        <v>239</v>
      </c>
      <c r="J740" s="149" t="s">
        <v>231</v>
      </c>
      <c r="K740" s="150"/>
      <c r="L740" s="151">
        <v>0</v>
      </c>
      <c r="M740" s="136">
        <f t="shared" si="60"/>
        <v>0</v>
      </c>
      <c r="N740" s="2" t="s">
        <v>273</v>
      </c>
      <c r="O740" s="2"/>
      <c r="P740" s="137">
        <f t="shared" si="61"/>
        <v>0</v>
      </c>
      <c r="Q740" s="137">
        <f t="shared" si="62"/>
        <v>0</v>
      </c>
      <c r="R740" s="138">
        <f>IF(N740="nio",0,IF(N740&gt;0,VLOOKUP(I740,'3-Productie normen'!A:V,VLOOKUP(N740,'3-Productie normen'!$B$35:$C$56,2,FALSE),FALSE)))/VLOOKUP(B740,'2-Kosten per locatie'!$A$11:$C$18,3,FALSE)</f>
        <v>0</v>
      </c>
      <c r="S740" s="138">
        <f t="shared" si="63"/>
        <v>0</v>
      </c>
      <c r="T740" s="139">
        <f>VLOOKUP(I740,'3-Productie normen'!A:AF,28,FALSE)</f>
        <v>0</v>
      </c>
      <c r="U740" s="140"/>
      <c r="W740" s="141">
        <f t="shared" si="64"/>
        <v>0</v>
      </c>
    </row>
    <row r="741" spans="1:23" ht="13.9" customHeight="1">
      <c r="A741" s="118">
        <v>741</v>
      </c>
      <c r="B741" s="49" t="s">
        <v>1680</v>
      </c>
      <c r="C741" s="49" t="s">
        <v>668</v>
      </c>
      <c r="D741" s="145" t="s">
        <v>268</v>
      </c>
      <c r="E741" s="146" t="s">
        <v>1355</v>
      </c>
      <c r="F741" s="146"/>
      <c r="G741" s="145" t="s">
        <v>237</v>
      </c>
      <c r="H741" s="145" t="s">
        <v>257</v>
      </c>
      <c r="I741" s="91" t="s">
        <v>239</v>
      </c>
      <c r="J741" s="149" t="s">
        <v>231</v>
      </c>
      <c r="K741" s="150"/>
      <c r="L741" s="151">
        <v>0</v>
      </c>
      <c r="M741" s="136">
        <f t="shared" si="60"/>
        <v>0</v>
      </c>
      <c r="N741" s="2" t="s">
        <v>273</v>
      </c>
      <c r="O741" s="2"/>
      <c r="P741" s="137">
        <f t="shared" si="61"/>
        <v>0</v>
      </c>
      <c r="Q741" s="137">
        <f t="shared" si="62"/>
        <v>0</v>
      </c>
      <c r="R741" s="138">
        <f>IF(N741="nio",0,IF(N741&gt;0,VLOOKUP(I741,'3-Productie normen'!A:V,VLOOKUP(N741,'3-Productie normen'!$B$35:$C$56,2,FALSE),FALSE)))/VLOOKUP(B741,'2-Kosten per locatie'!$A$11:$C$18,3,FALSE)</f>
        <v>0</v>
      </c>
      <c r="S741" s="138">
        <f t="shared" si="63"/>
        <v>0</v>
      </c>
      <c r="T741" s="139">
        <f>VLOOKUP(I741,'3-Productie normen'!A:AF,28,FALSE)</f>
        <v>0</v>
      </c>
      <c r="U741" s="140"/>
      <c r="W741" s="141">
        <f t="shared" si="64"/>
        <v>0</v>
      </c>
    </row>
    <row r="742" spans="1:23" ht="13.9" customHeight="1">
      <c r="A742" s="132">
        <v>742</v>
      </c>
      <c r="B742" s="49" t="s">
        <v>1680</v>
      </c>
      <c r="C742" s="49" t="s">
        <v>668</v>
      </c>
      <c r="D742" s="145" t="s">
        <v>268</v>
      </c>
      <c r="E742" s="146" t="s">
        <v>1356</v>
      </c>
      <c r="F742" s="146"/>
      <c r="G742" s="145" t="s">
        <v>237</v>
      </c>
      <c r="H742" s="145" t="s">
        <v>257</v>
      </c>
      <c r="I742" s="91" t="s">
        <v>239</v>
      </c>
      <c r="J742" s="149" t="s">
        <v>231</v>
      </c>
      <c r="K742" s="150"/>
      <c r="L742" s="151">
        <v>0</v>
      </c>
      <c r="M742" s="136">
        <f t="shared" si="60"/>
        <v>0</v>
      </c>
      <c r="N742" s="2" t="s">
        <v>273</v>
      </c>
      <c r="O742" s="2"/>
      <c r="P742" s="137">
        <f t="shared" si="61"/>
        <v>0</v>
      </c>
      <c r="Q742" s="137">
        <f t="shared" si="62"/>
        <v>0</v>
      </c>
      <c r="R742" s="138">
        <f>IF(N742="nio",0,IF(N742&gt;0,VLOOKUP(I742,'3-Productie normen'!A:V,VLOOKUP(N742,'3-Productie normen'!$B$35:$C$56,2,FALSE),FALSE)))/VLOOKUP(B742,'2-Kosten per locatie'!$A$11:$C$18,3,FALSE)</f>
        <v>0</v>
      </c>
      <c r="S742" s="138">
        <f t="shared" si="63"/>
        <v>0</v>
      </c>
      <c r="T742" s="139">
        <f>VLOOKUP(I742,'3-Productie normen'!A:AF,28,FALSE)</f>
        <v>0</v>
      </c>
      <c r="U742" s="140"/>
      <c r="W742" s="141">
        <f t="shared" si="64"/>
        <v>0</v>
      </c>
    </row>
    <row r="743" spans="1:23" ht="13.9" customHeight="1">
      <c r="A743" s="132">
        <v>743</v>
      </c>
      <c r="B743" s="49" t="s">
        <v>1680</v>
      </c>
      <c r="C743" s="49" t="s">
        <v>668</v>
      </c>
      <c r="D743" s="145" t="s">
        <v>268</v>
      </c>
      <c r="E743" s="146" t="s">
        <v>1357</v>
      </c>
      <c r="F743" s="146"/>
      <c r="G743" s="145" t="s">
        <v>237</v>
      </c>
      <c r="H743" s="145" t="s">
        <v>257</v>
      </c>
      <c r="I743" s="91" t="s">
        <v>239</v>
      </c>
      <c r="J743" s="149" t="s">
        <v>231</v>
      </c>
      <c r="K743" s="150"/>
      <c r="L743" s="151">
        <v>0</v>
      </c>
      <c r="M743" s="136">
        <f t="shared" si="60"/>
        <v>0</v>
      </c>
      <c r="N743" s="2" t="s">
        <v>273</v>
      </c>
      <c r="O743" s="2"/>
      <c r="P743" s="137">
        <f t="shared" si="61"/>
        <v>0</v>
      </c>
      <c r="Q743" s="137">
        <f t="shared" si="62"/>
        <v>0</v>
      </c>
      <c r="R743" s="138">
        <f>IF(N743="nio",0,IF(N743&gt;0,VLOOKUP(I743,'3-Productie normen'!A:V,VLOOKUP(N743,'3-Productie normen'!$B$35:$C$56,2,FALSE),FALSE)))/VLOOKUP(B743,'2-Kosten per locatie'!$A$11:$C$18,3,FALSE)</f>
        <v>0</v>
      </c>
      <c r="S743" s="138">
        <f t="shared" si="63"/>
        <v>0</v>
      </c>
      <c r="T743" s="139">
        <f>VLOOKUP(I743,'3-Productie normen'!A:AF,28,FALSE)</f>
        <v>0</v>
      </c>
      <c r="U743" s="140"/>
      <c r="W743" s="141">
        <f t="shared" si="64"/>
        <v>0</v>
      </c>
    </row>
    <row r="744" spans="1:23" ht="13.9" customHeight="1">
      <c r="A744" s="118">
        <v>744</v>
      </c>
      <c r="B744" s="49" t="s">
        <v>1680</v>
      </c>
      <c r="C744" s="49" t="s">
        <v>668</v>
      </c>
      <c r="D744" s="145" t="s">
        <v>268</v>
      </c>
      <c r="E744" s="146" t="s">
        <v>1358</v>
      </c>
      <c r="F744" s="146"/>
      <c r="G744" s="145" t="s">
        <v>44</v>
      </c>
      <c r="H744" s="145" t="s">
        <v>258</v>
      </c>
      <c r="I744" s="145" t="s">
        <v>259</v>
      </c>
      <c r="J744" s="149" t="s">
        <v>305</v>
      </c>
      <c r="K744" s="150"/>
      <c r="L744" s="151">
        <v>5.08</v>
      </c>
      <c r="M744" s="136">
        <f t="shared" si="60"/>
        <v>380</v>
      </c>
      <c r="N744" s="2">
        <v>190</v>
      </c>
      <c r="O744" s="2">
        <v>190</v>
      </c>
      <c r="P744" s="137" t="e">
        <f t="shared" si="61"/>
        <v>#DIV/0!</v>
      </c>
      <c r="Q744" s="137" t="e">
        <f t="shared" si="62"/>
        <v>#DIV/0!</v>
      </c>
      <c r="R744" s="138">
        <f>IF(N744="nio",0,IF(N744&gt;0,VLOOKUP(I744,'3-Productie normen'!A:V,VLOOKUP(N744,'3-Productie normen'!$B$35:$C$56,2,FALSE),FALSE)))/VLOOKUP(B744,'2-Kosten per locatie'!$A$11:$C$18,3,FALSE)</f>
        <v>0</v>
      </c>
      <c r="S744" s="138">
        <f t="shared" si="63"/>
        <v>0</v>
      </c>
      <c r="T744" s="139" t="str">
        <f>VLOOKUP(I744,'3-Productie normen'!A:AF,28,FALSE)</f>
        <v>S</v>
      </c>
      <c r="U744" s="140"/>
      <c r="W744" s="141">
        <f t="shared" si="64"/>
        <v>1930.4</v>
      </c>
    </row>
    <row r="745" spans="1:23" ht="13.9" customHeight="1">
      <c r="A745" s="132">
        <v>745</v>
      </c>
      <c r="B745" s="49" t="s">
        <v>1680</v>
      </c>
      <c r="C745" s="49" t="s">
        <v>668</v>
      </c>
      <c r="D745" s="145" t="s">
        <v>268</v>
      </c>
      <c r="E745" s="146" t="s">
        <v>1359</v>
      </c>
      <c r="F745" s="146"/>
      <c r="G745" s="145" t="s">
        <v>44</v>
      </c>
      <c r="H745" s="145" t="s">
        <v>260</v>
      </c>
      <c r="I745" s="145" t="s">
        <v>259</v>
      </c>
      <c r="J745" s="149" t="s">
        <v>305</v>
      </c>
      <c r="K745" s="150"/>
      <c r="L745" s="151">
        <v>0.99</v>
      </c>
      <c r="M745" s="136">
        <f t="shared" si="60"/>
        <v>380</v>
      </c>
      <c r="N745" s="2">
        <v>190</v>
      </c>
      <c r="O745" s="2">
        <v>190</v>
      </c>
      <c r="P745" s="137" t="e">
        <f t="shared" si="61"/>
        <v>#DIV/0!</v>
      </c>
      <c r="Q745" s="137" t="e">
        <f t="shared" si="62"/>
        <v>#DIV/0!</v>
      </c>
      <c r="R745" s="138">
        <f>IF(N745="nio",0,IF(N745&gt;0,VLOOKUP(I745,'3-Productie normen'!A:V,VLOOKUP(N745,'3-Productie normen'!$B$35:$C$56,2,FALSE),FALSE)))/VLOOKUP(B745,'2-Kosten per locatie'!$A$11:$C$18,3,FALSE)</f>
        <v>0</v>
      </c>
      <c r="S745" s="138">
        <f t="shared" si="63"/>
        <v>0</v>
      </c>
      <c r="T745" s="139" t="str">
        <f>VLOOKUP(I745,'3-Productie normen'!A:AF,28,FALSE)</f>
        <v>S</v>
      </c>
      <c r="U745" s="140"/>
      <c r="W745" s="141">
        <f t="shared" si="64"/>
        <v>376.2</v>
      </c>
    </row>
    <row r="746" spans="1:23" ht="13.9" customHeight="1">
      <c r="A746" s="132">
        <v>746</v>
      </c>
      <c r="B746" s="49" t="s">
        <v>1680</v>
      </c>
      <c r="C746" s="49" t="s">
        <v>668</v>
      </c>
      <c r="D746" s="145" t="s">
        <v>268</v>
      </c>
      <c r="E746" s="146" t="s">
        <v>1360</v>
      </c>
      <c r="F746" s="146"/>
      <c r="G746" s="145" t="s">
        <v>44</v>
      </c>
      <c r="H746" s="145" t="s">
        <v>260</v>
      </c>
      <c r="I746" s="145" t="s">
        <v>259</v>
      </c>
      <c r="J746" s="149" t="s">
        <v>305</v>
      </c>
      <c r="K746" s="150"/>
      <c r="L746" s="151">
        <v>0.99</v>
      </c>
      <c r="M746" s="136">
        <f t="shared" si="60"/>
        <v>380</v>
      </c>
      <c r="N746" s="2">
        <v>190</v>
      </c>
      <c r="O746" s="2">
        <v>190</v>
      </c>
      <c r="P746" s="137" t="e">
        <f t="shared" si="61"/>
        <v>#DIV/0!</v>
      </c>
      <c r="Q746" s="137" t="e">
        <f t="shared" si="62"/>
        <v>#DIV/0!</v>
      </c>
      <c r="R746" s="138">
        <f>IF(N746="nio",0,IF(N746&gt;0,VLOOKUP(I746,'3-Productie normen'!A:V,VLOOKUP(N746,'3-Productie normen'!$B$35:$C$56,2,FALSE),FALSE)))/VLOOKUP(B746,'2-Kosten per locatie'!$A$11:$C$18,3,FALSE)</f>
        <v>0</v>
      </c>
      <c r="S746" s="138">
        <f t="shared" si="63"/>
        <v>0</v>
      </c>
      <c r="T746" s="139" t="str">
        <f>VLOOKUP(I746,'3-Productie normen'!A:AF,28,FALSE)</f>
        <v>S</v>
      </c>
      <c r="U746" s="140"/>
      <c r="W746" s="141">
        <f t="shared" si="64"/>
        <v>376.2</v>
      </c>
    </row>
    <row r="747" spans="1:23" ht="13.9" customHeight="1">
      <c r="A747" s="118">
        <v>747</v>
      </c>
      <c r="B747" s="49" t="s">
        <v>1680</v>
      </c>
      <c r="C747" s="49" t="s">
        <v>668</v>
      </c>
      <c r="D747" s="145" t="s">
        <v>268</v>
      </c>
      <c r="E747" s="146" t="s">
        <v>1361</v>
      </c>
      <c r="F747" s="146"/>
      <c r="G747" s="145" t="s">
        <v>44</v>
      </c>
      <c r="H747" s="145" t="s">
        <v>260</v>
      </c>
      <c r="I747" s="145" t="s">
        <v>259</v>
      </c>
      <c r="J747" s="149" t="s">
        <v>305</v>
      </c>
      <c r="K747" s="150"/>
      <c r="L747" s="151">
        <v>0.95</v>
      </c>
      <c r="M747" s="136">
        <f t="shared" si="60"/>
        <v>380</v>
      </c>
      <c r="N747" s="2">
        <v>190</v>
      </c>
      <c r="O747" s="2">
        <v>190</v>
      </c>
      <c r="P747" s="137" t="e">
        <f t="shared" si="61"/>
        <v>#DIV/0!</v>
      </c>
      <c r="Q747" s="137" t="e">
        <f t="shared" si="62"/>
        <v>#DIV/0!</v>
      </c>
      <c r="R747" s="138">
        <f>IF(N747="nio",0,IF(N747&gt;0,VLOOKUP(I747,'3-Productie normen'!A:V,VLOOKUP(N747,'3-Productie normen'!$B$35:$C$56,2,FALSE),FALSE)))/VLOOKUP(B747,'2-Kosten per locatie'!$A$11:$C$18,3,FALSE)</f>
        <v>0</v>
      </c>
      <c r="S747" s="138">
        <f t="shared" si="63"/>
        <v>0</v>
      </c>
      <c r="T747" s="139" t="str">
        <f>VLOOKUP(I747,'3-Productie normen'!A:AF,28,FALSE)</f>
        <v>S</v>
      </c>
      <c r="U747" s="140"/>
      <c r="W747" s="141">
        <f t="shared" si="64"/>
        <v>361</v>
      </c>
    </row>
    <row r="748" spans="1:23" ht="13.9" customHeight="1">
      <c r="A748" s="132">
        <v>748</v>
      </c>
      <c r="B748" s="49" t="s">
        <v>1680</v>
      </c>
      <c r="C748" s="49" t="s">
        <v>668</v>
      </c>
      <c r="D748" s="145" t="s">
        <v>268</v>
      </c>
      <c r="E748" s="146" t="s">
        <v>1362</v>
      </c>
      <c r="F748" s="146"/>
      <c r="G748" s="145" t="s">
        <v>44</v>
      </c>
      <c r="H748" s="145" t="s">
        <v>258</v>
      </c>
      <c r="I748" s="145" t="s">
        <v>259</v>
      </c>
      <c r="J748" s="149" t="s">
        <v>256</v>
      </c>
      <c r="K748" s="150"/>
      <c r="L748" s="151">
        <v>13.1</v>
      </c>
      <c r="M748" s="136">
        <f t="shared" si="60"/>
        <v>380</v>
      </c>
      <c r="N748" s="2">
        <v>190</v>
      </c>
      <c r="O748" s="2">
        <v>190</v>
      </c>
      <c r="P748" s="137" t="e">
        <f t="shared" si="61"/>
        <v>#DIV/0!</v>
      </c>
      <c r="Q748" s="137" t="e">
        <f t="shared" si="62"/>
        <v>#DIV/0!</v>
      </c>
      <c r="R748" s="138">
        <f>IF(N748="nio",0,IF(N748&gt;0,VLOOKUP(I748,'3-Productie normen'!A:V,VLOOKUP(N748,'3-Productie normen'!$B$35:$C$56,2,FALSE),FALSE)))/VLOOKUP(B748,'2-Kosten per locatie'!$A$11:$C$18,3,FALSE)</f>
        <v>0</v>
      </c>
      <c r="S748" s="138">
        <f t="shared" si="63"/>
        <v>0</v>
      </c>
      <c r="T748" s="139" t="str">
        <f>VLOOKUP(I748,'3-Productie normen'!A:AF,28,FALSE)</f>
        <v>S</v>
      </c>
      <c r="U748" s="140"/>
      <c r="W748" s="141">
        <f t="shared" si="64"/>
        <v>4978</v>
      </c>
    </row>
    <row r="749" spans="1:23" ht="13.9" customHeight="1">
      <c r="A749" s="132">
        <v>749</v>
      </c>
      <c r="B749" s="49" t="s">
        <v>1680</v>
      </c>
      <c r="C749" s="49" t="s">
        <v>668</v>
      </c>
      <c r="D749" s="145" t="s">
        <v>268</v>
      </c>
      <c r="E749" s="146" t="s">
        <v>1363</v>
      </c>
      <c r="F749" s="146"/>
      <c r="G749" s="145" t="s">
        <v>44</v>
      </c>
      <c r="H749" s="145" t="s">
        <v>260</v>
      </c>
      <c r="I749" s="145" t="s">
        <v>259</v>
      </c>
      <c r="J749" s="149" t="s">
        <v>256</v>
      </c>
      <c r="K749" s="150"/>
      <c r="L749" s="151">
        <v>1.01</v>
      </c>
      <c r="M749" s="136">
        <f t="shared" si="60"/>
        <v>380</v>
      </c>
      <c r="N749" s="2">
        <v>190</v>
      </c>
      <c r="O749" s="2">
        <v>190</v>
      </c>
      <c r="P749" s="137" t="e">
        <f t="shared" si="61"/>
        <v>#DIV/0!</v>
      </c>
      <c r="Q749" s="137" t="e">
        <f t="shared" si="62"/>
        <v>#DIV/0!</v>
      </c>
      <c r="R749" s="138">
        <f>IF(N749="nio",0,IF(N749&gt;0,VLOOKUP(I749,'3-Productie normen'!A:V,VLOOKUP(N749,'3-Productie normen'!$B$35:$C$56,2,FALSE),FALSE)))/VLOOKUP(B749,'2-Kosten per locatie'!$A$11:$C$18,3,FALSE)</f>
        <v>0</v>
      </c>
      <c r="S749" s="138">
        <f t="shared" si="63"/>
        <v>0</v>
      </c>
      <c r="T749" s="139" t="str">
        <f>VLOOKUP(I749,'3-Productie normen'!A:AF,28,FALSE)</f>
        <v>S</v>
      </c>
      <c r="U749" s="140"/>
      <c r="W749" s="141">
        <f t="shared" si="64"/>
        <v>383.8</v>
      </c>
    </row>
    <row r="750" spans="1:23" ht="13.9" customHeight="1">
      <c r="A750" s="118">
        <v>750</v>
      </c>
      <c r="B750" s="49" t="s">
        <v>1680</v>
      </c>
      <c r="C750" s="49" t="s">
        <v>668</v>
      </c>
      <c r="D750" s="145" t="s">
        <v>268</v>
      </c>
      <c r="E750" s="146" t="s">
        <v>1364</v>
      </c>
      <c r="F750" s="146"/>
      <c r="G750" s="145" t="s">
        <v>44</v>
      </c>
      <c r="H750" s="145" t="s">
        <v>260</v>
      </c>
      <c r="I750" s="145" t="s">
        <v>259</v>
      </c>
      <c r="J750" s="149" t="s">
        <v>256</v>
      </c>
      <c r="K750" s="150"/>
      <c r="L750" s="151">
        <v>1.01</v>
      </c>
      <c r="M750" s="136">
        <f t="shared" si="60"/>
        <v>380</v>
      </c>
      <c r="N750" s="2">
        <v>190</v>
      </c>
      <c r="O750" s="2">
        <v>190</v>
      </c>
      <c r="P750" s="137" t="e">
        <f t="shared" si="61"/>
        <v>#DIV/0!</v>
      </c>
      <c r="Q750" s="137" t="e">
        <f t="shared" si="62"/>
        <v>#DIV/0!</v>
      </c>
      <c r="R750" s="138">
        <f>IF(N750="nio",0,IF(N750&gt;0,VLOOKUP(I750,'3-Productie normen'!A:V,VLOOKUP(N750,'3-Productie normen'!$B$35:$C$56,2,FALSE),FALSE)))/VLOOKUP(B750,'2-Kosten per locatie'!$A$11:$C$18,3,FALSE)</f>
        <v>0</v>
      </c>
      <c r="S750" s="138">
        <f t="shared" si="63"/>
        <v>0</v>
      </c>
      <c r="T750" s="139" t="str">
        <f>VLOOKUP(I750,'3-Productie normen'!A:AF,28,FALSE)</f>
        <v>S</v>
      </c>
      <c r="U750" s="140"/>
      <c r="W750" s="141">
        <f t="shared" si="64"/>
        <v>383.8</v>
      </c>
    </row>
    <row r="751" spans="1:23" ht="13.9" customHeight="1">
      <c r="A751" s="132">
        <v>751</v>
      </c>
      <c r="B751" s="49" t="s">
        <v>1680</v>
      </c>
      <c r="C751" s="49" t="s">
        <v>668</v>
      </c>
      <c r="D751" s="145" t="s">
        <v>268</v>
      </c>
      <c r="E751" s="146" t="s">
        <v>1365</v>
      </c>
      <c r="F751" s="146"/>
      <c r="G751" s="145" t="s">
        <v>44</v>
      </c>
      <c r="H751" s="145" t="s">
        <v>260</v>
      </c>
      <c r="I751" s="145" t="s">
        <v>259</v>
      </c>
      <c r="J751" s="149" t="s">
        <v>256</v>
      </c>
      <c r="K751" s="150"/>
      <c r="L751" s="151">
        <v>1.01</v>
      </c>
      <c r="M751" s="136">
        <f t="shared" si="60"/>
        <v>380</v>
      </c>
      <c r="N751" s="2">
        <v>190</v>
      </c>
      <c r="O751" s="2">
        <v>190</v>
      </c>
      <c r="P751" s="137" t="e">
        <f t="shared" si="61"/>
        <v>#DIV/0!</v>
      </c>
      <c r="Q751" s="137" t="e">
        <f t="shared" si="62"/>
        <v>#DIV/0!</v>
      </c>
      <c r="R751" s="138">
        <f>IF(N751="nio",0,IF(N751&gt;0,VLOOKUP(I751,'3-Productie normen'!A:V,VLOOKUP(N751,'3-Productie normen'!$B$35:$C$56,2,FALSE),FALSE)))/VLOOKUP(B751,'2-Kosten per locatie'!$A$11:$C$18,3,FALSE)</f>
        <v>0</v>
      </c>
      <c r="S751" s="138">
        <f t="shared" si="63"/>
        <v>0</v>
      </c>
      <c r="T751" s="139" t="str">
        <f>VLOOKUP(I751,'3-Productie normen'!A:AF,28,FALSE)</f>
        <v>S</v>
      </c>
      <c r="U751" s="140"/>
      <c r="W751" s="141">
        <f t="shared" si="64"/>
        <v>383.8</v>
      </c>
    </row>
    <row r="752" spans="1:23" ht="13.9" customHeight="1">
      <c r="A752" s="132">
        <v>752</v>
      </c>
      <c r="B752" s="49" t="s">
        <v>1680</v>
      </c>
      <c r="C752" s="49" t="s">
        <v>668</v>
      </c>
      <c r="D752" s="145" t="s">
        <v>268</v>
      </c>
      <c r="E752" s="146" t="s">
        <v>1366</v>
      </c>
      <c r="F752" s="146"/>
      <c r="G752" s="145" t="s">
        <v>44</v>
      </c>
      <c r="H752" s="145" t="s">
        <v>258</v>
      </c>
      <c r="I752" s="145" t="s">
        <v>259</v>
      </c>
      <c r="J752" s="149" t="s">
        <v>256</v>
      </c>
      <c r="K752" s="150"/>
      <c r="L752" s="151">
        <v>3.81</v>
      </c>
      <c r="M752" s="136">
        <f t="shared" si="60"/>
        <v>380</v>
      </c>
      <c r="N752" s="2">
        <v>190</v>
      </c>
      <c r="O752" s="2">
        <v>190</v>
      </c>
      <c r="P752" s="137" t="e">
        <f t="shared" si="61"/>
        <v>#DIV/0!</v>
      </c>
      <c r="Q752" s="137" t="e">
        <f t="shared" si="62"/>
        <v>#DIV/0!</v>
      </c>
      <c r="R752" s="138">
        <f>IF(N752="nio",0,IF(N752&gt;0,VLOOKUP(I752,'3-Productie normen'!A:V,VLOOKUP(N752,'3-Productie normen'!$B$35:$C$56,2,FALSE),FALSE)))/VLOOKUP(B752,'2-Kosten per locatie'!$A$11:$C$18,3,FALSE)</f>
        <v>0</v>
      </c>
      <c r="S752" s="138">
        <f t="shared" si="63"/>
        <v>0</v>
      </c>
      <c r="T752" s="139" t="str">
        <f>VLOOKUP(I752,'3-Productie normen'!A:AF,28,FALSE)</f>
        <v>S</v>
      </c>
      <c r="U752" s="140"/>
      <c r="W752" s="141">
        <f t="shared" si="64"/>
        <v>1447.8</v>
      </c>
    </row>
    <row r="753" spans="1:23" ht="13.9" customHeight="1">
      <c r="A753" s="118">
        <v>753</v>
      </c>
      <c r="B753" s="49" t="s">
        <v>1680</v>
      </c>
      <c r="C753" s="49" t="s">
        <v>668</v>
      </c>
      <c r="D753" s="145" t="s">
        <v>268</v>
      </c>
      <c r="E753" s="146" t="s">
        <v>1367</v>
      </c>
      <c r="F753" s="146"/>
      <c r="G753" s="145" t="s">
        <v>44</v>
      </c>
      <c r="H753" s="145" t="s">
        <v>260</v>
      </c>
      <c r="I753" s="145" t="s">
        <v>259</v>
      </c>
      <c r="J753" s="149" t="s">
        <v>256</v>
      </c>
      <c r="K753" s="150"/>
      <c r="L753" s="151">
        <v>0.9</v>
      </c>
      <c r="M753" s="136">
        <f t="shared" si="60"/>
        <v>380</v>
      </c>
      <c r="N753" s="2">
        <v>190</v>
      </c>
      <c r="O753" s="2">
        <v>190</v>
      </c>
      <c r="P753" s="137" t="e">
        <f t="shared" si="61"/>
        <v>#DIV/0!</v>
      </c>
      <c r="Q753" s="137" t="e">
        <f t="shared" si="62"/>
        <v>#DIV/0!</v>
      </c>
      <c r="R753" s="138">
        <f>IF(N753="nio",0,IF(N753&gt;0,VLOOKUP(I753,'3-Productie normen'!A:V,VLOOKUP(N753,'3-Productie normen'!$B$35:$C$56,2,FALSE),FALSE)))/VLOOKUP(B753,'2-Kosten per locatie'!$A$11:$C$18,3,FALSE)</f>
        <v>0</v>
      </c>
      <c r="S753" s="138">
        <f t="shared" si="63"/>
        <v>0</v>
      </c>
      <c r="T753" s="139" t="str">
        <f>VLOOKUP(I753,'3-Productie normen'!A:AF,28,FALSE)</f>
        <v>S</v>
      </c>
      <c r="U753" s="140"/>
      <c r="W753" s="141">
        <f t="shared" si="64"/>
        <v>342</v>
      </c>
    </row>
    <row r="754" spans="1:23" ht="13.9" customHeight="1">
      <c r="A754" s="132">
        <v>754</v>
      </c>
      <c r="B754" s="49" t="s">
        <v>1680</v>
      </c>
      <c r="C754" s="49" t="s">
        <v>668</v>
      </c>
      <c r="D754" s="145" t="s">
        <v>268</v>
      </c>
      <c r="E754" s="146" t="s">
        <v>1368</v>
      </c>
      <c r="F754" s="146"/>
      <c r="G754" s="145" t="s">
        <v>44</v>
      </c>
      <c r="H754" s="145" t="s">
        <v>260</v>
      </c>
      <c r="I754" s="145" t="s">
        <v>259</v>
      </c>
      <c r="J754" s="149" t="s">
        <v>256</v>
      </c>
      <c r="K754" s="150"/>
      <c r="L754" s="151">
        <v>0.9</v>
      </c>
      <c r="M754" s="136">
        <f t="shared" si="60"/>
        <v>380</v>
      </c>
      <c r="N754" s="2">
        <v>190</v>
      </c>
      <c r="O754" s="2">
        <v>190</v>
      </c>
      <c r="P754" s="137" t="e">
        <f t="shared" si="61"/>
        <v>#DIV/0!</v>
      </c>
      <c r="Q754" s="137" t="e">
        <f t="shared" si="62"/>
        <v>#DIV/0!</v>
      </c>
      <c r="R754" s="138">
        <f>IF(N754="nio",0,IF(N754&gt;0,VLOOKUP(I754,'3-Productie normen'!A:V,VLOOKUP(N754,'3-Productie normen'!$B$35:$C$56,2,FALSE),FALSE)))/VLOOKUP(B754,'2-Kosten per locatie'!$A$11:$C$18,3,FALSE)</f>
        <v>0</v>
      </c>
      <c r="S754" s="138">
        <f t="shared" si="63"/>
        <v>0</v>
      </c>
      <c r="T754" s="139" t="str">
        <f>VLOOKUP(I754,'3-Productie normen'!A:AF,28,FALSE)</f>
        <v>S</v>
      </c>
      <c r="U754" s="140"/>
      <c r="W754" s="141">
        <f t="shared" si="64"/>
        <v>342</v>
      </c>
    </row>
    <row r="755" spans="1:23" ht="13.9" customHeight="1">
      <c r="A755" s="132">
        <v>755</v>
      </c>
      <c r="B755" s="49" t="s">
        <v>1680</v>
      </c>
      <c r="C755" s="49" t="s">
        <v>668</v>
      </c>
      <c r="D755" s="145" t="s">
        <v>268</v>
      </c>
      <c r="E755" s="146" t="s">
        <v>1369</v>
      </c>
      <c r="F755" s="146"/>
      <c r="G755" s="145" t="s">
        <v>44</v>
      </c>
      <c r="H755" s="145" t="s">
        <v>260</v>
      </c>
      <c r="I755" s="145" t="s">
        <v>259</v>
      </c>
      <c r="J755" s="149" t="s">
        <v>256</v>
      </c>
      <c r="K755" s="150"/>
      <c r="L755" s="151">
        <v>0.89</v>
      </c>
      <c r="M755" s="136">
        <f t="shared" si="60"/>
        <v>380</v>
      </c>
      <c r="N755" s="2">
        <v>190</v>
      </c>
      <c r="O755" s="2">
        <v>190</v>
      </c>
      <c r="P755" s="137" t="e">
        <f t="shared" si="61"/>
        <v>#DIV/0!</v>
      </c>
      <c r="Q755" s="137" t="e">
        <f t="shared" si="62"/>
        <v>#DIV/0!</v>
      </c>
      <c r="R755" s="138">
        <f>IF(N755="nio",0,IF(N755&gt;0,VLOOKUP(I755,'3-Productie normen'!A:V,VLOOKUP(N755,'3-Productie normen'!$B$35:$C$56,2,FALSE),FALSE)))/VLOOKUP(B755,'2-Kosten per locatie'!$A$11:$C$18,3,FALSE)</f>
        <v>0</v>
      </c>
      <c r="S755" s="138">
        <f t="shared" si="63"/>
        <v>0</v>
      </c>
      <c r="T755" s="139" t="str">
        <f>VLOOKUP(I755,'3-Productie normen'!A:AF,28,FALSE)</f>
        <v>S</v>
      </c>
      <c r="U755" s="140"/>
      <c r="W755" s="141">
        <f t="shared" si="64"/>
        <v>338.2</v>
      </c>
    </row>
    <row r="756" spans="1:23" ht="13.9" customHeight="1">
      <c r="A756" s="118">
        <v>756</v>
      </c>
      <c r="B756" s="49" t="s">
        <v>1680</v>
      </c>
      <c r="C756" s="49" t="s">
        <v>668</v>
      </c>
      <c r="D756" s="145" t="s">
        <v>268</v>
      </c>
      <c r="E756" s="146" t="s">
        <v>1370</v>
      </c>
      <c r="F756" s="146"/>
      <c r="G756" s="145" t="s">
        <v>245</v>
      </c>
      <c r="H756" s="145" t="s">
        <v>245</v>
      </c>
      <c r="I756" s="92" t="s">
        <v>274</v>
      </c>
      <c r="J756" s="149" t="s">
        <v>1078</v>
      </c>
      <c r="K756" s="150"/>
      <c r="L756" s="151">
        <v>43.28</v>
      </c>
      <c r="M756" s="136">
        <f t="shared" si="60"/>
        <v>76</v>
      </c>
      <c r="N756" s="2">
        <v>76</v>
      </c>
      <c r="O756" s="2"/>
      <c r="P756" s="137" t="e">
        <f t="shared" si="61"/>
        <v>#DIV/0!</v>
      </c>
      <c r="Q756" s="137">
        <f t="shared" si="62"/>
        <v>0</v>
      </c>
      <c r="R756" s="138">
        <f>IF(N756="nio",0,IF(N756&gt;0,VLOOKUP(I756,'3-Productie normen'!A:V,VLOOKUP(N756,'3-Productie normen'!$B$35:$C$56,2,FALSE),FALSE)))/VLOOKUP(B756,'2-Kosten per locatie'!$A$11:$C$18,3,FALSE)</f>
        <v>0</v>
      </c>
      <c r="S756" s="138">
        <f t="shared" si="63"/>
        <v>0</v>
      </c>
      <c r="T756" s="139" t="str">
        <f>VLOOKUP(I756,'3-Productie normen'!A:AF,28,FALSE)</f>
        <v>B</v>
      </c>
      <c r="U756" s="140"/>
      <c r="W756" s="141">
        <f t="shared" si="64"/>
        <v>3289.28</v>
      </c>
    </row>
    <row r="757" spans="1:23" ht="13.9" customHeight="1">
      <c r="A757" s="132">
        <v>757</v>
      </c>
      <c r="B757" s="49" t="s">
        <v>1680</v>
      </c>
      <c r="C757" s="49" t="s">
        <v>668</v>
      </c>
      <c r="D757" s="145" t="s">
        <v>268</v>
      </c>
      <c r="E757" s="146" t="s">
        <v>1371</v>
      </c>
      <c r="F757" s="146"/>
      <c r="G757" s="145" t="s">
        <v>245</v>
      </c>
      <c r="H757" s="145" t="s">
        <v>245</v>
      </c>
      <c r="I757" s="92" t="s">
        <v>274</v>
      </c>
      <c r="J757" s="149" t="s">
        <v>251</v>
      </c>
      <c r="K757" s="152" t="s">
        <v>1522</v>
      </c>
      <c r="L757" s="151">
        <v>28.09</v>
      </c>
      <c r="M757" s="136">
        <f t="shared" si="60"/>
        <v>76</v>
      </c>
      <c r="N757" s="2">
        <v>76</v>
      </c>
      <c r="O757" s="2"/>
      <c r="P757" s="137" t="e">
        <f t="shared" si="61"/>
        <v>#DIV/0!</v>
      </c>
      <c r="Q757" s="137">
        <f t="shared" si="62"/>
        <v>0</v>
      </c>
      <c r="R757" s="138">
        <f>IF(N757="nio",0,IF(N757&gt;0,VLOOKUP(I757,'3-Productie normen'!A:V,VLOOKUP(N757,'3-Productie normen'!$B$35:$C$56,2,FALSE),FALSE)))/VLOOKUP(B757,'2-Kosten per locatie'!$A$11:$C$18,3,FALSE)</f>
        <v>0</v>
      </c>
      <c r="S757" s="138">
        <f t="shared" si="63"/>
        <v>0</v>
      </c>
      <c r="T757" s="139" t="str">
        <f>VLOOKUP(I757,'3-Productie normen'!A:AF,28,FALSE)</f>
        <v>B</v>
      </c>
      <c r="U757" s="140"/>
      <c r="W757" s="141">
        <f t="shared" si="64"/>
        <v>2134.84</v>
      </c>
    </row>
    <row r="758" spans="1:23" ht="13.9" customHeight="1">
      <c r="A758" s="132">
        <v>758</v>
      </c>
      <c r="B758" s="49" t="s">
        <v>1680</v>
      </c>
      <c r="C758" s="49" t="s">
        <v>668</v>
      </c>
      <c r="D758" s="145" t="s">
        <v>268</v>
      </c>
      <c r="E758" s="146" t="s">
        <v>1372</v>
      </c>
      <c r="F758" s="146"/>
      <c r="G758" s="145" t="s">
        <v>242</v>
      </c>
      <c r="H758" s="145" t="s">
        <v>242</v>
      </c>
      <c r="I758" s="1" t="s">
        <v>242</v>
      </c>
      <c r="J758" s="149" t="s">
        <v>1078</v>
      </c>
      <c r="K758" s="150"/>
      <c r="L758" s="151">
        <v>1.58</v>
      </c>
      <c r="M758" s="136">
        <f t="shared" si="60"/>
        <v>2</v>
      </c>
      <c r="N758" s="2">
        <v>2</v>
      </c>
      <c r="O758" s="2"/>
      <c r="P758" s="137" t="e">
        <f t="shared" si="61"/>
        <v>#DIV/0!</v>
      </c>
      <c r="Q758" s="137">
        <f t="shared" si="62"/>
        <v>0</v>
      </c>
      <c r="R758" s="138">
        <f>IF(N758="nio",0,IF(N758&gt;0,VLOOKUP(I758,'3-Productie normen'!A:V,VLOOKUP(N758,'3-Productie normen'!$B$35:$C$56,2,FALSE),FALSE)))/VLOOKUP(B758,'2-Kosten per locatie'!$A$11:$C$18,3,FALSE)</f>
        <v>0</v>
      </c>
      <c r="S758" s="138">
        <f t="shared" si="63"/>
        <v>0</v>
      </c>
      <c r="T758" s="139" t="str">
        <f>VLOOKUP(I758,'3-Productie normen'!A:AF,28,FALSE)</f>
        <v>V</v>
      </c>
      <c r="U758" s="140"/>
      <c r="W758" s="141">
        <f t="shared" si="64"/>
        <v>3.16</v>
      </c>
    </row>
    <row r="759" spans="1:23" ht="13.9" customHeight="1">
      <c r="A759" s="118">
        <v>759</v>
      </c>
      <c r="B759" s="49" t="s">
        <v>1680</v>
      </c>
      <c r="C759" s="49" t="s">
        <v>668</v>
      </c>
      <c r="D759" s="145" t="s">
        <v>268</v>
      </c>
      <c r="E759" s="146" t="s">
        <v>1373</v>
      </c>
      <c r="F759" s="146"/>
      <c r="G759" s="145" t="s">
        <v>242</v>
      </c>
      <c r="H759" s="145" t="s">
        <v>242</v>
      </c>
      <c r="I759" s="1" t="s">
        <v>242</v>
      </c>
      <c r="J759" s="149" t="s">
        <v>251</v>
      </c>
      <c r="K759" s="152" t="s">
        <v>1522</v>
      </c>
      <c r="L759" s="151">
        <v>0.99</v>
      </c>
      <c r="M759" s="136">
        <f t="shared" si="60"/>
        <v>2</v>
      </c>
      <c r="N759" s="2">
        <v>2</v>
      </c>
      <c r="O759" s="2"/>
      <c r="P759" s="137" t="e">
        <f t="shared" si="61"/>
        <v>#DIV/0!</v>
      </c>
      <c r="Q759" s="137">
        <f t="shared" si="62"/>
        <v>0</v>
      </c>
      <c r="R759" s="138">
        <f>IF(N759="nio",0,IF(N759&gt;0,VLOOKUP(I759,'3-Productie normen'!A:V,VLOOKUP(N759,'3-Productie normen'!$B$35:$C$56,2,FALSE),FALSE)))/VLOOKUP(B759,'2-Kosten per locatie'!$A$11:$C$18,3,FALSE)</f>
        <v>0</v>
      </c>
      <c r="S759" s="138">
        <f t="shared" si="63"/>
        <v>0</v>
      </c>
      <c r="T759" s="139" t="str">
        <f>VLOOKUP(I759,'3-Productie normen'!A:AF,28,FALSE)</f>
        <v>V</v>
      </c>
      <c r="U759" s="140"/>
      <c r="W759" s="141">
        <f t="shared" si="64"/>
        <v>1.98</v>
      </c>
    </row>
    <row r="760" spans="1:23" ht="13.9" customHeight="1">
      <c r="A760" s="132">
        <v>760</v>
      </c>
      <c r="B760" s="49" t="s">
        <v>1680</v>
      </c>
      <c r="C760" s="49" t="s">
        <v>668</v>
      </c>
      <c r="D760" s="145" t="s">
        <v>268</v>
      </c>
      <c r="E760" s="146" t="s">
        <v>1374</v>
      </c>
      <c r="F760" s="146"/>
      <c r="G760" s="145" t="s">
        <v>242</v>
      </c>
      <c r="H760" s="145" t="s">
        <v>242</v>
      </c>
      <c r="I760" s="1" t="s">
        <v>242</v>
      </c>
      <c r="J760" s="149" t="s">
        <v>251</v>
      </c>
      <c r="K760" s="152" t="s">
        <v>1522</v>
      </c>
      <c r="L760" s="151">
        <v>0.84</v>
      </c>
      <c r="M760" s="136">
        <f t="shared" si="60"/>
        <v>2</v>
      </c>
      <c r="N760" s="2">
        <v>2</v>
      </c>
      <c r="O760" s="2"/>
      <c r="P760" s="137" t="e">
        <f t="shared" si="61"/>
        <v>#DIV/0!</v>
      </c>
      <c r="Q760" s="137">
        <f t="shared" si="62"/>
        <v>0</v>
      </c>
      <c r="R760" s="138">
        <f>IF(N760="nio",0,IF(N760&gt;0,VLOOKUP(I760,'3-Productie normen'!A:V,VLOOKUP(N760,'3-Productie normen'!$B$35:$C$56,2,FALSE),FALSE)))/VLOOKUP(B760,'2-Kosten per locatie'!$A$11:$C$18,3,FALSE)</f>
        <v>0</v>
      </c>
      <c r="S760" s="138">
        <f t="shared" si="63"/>
        <v>0</v>
      </c>
      <c r="T760" s="139" t="str">
        <f>VLOOKUP(I760,'3-Productie normen'!A:AF,28,FALSE)</f>
        <v>V</v>
      </c>
      <c r="U760" s="140"/>
      <c r="W760" s="141">
        <f t="shared" si="64"/>
        <v>1.68</v>
      </c>
    </row>
    <row r="761" spans="1:23" ht="13.9" customHeight="1">
      <c r="A761" s="132">
        <v>761</v>
      </c>
      <c r="B761" s="49" t="s">
        <v>1680</v>
      </c>
      <c r="C761" s="49" t="s">
        <v>668</v>
      </c>
      <c r="D761" s="145" t="s">
        <v>268</v>
      </c>
      <c r="E761" s="146" t="s">
        <v>1375</v>
      </c>
      <c r="F761" s="146"/>
      <c r="G761" s="145" t="s">
        <v>242</v>
      </c>
      <c r="H761" s="145" t="s">
        <v>242</v>
      </c>
      <c r="I761" s="1" t="s">
        <v>242</v>
      </c>
      <c r="J761" s="149" t="s">
        <v>251</v>
      </c>
      <c r="K761" s="152" t="s">
        <v>1522</v>
      </c>
      <c r="L761" s="151">
        <v>1.05</v>
      </c>
      <c r="M761" s="136">
        <f t="shared" si="60"/>
        <v>2</v>
      </c>
      <c r="N761" s="2">
        <v>2</v>
      </c>
      <c r="O761" s="2"/>
      <c r="P761" s="137" t="e">
        <f t="shared" si="61"/>
        <v>#DIV/0!</v>
      </c>
      <c r="Q761" s="137">
        <f t="shared" si="62"/>
        <v>0</v>
      </c>
      <c r="R761" s="138">
        <f>IF(N761="nio",0,IF(N761&gt;0,VLOOKUP(I761,'3-Productie normen'!A:V,VLOOKUP(N761,'3-Productie normen'!$B$35:$C$56,2,FALSE),FALSE)))/VLOOKUP(B761,'2-Kosten per locatie'!$A$11:$C$18,3,FALSE)</f>
        <v>0</v>
      </c>
      <c r="S761" s="138">
        <f t="shared" si="63"/>
        <v>0</v>
      </c>
      <c r="T761" s="139" t="str">
        <f>VLOOKUP(I761,'3-Productie normen'!A:AF,28,FALSE)</f>
        <v>V</v>
      </c>
      <c r="U761" s="140"/>
      <c r="W761" s="141">
        <f t="shared" si="64"/>
        <v>2.1</v>
      </c>
    </row>
    <row r="762" spans="1:23" ht="13.9" customHeight="1">
      <c r="A762" s="118">
        <v>762</v>
      </c>
      <c r="B762" s="49" t="s">
        <v>1680</v>
      </c>
      <c r="C762" s="49" t="s">
        <v>668</v>
      </c>
      <c r="D762" s="145" t="s">
        <v>268</v>
      </c>
      <c r="E762" s="146" t="s">
        <v>1376</v>
      </c>
      <c r="F762" s="146"/>
      <c r="G762" s="145" t="s">
        <v>245</v>
      </c>
      <c r="H762" s="145" t="s">
        <v>245</v>
      </c>
      <c r="I762" s="92" t="s">
        <v>274</v>
      </c>
      <c r="J762" s="149" t="s">
        <v>251</v>
      </c>
      <c r="K762" s="152" t="s">
        <v>1522</v>
      </c>
      <c r="L762" s="151">
        <v>28.34</v>
      </c>
      <c r="M762" s="136">
        <f t="shared" si="60"/>
        <v>76</v>
      </c>
      <c r="N762" s="2">
        <v>76</v>
      </c>
      <c r="O762" s="2"/>
      <c r="P762" s="137" t="e">
        <f t="shared" si="61"/>
        <v>#DIV/0!</v>
      </c>
      <c r="Q762" s="137">
        <f t="shared" si="62"/>
        <v>0</v>
      </c>
      <c r="R762" s="138">
        <f>IF(N762="nio",0,IF(N762&gt;0,VLOOKUP(I762,'3-Productie normen'!A:V,VLOOKUP(N762,'3-Productie normen'!$B$35:$C$56,2,FALSE),FALSE)))/VLOOKUP(B762,'2-Kosten per locatie'!$A$11:$C$18,3,FALSE)</f>
        <v>0</v>
      </c>
      <c r="S762" s="138">
        <f t="shared" si="63"/>
        <v>0</v>
      </c>
      <c r="T762" s="139" t="str">
        <f>VLOOKUP(I762,'3-Productie normen'!A:AF,28,FALSE)</f>
        <v>B</v>
      </c>
      <c r="U762" s="140"/>
      <c r="W762" s="141">
        <f t="shared" si="64"/>
        <v>2153.84</v>
      </c>
    </row>
    <row r="763" spans="1:23" ht="13.9" customHeight="1">
      <c r="A763" s="132">
        <v>763</v>
      </c>
      <c r="B763" s="49" t="s">
        <v>1680</v>
      </c>
      <c r="C763" s="49" t="s">
        <v>668</v>
      </c>
      <c r="D763" s="145" t="s">
        <v>268</v>
      </c>
      <c r="E763" s="146" t="s">
        <v>1377</v>
      </c>
      <c r="F763" s="146" t="s">
        <v>332</v>
      </c>
      <c r="G763" s="145" t="s">
        <v>264</v>
      </c>
      <c r="H763" s="145" t="s">
        <v>265</v>
      </c>
      <c r="I763" s="145" t="s">
        <v>284</v>
      </c>
      <c r="J763" s="149" t="s">
        <v>251</v>
      </c>
      <c r="K763" s="152" t="s">
        <v>1522</v>
      </c>
      <c r="L763" s="151">
        <v>62.44</v>
      </c>
      <c r="M763" s="136">
        <f t="shared" si="60"/>
        <v>76</v>
      </c>
      <c r="N763" s="2">
        <v>76</v>
      </c>
      <c r="O763" s="2"/>
      <c r="P763" s="137" t="e">
        <f t="shared" si="61"/>
        <v>#DIV/0!</v>
      </c>
      <c r="Q763" s="137">
        <f t="shared" si="62"/>
        <v>0</v>
      </c>
      <c r="R763" s="138">
        <f>IF(N763="nio",0,IF(N763&gt;0,VLOOKUP(I763,'3-Productie normen'!A:V,VLOOKUP(N763,'3-Productie normen'!$B$35:$C$56,2,FALSE),FALSE)))/VLOOKUP(B763,'2-Kosten per locatie'!$A$11:$C$18,3,FALSE)</f>
        <v>0</v>
      </c>
      <c r="S763" s="138">
        <f t="shared" si="63"/>
        <v>0</v>
      </c>
      <c r="T763" s="139" t="str">
        <f>VLOOKUP(I763,'3-Productie normen'!A:AF,28,FALSE)</f>
        <v>L</v>
      </c>
      <c r="U763" s="140"/>
      <c r="W763" s="141">
        <f t="shared" si="64"/>
        <v>4745.4399999999996</v>
      </c>
    </row>
    <row r="764" spans="1:23" ht="13.9" customHeight="1">
      <c r="A764" s="132">
        <v>764</v>
      </c>
      <c r="B764" s="49" t="s">
        <v>1680</v>
      </c>
      <c r="C764" s="49" t="s">
        <v>668</v>
      </c>
      <c r="D764" s="145" t="s">
        <v>268</v>
      </c>
      <c r="E764" s="146" t="s">
        <v>1378</v>
      </c>
      <c r="F764" s="146" t="s">
        <v>331</v>
      </c>
      <c r="G764" s="145" t="s">
        <v>264</v>
      </c>
      <c r="H764" s="145" t="s">
        <v>265</v>
      </c>
      <c r="I764" s="145" t="s">
        <v>284</v>
      </c>
      <c r="J764" s="149" t="s">
        <v>251</v>
      </c>
      <c r="K764" s="152" t="s">
        <v>1522</v>
      </c>
      <c r="L764" s="151">
        <v>61.68</v>
      </c>
      <c r="M764" s="136">
        <f t="shared" si="60"/>
        <v>76</v>
      </c>
      <c r="N764" s="2">
        <v>76</v>
      </c>
      <c r="O764" s="2"/>
      <c r="P764" s="137" t="e">
        <f t="shared" si="61"/>
        <v>#DIV/0!</v>
      </c>
      <c r="Q764" s="137">
        <f t="shared" si="62"/>
        <v>0</v>
      </c>
      <c r="R764" s="138">
        <f>IF(N764="nio",0,IF(N764&gt;0,VLOOKUP(I764,'3-Productie normen'!A:V,VLOOKUP(N764,'3-Productie normen'!$B$35:$C$56,2,FALSE),FALSE)))/VLOOKUP(B764,'2-Kosten per locatie'!$A$11:$C$18,3,FALSE)</f>
        <v>0</v>
      </c>
      <c r="S764" s="138">
        <f t="shared" si="63"/>
        <v>0</v>
      </c>
      <c r="T764" s="139" t="str">
        <f>VLOOKUP(I764,'3-Productie normen'!A:AF,28,FALSE)</f>
        <v>L</v>
      </c>
      <c r="U764" s="140"/>
      <c r="W764" s="141">
        <f t="shared" si="64"/>
        <v>4687.68</v>
      </c>
    </row>
    <row r="765" spans="1:23" ht="13.9" customHeight="1">
      <c r="A765" s="118">
        <v>765</v>
      </c>
      <c r="B765" s="49" t="s">
        <v>1680</v>
      </c>
      <c r="C765" s="49" t="s">
        <v>668</v>
      </c>
      <c r="D765" s="145" t="s">
        <v>268</v>
      </c>
      <c r="E765" s="146" t="s">
        <v>1379</v>
      </c>
      <c r="F765" s="146" t="s">
        <v>330</v>
      </c>
      <c r="G765" s="145" t="s">
        <v>264</v>
      </c>
      <c r="H765" s="145" t="s">
        <v>1287</v>
      </c>
      <c r="I765" s="145" t="s">
        <v>285</v>
      </c>
      <c r="J765" s="149" t="s">
        <v>251</v>
      </c>
      <c r="K765" s="152" t="s">
        <v>1522</v>
      </c>
      <c r="L765" s="151">
        <v>125.59</v>
      </c>
      <c r="M765" s="136">
        <f t="shared" si="60"/>
        <v>190</v>
      </c>
      <c r="N765" s="2">
        <v>190</v>
      </c>
      <c r="O765" s="2"/>
      <c r="P765" s="137" t="e">
        <f t="shared" si="61"/>
        <v>#DIV/0!</v>
      </c>
      <c r="Q765" s="137">
        <f t="shared" si="62"/>
        <v>0</v>
      </c>
      <c r="R765" s="138">
        <f>IF(N765="nio",0,IF(N765&gt;0,VLOOKUP(I765,'3-Productie normen'!A:V,VLOOKUP(N765,'3-Productie normen'!$B$35:$C$56,2,FALSE),FALSE)))/VLOOKUP(B765,'2-Kosten per locatie'!$A$11:$C$18,3,FALSE)</f>
        <v>0</v>
      </c>
      <c r="S765" s="138">
        <f t="shared" si="63"/>
        <v>0</v>
      </c>
      <c r="T765" s="139" t="str">
        <f>VLOOKUP(I765,'3-Productie normen'!A:AF,28,FALSE)</f>
        <v>L</v>
      </c>
      <c r="U765" s="140"/>
      <c r="W765" s="141">
        <f t="shared" si="64"/>
        <v>23862.100000000002</v>
      </c>
    </row>
    <row r="766" spans="1:23" ht="13.9" customHeight="1">
      <c r="A766" s="132">
        <v>766</v>
      </c>
      <c r="B766" s="49" t="s">
        <v>1680</v>
      </c>
      <c r="C766" s="49" t="s">
        <v>668</v>
      </c>
      <c r="D766" s="145" t="s">
        <v>268</v>
      </c>
      <c r="E766" s="146" t="s">
        <v>1380</v>
      </c>
      <c r="F766" s="146"/>
      <c r="G766" s="145" t="s">
        <v>242</v>
      </c>
      <c r="H766" s="145" t="s">
        <v>242</v>
      </c>
      <c r="I766" s="1" t="s">
        <v>242</v>
      </c>
      <c r="J766" s="149" t="s">
        <v>251</v>
      </c>
      <c r="K766" s="152" t="s">
        <v>1522</v>
      </c>
      <c r="L766" s="151">
        <v>23</v>
      </c>
      <c r="M766" s="136">
        <f t="shared" si="60"/>
        <v>2</v>
      </c>
      <c r="N766" s="2">
        <v>2</v>
      </c>
      <c r="O766" s="2"/>
      <c r="P766" s="137" t="e">
        <f t="shared" si="61"/>
        <v>#DIV/0!</v>
      </c>
      <c r="Q766" s="137">
        <f t="shared" si="62"/>
        <v>0</v>
      </c>
      <c r="R766" s="138">
        <f>IF(N766="nio",0,IF(N766&gt;0,VLOOKUP(I766,'3-Productie normen'!A:V,VLOOKUP(N766,'3-Productie normen'!$B$35:$C$56,2,FALSE),FALSE)))/VLOOKUP(B766,'2-Kosten per locatie'!$A$11:$C$18,3,FALSE)</f>
        <v>0</v>
      </c>
      <c r="S766" s="138">
        <f t="shared" si="63"/>
        <v>0</v>
      </c>
      <c r="T766" s="139" t="str">
        <f>VLOOKUP(I766,'3-Productie normen'!A:AF,28,FALSE)</f>
        <v>V</v>
      </c>
      <c r="U766" s="140"/>
      <c r="W766" s="141">
        <f t="shared" si="64"/>
        <v>46</v>
      </c>
    </row>
    <row r="767" spans="1:23" ht="13.9" customHeight="1">
      <c r="A767" s="132">
        <v>767</v>
      </c>
      <c r="B767" s="49" t="s">
        <v>1680</v>
      </c>
      <c r="C767" s="49" t="s">
        <v>668</v>
      </c>
      <c r="D767" s="145" t="s">
        <v>268</v>
      </c>
      <c r="E767" s="146" t="s">
        <v>1381</v>
      </c>
      <c r="F767" s="146"/>
      <c r="G767" s="145" t="s">
        <v>245</v>
      </c>
      <c r="H767" s="145" t="s">
        <v>245</v>
      </c>
      <c r="I767" s="92" t="s">
        <v>274</v>
      </c>
      <c r="J767" s="149" t="s">
        <v>251</v>
      </c>
      <c r="K767" s="152" t="s">
        <v>1522</v>
      </c>
      <c r="L767" s="151">
        <v>7.48</v>
      </c>
      <c r="M767" s="136">
        <f t="shared" si="60"/>
        <v>76</v>
      </c>
      <c r="N767" s="2">
        <v>76</v>
      </c>
      <c r="O767" s="2"/>
      <c r="P767" s="137" t="e">
        <f t="shared" si="61"/>
        <v>#DIV/0!</v>
      </c>
      <c r="Q767" s="137">
        <f t="shared" si="62"/>
        <v>0</v>
      </c>
      <c r="R767" s="138">
        <f>IF(N767="nio",0,IF(N767&gt;0,VLOOKUP(I767,'3-Productie normen'!A:V,VLOOKUP(N767,'3-Productie normen'!$B$35:$C$56,2,FALSE),FALSE)))/VLOOKUP(B767,'2-Kosten per locatie'!$A$11:$C$18,3,FALSE)</f>
        <v>0</v>
      </c>
      <c r="S767" s="138">
        <f t="shared" si="63"/>
        <v>0</v>
      </c>
      <c r="T767" s="139" t="str">
        <f>VLOOKUP(I767,'3-Productie normen'!A:AF,28,FALSE)</f>
        <v>B</v>
      </c>
      <c r="U767" s="140"/>
      <c r="W767" s="141">
        <f t="shared" si="64"/>
        <v>568.48</v>
      </c>
    </row>
    <row r="768" spans="1:23" ht="13.9" customHeight="1">
      <c r="A768" s="118">
        <v>768</v>
      </c>
      <c r="B768" s="49" t="s">
        <v>1680</v>
      </c>
      <c r="C768" s="49" t="s">
        <v>668</v>
      </c>
      <c r="D768" s="145" t="s">
        <v>268</v>
      </c>
      <c r="E768" s="146" t="s">
        <v>1382</v>
      </c>
      <c r="F768" s="146"/>
      <c r="G768" s="145" t="s">
        <v>264</v>
      </c>
      <c r="H768" s="145" t="s">
        <v>265</v>
      </c>
      <c r="I768" s="145" t="s">
        <v>284</v>
      </c>
      <c r="J768" s="149" t="s">
        <v>251</v>
      </c>
      <c r="K768" s="152" t="s">
        <v>1522</v>
      </c>
      <c r="L768" s="151">
        <v>62.79</v>
      </c>
      <c r="M768" s="136">
        <f t="shared" si="60"/>
        <v>76</v>
      </c>
      <c r="N768" s="2">
        <v>76</v>
      </c>
      <c r="O768" s="2"/>
      <c r="P768" s="137" t="e">
        <f t="shared" si="61"/>
        <v>#DIV/0!</v>
      </c>
      <c r="Q768" s="137">
        <f t="shared" si="62"/>
        <v>0</v>
      </c>
      <c r="R768" s="138">
        <f>IF(N768="nio",0,IF(N768&gt;0,VLOOKUP(I768,'3-Productie normen'!A:V,VLOOKUP(N768,'3-Productie normen'!$B$35:$C$56,2,FALSE),FALSE)))/VLOOKUP(B768,'2-Kosten per locatie'!$A$11:$C$18,3,FALSE)</f>
        <v>0</v>
      </c>
      <c r="S768" s="138">
        <f t="shared" si="63"/>
        <v>0</v>
      </c>
      <c r="T768" s="139" t="str">
        <f>VLOOKUP(I768,'3-Productie normen'!A:AF,28,FALSE)</f>
        <v>L</v>
      </c>
      <c r="U768" s="140"/>
      <c r="W768" s="141">
        <f t="shared" si="64"/>
        <v>4772.04</v>
      </c>
    </row>
    <row r="769" spans="1:23" ht="13.9" customHeight="1">
      <c r="A769" s="132">
        <v>769</v>
      </c>
      <c r="B769" s="49" t="s">
        <v>1680</v>
      </c>
      <c r="C769" s="49" t="s">
        <v>668</v>
      </c>
      <c r="D769" s="145" t="s">
        <v>268</v>
      </c>
      <c r="E769" s="146" t="s">
        <v>1383</v>
      </c>
      <c r="F769" s="146" t="s">
        <v>584</v>
      </c>
      <c r="G769" s="145" t="s">
        <v>264</v>
      </c>
      <c r="H769" s="145" t="s">
        <v>265</v>
      </c>
      <c r="I769" s="145" t="s">
        <v>284</v>
      </c>
      <c r="J769" s="149" t="s">
        <v>251</v>
      </c>
      <c r="K769" s="152" t="s">
        <v>1522</v>
      </c>
      <c r="L769" s="151">
        <v>62.96</v>
      </c>
      <c r="M769" s="136">
        <f t="shared" si="60"/>
        <v>76</v>
      </c>
      <c r="N769" s="2">
        <v>76</v>
      </c>
      <c r="O769" s="2"/>
      <c r="P769" s="137" t="e">
        <f t="shared" si="61"/>
        <v>#DIV/0!</v>
      </c>
      <c r="Q769" s="137">
        <f t="shared" si="62"/>
        <v>0</v>
      </c>
      <c r="R769" s="138">
        <f>IF(N769="nio",0,IF(N769&gt;0,VLOOKUP(I769,'3-Productie normen'!A:V,VLOOKUP(N769,'3-Productie normen'!$B$35:$C$56,2,FALSE),FALSE)))/VLOOKUP(B769,'2-Kosten per locatie'!$A$11:$C$18,3,FALSE)</f>
        <v>0</v>
      </c>
      <c r="S769" s="138">
        <f t="shared" si="63"/>
        <v>0</v>
      </c>
      <c r="T769" s="139" t="str">
        <f>VLOOKUP(I769,'3-Productie normen'!A:AF,28,FALSE)</f>
        <v>L</v>
      </c>
      <c r="U769" s="140"/>
      <c r="W769" s="141">
        <f t="shared" si="64"/>
        <v>4784.96</v>
      </c>
    </row>
    <row r="770" spans="1:23" ht="13.9" customHeight="1">
      <c r="A770" s="132">
        <v>770</v>
      </c>
      <c r="B770" s="49" t="s">
        <v>1680</v>
      </c>
      <c r="C770" s="49" t="s">
        <v>668</v>
      </c>
      <c r="D770" s="145" t="s">
        <v>268</v>
      </c>
      <c r="E770" s="146" t="s">
        <v>1384</v>
      </c>
      <c r="F770" s="146"/>
      <c r="G770" s="145" t="s">
        <v>242</v>
      </c>
      <c r="H770" s="145" t="s">
        <v>242</v>
      </c>
      <c r="I770" s="1" t="s">
        <v>242</v>
      </c>
      <c r="J770" s="149" t="s">
        <v>251</v>
      </c>
      <c r="K770" s="152" t="s">
        <v>1522</v>
      </c>
      <c r="L770" s="151">
        <v>21.18</v>
      </c>
      <c r="M770" s="136">
        <f t="shared" si="60"/>
        <v>2</v>
      </c>
      <c r="N770" s="2">
        <v>2</v>
      </c>
      <c r="O770" s="2"/>
      <c r="P770" s="137" t="e">
        <f t="shared" si="61"/>
        <v>#DIV/0!</v>
      </c>
      <c r="Q770" s="137">
        <f t="shared" si="62"/>
        <v>0</v>
      </c>
      <c r="R770" s="138">
        <f>IF(N770="nio",0,IF(N770&gt;0,VLOOKUP(I770,'3-Productie normen'!A:V,VLOOKUP(N770,'3-Productie normen'!$B$35:$C$56,2,FALSE),FALSE)))/VLOOKUP(B770,'2-Kosten per locatie'!$A$11:$C$18,3,FALSE)</f>
        <v>0</v>
      </c>
      <c r="S770" s="138">
        <f t="shared" si="63"/>
        <v>0</v>
      </c>
      <c r="T770" s="139" t="str">
        <f>VLOOKUP(I770,'3-Productie normen'!A:AF,28,FALSE)</f>
        <v>V</v>
      </c>
      <c r="U770" s="140"/>
      <c r="W770" s="141">
        <f t="shared" si="64"/>
        <v>42.36</v>
      </c>
    </row>
    <row r="771" spans="1:23" ht="13.9" customHeight="1">
      <c r="A771" s="118">
        <v>771</v>
      </c>
      <c r="B771" s="49" t="s">
        <v>1680</v>
      </c>
      <c r="C771" s="49" t="s">
        <v>668</v>
      </c>
      <c r="D771" s="145" t="s">
        <v>268</v>
      </c>
      <c r="E771" s="146" t="s">
        <v>1385</v>
      </c>
      <c r="F771" s="146" t="s">
        <v>313</v>
      </c>
      <c r="G771" s="145" t="s">
        <v>264</v>
      </c>
      <c r="H771" s="145" t="s">
        <v>265</v>
      </c>
      <c r="I771" s="145" t="s">
        <v>284</v>
      </c>
      <c r="J771" s="149" t="s">
        <v>251</v>
      </c>
      <c r="K771" s="152" t="s">
        <v>1522</v>
      </c>
      <c r="L771" s="151">
        <v>95.93</v>
      </c>
      <c r="M771" s="136">
        <f t="shared" si="60"/>
        <v>76</v>
      </c>
      <c r="N771" s="2">
        <v>76</v>
      </c>
      <c r="O771" s="2"/>
      <c r="P771" s="137" t="e">
        <f t="shared" si="61"/>
        <v>#DIV/0!</v>
      </c>
      <c r="Q771" s="137">
        <f t="shared" si="62"/>
        <v>0</v>
      </c>
      <c r="R771" s="138">
        <f>IF(N771="nio",0,IF(N771&gt;0,VLOOKUP(I771,'3-Productie normen'!A:V,VLOOKUP(N771,'3-Productie normen'!$B$35:$C$56,2,FALSE),FALSE)))/VLOOKUP(B771,'2-Kosten per locatie'!$A$11:$C$18,3,FALSE)</f>
        <v>0</v>
      </c>
      <c r="S771" s="138">
        <f t="shared" si="63"/>
        <v>0</v>
      </c>
      <c r="T771" s="139" t="str">
        <f>VLOOKUP(I771,'3-Productie normen'!A:AF,28,FALSE)</f>
        <v>L</v>
      </c>
      <c r="U771" s="140"/>
      <c r="W771" s="141">
        <f t="shared" si="64"/>
        <v>7290.68</v>
      </c>
    </row>
    <row r="772" spans="1:23" ht="13.9" customHeight="1">
      <c r="A772" s="132">
        <v>772</v>
      </c>
      <c r="B772" s="49" t="s">
        <v>1680</v>
      </c>
      <c r="C772" s="49" t="s">
        <v>668</v>
      </c>
      <c r="D772" s="145" t="s">
        <v>268</v>
      </c>
      <c r="E772" s="146" t="s">
        <v>1386</v>
      </c>
      <c r="F772" s="146" t="s">
        <v>314</v>
      </c>
      <c r="G772" s="145" t="s">
        <v>264</v>
      </c>
      <c r="H772" s="145" t="s">
        <v>265</v>
      </c>
      <c r="I772" s="145" t="s">
        <v>284</v>
      </c>
      <c r="J772" s="149" t="s">
        <v>251</v>
      </c>
      <c r="K772" s="152" t="s">
        <v>1522</v>
      </c>
      <c r="L772" s="151">
        <v>60.28</v>
      </c>
      <c r="M772" s="136">
        <f t="shared" si="60"/>
        <v>76</v>
      </c>
      <c r="N772" s="2">
        <v>76</v>
      </c>
      <c r="O772" s="2"/>
      <c r="P772" s="137" t="e">
        <f t="shared" si="61"/>
        <v>#DIV/0!</v>
      </c>
      <c r="Q772" s="137">
        <f t="shared" si="62"/>
        <v>0</v>
      </c>
      <c r="R772" s="138">
        <f>IF(N772="nio",0,IF(N772&gt;0,VLOOKUP(I772,'3-Productie normen'!A:V,VLOOKUP(N772,'3-Productie normen'!$B$35:$C$56,2,FALSE),FALSE)))/VLOOKUP(B772,'2-Kosten per locatie'!$A$11:$C$18,3,FALSE)</f>
        <v>0</v>
      </c>
      <c r="S772" s="138">
        <f t="shared" si="63"/>
        <v>0</v>
      </c>
      <c r="T772" s="139" t="str">
        <f>VLOOKUP(I772,'3-Productie normen'!A:AF,28,FALSE)</f>
        <v>L</v>
      </c>
      <c r="U772" s="140"/>
      <c r="W772" s="141">
        <f t="shared" si="64"/>
        <v>4581.28</v>
      </c>
    </row>
    <row r="773" spans="1:23" ht="13.9" customHeight="1">
      <c r="A773" s="132">
        <v>773</v>
      </c>
      <c r="B773" s="49" t="s">
        <v>1680</v>
      </c>
      <c r="C773" s="49" t="s">
        <v>668</v>
      </c>
      <c r="D773" s="145" t="s">
        <v>268</v>
      </c>
      <c r="E773" s="146" t="s">
        <v>1387</v>
      </c>
      <c r="F773" s="146"/>
      <c r="G773" s="145" t="s">
        <v>242</v>
      </c>
      <c r="H773" s="145" t="s">
        <v>242</v>
      </c>
      <c r="I773" s="1" t="s">
        <v>242</v>
      </c>
      <c r="J773" s="149" t="s">
        <v>251</v>
      </c>
      <c r="K773" s="152" t="s">
        <v>1522</v>
      </c>
      <c r="L773" s="151">
        <v>0.69</v>
      </c>
      <c r="M773" s="136">
        <f t="shared" si="60"/>
        <v>2</v>
      </c>
      <c r="N773" s="2">
        <v>2</v>
      </c>
      <c r="O773" s="2"/>
      <c r="P773" s="137" t="e">
        <f t="shared" si="61"/>
        <v>#DIV/0!</v>
      </c>
      <c r="Q773" s="137">
        <f t="shared" si="62"/>
        <v>0</v>
      </c>
      <c r="R773" s="138">
        <f>IF(N773="nio",0,IF(N773&gt;0,VLOOKUP(I773,'3-Productie normen'!A:V,VLOOKUP(N773,'3-Productie normen'!$B$35:$C$56,2,FALSE),FALSE)))/VLOOKUP(B773,'2-Kosten per locatie'!$A$11:$C$18,3,FALSE)</f>
        <v>0</v>
      </c>
      <c r="S773" s="138">
        <f t="shared" si="63"/>
        <v>0</v>
      </c>
      <c r="T773" s="139" t="str">
        <f>VLOOKUP(I773,'3-Productie normen'!A:AF,28,FALSE)</f>
        <v>V</v>
      </c>
      <c r="U773" s="140"/>
      <c r="W773" s="141">
        <f t="shared" si="64"/>
        <v>1.38</v>
      </c>
    </row>
    <row r="774" spans="1:23" ht="13.9" customHeight="1">
      <c r="A774" s="118">
        <v>774</v>
      </c>
      <c r="B774" s="49" t="s">
        <v>1680</v>
      </c>
      <c r="C774" s="49" t="s">
        <v>668</v>
      </c>
      <c r="D774" s="145" t="s">
        <v>268</v>
      </c>
      <c r="E774" s="146" t="s">
        <v>1388</v>
      </c>
      <c r="F774" s="146" t="s">
        <v>315</v>
      </c>
      <c r="G774" s="145" t="s">
        <v>264</v>
      </c>
      <c r="H774" s="145" t="s">
        <v>265</v>
      </c>
      <c r="I774" s="145" t="s">
        <v>284</v>
      </c>
      <c r="J774" s="149" t="s">
        <v>1078</v>
      </c>
      <c r="K774" s="150"/>
      <c r="L774" s="151">
        <v>38.229999999999997</v>
      </c>
      <c r="M774" s="136">
        <f t="shared" si="60"/>
        <v>76</v>
      </c>
      <c r="N774" s="2">
        <v>76</v>
      </c>
      <c r="O774" s="2"/>
      <c r="P774" s="137" t="e">
        <f t="shared" si="61"/>
        <v>#DIV/0!</v>
      </c>
      <c r="Q774" s="137">
        <f t="shared" si="62"/>
        <v>0</v>
      </c>
      <c r="R774" s="138">
        <f>IF(N774="nio",0,IF(N774&gt;0,VLOOKUP(I774,'3-Productie normen'!A:V,VLOOKUP(N774,'3-Productie normen'!$B$35:$C$56,2,FALSE),FALSE)))/VLOOKUP(B774,'2-Kosten per locatie'!$A$11:$C$18,3,FALSE)</f>
        <v>0</v>
      </c>
      <c r="S774" s="138">
        <f t="shared" si="63"/>
        <v>0</v>
      </c>
      <c r="T774" s="139" t="str">
        <f>VLOOKUP(I774,'3-Productie normen'!A:AF,28,FALSE)</f>
        <v>L</v>
      </c>
      <c r="U774" s="140"/>
      <c r="W774" s="141">
        <f t="shared" si="64"/>
        <v>2905.4799999999996</v>
      </c>
    </row>
    <row r="775" spans="1:23" ht="13.9" customHeight="1">
      <c r="A775" s="132">
        <v>775</v>
      </c>
      <c r="B775" s="49" t="s">
        <v>1680</v>
      </c>
      <c r="C775" s="49" t="s">
        <v>668</v>
      </c>
      <c r="D775" s="145" t="s">
        <v>268</v>
      </c>
      <c r="E775" s="146" t="s">
        <v>1389</v>
      </c>
      <c r="F775" s="146" t="s">
        <v>1390</v>
      </c>
      <c r="G775" s="145" t="s">
        <v>242</v>
      </c>
      <c r="H775" s="145" t="s">
        <v>242</v>
      </c>
      <c r="I775" s="1" t="s">
        <v>242</v>
      </c>
      <c r="J775" s="149" t="s">
        <v>1078</v>
      </c>
      <c r="K775" s="150"/>
      <c r="L775" s="151">
        <v>12.1</v>
      </c>
      <c r="M775" s="136">
        <f t="shared" si="60"/>
        <v>2</v>
      </c>
      <c r="N775" s="2">
        <v>2</v>
      </c>
      <c r="O775" s="2"/>
      <c r="P775" s="137" t="e">
        <f t="shared" si="61"/>
        <v>#DIV/0!</v>
      </c>
      <c r="Q775" s="137">
        <f t="shared" si="62"/>
        <v>0</v>
      </c>
      <c r="R775" s="138">
        <f>IF(N775="nio",0,IF(N775&gt;0,VLOOKUP(I775,'3-Productie normen'!A:V,VLOOKUP(N775,'3-Productie normen'!$B$35:$C$56,2,FALSE),FALSE)))/VLOOKUP(B775,'2-Kosten per locatie'!$A$11:$C$18,3,FALSE)</f>
        <v>0</v>
      </c>
      <c r="S775" s="138">
        <f t="shared" si="63"/>
        <v>0</v>
      </c>
      <c r="T775" s="139" t="str">
        <f>VLOOKUP(I775,'3-Productie normen'!A:AF,28,FALSE)</f>
        <v>V</v>
      </c>
      <c r="U775" s="140"/>
      <c r="W775" s="141">
        <f t="shared" si="64"/>
        <v>24.2</v>
      </c>
    </row>
    <row r="776" spans="1:23" ht="13.9" customHeight="1">
      <c r="A776" s="132">
        <v>776</v>
      </c>
      <c r="B776" s="49" t="s">
        <v>1680</v>
      </c>
      <c r="C776" s="49" t="s">
        <v>668</v>
      </c>
      <c r="D776" s="145" t="s">
        <v>268</v>
      </c>
      <c r="E776" s="146" t="s">
        <v>1391</v>
      </c>
      <c r="F776" s="146"/>
      <c r="G776" s="145" t="s">
        <v>242</v>
      </c>
      <c r="H776" s="145" t="s">
        <v>242</v>
      </c>
      <c r="I776" s="1" t="s">
        <v>242</v>
      </c>
      <c r="J776" s="149" t="s">
        <v>1078</v>
      </c>
      <c r="K776" s="150"/>
      <c r="L776" s="151">
        <v>0.59</v>
      </c>
      <c r="M776" s="136">
        <f t="shared" si="60"/>
        <v>2</v>
      </c>
      <c r="N776" s="2">
        <v>2</v>
      </c>
      <c r="O776" s="2"/>
      <c r="P776" s="137" t="e">
        <f t="shared" si="61"/>
        <v>#DIV/0!</v>
      </c>
      <c r="Q776" s="137">
        <f t="shared" si="62"/>
        <v>0</v>
      </c>
      <c r="R776" s="138">
        <f>IF(N776="nio",0,IF(N776&gt;0,VLOOKUP(I776,'3-Productie normen'!A:V,VLOOKUP(N776,'3-Productie normen'!$B$35:$C$56,2,FALSE),FALSE)))/VLOOKUP(B776,'2-Kosten per locatie'!$A$11:$C$18,3,FALSE)</f>
        <v>0</v>
      </c>
      <c r="S776" s="138">
        <f t="shared" si="63"/>
        <v>0</v>
      </c>
      <c r="T776" s="139" t="str">
        <f>VLOOKUP(I776,'3-Productie normen'!A:AF,28,FALSE)</f>
        <v>V</v>
      </c>
      <c r="U776" s="140"/>
      <c r="W776" s="141">
        <f t="shared" si="64"/>
        <v>1.18</v>
      </c>
    </row>
    <row r="777" spans="1:23" ht="13.9" customHeight="1">
      <c r="A777" s="118">
        <v>777</v>
      </c>
      <c r="B777" s="49" t="s">
        <v>1680</v>
      </c>
      <c r="C777" s="49" t="s">
        <v>668</v>
      </c>
      <c r="D777" s="145" t="s">
        <v>268</v>
      </c>
      <c r="E777" s="146" t="s">
        <v>1392</v>
      </c>
      <c r="F777" s="146"/>
      <c r="G777" s="145" t="s">
        <v>242</v>
      </c>
      <c r="H777" s="145" t="s">
        <v>242</v>
      </c>
      <c r="I777" s="1" t="s">
        <v>242</v>
      </c>
      <c r="J777" s="149" t="s">
        <v>1078</v>
      </c>
      <c r="K777" s="150"/>
      <c r="L777" s="151">
        <v>0.55000000000000004</v>
      </c>
      <c r="M777" s="136">
        <f t="shared" si="60"/>
        <v>2</v>
      </c>
      <c r="N777" s="2">
        <v>2</v>
      </c>
      <c r="O777" s="2"/>
      <c r="P777" s="137" t="e">
        <f t="shared" si="61"/>
        <v>#DIV/0!</v>
      </c>
      <c r="Q777" s="137">
        <f t="shared" si="62"/>
        <v>0</v>
      </c>
      <c r="R777" s="138">
        <f>IF(N777="nio",0,IF(N777&gt;0,VLOOKUP(I777,'3-Productie normen'!A:V,VLOOKUP(N777,'3-Productie normen'!$B$35:$C$56,2,FALSE),FALSE)))/VLOOKUP(B777,'2-Kosten per locatie'!$A$11:$C$18,3,FALSE)</f>
        <v>0</v>
      </c>
      <c r="S777" s="138">
        <f t="shared" si="63"/>
        <v>0</v>
      </c>
      <c r="T777" s="139" t="str">
        <f>VLOOKUP(I777,'3-Productie normen'!A:AF,28,FALSE)</f>
        <v>V</v>
      </c>
      <c r="U777" s="140"/>
      <c r="W777" s="141">
        <f t="shared" si="64"/>
        <v>1.1000000000000001</v>
      </c>
    </row>
    <row r="778" spans="1:23" ht="13.9" customHeight="1">
      <c r="A778" s="132">
        <v>778</v>
      </c>
      <c r="B778" s="49" t="s">
        <v>1680</v>
      </c>
      <c r="C778" s="49" t="s">
        <v>668</v>
      </c>
      <c r="D778" s="145" t="s">
        <v>268</v>
      </c>
      <c r="E778" s="146" t="s">
        <v>1393</v>
      </c>
      <c r="F778" s="146"/>
      <c r="G778" s="145" t="s">
        <v>242</v>
      </c>
      <c r="H778" s="145" t="s">
        <v>242</v>
      </c>
      <c r="I778" s="1" t="s">
        <v>242</v>
      </c>
      <c r="J778" s="149" t="s">
        <v>1078</v>
      </c>
      <c r="K778" s="150"/>
      <c r="L778" s="151">
        <v>0.64</v>
      </c>
      <c r="M778" s="136">
        <f t="shared" si="60"/>
        <v>2</v>
      </c>
      <c r="N778" s="2">
        <v>2</v>
      </c>
      <c r="O778" s="2"/>
      <c r="P778" s="137" t="e">
        <f t="shared" si="61"/>
        <v>#DIV/0!</v>
      </c>
      <c r="Q778" s="137">
        <f t="shared" si="62"/>
        <v>0</v>
      </c>
      <c r="R778" s="138">
        <f>IF(N778="nio",0,IF(N778&gt;0,VLOOKUP(I778,'3-Productie normen'!A:V,VLOOKUP(N778,'3-Productie normen'!$B$35:$C$56,2,FALSE),FALSE)))/VLOOKUP(B778,'2-Kosten per locatie'!$A$11:$C$18,3,FALSE)</f>
        <v>0</v>
      </c>
      <c r="S778" s="138">
        <f t="shared" si="63"/>
        <v>0</v>
      </c>
      <c r="T778" s="139" t="str">
        <f>VLOOKUP(I778,'3-Productie normen'!A:AF,28,FALSE)</f>
        <v>V</v>
      </c>
      <c r="U778" s="140"/>
      <c r="W778" s="141">
        <f t="shared" si="64"/>
        <v>1.28</v>
      </c>
    </row>
    <row r="779" spans="1:23" ht="13.9" customHeight="1">
      <c r="A779" s="132">
        <v>779</v>
      </c>
      <c r="B779" s="49" t="s">
        <v>1680</v>
      </c>
      <c r="C779" s="49" t="s">
        <v>668</v>
      </c>
      <c r="D779" s="145" t="s">
        <v>268</v>
      </c>
      <c r="E779" s="146" t="s">
        <v>1394</v>
      </c>
      <c r="F779" s="146"/>
      <c r="G779" s="145" t="s">
        <v>242</v>
      </c>
      <c r="H779" s="145" t="s">
        <v>242</v>
      </c>
      <c r="I779" s="1" t="s">
        <v>242</v>
      </c>
      <c r="J779" s="149" t="s">
        <v>1078</v>
      </c>
      <c r="K779" s="150"/>
      <c r="L779" s="151">
        <v>0.68</v>
      </c>
      <c r="M779" s="136">
        <f t="shared" si="60"/>
        <v>2</v>
      </c>
      <c r="N779" s="2">
        <v>2</v>
      </c>
      <c r="O779" s="2"/>
      <c r="P779" s="137" t="e">
        <f t="shared" si="61"/>
        <v>#DIV/0!</v>
      </c>
      <c r="Q779" s="137">
        <f t="shared" si="62"/>
        <v>0</v>
      </c>
      <c r="R779" s="138">
        <f>IF(N779="nio",0,IF(N779&gt;0,VLOOKUP(I779,'3-Productie normen'!A:V,VLOOKUP(N779,'3-Productie normen'!$B$35:$C$56,2,FALSE),FALSE)))/VLOOKUP(B779,'2-Kosten per locatie'!$A$11:$C$18,3,FALSE)</f>
        <v>0</v>
      </c>
      <c r="S779" s="138">
        <f t="shared" si="63"/>
        <v>0</v>
      </c>
      <c r="T779" s="139" t="str">
        <f>VLOOKUP(I779,'3-Productie normen'!A:AF,28,FALSE)</f>
        <v>V</v>
      </c>
      <c r="U779" s="140"/>
      <c r="W779" s="141">
        <f t="shared" si="64"/>
        <v>1.36</v>
      </c>
    </row>
    <row r="780" spans="1:23" ht="13.9" customHeight="1">
      <c r="A780" s="118">
        <v>780</v>
      </c>
      <c r="B780" s="49" t="s">
        <v>1680</v>
      </c>
      <c r="C780" s="49" t="s">
        <v>668</v>
      </c>
      <c r="D780" s="145" t="s">
        <v>268</v>
      </c>
      <c r="E780" s="146" t="s">
        <v>1395</v>
      </c>
      <c r="F780" s="146"/>
      <c r="G780" s="145" t="s">
        <v>264</v>
      </c>
      <c r="H780" s="145" t="s">
        <v>265</v>
      </c>
      <c r="I780" s="145" t="s">
        <v>284</v>
      </c>
      <c r="J780" s="149" t="s">
        <v>1078</v>
      </c>
      <c r="K780" s="150"/>
      <c r="L780" s="151">
        <v>0.6</v>
      </c>
      <c r="M780" s="136">
        <f t="shared" si="60"/>
        <v>76</v>
      </c>
      <c r="N780" s="2">
        <v>76</v>
      </c>
      <c r="O780" s="2"/>
      <c r="P780" s="137" t="e">
        <f t="shared" si="61"/>
        <v>#DIV/0!</v>
      </c>
      <c r="Q780" s="137">
        <f t="shared" si="62"/>
        <v>0</v>
      </c>
      <c r="R780" s="138">
        <f>IF(N780="nio",0,IF(N780&gt;0,VLOOKUP(I780,'3-Productie normen'!A:V,VLOOKUP(N780,'3-Productie normen'!$B$35:$C$56,2,FALSE),FALSE)))/VLOOKUP(B780,'2-Kosten per locatie'!$A$11:$C$18,3,FALSE)</f>
        <v>0</v>
      </c>
      <c r="S780" s="138">
        <f t="shared" si="63"/>
        <v>0</v>
      </c>
      <c r="T780" s="139" t="str">
        <f>VLOOKUP(I780,'3-Productie normen'!A:AF,28,FALSE)</f>
        <v>L</v>
      </c>
      <c r="U780" s="140"/>
      <c r="W780" s="141">
        <f t="shared" si="64"/>
        <v>45.6</v>
      </c>
    </row>
    <row r="781" spans="1:23" ht="13.9" customHeight="1">
      <c r="A781" s="132">
        <v>781</v>
      </c>
      <c r="B781" s="49" t="s">
        <v>1680</v>
      </c>
      <c r="C781" s="49" t="s">
        <v>668</v>
      </c>
      <c r="D781" s="145" t="s">
        <v>268</v>
      </c>
      <c r="E781" s="146" t="s">
        <v>1396</v>
      </c>
      <c r="F781" s="146" t="s">
        <v>1397</v>
      </c>
      <c r="G781" s="145" t="s">
        <v>242</v>
      </c>
      <c r="H781" s="145" t="s">
        <v>242</v>
      </c>
      <c r="I781" s="1" t="s">
        <v>242</v>
      </c>
      <c r="J781" s="149" t="s">
        <v>234</v>
      </c>
      <c r="K781" s="150"/>
      <c r="L781" s="151">
        <v>34.520000000000003</v>
      </c>
      <c r="M781" s="136">
        <f t="shared" si="60"/>
        <v>2</v>
      </c>
      <c r="N781" s="2">
        <v>2</v>
      </c>
      <c r="O781" s="2"/>
      <c r="P781" s="137" t="e">
        <f t="shared" si="61"/>
        <v>#DIV/0!</v>
      </c>
      <c r="Q781" s="137">
        <f t="shared" si="62"/>
        <v>0</v>
      </c>
      <c r="R781" s="138">
        <f>IF(N781="nio",0,IF(N781&gt;0,VLOOKUP(I781,'3-Productie normen'!A:V,VLOOKUP(N781,'3-Productie normen'!$B$35:$C$56,2,FALSE),FALSE)))/VLOOKUP(B781,'2-Kosten per locatie'!$A$11:$C$18,3,FALSE)</f>
        <v>0</v>
      </c>
      <c r="S781" s="138">
        <f t="shared" si="63"/>
        <v>0</v>
      </c>
      <c r="T781" s="139" t="str">
        <f>VLOOKUP(I781,'3-Productie normen'!A:AF,28,FALSE)</f>
        <v>V</v>
      </c>
      <c r="U781" s="140"/>
      <c r="W781" s="141">
        <f t="shared" si="64"/>
        <v>69.040000000000006</v>
      </c>
    </row>
    <row r="782" spans="1:23" ht="13.9" customHeight="1">
      <c r="A782" s="132">
        <v>782</v>
      </c>
      <c r="B782" s="49" t="s">
        <v>1680</v>
      </c>
      <c r="C782" s="49" t="s">
        <v>668</v>
      </c>
      <c r="D782" s="145" t="s">
        <v>268</v>
      </c>
      <c r="E782" s="146" t="s">
        <v>1398</v>
      </c>
      <c r="F782" s="146" t="s">
        <v>1399</v>
      </c>
      <c r="G782" s="145" t="s">
        <v>264</v>
      </c>
      <c r="H782" s="145" t="s">
        <v>265</v>
      </c>
      <c r="I782" s="145" t="s">
        <v>284</v>
      </c>
      <c r="J782" s="149" t="s">
        <v>251</v>
      </c>
      <c r="K782" s="152" t="s">
        <v>1522</v>
      </c>
      <c r="L782" s="151">
        <v>34.799999999999997</v>
      </c>
      <c r="M782" s="136">
        <f t="shared" si="60"/>
        <v>76</v>
      </c>
      <c r="N782" s="2">
        <v>76</v>
      </c>
      <c r="O782" s="2"/>
      <c r="P782" s="137" t="e">
        <f t="shared" si="61"/>
        <v>#DIV/0!</v>
      </c>
      <c r="Q782" s="137">
        <f t="shared" si="62"/>
        <v>0</v>
      </c>
      <c r="R782" s="138">
        <f>IF(N782="nio",0,IF(N782&gt;0,VLOOKUP(I782,'3-Productie normen'!A:V,VLOOKUP(N782,'3-Productie normen'!$B$35:$C$56,2,FALSE),FALSE)))/VLOOKUP(B782,'2-Kosten per locatie'!$A$11:$C$18,3,FALSE)</f>
        <v>0</v>
      </c>
      <c r="S782" s="138">
        <f t="shared" si="63"/>
        <v>0</v>
      </c>
      <c r="T782" s="139" t="str">
        <f>VLOOKUP(I782,'3-Productie normen'!A:AF,28,FALSE)</f>
        <v>L</v>
      </c>
      <c r="U782" s="140"/>
      <c r="W782" s="141">
        <f t="shared" si="64"/>
        <v>2644.7999999999997</v>
      </c>
    </row>
    <row r="783" spans="1:23" ht="13.9" customHeight="1">
      <c r="A783" s="118">
        <v>783</v>
      </c>
      <c r="B783" s="49" t="s">
        <v>1680</v>
      </c>
      <c r="C783" s="49" t="s">
        <v>668</v>
      </c>
      <c r="D783" s="145" t="s">
        <v>268</v>
      </c>
      <c r="E783" s="146" t="s">
        <v>1400</v>
      </c>
      <c r="F783" s="146"/>
      <c r="G783" s="145" t="s">
        <v>264</v>
      </c>
      <c r="H783" s="145" t="s">
        <v>265</v>
      </c>
      <c r="I783" s="145" t="s">
        <v>284</v>
      </c>
      <c r="J783" s="149" t="s">
        <v>251</v>
      </c>
      <c r="K783" s="152" t="s">
        <v>1522</v>
      </c>
      <c r="L783" s="151">
        <v>54.59</v>
      </c>
      <c r="M783" s="136">
        <f t="shared" si="60"/>
        <v>76</v>
      </c>
      <c r="N783" s="2">
        <v>76</v>
      </c>
      <c r="O783" s="2"/>
      <c r="P783" s="137" t="e">
        <f t="shared" si="61"/>
        <v>#DIV/0!</v>
      </c>
      <c r="Q783" s="137">
        <f t="shared" si="62"/>
        <v>0</v>
      </c>
      <c r="R783" s="138">
        <f>IF(N783="nio",0,IF(N783&gt;0,VLOOKUP(I783,'3-Productie normen'!A:V,VLOOKUP(N783,'3-Productie normen'!$B$35:$C$56,2,FALSE),FALSE)))/VLOOKUP(B783,'2-Kosten per locatie'!$A$11:$C$18,3,FALSE)</f>
        <v>0</v>
      </c>
      <c r="S783" s="138">
        <f t="shared" si="63"/>
        <v>0</v>
      </c>
      <c r="T783" s="139" t="str">
        <f>VLOOKUP(I783,'3-Productie normen'!A:AF,28,FALSE)</f>
        <v>L</v>
      </c>
      <c r="U783" s="140"/>
      <c r="W783" s="141">
        <f t="shared" si="64"/>
        <v>4148.84</v>
      </c>
    </row>
    <row r="784" spans="1:23" ht="13.9" customHeight="1">
      <c r="A784" s="132">
        <v>784</v>
      </c>
      <c r="B784" s="49" t="s">
        <v>1680</v>
      </c>
      <c r="C784" s="49" t="s">
        <v>668</v>
      </c>
      <c r="D784" s="145" t="s">
        <v>268</v>
      </c>
      <c r="E784" s="146" t="s">
        <v>1401</v>
      </c>
      <c r="F784" s="146" t="s">
        <v>552</v>
      </c>
      <c r="G784" s="145" t="s">
        <v>264</v>
      </c>
      <c r="H784" s="145" t="s">
        <v>265</v>
      </c>
      <c r="I784" s="145" t="s">
        <v>284</v>
      </c>
      <c r="J784" s="149" t="s">
        <v>251</v>
      </c>
      <c r="K784" s="152" t="s">
        <v>1522</v>
      </c>
      <c r="L784" s="151">
        <v>77.510000000000005</v>
      </c>
      <c r="M784" s="136">
        <f t="shared" si="60"/>
        <v>76</v>
      </c>
      <c r="N784" s="2">
        <v>76</v>
      </c>
      <c r="O784" s="2"/>
      <c r="P784" s="137" t="e">
        <f t="shared" si="61"/>
        <v>#DIV/0!</v>
      </c>
      <c r="Q784" s="137">
        <f t="shared" si="62"/>
        <v>0</v>
      </c>
      <c r="R784" s="138">
        <f>IF(N784="nio",0,IF(N784&gt;0,VLOOKUP(I784,'3-Productie normen'!A:V,VLOOKUP(N784,'3-Productie normen'!$B$35:$C$56,2,FALSE),FALSE)))/VLOOKUP(B784,'2-Kosten per locatie'!$A$11:$C$18,3,FALSE)</f>
        <v>0</v>
      </c>
      <c r="S784" s="138">
        <f t="shared" si="63"/>
        <v>0</v>
      </c>
      <c r="T784" s="139" t="str">
        <f>VLOOKUP(I784,'3-Productie normen'!A:AF,28,FALSE)</f>
        <v>L</v>
      </c>
      <c r="U784" s="140"/>
      <c r="W784" s="141">
        <f t="shared" si="64"/>
        <v>5890.76</v>
      </c>
    </row>
    <row r="785" spans="1:23" ht="13.9" customHeight="1">
      <c r="A785" s="132">
        <v>785</v>
      </c>
      <c r="B785" s="49" t="s">
        <v>1680</v>
      </c>
      <c r="C785" s="49" t="s">
        <v>668</v>
      </c>
      <c r="D785" s="145" t="s">
        <v>268</v>
      </c>
      <c r="E785" s="146" t="s">
        <v>1402</v>
      </c>
      <c r="F785" s="146" t="s">
        <v>549</v>
      </c>
      <c r="G785" s="145" t="s">
        <v>264</v>
      </c>
      <c r="H785" s="145" t="s">
        <v>265</v>
      </c>
      <c r="I785" s="145" t="s">
        <v>284</v>
      </c>
      <c r="J785" s="149" t="s">
        <v>251</v>
      </c>
      <c r="K785" s="152" t="s">
        <v>1522</v>
      </c>
      <c r="L785" s="151">
        <v>62.09</v>
      </c>
      <c r="M785" s="136">
        <f t="shared" si="60"/>
        <v>76</v>
      </c>
      <c r="N785" s="2">
        <v>76</v>
      </c>
      <c r="O785" s="2"/>
      <c r="P785" s="137" t="e">
        <f t="shared" si="61"/>
        <v>#DIV/0!</v>
      </c>
      <c r="Q785" s="137">
        <f t="shared" si="62"/>
        <v>0</v>
      </c>
      <c r="R785" s="138">
        <f>IF(N785="nio",0,IF(N785&gt;0,VLOOKUP(I785,'3-Productie normen'!A:V,VLOOKUP(N785,'3-Productie normen'!$B$35:$C$56,2,FALSE),FALSE)))/VLOOKUP(B785,'2-Kosten per locatie'!$A$11:$C$18,3,FALSE)</f>
        <v>0</v>
      </c>
      <c r="S785" s="138">
        <f t="shared" si="63"/>
        <v>0</v>
      </c>
      <c r="T785" s="139" t="str">
        <f>VLOOKUP(I785,'3-Productie normen'!A:AF,28,FALSE)</f>
        <v>L</v>
      </c>
      <c r="U785" s="140"/>
      <c r="W785" s="141">
        <f t="shared" si="64"/>
        <v>4718.84</v>
      </c>
    </row>
    <row r="786" spans="1:23" ht="13.9" customHeight="1">
      <c r="A786" s="118">
        <v>786</v>
      </c>
      <c r="B786" s="49" t="s">
        <v>1680</v>
      </c>
      <c r="C786" s="49" t="s">
        <v>668</v>
      </c>
      <c r="D786" s="145" t="s">
        <v>268</v>
      </c>
      <c r="E786" s="146" t="s">
        <v>1403</v>
      </c>
      <c r="F786" s="146" t="s">
        <v>547</v>
      </c>
      <c r="G786" s="145" t="s">
        <v>264</v>
      </c>
      <c r="H786" s="145" t="s">
        <v>265</v>
      </c>
      <c r="I786" s="145" t="s">
        <v>284</v>
      </c>
      <c r="J786" s="149" t="s">
        <v>251</v>
      </c>
      <c r="K786" s="152" t="s">
        <v>1522</v>
      </c>
      <c r="L786" s="151">
        <v>63.17</v>
      </c>
      <c r="M786" s="136">
        <f t="shared" si="60"/>
        <v>76</v>
      </c>
      <c r="N786" s="2">
        <v>76</v>
      </c>
      <c r="O786" s="2"/>
      <c r="P786" s="137" t="e">
        <f t="shared" si="61"/>
        <v>#DIV/0!</v>
      </c>
      <c r="Q786" s="137">
        <f t="shared" si="62"/>
        <v>0</v>
      </c>
      <c r="R786" s="138">
        <f>IF(N786="nio",0,IF(N786&gt;0,VLOOKUP(I786,'3-Productie normen'!A:V,VLOOKUP(N786,'3-Productie normen'!$B$35:$C$56,2,FALSE),FALSE)))/VLOOKUP(B786,'2-Kosten per locatie'!$A$11:$C$18,3,FALSE)</f>
        <v>0</v>
      </c>
      <c r="S786" s="138">
        <f t="shared" si="63"/>
        <v>0</v>
      </c>
      <c r="T786" s="139" t="str">
        <f>VLOOKUP(I786,'3-Productie normen'!A:AF,28,FALSE)</f>
        <v>L</v>
      </c>
      <c r="U786" s="140"/>
      <c r="W786" s="141">
        <f t="shared" si="64"/>
        <v>4800.92</v>
      </c>
    </row>
    <row r="787" spans="1:23" ht="13.9" customHeight="1">
      <c r="A787" s="132">
        <v>787</v>
      </c>
      <c r="B787" s="49" t="s">
        <v>1680</v>
      </c>
      <c r="C787" s="49" t="s">
        <v>668</v>
      </c>
      <c r="D787" s="145" t="s">
        <v>268</v>
      </c>
      <c r="E787" s="146" t="s">
        <v>1404</v>
      </c>
      <c r="F787" s="146" t="s">
        <v>545</v>
      </c>
      <c r="G787" s="145" t="s">
        <v>245</v>
      </c>
      <c r="H787" s="145" t="s">
        <v>245</v>
      </c>
      <c r="I787" s="92" t="s">
        <v>274</v>
      </c>
      <c r="J787" s="149" t="s">
        <v>251</v>
      </c>
      <c r="K787" s="152" t="s">
        <v>1522</v>
      </c>
      <c r="L787" s="151">
        <v>62.73</v>
      </c>
      <c r="M787" s="136">
        <f t="shared" si="60"/>
        <v>76</v>
      </c>
      <c r="N787" s="2">
        <v>76</v>
      </c>
      <c r="O787" s="2"/>
      <c r="P787" s="137" t="e">
        <f t="shared" si="61"/>
        <v>#DIV/0!</v>
      </c>
      <c r="Q787" s="137">
        <f t="shared" si="62"/>
        <v>0</v>
      </c>
      <c r="R787" s="138">
        <f>IF(N787="nio",0,IF(N787&gt;0,VLOOKUP(I787,'3-Productie normen'!A:V,VLOOKUP(N787,'3-Productie normen'!$B$35:$C$56,2,FALSE),FALSE)))/VLOOKUP(B787,'2-Kosten per locatie'!$A$11:$C$18,3,FALSE)</f>
        <v>0</v>
      </c>
      <c r="S787" s="138">
        <f t="shared" si="63"/>
        <v>0</v>
      </c>
      <c r="T787" s="139" t="str">
        <f>VLOOKUP(I787,'3-Productie normen'!A:AF,28,FALSE)</f>
        <v>B</v>
      </c>
      <c r="U787" s="140"/>
      <c r="W787" s="141">
        <f t="shared" si="64"/>
        <v>4767.4799999999996</v>
      </c>
    </row>
    <row r="788" spans="1:23" ht="13.9" customHeight="1">
      <c r="A788" s="132">
        <v>788</v>
      </c>
      <c r="B788" s="49" t="s">
        <v>1680</v>
      </c>
      <c r="C788" s="49" t="s">
        <v>668</v>
      </c>
      <c r="D788" s="145" t="s">
        <v>268</v>
      </c>
      <c r="E788" s="146" t="s">
        <v>1405</v>
      </c>
      <c r="F788" s="146" t="s">
        <v>543</v>
      </c>
      <c r="G788" s="145" t="s">
        <v>245</v>
      </c>
      <c r="H788" s="145" t="s">
        <v>50</v>
      </c>
      <c r="I788" s="145" t="s">
        <v>270</v>
      </c>
      <c r="J788" s="149" t="s">
        <v>251</v>
      </c>
      <c r="K788" s="152" t="s">
        <v>1522</v>
      </c>
      <c r="L788" s="151">
        <v>62.72</v>
      </c>
      <c r="M788" s="136">
        <f t="shared" si="60"/>
        <v>76</v>
      </c>
      <c r="N788" s="2">
        <v>76</v>
      </c>
      <c r="O788" s="2"/>
      <c r="P788" s="137" t="e">
        <f t="shared" si="61"/>
        <v>#DIV/0!</v>
      </c>
      <c r="Q788" s="137">
        <f t="shared" si="62"/>
        <v>0</v>
      </c>
      <c r="R788" s="138">
        <f>IF(N788="nio",0,IF(N788&gt;0,VLOOKUP(I788,'3-Productie normen'!A:V,VLOOKUP(N788,'3-Productie normen'!$B$35:$C$56,2,FALSE),FALSE)))/VLOOKUP(B788,'2-Kosten per locatie'!$A$11:$C$18,3,FALSE)</f>
        <v>0</v>
      </c>
      <c r="S788" s="138">
        <f t="shared" si="63"/>
        <v>0</v>
      </c>
      <c r="T788" s="139" t="str">
        <f>VLOOKUP(I788,'3-Productie normen'!A:AF,28,FALSE)</f>
        <v>B</v>
      </c>
      <c r="U788" s="140"/>
      <c r="W788" s="141">
        <f t="shared" si="64"/>
        <v>4766.72</v>
      </c>
    </row>
    <row r="789" spans="1:23" ht="13.9" customHeight="1">
      <c r="A789" s="118">
        <v>789</v>
      </c>
      <c r="B789" s="49" t="s">
        <v>1680</v>
      </c>
      <c r="C789" s="49" t="s">
        <v>668</v>
      </c>
      <c r="D789" s="145" t="s">
        <v>268</v>
      </c>
      <c r="E789" s="146" t="s">
        <v>1406</v>
      </c>
      <c r="F789" s="146"/>
      <c r="G789" s="145" t="s">
        <v>245</v>
      </c>
      <c r="H789" s="145" t="s">
        <v>245</v>
      </c>
      <c r="I789" s="92" t="s">
        <v>274</v>
      </c>
      <c r="J789" s="149" t="s">
        <v>251</v>
      </c>
      <c r="K789" s="152" t="s">
        <v>1522</v>
      </c>
      <c r="L789" s="151">
        <v>15.05</v>
      </c>
      <c r="M789" s="136">
        <f t="shared" si="60"/>
        <v>76</v>
      </c>
      <c r="N789" s="2">
        <v>76</v>
      </c>
      <c r="O789" s="2"/>
      <c r="P789" s="137" t="e">
        <f t="shared" si="61"/>
        <v>#DIV/0!</v>
      </c>
      <c r="Q789" s="137">
        <f t="shared" si="62"/>
        <v>0</v>
      </c>
      <c r="R789" s="138">
        <f>IF(N789="nio",0,IF(N789&gt;0,VLOOKUP(I789,'3-Productie normen'!A:V,VLOOKUP(N789,'3-Productie normen'!$B$35:$C$56,2,FALSE),FALSE)))/VLOOKUP(B789,'2-Kosten per locatie'!$A$11:$C$18,3,FALSE)</f>
        <v>0</v>
      </c>
      <c r="S789" s="138">
        <f t="shared" si="63"/>
        <v>0</v>
      </c>
      <c r="T789" s="139" t="str">
        <f>VLOOKUP(I789,'3-Productie normen'!A:AF,28,FALSE)</f>
        <v>B</v>
      </c>
      <c r="U789" s="140"/>
      <c r="W789" s="141">
        <f t="shared" si="64"/>
        <v>1143.8</v>
      </c>
    </row>
    <row r="790" spans="1:23" ht="13.9" customHeight="1">
      <c r="A790" s="132">
        <v>790</v>
      </c>
      <c r="B790" s="49" t="s">
        <v>1680</v>
      </c>
      <c r="C790" s="49" t="s">
        <v>668</v>
      </c>
      <c r="D790" s="145" t="s">
        <v>268</v>
      </c>
      <c r="E790" s="146" t="s">
        <v>1407</v>
      </c>
      <c r="F790" s="146"/>
      <c r="G790" s="145" t="s">
        <v>245</v>
      </c>
      <c r="H790" s="145" t="s">
        <v>245</v>
      </c>
      <c r="I790" s="92" t="s">
        <v>274</v>
      </c>
      <c r="J790" s="149" t="s">
        <v>251</v>
      </c>
      <c r="K790" s="152" t="s">
        <v>1522</v>
      </c>
      <c r="L790" s="151">
        <v>15.53</v>
      </c>
      <c r="M790" s="136">
        <f t="shared" si="60"/>
        <v>76</v>
      </c>
      <c r="N790" s="2">
        <v>76</v>
      </c>
      <c r="O790" s="2"/>
      <c r="P790" s="137" t="e">
        <f t="shared" si="61"/>
        <v>#DIV/0!</v>
      </c>
      <c r="Q790" s="137">
        <f t="shared" si="62"/>
        <v>0</v>
      </c>
      <c r="R790" s="138">
        <f>IF(N790="nio",0,IF(N790&gt;0,VLOOKUP(I790,'3-Productie normen'!A:V,VLOOKUP(N790,'3-Productie normen'!$B$35:$C$56,2,FALSE),FALSE)))/VLOOKUP(B790,'2-Kosten per locatie'!$A$11:$C$18,3,FALSE)</f>
        <v>0</v>
      </c>
      <c r="S790" s="138">
        <f t="shared" si="63"/>
        <v>0</v>
      </c>
      <c r="T790" s="139" t="str">
        <f>VLOOKUP(I790,'3-Productie normen'!A:AF,28,FALSE)</f>
        <v>B</v>
      </c>
      <c r="U790" s="140"/>
      <c r="W790" s="141">
        <f t="shared" si="64"/>
        <v>1180.28</v>
      </c>
    </row>
    <row r="791" spans="1:23" ht="13.9" customHeight="1">
      <c r="A791" s="132">
        <v>791</v>
      </c>
      <c r="B791" s="49" t="s">
        <v>1680</v>
      </c>
      <c r="C791" s="49" t="s">
        <v>668</v>
      </c>
      <c r="D791" s="145" t="s">
        <v>268</v>
      </c>
      <c r="E791" s="146" t="s">
        <v>1408</v>
      </c>
      <c r="F791" s="146"/>
      <c r="G791" s="145" t="s">
        <v>242</v>
      </c>
      <c r="H791" s="145" t="s">
        <v>242</v>
      </c>
      <c r="I791" s="1" t="s">
        <v>242</v>
      </c>
      <c r="J791" s="149" t="s">
        <v>251</v>
      </c>
      <c r="K791" s="152" t="s">
        <v>1522</v>
      </c>
      <c r="L791" s="151">
        <v>31.71</v>
      </c>
      <c r="M791" s="136">
        <f t="shared" ref="M791:M854" si="65">SUM(N791:O791)</f>
        <v>2</v>
      </c>
      <c r="N791" s="2">
        <v>2</v>
      </c>
      <c r="O791" s="2"/>
      <c r="P791" s="137" t="e">
        <f t="shared" ref="P791:P854" si="66">IF(N791="nio",0,IF(N791&gt;0,N791*L791/R791,0))</f>
        <v>#DIV/0!</v>
      </c>
      <c r="Q791" s="137">
        <f t="shared" ref="Q791:Q854" si="67">IF(O791&gt;0,O791*L791/S791,0)</f>
        <v>0</v>
      </c>
      <c r="R791" s="138">
        <f>IF(N791="nio",0,IF(N791&gt;0,VLOOKUP(I791,'3-Productie normen'!A:V,VLOOKUP(N791,'3-Productie normen'!$B$35:$C$56,2,FALSE),FALSE)))/VLOOKUP(B791,'2-Kosten per locatie'!$A$11:$C$18,3,FALSE)</f>
        <v>0</v>
      </c>
      <c r="S791" s="138">
        <f t="shared" ref="S791:S854" si="68">IF(O791&gt;0,R791*$S$8,0)</f>
        <v>0</v>
      </c>
      <c r="T791" s="139" t="str">
        <f>VLOOKUP(I791,'3-Productie normen'!A:AF,28,FALSE)</f>
        <v>V</v>
      </c>
      <c r="U791" s="140"/>
      <c r="W791" s="141">
        <f t="shared" ref="W791:W854" si="69">M791*L791</f>
        <v>63.42</v>
      </c>
    </row>
    <row r="792" spans="1:23" ht="13.9" customHeight="1">
      <c r="A792" s="118">
        <v>792</v>
      </c>
      <c r="B792" s="49" t="s">
        <v>1680</v>
      </c>
      <c r="C792" s="49" t="s">
        <v>668</v>
      </c>
      <c r="D792" s="145" t="s">
        <v>268</v>
      </c>
      <c r="E792" s="146" t="s">
        <v>1409</v>
      </c>
      <c r="F792" s="146"/>
      <c r="G792" s="145" t="s">
        <v>264</v>
      </c>
      <c r="H792" s="145" t="s">
        <v>1287</v>
      </c>
      <c r="I792" s="145" t="s">
        <v>285</v>
      </c>
      <c r="J792" s="149" t="s">
        <v>295</v>
      </c>
      <c r="K792" s="150"/>
      <c r="L792" s="151">
        <v>19.72</v>
      </c>
      <c r="M792" s="136">
        <f t="shared" si="65"/>
        <v>190</v>
      </c>
      <c r="N792" s="2">
        <v>190</v>
      </c>
      <c r="O792" s="2"/>
      <c r="P792" s="137" t="e">
        <f t="shared" si="66"/>
        <v>#DIV/0!</v>
      </c>
      <c r="Q792" s="137">
        <f t="shared" si="67"/>
        <v>0</v>
      </c>
      <c r="R792" s="138">
        <f>IF(N792="nio",0,IF(N792&gt;0,VLOOKUP(I792,'3-Productie normen'!A:V,VLOOKUP(N792,'3-Productie normen'!$B$35:$C$56,2,FALSE),FALSE)))/VLOOKUP(B792,'2-Kosten per locatie'!$A$11:$C$18,3,FALSE)</f>
        <v>0</v>
      </c>
      <c r="S792" s="138">
        <f t="shared" si="68"/>
        <v>0</v>
      </c>
      <c r="T792" s="139" t="str">
        <f>VLOOKUP(I792,'3-Productie normen'!A:AF,28,FALSE)</f>
        <v>L</v>
      </c>
      <c r="U792" s="140"/>
      <c r="W792" s="141">
        <f t="shared" si="69"/>
        <v>3746.7999999999997</v>
      </c>
    </row>
    <row r="793" spans="1:23" ht="13.9" customHeight="1">
      <c r="A793" s="132">
        <v>793</v>
      </c>
      <c r="B793" s="49" t="s">
        <v>1680</v>
      </c>
      <c r="C793" s="49" t="s">
        <v>668</v>
      </c>
      <c r="D793" s="145" t="s">
        <v>268</v>
      </c>
      <c r="E793" s="146" t="s">
        <v>1410</v>
      </c>
      <c r="F793" s="146"/>
      <c r="G793" s="145" t="s">
        <v>242</v>
      </c>
      <c r="H793" s="145" t="s">
        <v>242</v>
      </c>
      <c r="I793" s="1" t="s">
        <v>242</v>
      </c>
      <c r="J793" s="149" t="s">
        <v>295</v>
      </c>
      <c r="K793" s="150"/>
      <c r="L793" s="151">
        <v>4.12</v>
      </c>
      <c r="M793" s="136">
        <f t="shared" si="65"/>
        <v>2</v>
      </c>
      <c r="N793" s="2">
        <v>2</v>
      </c>
      <c r="O793" s="2"/>
      <c r="P793" s="137" t="e">
        <f t="shared" si="66"/>
        <v>#DIV/0!</v>
      </c>
      <c r="Q793" s="137">
        <f t="shared" si="67"/>
        <v>0</v>
      </c>
      <c r="R793" s="138">
        <f>IF(N793="nio",0,IF(N793&gt;0,VLOOKUP(I793,'3-Productie normen'!A:V,VLOOKUP(N793,'3-Productie normen'!$B$35:$C$56,2,FALSE),FALSE)))/VLOOKUP(B793,'2-Kosten per locatie'!$A$11:$C$18,3,FALSE)</f>
        <v>0</v>
      </c>
      <c r="S793" s="138">
        <f t="shared" si="68"/>
        <v>0</v>
      </c>
      <c r="T793" s="139" t="str">
        <f>VLOOKUP(I793,'3-Productie normen'!A:AF,28,FALSE)</f>
        <v>V</v>
      </c>
      <c r="U793" s="140"/>
      <c r="W793" s="141">
        <f t="shared" si="69"/>
        <v>8.24</v>
      </c>
    </row>
    <row r="794" spans="1:23" ht="13.9" customHeight="1">
      <c r="A794" s="132">
        <v>794</v>
      </c>
      <c r="B794" s="49" t="s">
        <v>1680</v>
      </c>
      <c r="C794" s="49" t="s">
        <v>668</v>
      </c>
      <c r="D794" s="145" t="s">
        <v>268</v>
      </c>
      <c r="E794" s="146" t="s">
        <v>1411</v>
      </c>
      <c r="F794" s="146" t="s">
        <v>298</v>
      </c>
      <c r="G794" s="145" t="s">
        <v>264</v>
      </c>
      <c r="H794" s="145" t="s">
        <v>265</v>
      </c>
      <c r="I794" s="145" t="s">
        <v>284</v>
      </c>
      <c r="J794" s="149" t="s">
        <v>295</v>
      </c>
      <c r="K794" s="150"/>
      <c r="L794" s="151">
        <v>156.5</v>
      </c>
      <c r="M794" s="136">
        <f t="shared" si="65"/>
        <v>76</v>
      </c>
      <c r="N794" s="2">
        <v>76</v>
      </c>
      <c r="O794" s="2"/>
      <c r="P794" s="137" t="e">
        <f t="shared" si="66"/>
        <v>#DIV/0!</v>
      </c>
      <c r="Q794" s="137">
        <f t="shared" si="67"/>
        <v>0</v>
      </c>
      <c r="R794" s="138">
        <f>IF(N794="nio",0,IF(N794&gt;0,VLOOKUP(I794,'3-Productie normen'!A:V,VLOOKUP(N794,'3-Productie normen'!$B$35:$C$56,2,FALSE),FALSE)))/VLOOKUP(B794,'2-Kosten per locatie'!$A$11:$C$18,3,FALSE)</f>
        <v>0</v>
      </c>
      <c r="S794" s="138">
        <f t="shared" si="68"/>
        <v>0</v>
      </c>
      <c r="T794" s="139" t="str">
        <f>VLOOKUP(I794,'3-Productie normen'!A:AF,28,FALSE)</f>
        <v>L</v>
      </c>
      <c r="U794" s="140"/>
      <c r="W794" s="141">
        <f t="shared" si="69"/>
        <v>11894</v>
      </c>
    </row>
    <row r="795" spans="1:23" ht="13.9" customHeight="1">
      <c r="A795" s="118">
        <v>795</v>
      </c>
      <c r="B795" s="49" t="s">
        <v>1680</v>
      </c>
      <c r="C795" s="49" t="s">
        <v>668</v>
      </c>
      <c r="D795" s="145" t="s">
        <v>268</v>
      </c>
      <c r="E795" s="146" t="s">
        <v>1412</v>
      </c>
      <c r="F795" s="146"/>
      <c r="G795" s="145" t="s">
        <v>264</v>
      </c>
      <c r="H795" s="145" t="s">
        <v>265</v>
      </c>
      <c r="I795" s="145" t="s">
        <v>284</v>
      </c>
      <c r="J795" s="149" t="s">
        <v>251</v>
      </c>
      <c r="K795" s="152" t="s">
        <v>1522</v>
      </c>
      <c r="L795" s="151">
        <v>27.91</v>
      </c>
      <c r="M795" s="136">
        <f t="shared" si="65"/>
        <v>76</v>
      </c>
      <c r="N795" s="2">
        <v>76</v>
      </c>
      <c r="O795" s="2"/>
      <c r="P795" s="137" t="e">
        <f t="shared" si="66"/>
        <v>#DIV/0!</v>
      </c>
      <c r="Q795" s="137">
        <f t="shared" si="67"/>
        <v>0</v>
      </c>
      <c r="R795" s="138">
        <f>IF(N795="nio",0,IF(N795&gt;0,VLOOKUP(I795,'3-Productie normen'!A:V,VLOOKUP(N795,'3-Productie normen'!$B$35:$C$56,2,FALSE),FALSE)))/VLOOKUP(B795,'2-Kosten per locatie'!$A$11:$C$18,3,FALSE)</f>
        <v>0</v>
      </c>
      <c r="S795" s="138">
        <f t="shared" si="68"/>
        <v>0</v>
      </c>
      <c r="T795" s="139" t="str">
        <f>VLOOKUP(I795,'3-Productie normen'!A:AF,28,FALSE)</f>
        <v>L</v>
      </c>
      <c r="U795" s="140"/>
      <c r="W795" s="141">
        <f t="shared" si="69"/>
        <v>2121.16</v>
      </c>
    </row>
    <row r="796" spans="1:23" ht="13.9" customHeight="1">
      <c r="A796" s="132">
        <v>796</v>
      </c>
      <c r="B796" s="49" t="s">
        <v>1680</v>
      </c>
      <c r="C796" s="49" t="s">
        <v>668</v>
      </c>
      <c r="D796" s="145" t="s">
        <v>268</v>
      </c>
      <c r="E796" s="146" t="s">
        <v>1413</v>
      </c>
      <c r="F796" s="146"/>
      <c r="G796" s="145" t="s">
        <v>245</v>
      </c>
      <c r="H796" s="145" t="s">
        <v>245</v>
      </c>
      <c r="I796" s="92" t="s">
        <v>274</v>
      </c>
      <c r="J796" s="149" t="s">
        <v>251</v>
      </c>
      <c r="K796" s="152" t="s">
        <v>1522</v>
      </c>
      <c r="L796" s="151">
        <v>91.85</v>
      </c>
      <c r="M796" s="136">
        <f t="shared" si="65"/>
        <v>76</v>
      </c>
      <c r="N796" s="2">
        <v>76</v>
      </c>
      <c r="O796" s="2"/>
      <c r="P796" s="137" t="e">
        <f t="shared" si="66"/>
        <v>#DIV/0!</v>
      </c>
      <c r="Q796" s="137">
        <f t="shared" si="67"/>
        <v>0</v>
      </c>
      <c r="R796" s="138">
        <f>IF(N796="nio",0,IF(N796&gt;0,VLOOKUP(I796,'3-Productie normen'!A:V,VLOOKUP(N796,'3-Productie normen'!$B$35:$C$56,2,FALSE),FALSE)))/VLOOKUP(B796,'2-Kosten per locatie'!$A$11:$C$18,3,FALSE)</f>
        <v>0</v>
      </c>
      <c r="S796" s="138">
        <f t="shared" si="68"/>
        <v>0</v>
      </c>
      <c r="T796" s="139" t="str">
        <f>VLOOKUP(I796,'3-Productie normen'!A:AF,28,FALSE)</f>
        <v>B</v>
      </c>
      <c r="U796" s="140"/>
      <c r="W796" s="141">
        <f t="shared" si="69"/>
        <v>6980.5999999999995</v>
      </c>
    </row>
    <row r="797" spans="1:23" ht="13.9" customHeight="1">
      <c r="A797" s="132">
        <v>797</v>
      </c>
      <c r="B797" s="49" t="s">
        <v>1680</v>
      </c>
      <c r="C797" s="49" t="s">
        <v>668</v>
      </c>
      <c r="D797" s="145" t="s">
        <v>268</v>
      </c>
      <c r="E797" s="146" t="s">
        <v>1414</v>
      </c>
      <c r="F797" s="146"/>
      <c r="G797" s="145" t="s">
        <v>264</v>
      </c>
      <c r="H797" s="145" t="s">
        <v>265</v>
      </c>
      <c r="I797" s="145" t="s">
        <v>284</v>
      </c>
      <c r="J797" s="149" t="s">
        <v>251</v>
      </c>
      <c r="K797" s="152" t="s">
        <v>1522</v>
      </c>
      <c r="L797" s="151">
        <v>150.03</v>
      </c>
      <c r="M797" s="136">
        <f t="shared" si="65"/>
        <v>76</v>
      </c>
      <c r="N797" s="2">
        <v>76</v>
      </c>
      <c r="O797" s="2"/>
      <c r="P797" s="137" t="e">
        <f t="shared" si="66"/>
        <v>#DIV/0!</v>
      </c>
      <c r="Q797" s="137">
        <f t="shared" si="67"/>
        <v>0</v>
      </c>
      <c r="R797" s="138">
        <f>IF(N797="nio",0,IF(N797&gt;0,VLOOKUP(I797,'3-Productie normen'!A:V,VLOOKUP(N797,'3-Productie normen'!$B$35:$C$56,2,FALSE),FALSE)))/VLOOKUP(B797,'2-Kosten per locatie'!$A$11:$C$18,3,FALSE)</f>
        <v>0</v>
      </c>
      <c r="S797" s="138">
        <f t="shared" si="68"/>
        <v>0</v>
      </c>
      <c r="T797" s="139" t="str">
        <f>VLOOKUP(I797,'3-Productie normen'!A:AF,28,FALSE)</f>
        <v>L</v>
      </c>
      <c r="U797" s="140"/>
      <c r="W797" s="141">
        <f t="shared" si="69"/>
        <v>11402.28</v>
      </c>
    </row>
    <row r="798" spans="1:23" ht="13.9" customHeight="1">
      <c r="A798" s="118">
        <v>798</v>
      </c>
      <c r="B798" s="49" t="s">
        <v>1680</v>
      </c>
      <c r="C798" s="49" t="s">
        <v>668</v>
      </c>
      <c r="D798" s="145" t="s">
        <v>268</v>
      </c>
      <c r="E798" s="146" t="s">
        <v>1415</v>
      </c>
      <c r="F798" s="146"/>
      <c r="G798" s="145" t="s">
        <v>245</v>
      </c>
      <c r="H798" s="145" t="s">
        <v>245</v>
      </c>
      <c r="I798" s="92" t="s">
        <v>274</v>
      </c>
      <c r="J798" s="149" t="s">
        <v>251</v>
      </c>
      <c r="K798" s="152" t="s">
        <v>1522</v>
      </c>
      <c r="L798" s="151">
        <v>10.53</v>
      </c>
      <c r="M798" s="136">
        <f t="shared" si="65"/>
        <v>76</v>
      </c>
      <c r="N798" s="2">
        <v>76</v>
      </c>
      <c r="O798" s="2"/>
      <c r="P798" s="137" t="e">
        <f t="shared" si="66"/>
        <v>#DIV/0!</v>
      </c>
      <c r="Q798" s="137">
        <f t="shared" si="67"/>
        <v>0</v>
      </c>
      <c r="R798" s="138">
        <f>IF(N798="nio",0,IF(N798&gt;0,VLOOKUP(I798,'3-Productie normen'!A:V,VLOOKUP(N798,'3-Productie normen'!$B$35:$C$56,2,FALSE),FALSE)))/VLOOKUP(B798,'2-Kosten per locatie'!$A$11:$C$18,3,FALSE)</f>
        <v>0</v>
      </c>
      <c r="S798" s="138">
        <f t="shared" si="68"/>
        <v>0</v>
      </c>
      <c r="T798" s="139" t="str">
        <f>VLOOKUP(I798,'3-Productie normen'!A:AF,28,FALSE)</f>
        <v>B</v>
      </c>
      <c r="U798" s="140"/>
      <c r="W798" s="141">
        <f t="shared" si="69"/>
        <v>800.28</v>
      </c>
    </row>
    <row r="799" spans="1:23" ht="13.9" customHeight="1">
      <c r="A799" s="132">
        <v>799</v>
      </c>
      <c r="B799" s="49" t="s">
        <v>1680</v>
      </c>
      <c r="C799" s="49" t="s">
        <v>668</v>
      </c>
      <c r="D799" s="145" t="s">
        <v>271</v>
      </c>
      <c r="E799" s="146" t="s">
        <v>1416</v>
      </c>
      <c r="F799" s="146"/>
      <c r="G799" s="145" t="s">
        <v>275</v>
      </c>
      <c r="H799" s="145" t="s">
        <v>53</v>
      </c>
      <c r="I799" s="1" t="s">
        <v>233</v>
      </c>
      <c r="J799" s="149" t="s">
        <v>305</v>
      </c>
      <c r="K799" s="150"/>
      <c r="L799" s="151">
        <v>79.680000000000007</v>
      </c>
      <c r="M799" s="136">
        <f t="shared" si="65"/>
        <v>190</v>
      </c>
      <c r="N799" s="2">
        <v>190</v>
      </c>
      <c r="O799" s="2"/>
      <c r="P799" s="137" t="e">
        <f t="shared" si="66"/>
        <v>#DIV/0!</v>
      </c>
      <c r="Q799" s="137">
        <f t="shared" si="67"/>
        <v>0</v>
      </c>
      <c r="R799" s="138">
        <f>IF(N799="nio",0,IF(N799&gt;0,VLOOKUP(I799,'3-Productie normen'!A:V,VLOOKUP(N799,'3-Productie normen'!$B$35:$C$56,2,FALSE),FALSE)))/VLOOKUP(B799,'2-Kosten per locatie'!$A$11:$C$18,3,FALSE)</f>
        <v>0</v>
      </c>
      <c r="S799" s="138">
        <f t="shared" si="68"/>
        <v>0</v>
      </c>
      <c r="T799" s="139" t="str">
        <f>VLOOKUP(I799,'3-Productie normen'!A:AF,28,FALSE)</f>
        <v>V</v>
      </c>
      <c r="U799" s="140"/>
      <c r="W799" s="141">
        <f t="shared" si="69"/>
        <v>15139.2</v>
      </c>
    </row>
    <row r="800" spans="1:23" ht="13.9" customHeight="1">
      <c r="A800" s="132">
        <v>800</v>
      </c>
      <c r="B800" s="49" t="s">
        <v>1680</v>
      </c>
      <c r="C800" s="49" t="s">
        <v>668</v>
      </c>
      <c r="D800" s="145" t="s">
        <v>271</v>
      </c>
      <c r="E800" s="146" t="s">
        <v>1417</v>
      </c>
      <c r="F800" s="146"/>
      <c r="G800" s="145" t="s">
        <v>275</v>
      </c>
      <c r="H800" s="145" t="s">
        <v>53</v>
      </c>
      <c r="I800" s="1" t="s">
        <v>233</v>
      </c>
      <c r="J800" s="149" t="s">
        <v>305</v>
      </c>
      <c r="K800" s="150"/>
      <c r="L800" s="151">
        <v>26.1</v>
      </c>
      <c r="M800" s="136">
        <f t="shared" si="65"/>
        <v>190</v>
      </c>
      <c r="N800" s="2">
        <v>190</v>
      </c>
      <c r="O800" s="2"/>
      <c r="P800" s="137" t="e">
        <f t="shared" si="66"/>
        <v>#DIV/0!</v>
      </c>
      <c r="Q800" s="137">
        <f t="shared" si="67"/>
        <v>0</v>
      </c>
      <c r="R800" s="138">
        <f>IF(N800="nio",0,IF(N800&gt;0,VLOOKUP(I800,'3-Productie normen'!A:V,VLOOKUP(N800,'3-Productie normen'!$B$35:$C$56,2,FALSE),FALSE)))/VLOOKUP(B800,'2-Kosten per locatie'!$A$11:$C$18,3,FALSE)</f>
        <v>0</v>
      </c>
      <c r="S800" s="138">
        <f t="shared" si="68"/>
        <v>0</v>
      </c>
      <c r="T800" s="139" t="str">
        <f>VLOOKUP(I800,'3-Productie normen'!A:AF,28,FALSE)</f>
        <v>V</v>
      </c>
      <c r="U800" s="140"/>
      <c r="W800" s="141">
        <f t="shared" si="69"/>
        <v>4959</v>
      </c>
    </row>
    <row r="801" spans="1:23" ht="13.9" customHeight="1">
      <c r="A801" s="118">
        <v>801</v>
      </c>
      <c r="B801" s="49" t="s">
        <v>1680</v>
      </c>
      <c r="C801" s="49" t="s">
        <v>668</v>
      </c>
      <c r="D801" s="145" t="s">
        <v>271</v>
      </c>
      <c r="E801" s="146" t="s">
        <v>1418</v>
      </c>
      <c r="F801" s="146"/>
      <c r="G801" s="145" t="s">
        <v>275</v>
      </c>
      <c r="H801" s="145" t="s">
        <v>54</v>
      </c>
      <c r="I801" s="145" t="s">
        <v>239</v>
      </c>
      <c r="J801" s="149" t="s">
        <v>231</v>
      </c>
      <c r="K801" s="150"/>
      <c r="L801" s="151">
        <v>0</v>
      </c>
      <c r="M801" s="136">
        <f t="shared" si="65"/>
        <v>0</v>
      </c>
      <c r="N801" s="2" t="s">
        <v>273</v>
      </c>
      <c r="O801" s="2"/>
      <c r="P801" s="137">
        <f t="shared" si="66"/>
        <v>0</v>
      </c>
      <c r="Q801" s="137">
        <f t="shared" si="67"/>
        <v>0</v>
      </c>
      <c r="R801" s="138">
        <f>IF(N801="nio",0,IF(N801&gt;0,VLOOKUP(I801,'3-Productie normen'!A:V,VLOOKUP(N801,'3-Productie normen'!$B$35:$C$56,2,FALSE),FALSE)))/VLOOKUP(B801,'2-Kosten per locatie'!$A$11:$C$18,3,FALSE)</f>
        <v>0</v>
      </c>
      <c r="S801" s="138">
        <f t="shared" si="68"/>
        <v>0</v>
      </c>
      <c r="T801" s="139">
        <f>VLOOKUP(I801,'3-Productie normen'!A:AF,28,FALSE)</f>
        <v>0</v>
      </c>
      <c r="U801" s="140"/>
      <c r="W801" s="141">
        <f t="shared" si="69"/>
        <v>0</v>
      </c>
    </row>
    <row r="802" spans="1:23" ht="13.9" customHeight="1">
      <c r="A802" s="132">
        <v>802</v>
      </c>
      <c r="B802" s="49" t="s">
        <v>1680</v>
      </c>
      <c r="C802" s="49" t="s">
        <v>668</v>
      </c>
      <c r="D802" s="145" t="s">
        <v>271</v>
      </c>
      <c r="E802" s="146" t="s">
        <v>1419</v>
      </c>
      <c r="F802" s="146"/>
      <c r="G802" s="145" t="s">
        <v>276</v>
      </c>
      <c r="H802" s="145" t="s">
        <v>236</v>
      </c>
      <c r="I802" s="49" t="s">
        <v>1486</v>
      </c>
      <c r="J802" s="149" t="s">
        <v>305</v>
      </c>
      <c r="K802" s="150"/>
      <c r="L802" s="151">
        <v>73.34</v>
      </c>
      <c r="M802" s="136">
        <f t="shared" si="65"/>
        <v>190</v>
      </c>
      <c r="N802" s="2">
        <v>190</v>
      </c>
      <c r="O802" s="2"/>
      <c r="P802" s="137" t="e">
        <f t="shared" si="66"/>
        <v>#DIV/0!</v>
      </c>
      <c r="Q802" s="137">
        <f t="shared" si="67"/>
        <v>0</v>
      </c>
      <c r="R802" s="138">
        <f>IF(N802="nio",0,IF(N802&gt;0,VLOOKUP(I802,'3-Productie normen'!A:V,VLOOKUP(N802,'3-Productie normen'!$B$35:$C$56,2,FALSE),FALSE)))/VLOOKUP(B802,'2-Kosten per locatie'!$A$11:$C$18,3,FALSE)</f>
        <v>0</v>
      </c>
      <c r="S802" s="138">
        <f t="shared" si="68"/>
        <v>0</v>
      </c>
      <c r="T802" s="139" t="str">
        <f>VLOOKUP(I802,'3-Productie normen'!A:AF,28,FALSE)</f>
        <v>V</v>
      </c>
      <c r="U802" s="140"/>
      <c r="W802" s="141">
        <f t="shared" si="69"/>
        <v>13934.6</v>
      </c>
    </row>
    <row r="803" spans="1:23" ht="13.9" customHeight="1">
      <c r="A803" s="132">
        <v>803</v>
      </c>
      <c r="B803" s="49" t="s">
        <v>1680</v>
      </c>
      <c r="C803" s="49" t="s">
        <v>668</v>
      </c>
      <c r="D803" s="145" t="s">
        <v>271</v>
      </c>
      <c r="E803" s="146" t="s">
        <v>1420</v>
      </c>
      <c r="F803" s="146"/>
      <c r="G803" s="145" t="s">
        <v>276</v>
      </c>
      <c r="H803" s="145" t="s">
        <v>236</v>
      </c>
      <c r="I803" s="49" t="s">
        <v>1486</v>
      </c>
      <c r="J803" s="149" t="s">
        <v>305</v>
      </c>
      <c r="K803" s="150"/>
      <c r="L803" s="151">
        <v>71.489999999999995</v>
      </c>
      <c r="M803" s="136">
        <f t="shared" si="65"/>
        <v>190</v>
      </c>
      <c r="N803" s="2">
        <v>190</v>
      </c>
      <c r="O803" s="2"/>
      <c r="P803" s="137" t="e">
        <f t="shared" si="66"/>
        <v>#DIV/0!</v>
      </c>
      <c r="Q803" s="137">
        <f t="shared" si="67"/>
        <v>0</v>
      </c>
      <c r="R803" s="138">
        <f>IF(N803="nio",0,IF(N803&gt;0,VLOOKUP(I803,'3-Productie normen'!A:V,VLOOKUP(N803,'3-Productie normen'!$B$35:$C$56,2,FALSE),FALSE)))/VLOOKUP(B803,'2-Kosten per locatie'!$A$11:$C$18,3,FALSE)</f>
        <v>0</v>
      </c>
      <c r="S803" s="138">
        <f t="shared" si="68"/>
        <v>0</v>
      </c>
      <c r="T803" s="139" t="str">
        <f>VLOOKUP(I803,'3-Productie normen'!A:AF,28,FALSE)</f>
        <v>V</v>
      </c>
      <c r="U803" s="140"/>
      <c r="W803" s="141">
        <f t="shared" si="69"/>
        <v>13583.099999999999</v>
      </c>
    </row>
    <row r="804" spans="1:23" ht="13.9" customHeight="1">
      <c r="A804" s="118">
        <v>804</v>
      </c>
      <c r="B804" s="49" t="s">
        <v>1680</v>
      </c>
      <c r="C804" s="49" t="s">
        <v>668</v>
      </c>
      <c r="D804" s="145" t="s">
        <v>271</v>
      </c>
      <c r="E804" s="146" t="s">
        <v>1421</v>
      </c>
      <c r="F804" s="146"/>
      <c r="G804" s="145" t="s">
        <v>276</v>
      </c>
      <c r="H804" s="145" t="s">
        <v>236</v>
      </c>
      <c r="I804" s="49" t="s">
        <v>1486</v>
      </c>
      <c r="J804" s="149" t="s">
        <v>305</v>
      </c>
      <c r="K804" s="150"/>
      <c r="L804" s="151">
        <v>9.1199999999999992</v>
      </c>
      <c r="M804" s="136">
        <f t="shared" si="65"/>
        <v>190</v>
      </c>
      <c r="N804" s="2">
        <v>190</v>
      </c>
      <c r="O804" s="2"/>
      <c r="P804" s="137" t="e">
        <f t="shared" si="66"/>
        <v>#DIV/0!</v>
      </c>
      <c r="Q804" s="137">
        <f t="shared" si="67"/>
        <v>0</v>
      </c>
      <c r="R804" s="138">
        <f>IF(N804="nio",0,IF(N804&gt;0,VLOOKUP(I804,'3-Productie normen'!A:V,VLOOKUP(N804,'3-Productie normen'!$B$35:$C$56,2,FALSE),FALSE)))/VLOOKUP(B804,'2-Kosten per locatie'!$A$11:$C$18,3,FALSE)</f>
        <v>0</v>
      </c>
      <c r="S804" s="138">
        <f t="shared" si="68"/>
        <v>0</v>
      </c>
      <c r="T804" s="139" t="str">
        <f>VLOOKUP(I804,'3-Productie normen'!A:AF,28,FALSE)</f>
        <v>V</v>
      </c>
      <c r="U804" s="140"/>
      <c r="W804" s="141">
        <f t="shared" si="69"/>
        <v>1732.8</v>
      </c>
    </row>
    <row r="805" spans="1:23" ht="13.9" customHeight="1">
      <c r="A805" s="132">
        <v>805</v>
      </c>
      <c r="B805" s="49" t="s">
        <v>1680</v>
      </c>
      <c r="C805" s="49" t="s">
        <v>668</v>
      </c>
      <c r="D805" s="145" t="s">
        <v>271</v>
      </c>
      <c r="E805" s="146" t="s">
        <v>1422</v>
      </c>
      <c r="F805" s="146"/>
      <c r="G805" s="145" t="s">
        <v>276</v>
      </c>
      <c r="H805" s="145" t="s">
        <v>236</v>
      </c>
      <c r="I805" s="49" t="s">
        <v>1486</v>
      </c>
      <c r="J805" s="149" t="s">
        <v>305</v>
      </c>
      <c r="K805" s="150"/>
      <c r="L805" s="151">
        <v>45.8</v>
      </c>
      <c r="M805" s="136">
        <f t="shared" si="65"/>
        <v>190</v>
      </c>
      <c r="N805" s="2">
        <v>190</v>
      </c>
      <c r="O805" s="2"/>
      <c r="P805" s="137" t="e">
        <f t="shared" si="66"/>
        <v>#DIV/0!</v>
      </c>
      <c r="Q805" s="137">
        <f t="shared" si="67"/>
        <v>0</v>
      </c>
      <c r="R805" s="138">
        <f>IF(N805="nio",0,IF(N805&gt;0,VLOOKUP(I805,'3-Productie normen'!A:V,VLOOKUP(N805,'3-Productie normen'!$B$35:$C$56,2,FALSE),FALSE)))/VLOOKUP(B805,'2-Kosten per locatie'!$A$11:$C$18,3,FALSE)</f>
        <v>0</v>
      </c>
      <c r="S805" s="138">
        <f t="shared" si="68"/>
        <v>0</v>
      </c>
      <c r="T805" s="139" t="str">
        <f>VLOOKUP(I805,'3-Productie normen'!A:AF,28,FALSE)</f>
        <v>V</v>
      </c>
      <c r="U805" s="140"/>
      <c r="W805" s="141">
        <f t="shared" si="69"/>
        <v>8702</v>
      </c>
    </row>
    <row r="806" spans="1:23" ht="13.9" customHeight="1">
      <c r="A806" s="132">
        <v>806</v>
      </c>
      <c r="B806" s="49" t="s">
        <v>1680</v>
      </c>
      <c r="C806" s="49" t="s">
        <v>668</v>
      </c>
      <c r="D806" s="145" t="s">
        <v>271</v>
      </c>
      <c r="E806" s="146" t="s">
        <v>1423</v>
      </c>
      <c r="F806" s="146"/>
      <c r="G806" s="145" t="s">
        <v>237</v>
      </c>
      <c r="H806" s="145" t="s">
        <v>269</v>
      </c>
      <c r="I806" s="91" t="s">
        <v>239</v>
      </c>
      <c r="J806" s="149" t="s">
        <v>305</v>
      </c>
      <c r="K806" s="150"/>
      <c r="L806" s="151">
        <v>7.02</v>
      </c>
      <c r="M806" s="136">
        <f t="shared" si="65"/>
        <v>0</v>
      </c>
      <c r="N806" s="2" t="s">
        <v>273</v>
      </c>
      <c r="O806" s="2"/>
      <c r="P806" s="137">
        <f t="shared" si="66"/>
        <v>0</v>
      </c>
      <c r="Q806" s="137">
        <f t="shared" si="67"/>
        <v>0</v>
      </c>
      <c r="R806" s="138">
        <f>IF(N806="nio",0,IF(N806&gt;0,VLOOKUP(I806,'3-Productie normen'!A:V,VLOOKUP(N806,'3-Productie normen'!$B$35:$C$56,2,FALSE),FALSE)))/VLOOKUP(B806,'2-Kosten per locatie'!$A$11:$C$18,3,FALSE)</f>
        <v>0</v>
      </c>
      <c r="S806" s="138">
        <f t="shared" si="68"/>
        <v>0</v>
      </c>
      <c r="T806" s="139">
        <f>VLOOKUP(I806,'3-Productie normen'!A:AF,28,FALSE)</f>
        <v>0</v>
      </c>
      <c r="U806" s="140"/>
      <c r="W806" s="141">
        <f t="shared" si="69"/>
        <v>0</v>
      </c>
    </row>
    <row r="807" spans="1:23" ht="13.9" customHeight="1">
      <c r="A807" s="118">
        <v>807</v>
      </c>
      <c r="B807" s="49" t="s">
        <v>1680</v>
      </c>
      <c r="C807" s="49" t="s">
        <v>668</v>
      </c>
      <c r="D807" s="145" t="s">
        <v>271</v>
      </c>
      <c r="E807" s="146" t="s">
        <v>1424</v>
      </c>
      <c r="F807" s="146"/>
      <c r="G807" s="145" t="s">
        <v>237</v>
      </c>
      <c r="H807" s="145" t="s">
        <v>257</v>
      </c>
      <c r="I807" s="91" t="s">
        <v>239</v>
      </c>
      <c r="J807" s="149" t="s">
        <v>231</v>
      </c>
      <c r="K807" s="150"/>
      <c r="L807" s="151">
        <v>0</v>
      </c>
      <c r="M807" s="136">
        <f t="shared" si="65"/>
        <v>0</v>
      </c>
      <c r="N807" s="2" t="s">
        <v>273</v>
      </c>
      <c r="O807" s="2"/>
      <c r="P807" s="137">
        <f t="shared" si="66"/>
        <v>0</v>
      </c>
      <c r="Q807" s="137">
        <f t="shared" si="67"/>
        <v>0</v>
      </c>
      <c r="R807" s="138">
        <f>IF(N807="nio",0,IF(N807&gt;0,VLOOKUP(I807,'3-Productie normen'!A:V,VLOOKUP(N807,'3-Productie normen'!$B$35:$C$56,2,FALSE),FALSE)))/VLOOKUP(B807,'2-Kosten per locatie'!$A$11:$C$18,3,FALSE)</f>
        <v>0</v>
      </c>
      <c r="S807" s="138">
        <f t="shared" si="68"/>
        <v>0</v>
      </c>
      <c r="T807" s="139">
        <f>VLOOKUP(I807,'3-Productie normen'!A:AF,28,FALSE)</f>
        <v>0</v>
      </c>
      <c r="U807" s="140"/>
      <c r="W807" s="141">
        <f t="shared" si="69"/>
        <v>0</v>
      </c>
    </row>
    <row r="808" spans="1:23" ht="13.9" customHeight="1">
      <c r="A808" s="132">
        <v>808</v>
      </c>
      <c r="B808" s="49" t="s">
        <v>1680</v>
      </c>
      <c r="C808" s="49" t="s">
        <v>668</v>
      </c>
      <c r="D808" s="145" t="s">
        <v>271</v>
      </c>
      <c r="E808" s="146" t="s">
        <v>1425</v>
      </c>
      <c r="F808" s="146"/>
      <c r="G808" s="145" t="s">
        <v>237</v>
      </c>
      <c r="H808" s="145" t="s">
        <v>257</v>
      </c>
      <c r="I808" s="91" t="s">
        <v>239</v>
      </c>
      <c r="J808" s="149" t="s">
        <v>231</v>
      </c>
      <c r="K808" s="150"/>
      <c r="L808" s="151">
        <v>0</v>
      </c>
      <c r="M808" s="136">
        <f t="shared" si="65"/>
        <v>0</v>
      </c>
      <c r="N808" s="2" t="s">
        <v>273</v>
      </c>
      <c r="O808" s="2"/>
      <c r="P808" s="137">
        <f t="shared" si="66"/>
        <v>0</v>
      </c>
      <c r="Q808" s="137">
        <f t="shared" si="67"/>
        <v>0</v>
      </c>
      <c r="R808" s="138">
        <f>IF(N808="nio",0,IF(N808&gt;0,VLOOKUP(I808,'3-Productie normen'!A:V,VLOOKUP(N808,'3-Productie normen'!$B$35:$C$56,2,FALSE),FALSE)))/VLOOKUP(B808,'2-Kosten per locatie'!$A$11:$C$18,3,FALSE)</f>
        <v>0</v>
      </c>
      <c r="S808" s="138">
        <f t="shared" si="68"/>
        <v>0</v>
      </c>
      <c r="T808" s="139">
        <f>VLOOKUP(I808,'3-Productie normen'!A:AF,28,FALSE)</f>
        <v>0</v>
      </c>
      <c r="U808" s="140"/>
      <c r="W808" s="141">
        <f t="shared" si="69"/>
        <v>0</v>
      </c>
    </row>
    <row r="809" spans="1:23" ht="13.9" customHeight="1">
      <c r="A809" s="132">
        <v>809</v>
      </c>
      <c r="B809" s="49" t="s">
        <v>1680</v>
      </c>
      <c r="C809" s="49" t="s">
        <v>668</v>
      </c>
      <c r="D809" s="145" t="s">
        <v>271</v>
      </c>
      <c r="E809" s="146" t="s">
        <v>1426</v>
      </c>
      <c r="F809" s="146"/>
      <c r="G809" s="145" t="s">
        <v>237</v>
      </c>
      <c r="H809" s="145" t="s">
        <v>257</v>
      </c>
      <c r="I809" s="91" t="s">
        <v>239</v>
      </c>
      <c r="J809" s="149" t="s">
        <v>231</v>
      </c>
      <c r="K809" s="150"/>
      <c r="L809" s="151">
        <v>0</v>
      </c>
      <c r="M809" s="136">
        <f t="shared" si="65"/>
        <v>0</v>
      </c>
      <c r="N809" s="2" t="s">
        <v>273</v>
      </c>
      <c r="O809" s="2"/>
      <c r="P809" s="137">
        <f t="shared" si="66"/>
        <v>0</v>
      </c>
      <c r="Q809" s="137">
        <f t="shared" si="67"/>
        <v>0</v>
      </c>
      <c r="R809" s="138">
        <f>IF(N809="nio",0,IF(N809&gt;0,VLOOKUP(I809,'3-Productie normen'!A:V,VLOOKUP(N809,'3-Productie normen'!$B$35:$C$56,2,FALSE),FALSE)))/VLOOKUP(B809,'2-Kosten per locatie'!$A$11:$C$18,3,FALSE)</f>
        <v>0</v>
      </c>
      <c r="S809" s="138">
        <f t="shared" si="68"/>
        <v>0</v>
      </c>
      <c r="T809" s="139">
        <f>VLOOKUP(I809,'3-Productie normen'!A:AF,28,FALSE)</f>
        <v>0</v>
      </c>
      <c r="U809" s="140"/>
      <c r="W809" s="141">
        <f t="shared" si="69"/>
        <v>0</v>
      </c>
    </row>
    <row r="810" spans="1:23" ht="13.9" customHeight="1">
      <c r="A810" s="118">
        <v>810</v>
      </c>
      <c r="B810" s="49" t="s">
        <v>1680</v>
      </c>
      <c r="C810" s="49" t="s">
        <v>668</v>
      </c>
      <c r="D810" s="145" t="s">
        <v>271</v>
      </c>
      <c r="E810" s="146" t="s">
        <v>1427</v>
      </c>
      <c r="F810" s="146"/>
      <c r="G810" s="145" t="s">
        <v>237</v>
      </c>
      <c r="H810" s="145" t="s">
        <v>257</v>
      </c>
      <c r="I810" s="91" t="s">
        <v>239</v>
      </c>
      <c r="J810" s="149" t="s">
        <v>231</v>
      </c>
      <c r="K810" s="150"/>
      <c r="L810" s="151">
        <v>0</v>
      </c>
      <c r="M810" s="136">
        <f t="shared" si="65"/>
        <v>0</v>
      </c>
      <c r="N810" s="2" t="s">
        <v>273</v>
      </c>
      <c r="O810" s="2"/>
      <c r="P810" s="137">
        <f t="shared" si="66"/>
        <v>0</v>
      </c>
      <c r="Q810" s="137">
        <f t="shared" si="67"/>
        <v>0</v>
      </c>
      <c r="R810" s="138">
        <f>IF(N810="nio",0,IF(N810&gt;0,VLOOKUP(I810,'3-Productie normen'!A:V,VLOOKUP(N810,'3-Productie normen'!$B$35:$C$56,2,FALSE),FALSE)))/VLOOKUP(B810,'2-Kosten per locatie'!$A$11:$C$18,3,FALSE)</f>
        <v>0</v>
      </c>
      <c r="S810" s="138">
        <f t="shared" si="68"/>
        <v>0</v>
      </c>
      <c r="T810" s="139">
        <f>VLOOKUP(I810,'3-Productie normen'!A:AF,28,FALSE)</f>
        <v>0</v>
      </c>
      <c r="U810" s="140"/>
      <c r="W810" s="141">
        <f t="shared" si="69"/>
        <v>0</v>
      </c>
    </row>
    <row r="811" spans="1:23" ht="13.9" customHeight="1">
      <c r="A811" s="132">
        <v>811</v>
      </c>
      <c r="B811" s="49" t="s">
        <v>1680</v>
      </c>
      <c r="C811" s="49" t="s">
        <v>668</v>
      </c>
      <c r="D811" s="145" t="s">
        <v>271</v>
      </c>
      <c r="E811" s="146" t="s">
        <v>1428</v>
      </c>
      <c r="F811" s="146"/>
      <c r="G811" s="145" t="s">
        <v>44</v>
      </c>
      <c r="H811" s="145" t="s">
        <v>258</v>
      </c>
      <c r="I811" s="145" t="s">
        <v>259</v>
      </c>
      <c r="J811" s="149" t="s">
        <v>305</v>
      </c>
      <c r="K811" s="150"/>
      <c r="L811" s="151">
        <v>2.1800000000000002</v>
      </c>
      <c r="M811" s="136">
        <f t="shared" si="65"/>
        <v>380</v>
      </c>
      <c r="N811" s="2">
        <v>190</v>
      </c>
      <c r="O811" s="2">
        <v>190</v>
      </c>
      <c r="P811" s="137" t="e">
        <f t="shared" si="66"/>
        <v>#DIV/0!</v>
      </c>
      <c r="Q811" s="137" t="e">
        <f t="shared" si="67"/>
        <v>#DIV/0!</v>
      </c>
      <c r="R811" s="138">
        <f>IF(N811="nio",0,IF(N811&gt;0,VLOOKUP(I811,'3-Productie normen'!A:V,VLOOKUP(N811,'3-Productie normen'!$B$35:$C$56,2,FALSE),FALSE)))/VLOOKUP(B811,'2-Kosten per locatie'!$A$11:$C$18,3,FALSE)</f>
        <v>0</v>
      </c>
      <c r="S811" s="138">
        <f t="shared" si="68"/>
        <v>0</v>
      </c>
      <c r="T811" s="139" t="str">
        <f>VLOOKUP(I811,'3-Productie normen'!A:AF,28,FALSE)</f>
        <v>S</v>
      </c>
      <c r="U811" s="140"/>
      <c r="W811" s="141">
        <f t="shared" si="69"/>
        <v>828.40000000000009</v>
      </c>
    </row>
    <row r="812" spans="1:23" ht="13.9" customHeight="1">
      <c r="A812" s="132">
        <v>812</v>
      </c>
      <c r="B812" s="49" t="s">
        <v>1680</v>
      </c>
      <c r="C812" s="49" t="s">
        <v>668</v>
      </c>
      <c r="D812" s="145" t="s">
        <v>271</v>
      </c>
      <c r="E812" s="146" t="s">
        <v>1429</v>
      </c>
      <c r="F812" s="146"/>
      <c r="G812" s="145" t="s">
        <v>44</v>
      </c>
      <c r="H812" s="145" t="s">
        <v>260</v>
      </c>
      <c r="I812" s="145" t="s">
        <v>259</v>
      </c>
      <c r="J812" s="149" t="s">
        <v>305</v>
      </c>
      <c r="K812" s="150"/>
      <c r="L812" s="151">
        <v>0.91</v>
      </c>
      <c r="M812" s="136">
        <f t="shared" si="65"/>
        <v>380</v>
      </c>
      <c r="N812" s="2">
        <v>190</v>
      </c>
      <c r="O812" s="2">
        <v>190</v>
      </c>
      <c r="P812" s="137" t="e">
        <f t="shared" si="66"/>
        <v>#DIV/0!</v>
      </c>
      <c r="Q812" s="137" t="e">
        <f t="shared" si="67"/>
        <v>#DIV/0!</v>
      </c>
      <c r="R812" s="138">
        <f>IF(N812="nio",0,IF(N812&gt;0,VLOOKUP(I812,'3-Productie normen'!A:V,VLOOKUP(N812,'3-Productie normen'!$B$35:$C$56,2,FALSE),FALSE)))/VLOOKUP(B812,'2-Kosten per locatie'!$A$11:$C$18,3,FALSE)</f>
        <v>0</v>
      </c>
      <c r="S812" s="138">
        <f t="shared" si="68"/>
        <v>0</v>
      </c>
      <c r="T812" s="139" t="str">
        <f>VLOOKUP(I812,'3-Productie normen'!A:AF,28,FALSE)</f>
        <v>S</v>
      </c>
      <c r="U812" s="140"/>
      <c r="W812" s="141">
        <f t="shared" si="69"/>
        <v>345.8</v>
      </c>
    </row>
    <row r="813" spans="1:23" ht="13.9" customHeight="1">
      <c r="A813" s="118">
        <v>813</v>
      </c>
      <c r="B813" s="49" t="s">
        <v>1680</v>
      </c>
      <c r="C813" s="49" t="s">
        <v>668</v>
      </c>
      <c r="D813" s="145" t="s">
        <v>271</v>
      </c>
      <c r="E813" s="146" t="s">
        <v>1430</v>
      </c>
      <c r="F813" s="146"/>
      <c r="G813" s="145" t="s">
        <v>44</v>
      </c>
      <c r="H813" s="145" t="s">
        <v>260</v>
      </c>
      <c r="I813" s="145" t="s">
        <v>259</v>
      </c>
      <c r="J813" s="149" t="s">
        <v>305</v>
      </c>
      <c r="K813" s="150"/>
      <c r="L813" s="151">
        <v>0.96</v>
      </c>
      <c r="M813" s="136">
        <f t="shared" si="65"/>
        <v>380</v>
      </c>
      <c r="N813" s="2">
        <v>190</v>
      </c>
      <c r="O813" s="2">
        <v>190</v>
      </c>
      <c r="P813" s="137" t="e">
        <f t="shared" si="66"/>
        <v>#DIV/0!</v>
      </c>
      <c r="Q813" s="137" t="e">
        <f t="shared" si="67"/>
        <v>#DIV/0!</v>
      </c>
      <c r="R813" s="138">
        <f>IF(N813="nio",0,IF(N813&gt;0,VLOOKUP(I813,'3-Productie normen'!A:V,VLOOKUP(N813,'3-Productie normen'!$B$35:$C$56,2,FALSE),FALSE)))/VLOOKUP(B813,'2-Kosten per locatie'!$A$11:$C$18,3,FALSE)</f>
        <v>0</v>
      </c>
      <c r="S813" s="138">
        <f t="shared" si="68"/>
        <v>0</v>
      </c>
      <c r="T813" s="139" t="str">
        <f>VLOOKUP(I813,'3-Productie normen'!A:AF,28,FALSE)</f>
        <v>S</v>
      </c>
      <c r="U813" s="140"/>
      <c r="W813" s="141">
        <f t="shared" si="69"/>
        <v>364.8</v>
      </c>
    </row>
    <row r="814" spans="1:23" ht="13.9" customHeight="1">
      <c r="A814" s="132">
        <v>814</v>
      </c>
      <c r="B814" s="49" t="s">
        <v>1680</v>
      </c>
      <c r="C814" s="49" t="s">
        <v>668</v>
      </c>
      <c r="D814" s="145" t="s">
        <v>271</v>
      </c>
      <c r="E814" s="146" t="s">
        <v>1431</v>
      </c>
      <c r="F814" s="146"/>
      <c r="G814" s="145" t="s">
        <v>44</v>
      </c>
      <c r="H814" s="145" t="s">
        <v>258</v>
      </c>
      <c r="I814" s="145" t="s">
        <v>259</v>
      </c>
      <c r="J814" s="149" t="s">
        <v>305</v>
      </c>
      <c r="K814" s="150"/>
      <c r="L814" s="151">
        <v>2.14</v>
      </c>
      <c r="M814" s="136">
        <f t="shared" si="65"/>
        <v>380</v>
      </c>
      <c r="N814" s="2">
        <v>190</v>
      </c>
      <c r="O814" s="2">
        <v>190</v>
      </c>
      <c r="P814" s="137" t="e">
        <f t="shared" si="66"/>
        <v>#DIV/0!</v>
      </c>
      <c r="Q814" s="137" t="e">
        <f t="shared" si="67"/>
        <v>#DIV/0!</v>
      </c>
      <c r="R814" s="138">
        <f>IF(N814="nio",0,IF(N814&gt;0,VLOOKUP(I814,'3-Productie normen'!A:V,VLOOKUP(N814,'3-Productie normen'!$B$35:$C$56,2,FALSE),FALSE)))/VLOOKUP(B814,'2-Kosten per locatie'!$A$11:$C$18,3,FALSE)</f>
        <v>0</v>
      </c>
      <c r="S814" s="138">
        <f t="shared" si="68"/>
        <v>0</v>
      </c>
      <c r="T814" s="139" t="str">
        <f>VLOOKUP(I814,'3-Productie normen'!A:AF,28,FALSE)</f>
        <v>S</v>
      </c>
      <c r="U814" s="140"/>
      <c r="W814" s="141">
        <f t="shared" si="69"/>
        <v>813.2</v>
      </c>
    </row>
    <row r="815" spans="1:23" ht="13.9" customHeight="1">
      <c r="A815" s="132">
        <v>815</v>
      </c>
      <c r="B815" s="49" t="s">
        <v>1680</v>
      </c>
      <c r="C815" s="49" t="s">
        <v>668</v>
      </c>
      <c r="D815" s="145" t="s">
        <v>271</v>
      </c>
      <c r="E815" s="146" t="s">
        <v>1432</v>
      </c>
      <c r="F815" s="146"/>
      <c r="G815" s="145" t="s">
        <v>44</v>
      </c>
      <c r="H815" s="145" t="s">
        <v>260</v>
      </c>
      <c r="I815" s="145" t="s">
        <v>259</v>
      </c>
      <c r="J815" s="149" t="s">
        <v>305</v>
      </c>
      <c r="K815" s="150"/>
      <c r="L815" s="151">
        <v>0.96</v>
      </c>
      <c r="M815" s="136">
        <f t="shared" si="65"/>
        <v>380</v>
      </c>
      <c r="N815" s="2">
        <v>190</v>
      </c>
      <c r="O815" s="2">
        <v>190</v>
      </c>
      <c r="P815" s="137" t="e">
        <f t="shared" si="66"/>
        <v>#DIV/0!</v>
      </c>
      <c r="Q815" s="137" t="e">
        <f t="shared" si="67"/>
        <v>#DIV/0!</v>
      </c>
      <c r="R815" s="138">
        <f>IF(N815="nio",0,IF(N815&gt;0,VLOOKUP(I815,'3-Productie normen'!A:V,VLOOKUP(N815,'3-Productie normen'!$B$35:$C$56,2,FALSE),FALSE)))/VLOOKUP(B815,'2-Kosten per locatie'!$A$11:$C$18,3,FALSE)</f>
        <v>0</v>
      </c>
      <c r="S815" s="138">
        <f t="shared" si="68"/>
        <v>0</v>
      </c>
      <c r="T815" s="139" t="str">
        <f>VLOOKUP(I815,'3-Productie normen'!A:AF,28,FALSE)</f>
        <v>S</v>
      </c>
      <c r="U815" s="140"/>
      <c r="W815" s="141">
        <f t="shared" si="69"/>
        <v>364.8</v>
      </c>
    </row>
    <row r="816" spans="1:23" ht="13.9" customHeight="1">
      <c r="A816" s="118">
        <v>816</v>
      </c>
      <c r="B816" s="49" t="s">
        <v>1680</v>
      </c>
      <c r="C816" s="49" t="s">
        <v>668</v>
      </c>
      <c r="D816" s="145" t="s">
        <v>271</v>
      </c>
      <c r="E816" s="146" t="s">
        <v>1433</v>
      </c>
      <c r="F816" s="146"/>
      <c r="G816" s="145" t="s">
        <v>44</v>
      </c>
      <c r="H816" s="145" t="s">
        <v>260</v>
      </c>
      <c r="I816" s="145" t="s">
        <v>259</v>
      </c>
      <c r="J816" s="149" t="s">
        <v>305</v>
      </c>
      <c r="K816" s="150"/>
      <c r="L816" s="151">
        <v>0.88</v>
      </c>
      <c r="M816" s="136">
        <f t="shared" si="65"/>
        <v>380</v>
      </c>
      <c r="N816" s="2">
        <v>190</v>
      </c>
      <c r="O816" s="2">
        <v>190</v>
      </c>
      <c r="P816" s="137" t="e">
        <f t="shared" si="66"/>
        <v>#DIV/0!</v>
      </c>
      <c r="Q816" s="137" t="e">
        <f t="shared" si="67"/>
        <v>#DIV/0!</v>
      </c>
      <c r="R816" s="138">
        <f>IF(N816="nio",0,IF(N816&gt;0,VLOOKUP(I816,'3-Productie normen'!A:V,VLOOKUP(N816,'3-Productie normen'!$B$35:$C$56,2,FALSE),FALSE)))/VLOOKUP(B816,'2-Kosten per locatie'!$A$11:$C$18,3,FALSE)</f>
        <v>0</v>
      </c>
      <c r="S816" s="138">
        <f t="shared" si="68"/>
        <v>0</v>
      </c>
      <c r="T816" s="139" t="str">
        <f>VLOOKUP(I816,'3-Productie normen'!A:AF,28,FALSE)</f>
        <v>S</v>
      </c>
      <c r="U816" s="140"/>
      <c r="W816" s="141">
        <f t="shared" si="69"/>
        <v>334.4</v>
      </c>
    </row>
    <row r="817" spans="1:23" ht="13.9" customHeight="1">
      <c r="A817" s="132">
        <v>817</v>
      </c>
      <c r="B817" s="49" t="s">
        <v>1680</v>
      </c>
      <c r="C817" s="49" t="s">
        <v>668</v>
      </c>
      <c r="D817" s="145" t="s">
        <v>271</v>
      </c>
      <c r="E817" s="146" t="s">
        <v>1434</v>
      </c>
      <c r="F817" s="146"/>
      <c r="G817" s="145" t="s">
        <v>44</v>
      </c>
      <c r="H817" s="145" t="s">
        <v>258</v>
      </c>
      <c r="I817" s="145" t="s">
        <v>259</v>
      </c>
      <c r="J817" s="149" t="s">
        <v>256</v>
      </c>
      <c r="K817" s="150"/>
      <c r="L817" s="151">
        <v>5.43</v>
      </c>
      <c r="M817" s="136">
        <f t="shared" si="65"/>
        <v>380</v>
      </c>
      <c r="N817" s="2">
        <v>190</v>
      </c>
      <c r="O817" s="2">
        <v>190</v>
      </c>
      <c r="P817" s="137" t="e">
        <f t="shared" si="66"/>
        <v>#DIV/0!</v>
      </c>
      <c r="Q817" s="137" t="e">
        <f t="shared" si="67"/>
        <v>#DIV/0!</v>
      </c>
      <c r="R817" s="138">
        <f>IF(N817="nio",0,IF(N817&gt;0,VLOOKUP(I817,'3-Productie normen'!A:V,VLOOKUP(N817,'3-Productie normen'!$B$35:$C$56,2,FALSE),FALSE)))/VLOOKUP(B817,'2-Kosten per locatie'!$A$11:$C$18,3,FALSE)</f>
        <v>0</v>
      </c>
      <c r="S817" s="138">
        <f t="shared" si="68"/>
        <v>0</v>
      </c>
      <c r="T817" s="139" t="str">
        <f>VLOOKUP(I817,'3-Productie normen'!A:AF,28,FALSE)</f>
        <v>S</v>
      </c>
      <c r="U817" s="140"/>
      <c r="W817" s="141">
        <f t="shared" si="69"/>
        <v>2063.4</v>
      </c>
    </row>
    <row r="818" spans="1:23" ht="13.9" customHeight="1">
      <c r="A818" s="132">
        <v>818</v>
      </c>
      <c r="B818" s="49" t="s">
        <v>1680</v>
      </c>
      <c r="C818" s="49" t="s">
        <v>668</v>
      </c>
      <c r="D818" s="145" t="s">
        <v>271</v>
      </c>
      <c r="E818" s="146" t="s">
        <v>1435</v>
      </c>
      <c r="F818" s="146"/>
      <c r="G818" s="145" t="s">
        <v>44</v>
      </c>
      <c r="H818" s="145" t="s">
        <v>260</v>
      </c>
      <c r="I818" s="145" t="s">
        <v>259</v>
      </c>
      <c r="J818" s="149" t="s">
        <v>256</v>
      </c>
      <c r="K818" s="150"/>
      <c r="L818" s="151">
        <v>1.01</v>
      </c>
      <c r="M818" s="136">
        <f t="shared" si="65"/>
        <v>380</v>
      </c>
      <c r="N818" s="2">
        <v>190</v>
      </c>
      <c r="O818" s="2">
        <v>190</v>
      </c>
      <c r="P818" s="137" t="e">
        <f t="shared" si="66"/>
        <v>#DIV/0!</v>
      </c>
      <c r="Q818" s="137" t="e">
        <f t="shared" si="67"/>
        <v>#DIV/0!</v>
      </c>
      <c r="R818" s="138">
        <f>IF(N818="nio",0,IF(N818&gt;0,VLOOKUP(I818,'3-Productie normen'!A:V,VLOOKUP(N818,'3-Productie normen'!$B$35:$C$56,2,FALSE),FALSE)))/VLOOKUP(B818,'2-Kosten per locatie'!$A$11:$C$18,3,FALSE)</f>
        <v>0</v>
      </c>
      <c r="S818" s="138">
        <f t="shared" si="68"/>
        <v>0</v>
      </c>
      <c r="T818" s="139" t="str">
        <f>VLOOKUP(I818,'3-Productie normen'!A:AF,28,FALSE)</f>
        <v>S</v>
      </c>
      <c r="U818" s="140"/>
      <c r="W818" s="141">
        <f t="shared" si="69"/>
        <v>383.8</v>
      </c>
    </row>
    <row r="819" spans="1:23" ht="13.9" customHeight="1">
      <c r="A819" s="118">
        <v>819</v>
      </c>
      <c r="B819" s="49" t="s">
        <v>1680</v>
      </c>
      <c r="C819" s="49" t="s">
        <v>668</v>
      </c>
      <c r="D819" s="145" t="s">
        <v>271</v>
      </c>
      <c r="E819" s="146" t="s">
        <v>1436</v>
      </c>
      <c r="F819" s="146"/>
      <c r="G819" s="145" t="s">
        <v>44</v>
      </c>
      <c r="H819" s="145" t="s">
        <v>260</v>
      </c>
      <c r="I819" s="145" t="s">
        <v>259</v>
      </c>
      <c r="J819" s="149" t="s">
        <v>256</v>
      </c>
      <c r="K819" s="150"/>
      <c r="L819" s="151">
        <v>1.01</v>
      </c>
      <c r="M819" s="136">
        <f t="shared" si="65"/>
        <v>380</v>
      </c>
      <c r="N819" s="2">
        <v>190</v>
      </c>
      <c r="O819" s="2">
        <v>190</v>
      </c>
      <c r="P819" s="137" t="e">
        <f t="shared" si="66"/>
        <v>#DIV/0!</v>
      </c>
      <c r="Q819" s="137" t="e">
        <f t="shared" si="67"/>
        <v>#DIV/0!</v>
      </c>
      <c r="R819" s="138">
        <f>IF(N819="nio",0,IF(N819&gt;0,VLOOKUP(I819,'3-Productie normen'!A:V,VLOOKUP(N819,'3-Productie normen'!$B$35:$C$56,2,FALSE),FALSE)))/VLOOKUP(B819,'2-Kosten per locatie'!$A$11:$C$18,3,FALSE)</f>
        <v>0</v>
      </c>
      <c r="S819" s="138">
        <f t="shared" si="68"/>
        <v>0</v>
      </c>
      <c r="T819" s="139" t="str">
        <f>VLOOKUP(I819,'3-Productie normen'!A:AF,28,FALSE)</f>
        <v>S</v>
      </c>
      <c r="U819" s="140"/>
      <c r="W819" s="141">
        <f t="shared" si="69"/>
        <v>383.8</v>
      </c>
    </row>
    <row r="820" spans="1:23" ht="13.9" customHeight="1">
      <c r="A820" s="132">
        <v>820</v>
      </c>
      <c r="B820" s="49" t="s">
        <v>1680</v>
      </c>
      <c r="C820" s="49" t="s">
        <v>668</v>
      </c>
      <c r="D820" s="145" t="s">
        <v>271</v>
      </c>
      <c r="E820" s="146" t="s">
        <v>1437</v>
      </c>
      <c r="F820" s="146"/>
      <c r="G820" s="145" t="s">
        <v>44</v>
      </c>
      <c r="H820" s="145" t="s">
        <v>258</v>
      </c>
      <c r="I820" s="145" t="s">
        <v>259</v>
      </c>
      <c r="J820" s="149" t="s">
        <v>256</v>
      </c>
      <c r="K820" s="150"/>
      <c r="L820" s="151">
        <v>4.4400000000000004</v>
      </c>
      <c r="M820" s="136">
        <f t="shared" si="65"/>
        <v>380</v>
      </c>
      <c r="N820" s="2">
        <v>190</v>
      </c>
      <c r="O820" s="2">
        <v>190</v>
      </c>
      <c r="P820" s="137" t="e">
        <f t="shared" si="66"/>
        <v>#DIV/0!</v>
      </c>
      <c r="Q820" s="137" t="e">
        <f t="shared" si="67"/>
        <v>#DIV/0!</v>
      </c>
      <c r="R820" s="138">
        <f>IF(N820="nio",0,IF(N820&gt;0,VLOOKUP(I820,'3-Productie normen'!A:V,VLOOKUP(N820,'3-Productie normen'!$B$35:$C$56,2,FALSE),FALSE)))/VLOOKUP(B820,'2-Kosten per locatie'!$A$11:$C$18,3,FALSE)</f>
        <v>0</v>
      </c>
      <c r="S820" s="138">
        <f t="shared" si="68"/>
        <v>0</v>
      </c>
      <c r="T820" s="139" t="str">
        <f>VLOOKUP(I820,'3-Productie normen'!A:AF,28,FALSE)</f>
        <v>S</v>
      </c>
      <c r="U820" s="140"/>
      <c r="W820" s="141">
        <f t="shared" si="69"/>
        <v>1687.2</v>
      </c>
    </row>
    <row r="821" spans="1:23" ht="13.9" customHeight="1">
      <c r="A821" s="132">
        <v>821</v>
      </c>
      <c r="B821" s="49" t="s">
        <v>1680</v>
      </c>
      <c r="C821" s="49" t="s">
        <v>668</v>
      </c>
      <c r="D821" s="145" t="s">
        <v>271</v>
      </c>
      <c r="E821" s="146" t="s">
        <v>1438</v>
      </c>
      <c r="F821" s="146"/>
      <c r="G821" s="145" t="s">
        <v>44</v>
      </c>
      <c r="H821" s="145" t="s">
        <v>260</v>
      </c>
      <c r="I821" s="145" t="s">
        <v>259</v>
      </c>
      <c r="J821" s="149" t="s">
        <v>256</v>
      </c>
      <c r="K821" s="150"/>
      <c r="L821" s="151">
        <v>1.01</v>
      </c>
      <c r="M821" s="136">
        <f t="shared" si="65"/>
        <v>380</v>
      </c>
      <c r="N821" s="2">
        <v>190</v>
      </c>
      <c r="O821" s="2">
        <v>190</v>
      </c>
      <c r="P821" s="137" t="e">
        <f t="shared" si="66"/>
        <v>#DIV/0!</v>
      </c>
      <c r="Q821" s="137" t="e">
        <f t="shared" si="67"/>
        <v>#DIV/0!</v>
      </c>
      <c r="R821" s="138">
        <f>IF(N821="nio",0,IF(N821&gt;0,VLOOKUP(I821,'3-Productie normen'!A:V,VLOOKUP(N821,'3-Productie normen'!$B$35:$C$56,2,FALSE),FALSE)))/VLOOKUP(B821,'2-Kosten per locatie'!$A$11:$C$18,3,FALSE)</f>
        <v>0</v>
      </c>
      <c r="S821" s="138">
        <f t="shared" si="68"/>
        <v>0</v>
      </c>
      <c r="T821" s="139" t="str">
        <f>VLOOKUP(I821,'3-Productie normen'!A:AF,28,FALSE)</f>
        <v>S</v>
      </c>
      <c r="U821" s="140"/>
      <c r="W821" s="141">
        <f t="shared" si="69"/>
        <v>383.8</v>
      </c>
    </row>
    <row r="822" spans="1:23" ht="13.9" customHeight="1">
      <c r="A822" s="118">
        <v>822</v>
      </c>
      <c r="B822" s="49" t="s">
        <v>1680</v>
      </c>
      <c r="C822" s="49" t="s">
        <v>668</v>
      </c>
      <c r="D822" s="145" t="s">
        <v>271</v>
      </c>
      <c r="E822" s="146" t="s">
        <v>1439</v>
      </c>
      <c r="F822" s="146"/>
      <c r="G822" s="145" t="s">
        <v>44</v>
      </c>
      <c r="H822" s="145" t="s">
        <v>260</v>
      </c>
      <c r="I822" s="145" t="s">
        <v>259</v>
      </c>
      <c r="J822" s="149" t="s">
        <v>256</v>
      </c>
      <c r="K822" s="150"/>
      <c r="L822" s="151">
        <v>1</v>
      </c>
      <c r="M822" s="136">
        <f t="shared" si="65"/>
        <v>380</v>
      </c>
      <c r="N822" s="2">
        <v>190</v>
      </c>
      <c r="O822" s="2">
        <v>190</v>
      </c>
      <c r="P822" s="137" t="e">
        <f t="shared" si="66"/>
        <v>#DIV/0!</v>
      </c>
      <c r="Q822" s="137" t="e">
        <f t="shared" si="67"/>
        <v>#DIV/0!</v>
      </c>
      <c r="R822" s="138">
        <f>IF(N822="nio",0,IF(N822&gt;0,VLOOKUP(I822,'3-Productie normen'!A:V,VLOOKUP(N822,'3-Productie normen'!$B$35:$C$56,2,FALSE),FALSE)))/VLOOKUP(B822,'2-Kosten per locatie'!$A$11:$C$18,3,FALSE)</f>
        <v>0</v>
      </c>
      <c r="S822" s="138">
        <f t="shared" si="68"/>
        <v>0</v>
      </c>
      <c r="T822" s="139" t="str">
        <f>VLOOKUP(I822,'3-Productie normen'!A:AF,28,FALSE)</f>
        <v>S</v>
      </c>
      <c r="U822" s="140"/>
      <c r="W822" s="141">
        <f t="shared" si="69"/>
        <v>380</v>
      </c>
    </row>
    <row r="823" spans="1:23" ht="13.9" customHeight="1">
      <c r="A823" s="132">
        <v>823</v>
      </c>
      <c r="B823" s="49" t="s">
        <v>1680</v>
      </c>
      <c r="C823" s="49" t="s">
        <v>668</v>
      </c>
      <c r="D823" s="145" t="s">
        <v>271</v>
      </c>
      <c r="E823" s="146" t="s">
        <v>1440</v>
      </c>
      <c r="F823" s="146"/>
      <c r="G823" s="145" t="s">
        <v>44</v>
      </c>
      <c r="H823" s="145" t="s">
        <v>258</v>
      </c>
      <c r="I823" s="145" t="s">
        <v>259</v>
      </c>
      <c r="J823" s="149" t="s">
        <v>251</v>
      </c>
      <c r="K823" s="152" t="s">
        <v>1522</v>
      </c>
      <c r="L823" s="151">
        <v>6.18</v>
      </c>
      <c r="M823" s="136">
        <f t="shared" si="65"/>
        <v>380</v>
      </c>
      <c r="N823" s="2">
        <v>190</v>
      </c>
      <c r="O823" s="2">
        <v>190</v>
      </c>
      <c r="P823" s="137" t="e">
        <f t="shared" si="66"/>
        <v>#DIV/0!</v>
      </c>
      <c r="Q823" s="137" t="e">
        <f t="shared" si="67"/>
        <v>#DIV/0!</v>
      </c>
      <c r="R823" s="138">
        <f>IF(N823="nio",0,IF(N823&gt;0,VLOOKUP(I823,'3-Productie normen'!A:V,VLOOKUP(N823,'3-Productie normen'!$B$35:$C$56,2,FALSE),FALSE)))/VLOOKUP(B823,'2-Kosten per locatie'!$A$11:$C$18,3,FALSE)</f>
        <v>0</v>
      </c>
      <c r="S823" s="138">
        <f t="shared" si="68"/>
        <v>0</v>
      </c>
      <c r="T823" s="139" t="str">
        <f>VLOOKUP(I823,'3-Productie normen'!A:AF,28,FALSE)</f>
        <v>S</v>
      </c>
      <c r="U823" s="140"/>
      <c r="W823" s="141">
        <f t="shared" si="69"/>
        <v>2348.4</v>
      </c>
    </row>
    <row r="824" spans="1:23" ht="13.9" customHeight="1">
      <c r="A824" s="132">
        <v>824</v>
      </c>
      <c r="B824" s="49" t="s">
        <v>1680</v>
      </c>
      <c r="C824" s="49" t="s">
        <v>668</v>
      </c>
      <c r="D824" s="145" t="s">
        <v>271</v>
      </c>
      <c r="E824" s="146" t="s">
        <v>1441</v>
      </c>
      <c r="F824" s="146"/>
      <c r="G824" s="145" t="s">
        <v>44</v>
      </c>
      <c r="H824" s="145" t="s">
        <v>260</v>
      </c>
      <c r="I824" s="145" t="s">
        <v>259</v>
      </c>
      <c r="J824" s="149" t="s">
        <v>251</v>
      </c>
      <c r="K824" s="152" t="s">
        <v>1522</v>
      </c>
      <c r="L824" s="151">
        <v>1.01</v>
      </c>
      <c r="M824" s="136">
        <f t="shared" si="65"/>
        <v>380</v>
      </c>
      <c r="N824" s="2">
        <v>190</v>
      </c>
      <c r="O824" s="2">
        <v>190</v>
      </c>
      <c r="P824" s="137" t="e">
        <f t="shared" si="66"/>
        <v>#DIV/0!</v>
      </c>
      <c r="Q824" s="137" t="e">
        <f t="shared" si="67"/>
        <v>#DIV/0!</v>
      </c>
      <c r="R824" s="138">
        <f>IF(N824="nio",0,IF(N824&gt;0,VLOOKUP(I824,'3-Productie normen'!A:V,VLOOKUP(N824,'3-Productie normen'!$B$35:$C$56,2,FALSE),FALSE)))/VLOOKUP(B824,'2-Kosten per locatie'!$A$11:$C$18,3,FALSE)</f>
        <v>0</v>
      </c>
      <c r="S824" s="138">
        <f t="shared" si="68"/>
        <v>0</v>
      </c>
      <c r="T824" s="139" t="str">
        <f>VLOOKUP(I824,'3-Productie normen'!A:AF,28,FALSE)</f>
        <v>S</v>
      </c>
      <c r="U824" s="140"/>
      <c r="W824" s="141">
        <f t="shared" si="69"/>
        <v>383.8</v>
      </c>
    </row>
    <row r="825" spans="1:23" ht="13.9" customHeight="1">
      <c r="A825" s="118">
        <v>825</v>
      </c>
      <c r="B825" s="49" t="s">
        <v>1680</v>
      </c>
      <c r="C825" s="49" t="s">
        <v>668</v>
      </c>
      <c r="D825" s="145" t="s">
        <v>271</v>
      </c>
      <c r="E825" s="146" t="s">
        <v>1442</v>
      </c>
      <c r="F825" s="146"/>
      <c r="G825" s="145" t="s">
        <v>44</v>
      </c>
      <c r="H825" s="145" t="s">
        <v>260</v>
      </c>
      <c r="I825" s="145" t="s">
        <v>259</v>
      </c>
      <c r="J825" s="149" t="s">
        <v>251</v>
      </c>
      <c r="K825" s="152" t="s">
        <v>1522</v>
      </c>
      <c r="L825" s="151">
        <v>1.1499999999999999</v>
      </c>
      <c r="M825" s="136">
        <f t="shared" si="65"/>
        <v>380</v>
      </c>
      <c r="N825" s="2">
        <v>190</v>
      </c>
      <c r="O825" s="2">
        <v>190</v>
      </c>
      <c r="P825" s="137" t="e">
        <f t="shared" si="66"/>
        <v>#DIV/0!</v>
      </c>
      <c r="Q825" s="137" t="e">
        <f t="shared" si="67"/>
        <v>#DIV/0!</v>
      </c>
      <c r="R825" s="138">
        <f>IF(N825="nio",0,IF(N825&gt;0,VLOOKUP(I825,'3-Productie normen'!A:V,VLOOKUP(N825,'3-Productie normen'!$B$35:$C$56,2,FALSE),FALSE)))/VLOOKUP(B825,'2-Kosten per locatie'!$A$11:$C$18,3,FALSE)</f>
        <v>0</v>
      </c>
      <c r="S825" s="138">
        <f t="shared" si="68"/>
        <v>0</v>
      </c>
      <c r="T825" s="139" t="str">
        <f>VLOOKUP(I825,'3-Productie normen'!A:AF,28,FALSE)</f>
        <v>S</v>
      </c>
      <c r="U825" s="140"/>
      <c r="W825" s="141">
        <f t="shared" si="69"/>
        <v>436.99999999999994</v>
      </c>
    </row>
    <row r="826" spans="1:23" ht="13.9" customHeight="1">
      <c r="A826" s="132">
        <v>826</v>
      </c>
      <c r="B826" s="49" t="s">
        <v>1680</v>
      </c>
      <c r="C826" s="49" t="s">
        <v>668</v>
      </c>
      <c r="D826" s="145" t="s">
        <v>271</v>
      </c>
      <c r="E826" s="146" t="s">
        <v>1443</v>
      </c>
      <c r="F826" s="146"/>
      <c r="G826" s="145" t="s">
        <v>245</v>
      </c>
      <c r="H826" s="145" t="s">
        <v>245</v>
      </c>
      <c r="I826" s="92" t="s">
        <v>274</v>
      </c>
      <c r="J826" s="149" t="s">
        <v>251</v>
      </c>
      <c r="K826" s="152" t="s">
        <v>1522</v>
      </c>
      <c r="L826" s="151">
        <v>36.1</v>
      </c>
      <c r="M826" s="136">
        <f t="shared" si="65"/>
        <v>76</v>
      </c>
      <c r="N826" s="2">
        <v>76</v>
      </c>
      <c r="O826" s="2"/>
      <c r="P826" s="137" t="e">
        <f t="shared" si="66"/>
        <v>#DIV/0!</v>
      </c>
      <c r="Q826" s="137">
        <f t="shared" si="67"/>
        <v>0</v>
      </c>
      <c r="R826" s="138">
        <f>IF(N826="nio",0,IF(N826&gt;0,VLOOKUP(I826,'3-Productie normen'!A:V,VLOOKUP(N826,'3-Productie normen'!$B$35:$C$56,2,FALSE),FALSE)))/VLOOKUP(B826,'2-Kosten per locatie'!$A$11:$C$18,3,FALSE)</f>
        <v>0</v>
      </c>
      <c r="S826" s="138">
        <f t="shared" si="68"/>
        <v>0</v>
      </c>
      <c r="T826" s="139" t="str">
        <f>VLOOKUP(I826,'3-Productie normen'!A:AF,28,FALSE)</f>
        <v>B</v>
      </c>
      <c r="U826" s="140"/>
      <c r="W826" s="141">
        <f t="shared" si="69"/>
        <v>2743.6</v>
      </c>
    </row>
    <row r="827" spans="1:23" ht="13.9" customHeight="1">
      <c r="A827" s="132">
        <v>827</v>
      </c>
      <c r="B827" s="49" t="s">
        <v>1680</v>
      </c>
      <c r="C827" s="49" t="s">
        <v>668</v>
      </c>
      <c r="D827" s="145" t="s">
        <v>271</v>
      </c>
      <c r="E827" s="146" t="s">
        <v>1444</v>
      </c>
      <c r="F827" s="146"/>
      <c r="G827" s="145" t="s">
        <v>243</v>
      </c>
      <c r="H827" s="145" t="s">
        <v>252</v>
      </c>
      <c r="I827" s="1" t="s">
        <v>48</v>
      </c>
      <c r="J827" s="149" t="s">
        <v>251</v>
      </c>
      <c r="K827" s="152" t="s">
        <v>1522</v>
      </c>
      <c r="L827" s="151">
        <v>11.76</v>
      </c>
      <c r="M827" s="136">
        <f t="shared" si="65"/>
        <v>190</v>
      </c>
      <c r="N827" s="2">
        <v>190</v>
      </c>
      <c r="O827" s="2"/>
      <c r="P827" s="137" t="e">
        <f t="shared" si="66"/>
        <v>#DIV/0!</v>
      </c>
      <c r="Q827" s="137">
        <f t="shared" si="67"/>
        <v>0</v>
      </c>
      <c r="R827" s="138">
        <f>IF(N827="nio",0,IF(N827&gt;0,VLOOKUP(I827,'3-Productie normen'!A:V,VLOOKUP(N827,'3-Productie normen'!$B$35:$C$56,2,FALSE),FALSE)))/VLOOKUP(B827,'2-Kosten per locatie'!$A$11:$C$18,3,FALSE)</f>
        <v>0</v>
      </c>
      <c r="S827" s="138">
        <f t="shared" si="68"/>
        <v>0</v>
      </c>
      <c r="T827" s="139" t="str">
        <f>VLOOKUP(I827,'3-Productie normen'!A:AF,28,FALSE)</f>
        <v>V</v>
      </c>
      <c r="U827" s="140"/>
      <c r="W827" s="141">
        <f t="shared" si="69"/>
        <v>2234.4</v>
      </c>
    </row>
    <row r="828" spans="1:23" ht="13.9" customHeight="1">
      <c r="A828" s="118">
        <v>828</v>
      </c>
      <c r="B828" s="49" t="s">
        <v>1680</v>
      </c>
      <c r="C828" s="49" t="s">
        <v>668</v>
      </c>
      <c r="D828" s="145" t="s">
        <v>271</v>
      </c>
      <c r="E828" s="146" t="s">
        <v>1445</v>
      </c>
      <c r="F828" s="146"/>
      <c r="G828" s="145" t="s">
        <v>245</v>
      </c>
      <c r="H828" s="145" t="s">
        <v>245</v>
      </c>
      <c r="I828" s="92" t="s">
        <v>274</v>
      </c>
      <c r="J828" s="149" t="s">
        <v>251</v>
      </c>
      <c r="K828" s="152" t="s">
        <v>1522</v>
      </c>
      <c r="L828" s="151">
        <v>6.63</v>
      </c>
      <c r="M828" s="136">
        <f t="shared" si="65"/>
        <v>76</v>
      </c>
      <c r="N828" s="2">
        <v>76</v>
      </c>
      <c r="O828" s="2"/>
      <c r="P828" s="137" t="e">
        <f t="shared" si="66"/>
        <v>#DIV/0!</v>
      </c>
      <c r="Q828" s="137">
        <f t="shared" si="67"/>
        <v>0</v>
      </c>
      <c r="R828" s="138">
        <f>IF(N828="nio",0,IF(N828&gt;0,VLOOKUP(I828,'3-Productie normen'!A:V,VLOOKUP(N828,'3-Productie normen'!$B$35:$C$56,2,FALSE),FALSE)))/VLOOKUP(B828,'2-Kosten per locatie'!$A$11:$C$18,3,FALSE)</f>
        <v>0</v>
      </c>
      <c r="S828" s="138">
        <f t="shared" si="68"/>
        <v>0</v>
      </c>
      <c r="T828" s="139" t="str">
        <f>VLOOKUP(I828,'3-Productie normen'!A:AF,28,FALSE)</f>
        <v>B</v>
      </c>
      <c r="U828" s="140"/>
      <c r="W828" s="141">
        <f t="shared" si="69"/>
        <v>503.88</v>
      </c>
    </row>
    <row r="829" spans="1:23" ht="13.9" customHeight="1">
      <c r="A829" s="132">
        <v>829</v>
      </c>
      <c r="B829" s="49" t="s">
        <v>1680</v>
      </c>
      <c r="C829" s="49" t="s">
        <v>668</v>
      </c>
      <c r="D829" s="145" t="s">
        <v>271</v>
      </c>
      <c r="E829" s="146" t="s">
        <v>1446</v>
      </c>
      <c r="F829" s="146"/>
      <c r="G829" s="145" t="s">
        <v>264</v>
      </c>
      <c r="H829" s="145" t="s">
        <v>290</v>
      </c>
      <c r="I829" s="145" t="s">
        <v>284</v>
      </c>
      <c r="J829" s="149" t="s">
        <v>251</v>
      </c>
      <c r="K829" s="152" t="s">
        <v>1522</v>
      </c>
      <c r="L829" s="151">
        <v>261.94</v>
      </c>
      <c r="M829" s="136">
        <f t="shared" si="65"/>
        <v>76</v>
      </c>
      <c r="N829" s="2">
        <v>76</v>
      </c>
      <c r="O829" s="2"/>
      <c r="P829" s="137" t="e">
        <f t="shared" si="66"/>
        <v>#DIV/0!</v>
      </c>
      <c r="Q829" s="137">
        <f t="shared" si="67"/>
        <v>0</v>
      </c>
      <c r="R829" s="138">
        <f>IF(N829="nio",0,IF(N829&gt;0,VLOOKUP(I829,'3-Productie normen'!A:V,VLOOKUP(N829,'3-Productie normen'!$B$35:$C$56,2,FALSE),FALSE)))/VLOOKUP(B829,'2-Kosten per locatie'!$A$11:$C$18,3,FALSE)</f>
        <v>0</v>
      </c>
      <c r="S829" s="138">
        <f t="shared" si="68"/>
        <v>0</v>
      </c>
      <c r="T829" s="139" t="str">
        <f>VLOOKUP(I829,'3-Productie normen'!A:AF,28,FALSE)</f>
        <v>L</v>
      </c>
      <c r="U829" s="140"/>
      <c r="W829" s="141">
        <f t="shared" si="69"/>
        <v>19907.439999999999</v>
      </c>
    </row>
    <row r="830" spans="1:23" ht="13.9" customHeight="1">
      <c r="A830" s="132">
        <v>830</v>
      </c>
      <c r="B830" s="49" t="s">
        <v>1680</v>
      </c>
      <c r="C830" s="49" t="s">
        <v>668</v>
      </c>
      <c r="D830" s="145" t="s">
        <v>271</v>
      </c>
      <c r="E830" s="146" t="s">
        <v>1447</v>
      </c>
      <c r="F830" s="146"/>
      <c r="G830" s="145" t="s">
        <v>242</v>
      </c>
      <c r="H830" s="145" t="s">
        <v>242</v>
      </c>
      <c r="I830" s="1" t="s">
        <v>242</v>
      </c>
      <c r="J830" s="149" t="s">
        <v>251</v>
      </c>
      <c r="K830" s="152" t="s">
        <v>1522</v>
      </c>
      <c r="L830" s="151">
        <v>4.99</v>
      </c>
      <c r="M830" s="136">
        <f t="shared" si="65"/>
        <v>2</v>
      </c>
      <c r="N830" s="2">
        <v>2</v>
      </c>
      <c r="O830" s="2"/>
      <c r="P830" s="137" t="e">
        <f t="shared" si="66"/>
        <v>#DIV/0!</v>
      </c>
      <c r="Q830" s="137">
        <f t="shared" si="67"/>
        <v>0</v>
      </c>
      <c r="R830" s="138">
        <f>IF(N830="nio",0,IF(N830&gt;0,VLOOKUP(I830,'3-Productie normen'!A:V,VLOOKUP(N830,'3-Productie normen'!$B$35:$C$56,2,FALSE),FALSE)))/VLOOKUP(B830,'2-Kosten per locatie'!$A$11:$C$18,3,FALSE)</f>
        <v>0</v>
      </c>
      <c r="S830" s="138">
        <f t="shared" si="68"/>
        <v>0</v>
      </c>
      <c r="T830" s="139" t="str">
        <f>VLOOKUP(I830,'3-Productie normen'!A:AF,28,FALSE)</f>
        <v>V</v>
      </c>
      <c r="U830" s="140"/>
      <c r="W830" s="141">
        <f t="shared" si="69"/>
        <v>9.98</v>
      </c>
    </row>
    <row r="831" spans="1:23" ht="13.9" customHeight="1">
      <c r="A831" s="118">
        <v>831</v>
      </c>
      <c r="B831" s="49" t="s">
        <v>1680</v>
      </c>
      <c r="C831" s="49" t="s">
        <v>668</v>
      </c>
      <c r="D831" s="145" t="s">
        <v>271</v>
      </c>
      <c r="E831" s="146" t="s">
        <v>1448</v>
      </c>
      <c r="F831" s="146"/>
      <c r="G831" s="145" t="s">
        <v>245</v>
      </c>
      <c r="H831" s="145" t="s">
        <v>245</v>
      </c>
      <c r="I831" s="92" t="s">
        <v>274</v>
      </c>
      <c r="J831" s="149" t="s">
        <v>251</v>
      </c>
      <c r="K831" s="152" t="s">
        <v>1522</v>
      </c>
      <c r="L831" s="151">
        <v>10.11</v>
      </c>
      <c r="M831" s="136">
        <f t="shared" si="65"/>
        <v>76</v>
      </c>
      <c r="N831" s="2">
        <v>76</v>
      </c>
      <c r="O831" s="2"/>
      <c r="P831" s="137" t="e">
        <f t="shared" si="66"/>
        <v>#DIV/0!</v>
      </c>
      <c r="Q831" s="137">
        <f t="shared" si="67"/>
        <v>0</v>
      </c>
      <c r="R831" s="138">
        <f>IF(N831="nio",0,IF(N831&gt;0,VLOOKUP(I831,'3-Productie normen'!A:V,VLOOKUP(N831,'3-Productie normen'!$B$35:$C$56,2,FALSE),FALSE)))/VLOOKUP(B831,'2-Kosten per locatie'!$A$11:$C$18,3,FALSE)</f>
        <v>0</v>
      </c>
      <c r="S831" s="138">
        <f t="shared" si="68"/>
        <v>0</v>
      </c>
      <c r="T831" s="139" t="str">
        <f>VLOOKUP(I831,'3-Productie normen'!A:AF,28,FALSE)</f>
        <v>B</v>
      </c>
      <c r="U831" s="140"/>
      <c r="W831" s="141">
        <f t="shared" si="69"/>
        <v>768.3599999999999</v>
      </c>
    </row>
    <row r="832" spans="1:23" ht="13.9" customHeight="1">
      <c r="A832" s="132">
        <v>832</v>
      </c>
      <c r="B832" s="49" t="s">
        <v>1680</v>
      </c>
      <c r="C832" s="49" t="s">
        <v>668</v>
      </c>
      <c r="D832" s="145" t="s">
        <v>271</v>
      </c>
      <c r="E832" s="146" t="s">
        <v>1449</v>
      </c>
      <c r="F832" s="146"/>
      <c r="G832" s="145" t="s">
        <v>242</v>
      </c>
      <c r="H832" s="145" t="s">
        <v>242</v>
      </c>
      <c r="I832" s="1" t="s">
        <v>242</v>
      </c>
      <c r="J832" s="149" t="s">
        <v>251</v>
      </c>
      <c r="K832" s="152" t="s">
        <v>1522</v>
      </c>
      <c r="L832" s="151">
        <v>5.13</v>
      </c>
      <c r="M832" s="136">
        <f t="shared" si="65"/>
        <v>2</v>
      </c>
      <c r="N832" s="2">
        <v>2</v>
      </c>
      <c r="O832" s="2"/>
      <c r="P832" s="137" t="e">
        <f t="shared" si="66"/>
        <v>#DIV/0!</v>
      </c>
      <c r="Q832" s="137">
        <f t="shared" si="67"/>
        <v>0</v>
      </c>
      <c r="R832" s="138">
        <f>IF(N832="nio",0,IF(N832&gt;0,VLOOKUP(I832,'3-Productie normen'!A:V,VLOOKUP(N832,'3-Productie normen'!$B$35:$C$56,2,FALSE),FALSE)))/VLOOKUP(B832,'2-Kosten per locatie'!$A$11:$C$18,3,FALSE)</f>
        <v>0</v>
      </c>
      <c r="S832" s="138">
        <f t="shared" si="68"/>
        <v>0</v>
      </c>
      <c r="T832" s="139" t="str">
        <f>VLOOKUP(I832,'3-Productie normen'!A:AF,28,FALSE)</f>
        <v>V</v>
      </c>
      <c r="U832" s="140"/>
      <c r="W832" s="141">
        <f t="shared" si="69"/>
        <v>10.26</v>
      </c>
    </row>
    <row r="833" spans="1:23" ht="13.9" customHeight="1">
      <c r="A833" s="132">
        <v>833</v>
      </c>
      <c r="B833" s="49" t="s">
        <v>1680</v>
      </c>
      <c r="C833" s="49" t="s">
        <v>668</v>
      </c>
      <c r="D833" s="145" t="s">
        <v>271</v>
      </c>
      <c r="E833" s="146" t="s">
        <v>1450</v>
      </c>
      <c r="F833" s="146"/>
      <c r="G833" s="145" t="s">
        <v>242</v>
      </c>
      <c r="H833" s="145" t="s">
        <v>242</v>
      </c>
      <c r="I833" s="1" t="s">
        <v>242</v>
      </c>
      <c r="J833" s="149" t="s">
        <v>251</v>
      </c>
      <c r="K833" s="152" t="s">
        <v>1522</v>
      </c>
      <c r="L833" s="151">
        <v>8.67</v>
      </c>
      <c r="M833" s="136">
        <f t="shared" si="65"/>
        <v>2</v>
      </c>
      <c r="N833" s="2">
        <v>2</v>
      </c>
      <c r="O833" s="2"/>
      <c r="P833" s="137" t="e">
        <f t="shared" si="66"/>
        <v>#DIV/0!</v>
      </c>
      <c r="Q833" s="137">
        <f t="shared" si="67"/>
        <v>0</v>
      </c>
      <c r="R833" s="138">
        <f>IF(N833="nio",0,IF(N833&gt;0,VLOOKUP(I833,'3-Productie normen'!A:V,VLOOKUP(N833,'3-Productie normen'!$B$35:$C$56,2,FALSE),FALSE)))/VLOOKUP(B833,'2-Kosten per locatie'!$A$11:$C$18,3,FALSE)</f>
        <v>0</v>
      </c>
      <c r="S833" s="138">
        <f t="shared" si="68"/>
        <v>0</v>
      </c>
      <c r="T833" s="139" t="str">
        <f>VLOOKUP(I833,'3-Productie normen'!A:AF,28,FALSE)</f>
        <v>V</v>
      </c>
      <c r="U833" s="140"/>
      <c r="W833" s="141">
        <f t="shared" si="69"/>
        <v>17.34</v>
      </c>
    </row>
    <row r="834" spans="1:23" ht="13.9" customHeight="1">
      <c r="A834" s="118">
        <v>834</v>
      </c>
      <c r="B834" s="49" t="s">
        <v>1680</v>
      </c>
      <c r="C834" s="49" t="s">
        <v>668</v>
      </c>
      <c r="D834" s="145" t="s">
        <v>271</v>
      </c>
      <c r="E834" s="146" t="s">
        <v>1451</v>
      </c>
      <c r="F834" s="146"/>
      <c r="G834" s="145" t="s">
        <v>242</v>
      </c>
      <c r="H834" s="145" t="s">
        <v>242</v>
      </c>
      <c r="I834" s="1" t="s">
        <v>242</v>
      </c>
      <c r="J834" s="149" t="s">
        <v>251</v>
      </c>
      <c r="K834" s="152" t="s">
        <v>1522</v>
      </c>
      <c r="L834" s="151">
        <v>14.25</v>
      </c>
      <c r="M834" s="136">
        <f t="shared" si="65"/>
        <v>2</v>
      </c>
      <c r="N834" s="2">
        <v>2</v>
      </c>
      <c r="O834" s="2"/>
      <c r="P834" s="137" t="e">
        <f t="shared" si="66"/>
        <v>#DIV/0!</v>
      </c>
      <c r="Q834" s="137">
        <f t="shared" si="67"/>
        <v>0</v>
      </c>
      <c r="R834" s="138">
        <f>IF(N834="nio",0,IF(N834&gt;0,VLOOKUP(I834,'3-Productie normen'!A:V,VLOOKUP(N834,'3-Productie normen'!$B$35:$C$56,2,FALSE),FALSE)))/VLOOKUP(B834,'2-Kosten per locatie'!$A$11:$C$18,3,FALSE)</f>
        <v>0</v>
      </c>
      <c r="S834" s="138">
        <f t="shared" si="68"/>
        <v>0</v>
      </c>
      <c r="T834" s="139" t="str">
        <f>VLOOKUP(I834,'3-Productie normen'!A:AF,28,FALSE)</f>
        <v>V</v>
      </c>
      <c r="U834" s="140"/>
      <c r="W834" s="141">
        <f t="shared" si="69"/>
        <v>28.5</v>
      </c>
    </row>
    <row r="835" spans="1:23" ht="13.9" customHeight="1">
      <c r="A835" s="132">
        <v>835</v>
      </c>
      <c r="B835" s="49" t="s">
        <v>1680</v>
      </c>
      <c r="C835" s="49" t="s">
        <v>668</v>
      </c>
      <c r="D835" s="145" t="s">
        <v>271</v>
      </c>
      <c r="E835" s="146" t="s">
        <v>1452</v>
      </c>
      <c r="F835" s="146"/>
      <c r="G835" s="145" t="s">
        <v>242</v>
      </c>
      <c r="H835" s="145" t="s">
        <v>242</v>
      </c>
      <c r="I835" s="1" t="s">
        <v>242</v>
      </c>
      <c r="J835" s="149" t="s">
        <v>251</v>
      </c>
      <c r="K835" s="152" t="s">
        <v>1522</v>
      </c>
      <c r="L835" s="151">
        <v>2.85</v>
      </c>
      <c r="M835" s="136">
        <f t="shared" si="65"/>
        <v>2</v>
      </c>
      <c r="N835" s="2">
        <v>2</v>
      </c>
      <c r="O835" s="2"/>
      <c r="P835" s="137" t="e">
        <f t="shared" si="66"/>
        <v>#DIV/0!</v>
      </c>
      <c r="Q835" s="137">
        <f t="shared" si="67"/>
        <v>0</v>
      </c>
      <c r="R835" s="138">
        <f>IF(N835="nio",0,IF(N835&gt;0,VLOOKUP(I835,'3-Productie normen'!A:V,VLOOKUP(N835,'3-Productie normen'!$B$35:$C$56,2,FALSE),FALSE)))/VLOOKUP(B835,'2-Kosten per locatie'!$A$11:$C$18,3,FALSE)</f>
        <v>0</v>
      </c>
      <c r="S835" s="138">
        <f t="shared" si="68"/>
        <v>0</v>
      </c>
      <c r="T835" s="139" t="str">
        <f>VLOOKUP(I835,'3-Productie normen'!A:AF,28,FALSE)</f>
        <v>V</v>
      </c>
      <c r="U835" s="140"/>
      <c r="W835" s="141">
        <f t="shared" si="69"/>
        <v>5.7</v>
      </c>
    </row>
    <row r="836" spans="1:23" ht="13.9" customHeight="1">
      <c r="A836" s="132">
        <v>836</v>
      </c>
      <c r="B836" s="49" t="s">
        <v>1680</v>
      </c>
      <c r="C836" s="49" t="s">
        <v>668</v>
      </c>
      <c r="D836" s="145" t="s">
        <v>271</v>
      </c>
      <c r="E836" s="146" t="s">
        <v>1453</v>
      </c>
      <c r="F836" s="146" t="s">
        <v>647</v>
      </c>
      <c r="G836" s="145" t="s">
        <v>264</v>
      </c>
      <c r="H836" s="145" t="s">
        <v>265</v>
      </c>
      <c r="I836" s="145" t="s">
        <v>284</v>
      </c>
      <c r="J836" s="149" t="s">
        <v>251</v>
      </c>
      <c r="K836" s="152" t="s">
        <v>1522</v>
      </c>
      <c r="L836" s="151">
        <v>86.3</v>
      </c>
      <c r="M836" s="136">
        <f t="shared" si="65"/>
        <v>76</v>
      </c>
      <c r="N836" s="2">
        <v>76</v>
      </c>
      <c r="O836" s="2"/>
      <c r="P836" s="137" t="e">
        <f t="shared" si="66"/>
        <v>#DIV/0!</v>
      </c>
      <c r="Q836" s="137">
        <f t="shared" si="67"/>
        <v>0</v>
      </c>
      <c r="R836" s="138">
        <f>IF(N836="nio",0,IF(N836&gt;0,VLOOKUP(I836,'3-Productie normen'!A:V,VLOOKUP(N836,'3-Productie normen'!$B$35:$C$56,2,FALSE),FALSE)))/VLOOKUP(B836,'2-Kosten per locatie'!$A$11:$C$18,3,FALSE)</f>
        <v>0</v>
      </c>
      <c r="S836" s="138">
        <f t="shared" si="68"/>
        <v>0</v>
      </c>
      <c r="T836" s="139" t="str">
        <f>VLOOKUP(I836,'3-Productie normen'!A:AF,28,FALSE)</f>
        <v>L</v>
      </c>
      <c r="U836" s="140"/>
      <c r="W836" s="141">
        <f t="shared" si="69"/>
        <v>6558.8</v>
      </c>
    </row>
    <row r="837" spans="1:23" ht="13.9" customHeight="1">
      <c r="A837" s="118">
        <v>837</v>
      </c>
      <c r="B837" s="49" t="s">
        <v>1680</v>
      </c>
      <c r="C837" s="49" t="s">
        <v>668</v>
      </c>
      <c r="D837" s="145" t="s">
        <v>271</v>
      </c>
      <c r="E837" s="146" t="s">
        <v>1454</v>
      </c>
      <c r="F837" s="146"/>
      <c r="G837" s="145" t="s">
        <v>264</v>
      </c>
      <c r="H837" s="145" t="s">
        <v>265</v>
      </c>
      <c r="I837" s="145" t="s">
        <v>284</v>
      </c>
      <c r="J837" s="149" t="s">
        <v>251</v>
      </c>
      <c r="K837" s="152" t="s">
        <v>1522</v>
      </c>
      <c r="L837" s="151">
        <v>77.03</v>
      </c>
      <c r="M837" s="136">
        <f t="shared" si="65"/>
        <v>76</v>
      </c>
      <c r="N837" s="2">
        <v>76</v>
      </c>
      <c r="O837" s="2"/>
      <c r="P837" s="137" t="e">
        <f t="shared" si="66"/>
        <v>#DIV/0!</v>
      </c>
      <c r="Q837" s="137">
        <f t="shared" si="67"/>
        <v>0</v>
      </c>
      <c r="R837" s="138">
        <f>IF(N837="nio",0,IF(N837&gt;0,VLOOKUP(I837,'3-Productie normen'!A:V,VLOOKUP(N837,'3-Productie normen'!$B$35:$C$56,2,FALSE),FALSE)))/VLOOKUP(B837,'2-Kosten per locatie'!$A$11:$C$18,3,FALSE)</f>
        <v>0</v>
      </c>
      <c r="S837" s="138">
        <f t="shared" si="68"/>
        <v>0</v>
      </c>
      <c r="T837" s="139" t="str">
        <f>VLOOKUP(I837,'3-Productie normen'!A:AF,28,FALSE)</f>
        <v>L</v>
      </c>
      <c r="U837" s="140"/>
      <c r="W837" s="141">
        <f t="shared" si="69"/>
        <v>5854.28</v>
      </c>
    </row>
    <row r="838" spans="1:23" ht="13.9" customHeight="1">
      <c r="A838" s="132">
        <v>838</v>
      </c>
      <c r="B838" s="49" t="s">
        <v>1680</v>
      </c>
      <c r="C838" s="49" t="s">
        <v>668</v>
      </c>
      <c r="D838" s="145" t="s">
        <v>271</v>
      </c>
      <c r="E838" s="146" t="s">
        <v>1455</v>
      </c>
      <c r="F838" s="146" t="s">
        <v>642</v>
      </c>
      <c r="G838" s="145" t="s">
        <v>264</v>
      </c>
      <c r="H838" s="145" t="s">
        <v>265</v>
      </c>
      <c r="I838" s="145" t="s">
        <v>284</v>
      </c>
      <c r="J838" s="149" t="s">
        <v>251</v>
      </c>
      <c r="K838" s="152" t="s">
        <v>1522</v>
      </c>
      <c r="L838" s="151">
        <v>51.29</v>
      </c>
      <c r="M838" s="136">
        <f t="shared" si="65"/>
        <v>76</v>
      </c>
      <c r="N838" s="2">
        <v>76</v>
      </c>
      <c r="O838" s="2"/>
      <c r="P838" s="137" t="e">
        <f t="shared" si="66"/>
        <v>#DIV/0!</v>
      </c>
      <c r="Q838" s="137">
        <f t="shared" si="67"/>
        <v>0</v>
      </c>
      <c r="R838" s="138">
        <f>IF(N838="nio",0,IF(N838&gt;0,VLOOKUP(I838,'3-Productie normen'!A:V,VLOOKUP(N838,'3-Productie normen'!$B$35:$C$56,2,FALSE),FALSE)))/VLOOKUP(B838,'2-Kosten per locatie'!$A$11:$C$18,3,FALSE)</f>
        <v>0</v>
      </c>
      <c r="S838" s="138">
        <f t="shared" si="68"/>
        <v>0</v>
      </c>
      <c r="T838" s="139" t="str">
        <f>VLOOKUP(I838,'3-Productie normen'!A:AF,28,FALSE)</f>
        <v>L</v>
      </c>
      <c r="U838" s="140"/>
      <c r="W838" s="141">
        <f t="shared" si="69"/>
        <v>3898.04</v>
      </c>
    </row>
    <row r="839" spans="1:23" ht="13.9" customHeight="1">
      <c r="A839" s="132">
        <v>839</v>
      </c>
      <c r="B839" s="49" t="s">
        <v>1680</v>
      </c>
      <c r="C839" s="49" t="s">
        <v>668</v>
      </c>
      <c r="D839" s="145" t="s">
        <v>271</v>
      </c>
      <c r="E839" s="146" t="s">
        <v>1456</v>
      </c>
      <c r="F839" s="146" t="s">
        <v>640</v>
      </c>
      <c r="G839" s="145" t="s">
        <v>264</v>
      </c>
      <c r="H839" s="145" t="s">
        <v>265</v>
      </c>
      <c r="I839" s="145" t="s">
        <v>284</v>
      </c>
      <c r="J839" s="149" t="s">
        <v>251</v>
      </c>
      <c r="K839" s="152" t="s">
        <v>1522</v>
      </c>
      <c r="L839" s="151">
        <v>51.28</v>
      </c>
      <c r="M839" s="136">
        <f t="shared" si="65"/>
        <v>76</v>
      </c>
      <c r="N839" s="2">
        <v>76</v>
      </c>
      <c r="O839" s="2"/>
      <c r="P839" s="137" t="e">
        <f t="shared" si="66"/>
        <v>#DIV/0!</v>
      </c>
      <c r="Q839" s="137">
        <f t="shared" si="67"/>
        <v>0</v>
      </c>
      <c r="R839" s="138">
        <f>IF(N839="nio",0,IF(N839&gt;0,VLOOKUP(I839,'3-Productie normen'!A:V,VLOOKUP(N839,'3-Productie normen'!$B$35:$C$56,2,FALSE),FALSE)))/VLOOKUP(B839,'2-Kosten per locatie'!$A$11:$C$18,3,FALSE)</f>
        <v>0</v>
      </c>
      <c r="S839" s="138">
        <f t="shared" si="68"/>
        <v>0</v>
      </c>
      <c r="T839" s="139" t="str">
        <f>VLOOKUP(I839,'3-Productie normen'!A:AF,28,FALSE)</f>
        <v>L</v>
      </c>
      <c r="U839" s="140"/>
      <c r="W839" s="141">
        <f t="shared" si="69"/>
        <v>3897.28</v>
      </c>
    </row>
    <row r="840" spans="1:23" ht="13.9" customHeight="1">
      <c r="A840" s="118">
        <v>840</v>
      </c>
      <c r="B840" s="49" t="s">
        <v>1680</v>
      </c>
      <c r="C840" s="49" t="s">
        <v>668</v>
      </c>
      <c r="D840" s="145" t="s">
        <v>271</v>
      </c>
      <c r="E840" s="146" t="s">
        <v>1457</v>
      </c>
      <c r="F840" s="146" t="s">
        <v>636</v>
      </c>
      <c r="G840" s="145" t="s">
        <v>264</v>
      </c>
      <c r="H840" s="145" t="s">
        <v>265</v>
      </c>
      <c r="I840" s="145" t="s">
        <v>284</v>
      </c>
      <c r="J840" s="149" t="s">
        <v>251</v>
      </c>
      <c r="K840" s="152" t="s">
        <v>1522</v>
      </c>
      <c r="L840" s="151">
        <v>51.41</v>
      </c>
      <c r="M840" s="136">
        <f t="shared" si="65"/>
        <v>76</v>
      </c>
      <c r="N840" s="2">
        <v>76</v>
      </c>
      <c r="O840" s="2"/>
      <c r="P840" s="137" t="e">
        <f t="shared" si="66"/>
        <v>#DIV/0!</v>
      </c>
      <c r="Q840" s="137">
        <f t="shared" si="67"/>
        <v>0</v>
      </c>
      <c r="R840" s="138">
        <f>IF(N840="nio",0,IF(N840&gt;0,VLOOKUP(I840,'3-Productie normen'!A:V,VLOOKUP(N840,'3-Productie normen'!$B$35:$C$56,2,FALSE),FALSE)))/VLOOKUP(B840,'2-Kosten per locatie'!$A$11:$C$18,3,FALSE)</f>
        <v>0</v>
      </c>
      <c r="S840" s="138">
        <f t="shared" si="68"/>
        <v>0</v>
      </c>
      <c r="T840" s="139" t="str">
        <f>VLOOKUP(I840,'3-Productie normen'!A:AF,28,FALSE)</f>
        <v>L</v>
      </c>
      <c r="U840" s="140"/>
      <c r="W840" s="141">
        <f t="shared" si="69"/>
        <v>3907.16</v>
      </c>
    </row>
    <row r="841" spans="1:23" ht="13.9" customHeight="1">
      <c r="A841" s="132">
        <v>841</v>
      </c>
      <c r="B841" s="49" t="s">
        <v>1680</v>
      </c>
      <c r="C841" s="49" t="s">
        <v>668</v>
      </c>
      <c r="D841" s="145" t="s">
        <v>271</v>
      </c>
      <c r="E841" s="146" t="s">
        <v>1458</v>
      </c>
      <c r="F841" s="146" t="s">
        <v>660</v>
      </c>
      <c r="G841" s="145" t="s">
        <v>264</v>
      </c>
      <c r="H841" s="145" t="s">
        <v>265</v>
      </c>
      <c r="I841" s="145" t="s">
        <v>284</v>
      </c>
      <c r="J841" s="149" t="s">
        <v>251</v>
      </c>
      <c r="K841" s="152" t="s">
        <v>1522</v>
      </c>
      <c r="L841" s="151">
        <v>58.75</v>
      </c>
      <c r="M841" s="136">
        <f t="shared" si="65"/>
        <v>76</v>
      </c>
      <c r="N841" s="2">
        <v>76</v>
      </c>
      <c r="O841" s="2"/>
      <c r="P841" s="137" t="e">
        <f t="shared" si="66"/>
        <v>#DIV/0!</v>
      </c>
      <c r="Q841" s="137">
        <f t="shared" si="67"/>
        <v>0</v>
      </c>
      <c r="R841" s="138">
        <f>IF(N841="nio",0,IF(N841&gt;0,VLOOKUP(I841,'3-Productie normen'!A:V,VLOOKUP(N841,'3-Productie normen'!$B$35:$C$56,2,FALSE),FALSE)))/VLOOKUP(B841,'2-Kosten per locatie'!$A$11:$C$18,3,FALSE)</f>
        <v>0</v>
      </c>
      <c r="S841" s="138">
        <f t="shared" si="68"/>
        <v>0</v>
      </c>
      <c r="T841" s="139" t="str">
        <f>VLOOKUP(I841,'3-Productie normen'!A:AF,28,FALSE)</f>
        <v>L</v>
      </c>
      <c r="U841" s="140"/>
      <c r="W841" s="141">
        <f t="shared" si="69"/>
        <v>4465</v>
      </c>
    </row>
    <row r="842" spans="1:23" ht="13.9" customHeight="1">
      <c r="A842" s="132">
        <v>842</v>
      </c>
      <c r="B842" s="49" t="s">
        <v>1680</v>
      </c>
      <c r="C842" s="49" t="s">
        <v>668</v>
      </c>
      <c r="D842" s="145" t="s">
        <v>271</v>
      </c>
      <c r="E842" s="146" t="s">
        <v>1459</v>
      </c>
      <c r="F842" s="146"/>
      <c r="G842" s="145" t="s">
        <v>242</v>
      </c>
      <c r="H842" s="145" t="s">
        <v>242</v>
      </c>
      <c r="I842" s="1" t="s">
        <v>242</v>
      </c>
      <c r="J842" s="149" t="s">
        <v>347</v>
      </c>
      <c r="K842" s="150"/>
      <c r="L842" s="151">
        <v>19.89</v>
      </c>
      <c r="M842" s="136">
        <f t="shared" si="65"/>
        <v>2</v>
      </c>
      <c r="N842" s="2">
        <v>2</v>
      </c>
      <c r="O842" s="2"/>
      <c r="P842" s="137" t="e">
        <f t="shared" si="66"/>
        <v>#DIV/0!</v>
      </c>
      <c r="Q842" s="137">
        <f t="shared" si="67"/>
        <v>0</v>
      </c>
      <c r="R842" s="138">
        <f>IF(N842="nio",0,IF(N842&gt;0,VLOOKUP(I842,'3-Productie normen'!A:V,VLOOKUP(N842,'3-Productie normen'!$B$35:$C$56,2,FALSE),FALSE)))/VLOOKUP(B842,'2-Kosten per locatie'!$A$11:$C$18,3,FALSE)</f>
        <v>0</v>
      </c>
      <c r="S842" s="138">
        <f t="shared" si="68"/>
        <v>0</v>
      </c>
      <c r="T842" s="139" t="str">
        <f>VLOOKUP(I842,'3-Productie normen'!A:AF,28,FALSE)</f>
        <v>V</v>
      </c>
      <c r="U842" s="140"/>
      <c r="W842" s="141">
        <f t="shared" si="69"/>
        <v>39.78</v>
      </c>
    </row>
    <row r="843" spans="1:23" ht="13.9" customHeight="1">
      <c r="A843" s="118">
        <v>843</v>
      </c>
      <c r="B843" s="49" t="s">
        <v>1680</v>
      </c>
      <c r="C843" s="49" t="s">
        <v>668</v>
      </c>
      <c r="D843" s="145" t="s">
        <v>271</v>
      </c>
      <c r="E843" s="146" t="s">
        <v>1460</v>
      </c>
      <c r="F843" s="146" t="s">
        <v>662</v>
      </c>
      <c r="G843" s="145" t="s">
        <v>264</v>
      </c>
      <c r="H843" s="145" t="s">
        <v>265</v>
      </c>
      <c r="I843" s="145" t="s">
        <v>284</v>
      </c>
      <c r="J843" s="149" t="s">
        <v>251</v>
      </c>
      <c r="K843" s="152" t="s">
        <v>1522</v>
      </c>
      <c r="L843" s="151">
        <v>64.540000000000006</v>
      </c>
      <c r="M843" s="136">
        <f t="shared" si="65"/>
        <v>76</v>
      </c>
      <c r="N843" s="2">
        <v>76</v>
      </c>
      <c r="O843" s="2"/>
      <c r="P843" s="137" t="e">
        <f t="shared" si="66"/>
        <v>#DIV/0!</v>
      </c>
      <c r="Q843" s="137">
        <f t="shared" si="67"/>
        <v>0</v>
      </c>
      <c r="R843" s="138">
        <f>IF(N843="nio",0,IF(N843&gt;0,VLOOKUP(I843,'3-Productie normen'!A:V,VLOOKUP(N843,'3-Productie normen'!$B$35:$C$56,2,FALSE),FALSE)))/VLOOKUP(B843,'2-Kosten per locatie'!$A$11:$C$18,3,FALSE)</f>
        <v>0</v>
      </c>
      <c r="S843" s="138">
        <f t="shared" si="68"/>
        <v>0</v>
      </c>
      <c r="T843" s="139" t="str">
        <f>VLOOKUP(I843,'3-Productie normen'!A:AF,28,FALSE)</f>
        <v>L</v>
      </c>
      <c r="U843" s="140"/>
      <c r="W843" s="141">
        <f t="shared" si="69"/>
        <v>4905.0400000000009</v>
      </c>
    </row>
    <row r="844" spans="1:23" ht="13.9" customHeight="1">
      <c r="A844" s="132">
        <v>844</v>
      </c>
      <c r="B844" s="49" t="s">
        <v>1680</v>
      </c>
      <c r="C844" s="49" t="s">
        <v>668</v>
      </c>
      <c r="D844" s="145" t="s">
        <v>271</v>
      </c>
      <c r="E844" s="146" t="s">
        <v>1461</v>
      </c>
      <c r="F844" s="146"/>
      <c r="G844" s="145" t="s">
        <v>264</v>
      </c>
      <c r="H844" s="145" t="s">
        <v>265</v>
      </c>
      <c r="I844" s="145" t="s">
        <v>284</v>
      </c>
      <c r="J844" s="149" t="s">
        <v>251</v>
      </c>
      <c r="K844" s="152" t="s">
        <v>1522</v>
      </c>
      <c r="L844" s="151">
        <v>63.3</v>
      </c>
      <c r="M844" s="136">
        <f t="shared" si="65"/>
        <v>76</v>
      </c>
      <c r="N844" s="2">
        <v>76</v>
      </c>
      <c r="O844" s="2"/>
      <c r="P844" s="137" t="e">
        <f t="shared" si="66"/>
        <v>#DIV/0!</v>
      </c>
      <c r="Q844" s="137">
        <f t="shared" si="67"/>
        <v>0</v>
      </c>
      <c r="R844" s="138">
        <f>IF(N844="nio",0,IF(N844&gt;0,VLOOKUP(I844,'3-Productie normen'!A:V,VLOOKUP(N844,'3-Productie normen'!$B$35:$C$56,2,FALSE),FALSE)))/VLOOKUP(B844,'2-Kosten per locatie'!$A$11:$C$18,3,FALSE)</f>
        <v>0</v>
      </c>
      <c r="S844" s="138">
        <f t="shared" si="68"/>
        <v>0</v>
      </c>
      <c r="T844" s="139" t="str">
        <f>VLOOKUP(I844,'3-Productie normen'!A:AF,28,FALSE)</f>
        <v>L</v>
      </c>
      <c r="U844" s="140"/>
      <c r="W844" s="141">
        <f t="shared" si="69"/>
        <v>4810.8</v>
      </c>
    </row>
    <row r="845" spans="1:23" ht="13.9" customHeight="1">
      <c r="A845" s="132">
        <v>845</v>
      </c>
      <c r="B845" s="49" t="s">
        <v>1680</v>
      </c>
      <c r="C845" s="49" t="s">
        <v>668</v>
      </c>
      <c r="D845" s="145" t="s">
        <v>271</v>
      </c>
      <c r="E845" s="146" t="s">
        <v>1462</v>
      </c>
      <c r="F845" s="146" t="s">
        <v>634</v>
      </c>
      <c r="G845" s="145" t="s">
        <v>245</v>
      </c>
      <c r="H845" s="145" t="s">
        <v>245</v>
      </c>
      <c r="I845" s="92" t="s">
        <v>274</v>
      </c>
      <c r="J845" s="149" t="s">
        <v>251</v>
      </c>
      <c r="K845" s="152" t="s">
        <v>1522</v>
      </c>
      <c r="L845" s="151">
        <v>53.04</v>
      </c>
      <c r="M845" s="136">
        <f t="shared" si="65"/>
        <v>76</v>
      </c>
      <c r="N845" s="2">
        <v>76</v>
      </c>
      <c r="O845" s="2"/>
      <c r="P845" s="137" t="e">
        <f t="shared" si="66"/>
        <v>#DIV/0!</v>
      </c>
      <c r="Q845" s="137">
        <f t="shared" si="67"/>
        <v>0</v>
      </c>
      <c r="R845" s="138">
        <f>IF(N845="nio",0,IF(N845&gt;0,VLOOKUP(I845,'3-Productie normen'!A:V,VLOOKUP(N845,'3-Productie normen'!$B$35:$C$56,2,FALSE),FALSE)))/VLOOKUP(B845,'2-Kosten per locatie'!$A$11:$C$18,3,FALSE)</f>
        <v>0</v>
      </c>
      <c r="S845" s="138">
        <f t="shared" si="68"/>
        <v>0</v>
      </c>
      <c r="T845" s="139" t="str">
        <f>VLOOKUP(I845,'3-Productie normen'!A:AF,28,FALSE)</f>
        <v>B</v>
      </c>
      <c r="U845" s="140"/>
      <c r="W845" s="141">
        <f t="shared" si="69"/>
        <v>4031.04</v>
      </c>
    </row>
    <row r="846" spans="1:23" ht="13.9" customHeight="1">
      <c r="A846" s="118">
        <v>846</v>
      </c>
      <c r="B846" s="49" t="s">
        <v>1680</v>
      </c>
      <c r="C846" s="49" t="s">
        <v>668</v>
      </c>
      <c r="D846" s="145" t="s">
        <v>271</v>
      </c>
      <c r="E846" s="146" t="s">
        <v>1463</v>
      </c>
      <c r="F846" s="146"/>
      <c r="G846" s="145" t="s">
        <v>242</v>
      </c>
      <c r="H846" s="145" t="s">
        <v>242</v>
      </c>
      <c r="I846" s="1" t="s">
        <v>242</v>
      </c>
      <c r="J846" s="149" t="s">
        <v>251</v>
      </c>
      <c r="K846" s="152" t="s">
        <v>1522</v>
      </c>
      <c r="L846" s="151">
        <v>6.92</v>
      </c>
      <c r="M846" s="136">
        <f t="shared" si="65"/>
        <v>2</v>
      </c>
      <c r="N846" s="2">
        <v>2</v>
      </c>
      <c r="O846" s="2"/>
      <c r="P846" s="137" t="e">
        <f t="shared" si="66"/>
        <v>#DIV/0!</v>
      </c>
      <c r="Q846" s="137">
        <f t="shared" si="67"/>
        <v>0</v>
      </c>
      <c r="R846" s="138">
        <f>IF(N846="nio",0,IF(N846&gt;0,VLOOKUP(I846,'3-Productie normen'!A:V,VLOOKUP(N846,'3-Productie normen'!$B$35:$C$56,2,FALSE),FALSE)))/VLOOKUP(B846,'2-Kosten per locatie'!$A$11:$C$18,3,FALSE)</f>
        <v>0</v>
      </c>
      <c r="S846" s="138">
        <f t="shared" si="68"/>
        <v>0</v>
      </c>
      <c r="T846" s="139" t="str">
        <f>VLOOKUP(I846,'3-Productie normen'!A:AF,28,FALSE)</f>
        <v>V</v>
      </c>
      <c r="U846" s="140"/>
      <c r="W846" s="141">
        <f t="shared" si="69"/>
        <v>13.84</v>
      </c>
    </row>
    <row r="847" spans="1:23" ht="13.9" customHeight="1">
      <c r="A847" s="132">
        <v>847</v>
      </c>
      <c r="B847" s="49" t="s">
        <v>1680</v>
      </c>
      <c r="C847" s="49" t="s">
        <v>668</v>
      </c>
      <c r="D847" s="145" t="s">
        <v>289</v>
      </c>
      <c r="E847" s="146" t="s">
        <v>1464</v>
      </c>
      <c r="F847" s="146"/>
      <c r="G847" s="145" t="s">
        <v>275</v>
      </c>
      <c r="H847" s="145" t="s">
        <v>53</v>
      </c>
      <c r="I847" s="1" t="s">
        <v>233</v>
      </c>
      <c r="J847" s="149" t="s">
        <v>231</v>
      </c>
      <c r="K847" s="150"/>
      <c r="L847" s="153">
        <v>0</v>
      </c>
      <c r="M847" s="136">
        <f t="shared" si="65"/>
        <v>190</v>
      </c>
      <c r="N847" s="2">
        <v>190</v>
      </c>
      <c r="O847" s="2"/>
      <c r="P847" s="137" t="e">
        <f t="shared" si="66"/>
        <v>#DIV/0!</v>
      </c>
      <c r="Q847" s="137">
        <f t="shared" si="67"/>
        <v>0</v>
      </c>
      <c r="R847" s="138">
        <f>IF(N847="nio",0,IF(N847&gt;0,VLOOKUP(I847,'3-Productie normen'!A:V,VLOOKUP(N847,'3-Productie normen'!$B$35:$C$56,2,FALSE),FALSE)))/VLOOKUP(B847,'2-Kosten per locatie'!$A$11:$C$18,3,FALSE)</f>
        <v>0</v>
      </c>
      <c r="S847" s="138">
        <f t="shared" si="68"/>
        <v>0</v>
      </c>
      <c r="T847" s="139" t="str">
        <f>VLOOKUP(I847,'3-Productie normen'!A:AF,28,FALSE)</f>
        <v>V</v>
      </c>
      <c r="U847" s="140"/>
      <c r="W847" s="141">
        <f t="shared" si="69"/>
        <v>0</v>
      </c>
    </row>
    <row r="848" spans="1:23" ht="13.9" customHeight="1">
      <c r="A848" s="132">
        <v>848</v>
      </c>
      <c r="B848" s="49" t="s">
        <v>1680</v>
      </c>
      <c r="C848" s="49" t="s">
        <v>668</v>
      </c>
      <c r="D848" s="145" t="s">
        <v>289</v>
      </c>
      <c r="E848" s="146" t="s">
        <v>1465</v>
      </c>
      <c r="F848" s="146"/>
      <c r="G848" s="145" t="s">
        <v>237</v>
      </c>
      <c r="H848" s="145" t="s">
        <v>1466</v>
      </c>
      <c r="I848" s="91" t="s">
        <v>239</v>
      </c>
      <c r="J848" s="149" t="s">
        <v>234</v>
      </c>
      <c r="K848" s="150"/>
      <c r="L848" s="151">
        <v>12.95</v>
      </c>
      <c r="M848" s="136">
        <f t="shared" si="65"/>
        <v>0</v>
      </c>
      <c r="N848" s="2" t="s">
        <v>273</v>
      </c>
      <c r="O848" s="2"/>
      <c r="P848" s="137">
        <f t="shared" si="66"/>
        <v>0</v>
      </c>
      <c r="Q848" s="137">
        <f t="shared" si="67"/>
        <v>0</v>
      </c>
      <c r="R848" s="138">
        <f>IF(N848="nio",0,IF(N848&gt;0,VLOOKUP(I848,'3-Productie normen'!A:V,VLOOKUP(N848,'3-Productie normen'!$B$35:$C$56,2,FALSE),FALSE)))/VLOOKUP(B848,'2-Kosten per locatie'!$A$11:$C$18,3,FALSE)</f>
        <v>0</v>
      </c>
      <c r="S848" s="138">
        <f t="shared" si="68"/>
        <v>0</v>
      </c>
      <c r="T848" s="139">
        <f>VLOOKUP(I848,'3-Productie normen'!A:AF,28,FALSE)</f>
        <v>0</v>
      </c>
      <c r="U848" s="140"/>
      <c r="W848" s="141">
        <f t="shared" si="69"/>
        <v>0</v>
      </c>
    </row>
    <row r="849" spans="1:23" ht="13.9" customHeight="1">
      <c r="A849" s="118">
        <v>849</v>
      </c>
      <c r="B849" s="49" t="s">
        <v>1680</v>
      </c>
      <c r="C849" s="49" t="s">
        <v>668</v>
      </c>
      <c r="D849" s="145" t="s">
        <v>289</v>
      </c>
      <c r="E849" s="146" t="s">
        <v>1467</v>
      </c>
      <c r="F849" s="146"/>
      <c r="G849" s="145" t="s">
        <v>275</v>
      </c>
      <c r="H849" s="145" t="s">
        <v>54</v>
      </c>
      <c r="I849" s="145" t="s">
        <v>239</v>
      </c>
      <c r="J849" s="149" t="s">
        <v>231</v>
      </c>
      <c r="K849" s="150"/>
      <c r="L849" s="151">
        <v>0</v>
      </c>
      <c r="M849" s="136">
        <f t="shared" si="65"/>
        <v>0</v>
      </c>
      <c r="N849" s="2" t="s">
        <v>273</v>
      </c>
      <c r="O849" s="2"/>
      <c r="P849" s="137">
        <f t="shared" si="66"/>
        <v>0</v>
      </c>
      <c r="Q849" s="137">
        <f t="shared" si="67"/>
        <v>0</v>
      </c>
      <c r="R849" s="138">
        <f>IF(N849="nio",0,IF(N849&gt;0,VLOOKUP(I849,'3-Productie normen'!A:V,VLOOKUP(N849,'3-Productie normen'!$B$35:$C$56,2,FALSE),FALSE)))/VLOOKUP(B849,'2-Kosten per locatie'!$A$11:$C$18,3,FALSE)</f>
        <v>0</v>
      </c>
      <c r="S849" s="138">
        <f t="shared" si="68"/>
        <v>0</v>
      </c>
      <c r="T849" s="139">
        <f>VLOOKUP(I849,'3-Productie normen'!A:AF,28,FALSE)</f>
        <v>0</v>
      </c>
      <c r="U849" s="140"/>
      <c r="W849" s="141">
        <f t="shared" si="69"/>
        <v>0</v>
      </c>
    </row>
    <row r="850" spans="1:23" ht="13.9" customHeight="1">
      <c r="A850" s="132">
        <v>850</v>
      </c>
      <c r="B850" s="49" t="s">
        <v>1680</v>
      </c>
      <c r="C850" s="49" t="s">
        <v>668</v>
      </c>
      <c r="D850" s="145" t="s">
        <v>289</v>
      </c>
      <c r="E850" s="146" t="s">
        <v>1468</v>
      </c>
      <c r="F850" s="146"/>
      <c r="G850" s="145" t="s">
        <v>237</v>
      </c>
      <c r="H850" s="145" t="s">
        <v>257</v>
      </c>
      <c r="I850" s="91" t="s">
        <v>239</v>
      </c>
      <c r="J850" s="149" t="s">
        <v>231</v>
      </c>
      <c r="K850" s="150"/>
      <c r="L850" s="151">
        <v>0</v>
      </c>
      <c r="M850" s="136">
        <f t="shared" si="65"/>
        <v>0</v>
      </c>
      <c r="N850" s="2" t="s">
        <v>273</v>
      </c>
      <c r="O850" s="2"/>
      <c r="P850" s="137">
        <f t="shared" si="66"/>
        <v>0</v>
      </c>
      <c r="Q850" s="137">
        <f t="shared" si="67"/>
        <v>0</v>
      </c>
      <c r="R850" s="138">
        <f>IF(N850="nio",0,IF(N850&gt;0,VLOOKUP(I850,'3-Productie normen'!A:V,VLOOKUP(N850,'3-Productie normen'!$B$35:$C$56,2,FALSE),FALSE)))/VLOOKUP(B850,'2-Kosten per locatie'!$A$11:$C$18,3,FALSE)</f>
        <v>0</v>
      </c>
      <c r="S850" s="138">
        <f t="shared" si="68"/>
        <v>0</v>
      </c>
      <c r="T850" s="139">
        <f>VLOOKUP(I850,'3-Productie normen'!A:AF,28,FALSE)</f>
        <v>0</v>
      </c>
      <c r="U850" s="140"/>
      <c r="W850" s="141">
        <f t="shared" si="69"/>
        <v>0</v>
      </c>
    </row>
    <row r="851" spans="1:23" ht="13.9" customHeight="1">
      <c r="A851" s="132">
        <v>851</v>
      </c>
      <c r="B851" s="49" t="s">
        <v>1680</v>
      </c>
      <c r="C851" s="49" t="s">
        <v>668</v>
      </c>
      <c r="D851" s="145" t="s">
        <v>289</v>
      </c>
      <c r="E851" s="146" t="s">
        <v>1469</v>
      </c>
      <c r="F851" s="146"/>
      <c r="G851" s="145" t="s">
        <v>44</v>
      </c>
      <c r="H851" s="145" t="s">
        <v>258</v>
      </c>
      <c r="I851" s="145" t="s">
        <v>259</v>
      </c>
      <c r="J851" s="149" t="s">
        <v>305</v>
      </c>
      <c r="K851" s="150"/>
      <c r="L851" s="151">
        <v>3.41</v>
      </c>
      <c r="M851" s="136">
        <f t="shared" si="65"/>
        <v>380</v>
      </c>
      <c r="N851" s="2">
        <v>190</v>
      </c>
      <c r="O851" s="2">
        <v>190</v>
      </c>
      <c r="P851" s="137" t="e">
        <f t="shared" si="66"/>
        <v>#DIV/0!</v>
      </c>
      <c r="Q851" s="137" t="e">
        <f t="shared" si="67"/>
        <v>#DIV/0!</v>
      </c>
      <c r="R851" s="138">
        <f>IF(N851="nio",0,IF(N851&gt;0,VLOOKUP(I851,'3-Productie normen'!A:V,VLOOKUP(N851,'3-Productie normen'!$B$35:$C$56,2,FALSE),FALSE)))/VLOOKUP(B851,'2-Kosten per locatie'!$A$11:$C$18,3,FALSE)</f>
        <v>0</v>
      </c>
      <c r="S851" s="138">
        <f t="shared" si="68"/>
        <v>0</v>
      </c>
      <c r="T851" s="139" t="str">
        <f>VLOOKUP(I851,'3-Productie normen'!A:AF,28,FALSE)</f>
        <v>S</v>
      </c>
      <c r="U851" s="140"/>
      <c r="W851" s="141">
        <f t="shared" si="69"/>
        <v>1295.8</v>
      </c>
    </row>
    <row r="852" spans="1:23" ht="13.9" customHeight="1">
      <c r="A852" s="118">
        <v>852</v>
      </c>
      <c r="B852" s="49" t="s">
        <v>1680</v>
      </c>
      <c r="C852" s="49" t="s">
        <v>668</v>
      </c>
      <c r="D852" s="145" t="s">
        <v>289</v>
      </c>
      <c r="E852" s="146" t="s">
        <v>1470</v>
      </c>
      <c r="F852" s="146"/>
      <c r="G852" s="145" t="s">
        <v>44</v>
      </c>
      <c r="H852" s="145" t="s">
        <v>260</v>
      </c>
      <c r="I852" s="145" t="s">
        <v>259</v>
      </c>
      <c r="J852" s="149" t="s">
        <v>305</v>
      </c>
      <c r="K852" s="150"/>
      <c r="L852" s="151">
        <v>0.91</v>
      </c>
      <c r="M852" s="136">
        <f t="shared" si="65"/>
        <v>380</v>
      </c>
      <c r="N852" s="2">
        <v>190</v>
      </c>
      <c r="O852" s="2">
        <v>190</v>
      </c>
      <c r="P852" s="137" t="e">
        <f t="shared" si="66"/>
        <v>#DIV/0!</v>
      </c>
      <c r="Q852" s="137" t="e">
        <f t="shared" si="67"/>
        <v>#DIV/0!</v>
      </c>
      <c r="R852" s="138">
        <f>IF(N852="nio",0,IF(N852&gt;0,VLOOKUP(I852,'3-Productie normen'!A:V,VLOOKUP(N852,'3-Productie normen'!$B$35:$C$56,2,FALSE),FALSE)))/VLOOKUP(B852,'2-Kosten per locatie'!$A$11:$C$18,3,FALSE)</f>
        <v>0</v>
      </c>
      <c r="S852" s="138">
        <f t="shared" si="68"/>
        <v>0</v>
      </c>
      <c r="T852" s="139" t="str">
        <f>VLOOKUP(I852,'3-Productie normen'!A:AF,28,FALSE)</f>
        <v>S</v>
      </c>
      <c r="U852" s="140"/>
      <c r="W852" s="141">
        <f t="shared" si="69"/>
        <v>345.8</v>
      </c>
    </row>
    <row r="853" spans="1:23" ht="13.9" customHeight="1">
      <c r="A853" s="132">
        <v>853</v>
      </c>
      <c r="B853" s="49" t="s">
        <v>1680</v>
      </c>
      <c r="C853" s="49" t="s">
        <v>668</v>
      </c>
      <c r="D853" s="145" t="s">
        <v>289</v>
      </c>
      <c r="E853" s="146" t="s">
        <v>1471</v>
      </c>
      <c r="F853" s="146"/>
      <c r="G853" s="145" t="s">
        <v>44</v>
      </c>
      <c r="H853" s="145" t="s">
        <v>260</v>
      </c>
      <c r="I853" s="145" t="s">
        <v>259</v>
      </c>
      <c r="J853" s="149" t="s">
        <v>305</v>
      </c>
      <c r="K853" s="150"/>
      <c r="L853" s="151">
        <v>0.92</v>
      </c>
      <c r="M853" s="136">
        <f t="shared" si="65"/>
        <v>380</v>
      </c>
      <c r="N853" s="2">
        <v>190</v>
      </c>
      <c r="O853" s="2">
        <v>190</v>
      </c>
      <c r="P853" s="137" t="e">
        <f t="shared" si="66"/>
        <v>#DIV/0!</v>
      </c>
      <c r="Q853" s="137" t="e">
        <f t="shared" si="67"/>
        <v>#DIV/0!</v>
      </c>
      <c r="R853" s="138">
        <f>IF(N853="nio",0,IF(N853&gt;0,VLOOKUP(I853,'3-Productie normen'!A:V,VLOOKUP(N853,'3-Productie normen'!$B$35:$C$56,2,FALSE),FALSE)))/VLOOKUP(B853,'2-Kosten per locatie'!$A$11:$C$18,3,FALSE)</f>
        <v>0</v>
      </c>
      <c r="S853" s="138">
        <f t="shared" si="68"/>
        <v>0</v>
      </c>
      <c r="T853" s="139" t="str">
        <f>VLOOKUP(I853,'3-Productie normen'!A:AF,28,FALSE)</f>
        <v>S</v>
      </c>
      <c r="U853" s="140"/>
      <c r="W853" s="141">
        <f t="shared" si="69"/>
        <v>349.6</v>
      </c>
    </row>
    <row r="854" spans="1:23" ht="13.9" customHeight="1">
      <c r="A854" s="132">
        <v>854</v>
      </c>
      <c r="B854" s="49" t="s">
        <v>1680</v>
      </c>
      <c r="C854" s="49" t="s">
        <v>668</v>
      </c>
      <c r="D854" s="145" t="s">
        <v>289</v>
      </c>
      <c r="E854" s="146" t="s">
        <v>1472</v>
      </c>
      <c r="F854" s="146"/>
      <c r="G854" s="145" t="s">
        <v>245</v>
      </c>
      <c r="H854" s="145" t="s">
        <v>245</v>
      </c>
      <c r="I854" s="92" t="s">
        <v>274</v>
      </c>
      <c r="J854" s="149" t="s">
        <v>1473</v>
      </c>
      <c r="K854" s="152" t="s">
        <v>1522</v>
      </c>
      <c r="L854" s="151">
        <v>129.62</v>
      </c>
      <c r="M854" s="136">
        <f t="shared" si="65"/>
        <v>76</v>
      </c>
      <c r="N854" s="2">
        <v>76</v>
      </c>
      <c r="O854" s="2"/>
      <c r="P854" s="137" t="e">
        <f t="shared" si="66"/>
        <v>#DIV/0!</v>
      </c>
      <c r="Q854" s="137">
        <f t="shared" si="67"/>
        <v>0</v>
      </c>
      <c r="R854" s="138">
        <f>IF(N854="nio",0,IF(N854&gt;0,VLOOKUP(I854,'3-Productie normen'!A:V,VLOOKUP(N854,'3-Productie normen'!$B$35:$C$56,2,FALSE),FALSE)))/VLOOKUP(B854,'2-Kosten per locatie'!$A$11:$C$18,3,FALSE)</f>
        <v>0</v>
      </c>
      <c r="S854" s="138">
        <f t="shared" si="68"/>
        <v>0</v>
      </c>
      <c r="T854" s="139" t="str">
        <f>VLOOKUP(I854,'3-Productie normen'!A:AF,28,FALSE)</f>
        <v>B</v>
      </c>
      <c r="U854" s="140"/>
      <c r="W854" s="141">
        <f t="shared" si="69"/>
        <v>9851.1200000000008</v>
      </c>
    </row>
    <row r="855" spans="1:23" ht="13.9" customHeight="1">
      <c r="A855" s="118">
        <v>855</v>
      </c>
      <c r="B855" s="49" t="s">
        <v>1680</v>
      </c>
      <c r="C855" s="49" t="s">
        <v>668</v>
      </c>
      <c r="D855" s="145" t="s">
        <v>289</v>
      </c>
      <c r="E855" s="146" t="s">
        <v>1474</v>
      </c>
      <c r="F855" s="146"/>
      <c r="G855" s="145" t="s">
        <v>245</v>
      </c>
      <c r="H855" s="145" t="s">
        <v>245</v>
      </c>
      <c r="I855" s="92" t="s">
        <v>274</v>
      </c>
      <c r="J855" s="149" t="s">
        <v>300</v>
      </c>
      <c r="K855" s="150"/>
      <c r="L855" s="151">
        <v>14.39</v>
      </c>
      <c r="M855" s="136">
        <f t="shared" ref="M855:M863" si="70">SUM(N855:O855)</f>
        <v>76</v>
      </c>
      <c r="N855" s="2">
        <v>76</v>
      </c>
      <c r="O855" s="2"/>
      <c r="P855" s="137" t="e">
        <f t="shared" ref="P855:P863" si="71">IF(N855="nio",0,IF(N855&gt;0,N855*L855/R855,0))</f>
        <v>#DIV/0!</v>
      </c>
      <c r="Q855" s="137">
        <f t="shared" ref="Q855:Q863" si="72">IF(O855&gt;0,O855*L855/S855,0)</f>
        <v>0</v>
      </c>
      <c r="R855" s="138">
        <f>IF(N855="nio",0,IF(N855&gt;0,VLOOKUP(I855,'3-Productie normen'!A:V,VLOOKUP(N855,'3-Productie normen'!$B$35:$C$56,2,FALSE),FALSE)))/VLOOKUP(B855,'2-Kosten per locatie'!$A$11:$C$18,3,FALSE)</f>
        <v>0</v>
      </c>
      <c r="S855" s="138">
        <f t="shared" ref="S855:S863" si="73">IF(O855&gt;0,R855*$S$8,0)</f>
        <v>0</v>
      </c>
      <c r="T855" s="139" t="str">
        <f>VLOOKUP(I855,'3-Productie normen'!A:AF,28,FALSE)</f>
        <v>B</v>
      </c>
      <c r="U855" s="140"/>
      <c r="W855" s="141">
        <f t="shared" ref="W855:W863" si="74">M855*L855</f>
        <v>1093.6400000000001</v>
      </c>
    </row>
    <row r="856" spans="1:23" ht="13.9" customHeight="1">
      <c r="A856" s="132">
        <v>856</v>
      </c>
      <c r="B856" s="49" t="s">
        <v>1680</v>
      </c>
      <c r="C856" s="49" t="s">
        <v>668</v>
      </c>
      <c r="D856" s="145" t="s">
        <v>289</v>
      </c>
      <c r="E856" s="146" t="s">
        <v>1475</v>
      </c>
      <c r="F856" s="146"/>
      <c r="G856" s="145" t="s">
        <v>245</v>
      </c>
      <c r="H856" s="145" t="s">
        <v>245</v>
      </c>
      <c r="I856" s="92" t="s">
        <v>274</v>
      </c>
      <c r="J856" s="149" t="s">
        <v>300</v>
      </c>
      <c r="K856" s="150"/>
      <c r="L856" s="151">
        <v>9.7200000000000006</v>
      </c>
      <c r="M856" s="136">
        <f t="shared" si="70"/>
        <v>76</v>
      </c>
      <c r="N856" s="2">
        <v>76</v>
      </c>
      <c r="O856" s="2"/>
      <c r="P856" s="137" t="e">
        <f t="shared" si="71"/>
        <v>#DIV/0!</v>
      </c>
      <c r="Q856" s="137">
        <f t="shared" si="72"/>
        <v>0</v>
      </c>
      <c r="R856" s="138">
        <f>IF(N856="nio",0,IF(N856&gt;0,VLOOKUP(I856,'3-Productie normen'!A:V,VLOOKUP(N856,'3-Productie normen'!$B$35:$C$56,2,FALSE),FALSE)))/VLOOKUP(B856,'2-Kosten per locatie'!$A$11:$C$18,3,FALSE)</f>
        <v>0</v>
      </c>
      <c r="S856" s="138">
        <f t="shared" si="73"/>
        <v>0</v>
      </c>
      <c r="T856" s="139" t="str">
        <f>VLOOKUP(I856,'3-Productie normen'!A:AF,28,FALSE)</f>
        <v>B</v>
      </c>
      <c r="U856" s="140"/>
      <c r="W856" s="141">
        <f t="shared" si="74"/>
        <v>738.72</v>
      </c>
    </row>
    <row r="857" spans="1:23" ht="13.9" customHeight="1">
      <c r="A857" s="132">
        <v>857</v>
      </c>
      <c r="B857" s="49" t="s">
        <v>1680</v>
      </c>
      <c r="C857" s="49" t="s">
        <v>668</v>
      </c>
      <c r="D857" s="145" t="s">
        <v>289</v>
      </c>
      <c r="E857" s="146" t="s">
        <v>1476</v>
      </c>
      <c r="F857" s="146"/>
      <c r="G857" s="145" t="s">
        <v>245</v>
      </c>
      <c r="H857" s="145" t="s">
        <v>245</v>
      </c>
      <c r="I857" s="92" t="s">
        <v>274</v>
      </c>
      <c r="J857" s="149" t="s">
        <v>300</v>
      </c>
      <c r="K857" s="150"/>
      <c r="L857" s="151">
        <v>13.04</v>
      </c>
      <c r="M857" s="136">
        <f t="shared" si="70"/>
        <v>76</v>
      </c>
      <c r="N857" s="2">
        <v>76</v>
      </c>
      <c r="O857" s="2"/>
      <c r="P857" s="137" t="e">
        <f t="shared" si="71"/>
        <v>#DIV/0!</v>
      </c>
      <c r="Q857" s="137">
        <f t="shared" si="72"/>
        <v>0</v>
      </c>
      <c r="R857" s="138">
        <f>IF(N857="nio",0,IF(N857&gt;0,VLOOKUP(I857,'3-Productie normen'!A:V,VLOOKUP(N857,'3-Productie normen'!$B$35:$C$56,2,FALSE),FALSE)))/VLOOKUP(B857,'2-Kosten per locatie'!$A$11:$C$18,3,FALSE)</f>
        <v>0</v>
      </c>
      <c r="S857" s="138">
        <f t="shared" si="73"/>
        <v>0</v>
      </c>
      <c r="T857" s="139" t="str">
        <f>VLOOKUP(I857,'3-Productie normen'!A:AF,28,FALSE)</f>
        <v>B</v>
      </c>
      <c r="U857" s="140"/>
      <c r="W857" s="141">
        <f t="shared" si="74"/>
        <v>991.04</v>
      </c>
    </row>
    <row r="858" spans="1:23" ht="13.9" customHeight="1">
      <c r="A858" s="118">
        <v>858</v>
      </c>
      <c r="B858" s="49" t="s">
        <v>1680</v>
      </c>
      <c r="C858" s="49" t="s">
        <v>668</v>
      </c>
      <c r="D858" s="145" t="s">
        <v>289</v>
      </c>
      <c r="E858" s="146" t="s">
        <v>1477</v>
      </c>
      <c r="F858" s="146"/>
      <c r="G858" s="145" t="s">
        <v>242</v>
      </c>
      <c r="H858" s="145" t="s">
        <v>242</v>
      </c>
      <c r="I858" s="1" t="s">
        <v>242</v>
      </c>
      <c r="J858" s="149" t="s">
        <v>347</v>
      </c>
      <c r="K858" s="150"/>
      <c r="L858" s="151">
        <v>19.100000000000001</v>
      </c>
      <c r="M858" s="136">
        <f t="shared" si="70"/>
        <v>2</v>
      </c>
      <c r="N858" s="2">
        <v>2</v>
      </c>
      <c r="O858" s="2"/>
      <c r="P858" s="137" t="e">
        <f t="shared" si="71"/>
        <v>#DIV/0!</v>
      </c>
      <c r="Q858" s="137">
        <f t="shared" si="72"/>
        <v>0</v>
      </c>
      <c r="R858" s="138">
        <f>IF(N858="nio",0,IF(N858&gt;0,VLOOKUP(I858,'3-Productie normen'!A:V,VLOOKUP(N858,'3-Productie normen'!$B$35:$C$56,2,FALSE),FALSE)))/VLOOKUP(B858,'2-Kosten per locatie'!$A$11:$C$18,3,FALSE)</f>
        <v>0</v>
      </c>
      <c r="S858" s="138">
        <f t="shared" si="73"/>
        <v>0</v>
      </c>
      <c r="T858" s="139" t="str">
        <f>VLOOKUP(I858,'3-Productie normen'!A:AF,28,FALSE)</f>
        <v>V</v>
      </c>
      <c r="U858" s="140"/>
      <c r="W858" s="141">
        <f t="shared" si="74"/>
        <v>38.200000000000003</v>
      </c>
    </row>
    <row r="859" spans="1:23" ht="13.9" customHeight="1">
      <c r="A859" s="132">
        <v>859</v>
      </c>
      <c r="B859" s="49" t="s">
        <v>1680</v>
      </c>
      <c r="C859" s="49" t="s">
        <v>668</v>
      </c>
      <c r="D859" s="145" t="s">
        <v>289</v>
      </c>
      <c r="E859" s="146" t="s">
        <v>1478</v>
      </c>
      <c r="F859" s="146"/>
      <c r="G859" s="145" t="s">
        <v>245</v>
      </c>
      <c r="H859" s="145" t="s">
        <v>50</v>
      </c>
      <c r="I859" s="145" t="s">
        <v>270</v>
      </c>
      <c r="J859" s="149" t="s">
        <v>300</v>
      </c>
      <c r="K859" s="150"/>
      <c r="L859" s="151">
        <v>22.55</v>
      </c>
      <c r="M859" s="136">
        <f t="shared" si="70"/>
        <v>76</v>
      </c>
      <c r="N859" s="2">
        <v>76</v>
      </c>
      <c r="O859" s="2"/>
      <c r="P859" s="137" t="e">
        <f t="shared" si="71"/>
        <v>#DIV/0!</v>
      </c>
      <c r="Q859" s="137">
        <f t="shared" si="72"/>
        <v>0</v>
      </c>
      <c r="R859" s="138">
        <f>IF(N859="nio",0,IF(N859&gt;0,VLOOKUP(I859,'3-Productie normen'!A:V,VLOOKUP(N859,'3-Productie normen'!$B$35:$C$56,2,FALSE),FALSE)))/VLOOKUP(B859,'2-Kosten per locatie'!$A$11:$C$18,3,FALSE)</f>
        <v>0</v>
      </c>
      <c r="S859" s="138">
        <f t="shared" si="73"/>
        <v>0</v>
      </c>
      <c r="T859" s="139" t="str">
        <f>VLOOKUP(I859,'3-Productie normen'!A:AF,28,FALSE)</f>
        <v>B</v>
      </c>
      <c r="U859" s="140"/>
      <c r="W859" s="141">
        <f t="shared" si="74"/>
        <v>1713.8</v>
      </c>
    </row>
    <row r="860" spans="1:23" ht="13.9" customHeight="1">
      <c r="A860" s="132">
        <v>860</v>
      </c>
      <c r="B860" s="49" t="s">
        <v>1680</v>
      </c>
      <c r="C860" s="49" t="s">
        <v>668</v>
      </c>
      <c r="D860" s="145" t="s">
        <v>289</v>
      </c>
      <c r="E860" s="146" t="s">
        <v>1479</v>
      </c>
      <c r="F860" s="146"/>
      <c r="G860" s="145" t="s">
        <v>245</v>
      </c>
      <c r="H860" s="145" t="s">
        <v>245</v>
      </c>
      <c r="I860" s="92" t="s">
        <v>274</v>
      </c>
      <c r="J860" s="149" t="s">
        <v>251</v>
      </c>
      <c r="K860" s="152" t="s">
        <v>1522</v>
      </c>
      <c r="L860" s="151">
        <v>12.73</v>
      </c>
      <c r="M860" s="136">
        <f t="shared" si="70"/>
        <v>76</v>
      </c>
      <c r="N860" s="2">
        <v>76</v>
      </c>
      <c r="O860" s="2"/>
      <c r="P860" s="137" t="e">
        <f t="shared" si="71"/>
        <v>#DIV/0!</v>
      </c>
      <c r="Q860" s="137">
        <f t="shared" si="72"/>
        <v>0</v>
      </c>
      <c r="R860" s="138">
        <f>IF(N860="nio",0,IF(N860&gt;0,VLOOKUP(I860,'3-Productie normen'!A:V,VLOOKUP(N860,'3-Productie normen'!$B$35:$C$56,2,FALSE),FALSE)))/VLOOKUP(B860,'2-Kosten per locatie'!$A$11:$C$18,3,FALSE)</f>
        <v>0</v>
      </c>
      <c r="S860" s="138">
        <f t="shared" si="73"/>
        <v>0</v>
      </c>
      <c r="T860" s="139" t="str">
        <f>VLOOKUP(I860,'3-Productie normen'!A:AF,28,FALSE)</f>
        <v>B</v>
      </c>
      <c r="U860" s="140"/>
      <c r="W860" s="141">
        <f t="shared" si="74"/>
        <v>967.48</v>
      </c>
    </row>
    <row r="861" spans="1:23" ht="13.9" customHeight="1">
      <c r="A861" s="118">
        <v>861</v>
      </c>
      <c r="B861" s="49" t="s">
        <v>1680</v>
      </c>
      <c r="C861" s="49" t="s">
        <v>668</v>
      </c>
      <c r="D861" s="145" t="s">
        <v>289</v>
      </c>
      <c r="E861" s="146" t="s">
        <v>1480</v>
      </c>
      <c r="F861" s="146"/>
      <c r="G861" s="145" t="s">
        <v>245</v>
      </c>
      <c r="H861" s="145" t="s">
        <v>245</v>
      </c>
      <c r="I861" s="92" t="s">
        <v>274</v>
      </c>
      <c r="J861" s="149" t="s">
        <v>300</v>
      </c>
      <c r="K861" s="150"/>
      <c r="L861" s="151">
        <v>9.17</v>
      </c>
      <c r="M861" s="136">
        <f t="shared" si="70"/>
        <v>76</v>
      </c>
      <c r="N861" s="2">
        <v>76</v>
      </c>
      <c r="O861" s="2"/>
      <c r="P861" s="137" t="e">
        <f t="shared" si="71"/>
        <v>#DIV/0!</v>
      </c>
      <c r="Q861" s="137">
        <f t="shared" si="72"/>
        <v>0</v>
      </c>
      <c r="R861" s="138">
        <f>IF(N861="nio",0,IF(N861&gt;0,VLOOKUP(I861,'3-Productie normen'!A:V,VLOOKUP(N861,'3-Productie normen'!$B$35:$C$56,2,FALSE),FALSE)))/VLOOKUP(B861,'2-Kosten per locatie'!$A$11:$C$18,3,FALSE)</f>
        <v>0</v>
      </c>
      <c r="S861" s="138">
        <f t="shared" si="73"/>
        <v>0</v>
      </c>
      <c r="T861" s="139" t="str">
        <f>VLOOKUP(I861,'3-Productie normen'!A:AF,28,FALSE)</f>
        <v>B</v>
      </c>
      <c r="U861" s="140"/>
      <c r="W861" s="141">
        <f t="shared" si="74"/>
        <v>696.92</v>
      </c>
    </row>
    <row r="862" spans="1:23" ht="13.9" customHeight="1">
      <c r="A862" s="132">
        <v>862</v>
      </c>
      <c r="B862" s="49" t="s">
        <v>1680</v>
      </c>
      <c r="C862" s="49" t="s">
        <v>668</v>
      </c>
      <c r="D862" s="145" t="s">
        <v>291</v>
      </c>
      <c r="E862" s="146" t="s">
        <v>1481</v>
      </c>
      <c r="F862" s="146"/>
      <c r="G862" s="145" t="s">
        <v>275</v>
      </c>
      <c r="H862" s="145" t="s">
        <v>53</v>
      </c>
      <c r="I862" s="1" t="s">
        <v>233</v>
      </c>
      <c r="J862" s="149" t="s">
        <v>234</v>
      </c>
      <c r="K862" s="150"/>
      <c r="L862" s="151">
        <v>12.7</v>
      </c>
      <c r="M862" s="136">
        <f t="shared" si="70"/>
        <v>190</v>
      </c>
      <c r="N862" s="2">
        <v>190</v>
      </c>
      <c r="O862" s="2"/>
      <c r="P862" s="137" t="e">
        <f t="shared" si="71"/>
        <v>#DIV/0!</v>
      </c>
      <c r="Q862" s="137">
        <f t="shared" si="72"/>
        <v>0</v>
      </c>
      <c r="R862" s="138">
        <f>IF(N862="nio",0,IF(N862&gt;0,VLOOKUP(I862,'3-Productie normen'!A:V,VLOOKUP(N862,'3-Productie normen'!$B$35:$C$56,2,FALSE),FALSE)))/VLOOKUP(B862,'2-Kosten per locatie'!$A$11:$C$18,3,FALSE)</f>
        <v>0</v>
      </c>
      <c r="S862" s="138">
        <f t="shared" si="73"/>
        <v>0</v>
      </c>
      <c r="T862" s="139" t="str">
        <f>VLOOKUP(I862,'3-Productie normen'!A:AF,28,FALSE)</f>
        <v>V</v>
      </c>
      <c r="U862" s="140"/>
      <c r="W862" s="141">
        <f t="shared" si="74"/>
        <v>2413</v>
      </c>
    </row>
    <row r="863" spans="1:23" ht="13.9" customHeight="1">
      <c r="A863" s="132">
        <v>863</v>
      </c>
      <c r="B863" s="49" t="s">
        <v>1680</v>
      </c>
      <c r="C863" s="49" t="s">
        <v>668</v>
      </c>
      <c r="D863" s="145" t="s">
        <v>291</v>
      </c>
      <c r="E863" s="146" t="s">
        <v>1482</v>
      </c>
      <c r="F863" s="146"/>
      <c r="G863" s="145" t="s">
        <v>242</v>
      </c>
      <c r="H863" s="145" t="s">
        <v>242</v>
      </c>
      <c r="I863" s="1" t="s">
        <v>242</v>
      </c>
      <c r="J863" s="149" t="s">
        <v>234</v>
      </c>
      <c r="K863" s="150"/>
      <c r="L863" s="151">
        <v>36.01</v>
      </c>
      <c r="M863" s="136">
        <f t="shared" si="70"/>
        <v>2</v>
      </c>
      <c r="N863" s="2">
        <v>2</v>
      </c>
      <c r="O863" s="2"/>
      <c r="P863" s="137" t="e">
        <f t="shared" si="71"/>
        <v>#DIV/0!</v>
      </c>
      <c r="Q863" s="137">
        <f t="shared" si="72"/>
        <v>0</v>
      </c>
      <c r="R863" s="138">
        <f>IF(N863="nio",0,IF(N863&gt;0,VLOOKUP(I863,'3-Productie normen'!A:V,VLOOKUP(N863,'3-Productie normen'!$B$35:$C$56,2,FALSE),FALSE)))/VLOOKUP(B863,'2-Kosten per locatie'!$A$11:$C$18,3,FALSE)</f>
        <v>0</v>
      </c>
      <c r="S863" s="138">
        <f t="shared" si="73"/>
        <v>0</v>
      </c>
      <c r="T863" s="139" t="str">
        <f>VLOOKUP(I863,'3-Productie normen'!A:AF,28,FALSE)</f>
        <v>V</v>
      </c>
      <c r="U863" s="140"/>
      <c r="W863" s="141">
        <f t="shared" si="74"/>
        <v>72.02</v>
      </c>
    </row>
    <row r="864" spans="1:23" ht="13.9" customHeight="1">
      <c r="A864" s="118">
        <v>864</v>
      </c>
      <c r="B864" s="49" t="s">
        <v>1676</v>
      </c>
      <c r="C864" s="154" t="s">
        <v>1656</v>
      </c>
      <c r="D864" s="154" t="s">
        <v>246</v>
      </c>
      <c r="E864" s="155" t="s">
        <v>1536</v>
      </c>
      <c r="F864" s="156"/>
      <c r="G864" s="157" t="s">
        <v>242</v>
      </c>
      <c r="H864" s="157" t="s">
        <v>242</v>
      </c>
      <c r="I864" s="158" t="s">
        <v>1504</v>
      </c>
      <c r="J864" s="159" t="s">
        <v>1055</v>
      </c>
      <c r="K864" s="152" t="s">
        <v>1522</v>
      </c>
      <c r="L864" s="160">
        <v>10.9</v>
      </c>
      <c r="M864" s="161">
        <f t="shared" ref="M864:M873" si="75">SUM(N864:O864)</f>
        <v>2</v>
      </c>
      <c r="N864" s="3">
        <v>2</v>
      </c>
      <c r="O864" s="143"/>
      <c r="P864" s="137" t="e">
        <f t="shared" ref="P864:P914" si="76">IF(N864="nio",0,IF(N864&gt;0,N864*L864/R864,0))</f>
        <v>#DIV/0!</v>
      </c>
      <c r="Q864" s="137">
        <f t="shared" ref="Q864:Q914" si="77">IF(O864&gt;0,O864*L864/S864,0)</f>
        <v>0</v>
      </c>
      <c r="R864" s="138">
        <f>IF(N864="nio",0,IF(N864&gt;0,VLOOKUP(I864,'3-Productie normen'!A:W,VLOOKUP(N864,'3-Productie normen'!$B$35:$C$56,2,FALSE),FALSE)))/VLOOKUP(B864,'2-Kosten per locatie'!$A$11:$C$18,3,FALSE)</f>
        <v>0</v>
      </c>
      <c r="S864" s="138">
        <f t="shared" ref="S864:S914" si="78">IF(O864&gt;0,R864*$S$8,0)</f>
        <v>0</v>
      </c>
      <c r="T864" s="139" t="str">
        <f>VLOOKUP(I864,'3-Productie normen'!A:AF,28,FALSE)</f>
        <v>V</v>
      </c>
      <c r="U864" s="140"/>
      <c r="W864" s="141">
        <f t="shared" ref="W864:W914" si="79">M864*L864</f>
        <v>21.8</v>
      </c>
    </row>
    <row r="865" spans="1:23" ht="13.9" customHeight="1">
      <c r="A865" s="132">
        <v>865</v>
      </c>
      <c r="B865" s="49" t="s">
        <v>1676</v>
      </c>
      <c r="C865" s="154" t="s">
        <v>1656</v>
      </c>
      <c r="D865" s="154" t="s">
        <v>246</v>
      </c>
      <c r="E865" s="155" t="s">
        <v>672</v>
      </c>
      <c r="F865" s="156"/>
      <c r="G865" s="157" t="s">
        <v>264</v>
      </c>
      <c r="H865" s="157" t="s">
        <v>297</v>
      </c>
      <c r="I865" s="158" t="s">
        <v>50</v>
      </c>
      <c r="J865" s="159" t="s">
        <v>1055</v>
      </c>
      <c r="K865" s="152" t="s">
        <v>1522</v>
      </c>
      <c r="L865" s="160">
        <v>152.6</v>
      </c>
      <c r="M865" s="161">
        <f t="shared" si="75"/>
        <v>76</v>
      </c>
      <c r="N865" s="143">
        <v>76</v>
      </c>
      <c r="O865" s="143"/>
      <c r="P865" s="137" t="e">
        <f t="shared" si="76"/>
        <v>#DIV/0!</v>
      </c>
      <c r="Q865" s="137">
        <f t="shared" si="77"/>
        <v>0</v>
      </c>
      <c r="R865" s="138">
        <f>IF(N865="nio",0,IF(N865&gt;0,VLOOKUP(I865,'3-Productie normen'!A:W,VLOOKUP(N865,'3-Productie normen'!$B$35:$C$56,2,FALSE),FALSE)))/VLOOKUP(B865,'2-Kosten per locatie'!$A$11:$C$18,3,FALSE)</f>
        <v>0</v>
      </c>
      <c r="S865" s="138">
        <f t="shared" si="78"/>
        <v>0</v>
      </c>
      <c r="T865" s="139" t="str">
        <f>VLOOKUP(I865,'3-Productie normen'!A:AF,28,FALSE)</f>
        <v>B</v>
      </c>
      <c r="U865" s="140"/>
      <c r="W865" s="141">
        <f t="shared" si="79"/>
        <v>11597.6</v>
      </c>
    </row>
    <row r="866" spans="1:23" ht="13.9" customHeight="1">
      <c r="A866" s="132">
        <v>866</v>
      </c>
      <c r="B866" s="49" t="s">
        <v>1676</v>
      </c>
      <c r="C866" s="154" t="s">
        <v>1656</v>
      </c>
      <c r="D866" s="154" t="s">
        <v>246</v>
      </c>
      <c r="E866" s="155" t="s">
        <v>671</v>
      </c>
      <c r="F866" s="156"/>
      <c r="G866" s="157" t="s">
        <v>264</v>
      </c>
      <c r="H866" s="157" t="s">
        <v>290</v>
      </c>
      <c r="I866" s="91" t="s">
        <v>244</v>
      </c>
      <c r="J866" s="159" t="s">
        <v>1055</v>
      </c>
      <c r="K866" s="152" t="s">
        <v>1522</v>
      </c>
      <c r="L866" s="160">
        <v>58.3</v>
      </c>
      <c r="M866" s="161">
        <f t="shared" si="75"/>
        <v>76</v>
      </c>
      <c r="N866" s="3">
        <v>76</v>
      </c>
      <c r="O866" s="143"/>
      <c r="P866" s="137" t="e">
        <f t="shared" si="76"/>
        <v>#DIV/0!</v>
      </c>
      <c r="Q866" s="137">
        <f t="shared" si="77"/>
        <v>0</v>
      </c>
      <c r="R866" s="138">
        <f>IF(N866="nio",0,IF(N866&gt;0,VLOOKUP(I866,'3-Productie normen'!A:W,VLOOKUP(N866,'3-Productie normen'!$B$35:$C$56,2,FALSE),FALSE)))/VLOOKUP(B866,'2-Kosten per locatie'!$A$11:$C$18,3,FALSE)</f>
        <v>0</v>
      </c>
      <c r="S866" s="138">
        <f t="shared" si="78"/>
        <v>0</v>
      </c>
      <c r="T866" s="139" t="str">
        <f>VLOOKUP(I866,'3-Productie normen'!A:AF,28,FALSE)</f>
        <v>L</v>
      </c>
      <c r="U866" s="140"/>
      <c r="W866" s="141">
        <f t="shared" si="79"/>
        <v>4430.8</v>
      </c>
    </row>
    <row r="867" spans="1:23" ht="13.9" customHeight="1">
      <c r="A867" s="118">
        <v>867</v>
      </c>
      <c r="B867" s="49" t="s">
        <v>1676</v>
      </c>
      <c r="C867" s="154" t="s">
        <v>1656</v>
      </c>
      <c r="D867" s="154" t="s">
        <v>246</v>
      </c>
      <c r="E867" s="155" t="s">
        <v>669</v>
      </c>
      <c r="F867" s="156"/>
      <c r="G867" s="157" t="s">
        <v>243</v>
      </c>
      <c r="H867" s="157" t="s">
        <v>358</v>
      </c>
      <c r="I867" s="162" t="s">
        <v>274</v>
      </c>
      <c r="J867" s="159" t="s">
        <v>1055</v>
      </c>
      <c r="K867" s="152" t="s">
        <v>1522</v>
      </c>
      <c r="L867" s="160">
        <v>16.2</v>
      </c>
      <c r="M867" s="161">
        <f t="shared" si="75"/>
        <v>76</v>
      </c>
      <c r="N867" s="2">
        <v>76</v>
      </c>
      <c r="O867" s="143"/>
      <c r="P867" s="137" t="e">
        <f t="shared" si="76"/>
        <v>#DIV/0!</v>
      </c>
      <c r="Q867" s="137">
        <f t="shared" si="77"/>
        <v>0</v>
      </c>
      <c r="R867" s="138">
        <f>IF(N867="nio",0,IF(N867&gt;0,VLOOKUP(I867,'3-Productie normen'!A:W,VLOOKUP(N867,'3-Productie normen'!$B$35:$C$56,2,FALSE),FALSE)))/VLOOKUP(B867,'2-Kosten per locatie'!$A$11:$C$18,3,FALSE)</f>
        <v>0</v>
      </c>
      <c r="S867" s="138">
        <f t="shared" si="78"/>
        <v>0</v>
      </c>
      <c r="T867" s="139" t="str">
        <f>VLOOKUP(I867,'3-Productie normen'!A:AF,28,FALSE)</f>
        <v>B</v>
      </c>
      <c r="U867" s="140"/>
      <c r="W867" s="141">
        <f t="shared" si="79"/>
        <v>1231.2</v>
      </c>
    </row>
    <row r="868" spans="1:23" ht="13.9" customHeight="1">
      <c r="A868" s="132">
        <v>868</v>
      </c>
      <c r="B868" s="49" t="s">
        <v>1676</v>
      </c>
      <c r="C868" s="154" t="s">
        <v>1656</v>
      </c>
      <c r="D868" s="154" t="s">
        <v>246</v>
      </c>
      <c r="E868" s="155" t="s">
        <v>683</v>
      </c>
      <c r="F868" s="156"/>
      <c r="G868" s="157" t="s">
        <v>235</v>
      </c>
      <c r="H868" s="157" t="s">
        <v>52</v>
      </c>
      <c r="I868" s="91" t="s">
        <v>1486</v>
      </c>
      <c r="J868" s="159" t="s">
        <v>1055</v>
      </c>
      <c r="K868" s="152" t="s">
        <v>1522</v>
      </c>
      <c r="L868" s="160">
        <v>11.6</v>
      </c>
      <c r="M868" s="161">
        <f t="shared" si="75"/>
        <v>190</v>
      </c>
      <c r="N868" s="143">
        <v>190</v>
      </c>
      <c r="O868" s="143"/>
      <c r="P868" s="137" t="e">
        <f t="shared" si="76"/>
        <v>#DIV/0!</v>
      </c>
      <c r="Q868" s="137">
        <f t="shared" si="77"/>
        <v>0</v>
      </c>
      <c r="R868" s="138">
        <f>IF(N868="nio",0,IF(N868&gt;0,VLOOKUP(I868,'3-Productie normen'!A:W,VLOOKUP(N868,'3-Productie normen'!$B$35:$C$56,2,FALSE),FALSE)))/VLOOKUP(B868,'2-Kosten per locatie'!$A$11:$C$18,3,FALSE)</f>
        <v>0</v>
      </c>
      <c r="S868" s="138">
        <f t="shared" si="78"/>
        <v>0</v>
      </c>
      <c r="T868" s="139" t="str">
        <f>VLOOKUP(I868,'3-Productie normen'!A:AF,28,FALSE)</f>
        <v>V</v>
      </c>
      <c r="U868" s="140"/>
      <c r="W868" s="141">
        <f t="shared" si="79"/>
        <v>2204</v>
      </c>
    </row>
    <row r="869" spans="1:23" ht="13.9" customHeight="1">
      <c r="A869" s="132">
        <v>869</v>
      </c>
      <c r="B869" s="49" t="s">
        <v>1676</v>
      </c>
      <c r="C869" s="154" t="s">
        <v>1656</v>
      </c>
      <c r="D869" s="154" t="s">
        <v>246</v>
      </c>
      <c r="E869" s="155" t="s">
        <v>684</v>
      </c>
      <c r="F869" s="156"/>
      <c r="G869" s="157" t="s">
        <v>235</v>
      </c>
      <c r="H869" s="157" t="s">
        <v>236</v>
      </c>
      <c r="I869" s="91" t="s">
        <v>1486</v>
      </c>
      <c r="J869" s="159" t="s">
        <v>1055</v>
      </c>
      <c r="K869" s="152" t="s">
        <v>1522</v>
      </c>
      <c r="L869" s="160">
        <v>529.5</v>
      </c>
      <c r="M869" s="161">
        <f t="shared" si="75"/>
        <v>190</v>
      </c>
      <c r="N869" s="143">
        <v>190</v>
      </c>
      <c r="O869" s="143"/>
      <c r="P869" s="137" t="e">
        <f t="shared" si="76"/>
        <v>#DIV/0!</v>
      </c>
      <c r="Q869" s="137">
        <f t="shared" si="77"/>
        <v>0</v>
      </c>
      <c r="R869" s="138">
        <f>IF(N869="nio",0,IF(N869&gt;0,VLOOKUP(I869,'3-Productie normen'!A:W,VLOOKUP(N869,'3-Productie normen'!$B$35:$C$56,2,FALSE),FALSE)))/VLOOKUP(B869,'2-Kosten per locatie'!$A$11:$C$18,3,FALSE)</f>
        <v>0</v>
      </c>
      <c r="S869" s="138">
        <f t="shared" si="78"/>
        <v>0</v>
      </c>
      <c r="T869" s="139" t="str">
        <f>VLOOKUP(I869,'3-Productie normen'!A:AF,28,FALSE)</f>
        <v>V</v>
      </c>
      <c r="U869" s="140"/>
      <c r="W869" s="141">
        <f t="shared" si="79"/>
        <v>100605</v>
      </c>
    </row>
    <row r="870" spans="1:23" ht="13.9" customHeight="1">
      <c r="A870" s="118">
        <v>870</v>
      </c>
      <c r="B870" s="49" t="s">
        <v>1676</v>
      </c>
      <c r="C870" s="154" t="s">
        <v>1656</v>
      </c>
      <c r="D870" s="154" t="s">
        <v>246</v>
      </c>
      <c r="E870" s="155" t="s">
        <v>686</v>
      </c>
      <c r="F870" s="156"/>
      <c r="G870" s="157" t="s">
        <v>232</v>
      </c>
      <c r="H870" s="157" t="s">
        <v>54</v>
      </c>
      <c r="I870" s="91" t="s">
        <v>54</v>
      </c>
      <c r="J870" s="159" t="s">
        <v>231</v>
      </c>
      <c r="K870" s="163"/>
      <c r="L870" s="160">
        <v>3.6</v>
      </c>
      <c r="M870" s="161">
        <f t="shared" si="75"/>
        <v>190</v>
      </c>
      <c r="N870" s="2">
        <v>190</v>
      </c>
      <c r="O870" s="143"/>
      <c r="P870" s="137" t="e">
        <f t="shared" si="76"/>
        <v>#DIV/0!</v>
      </c>
      <c r="Q870" s="137">
        <f t="shared" si="77"/>
        <v>0</v>
      </c>
      <c r="R870" s="138">
        <f>IF(N870="nio",0,IF(N870&gt;0,VLOOKUP(I870,'3-Productie normen'!A:W,VLOOKUP(N870,'3-Productie normen'!$B$35:$C$56,2,FALSE),FALSE)))/VLOOKUP(B870,'2-Kosten per locatie'!$A$11:$C$18,3,FALSE)</f>
        <v>0</v>
      </c>
      <c r="S870" s="138">
        <f t="shared" si="78"/>
        <v>0</v>
      </c>
      <c r="T870" s="139" t="str">
        <f>VLOOKUP(I870,'3-Productie normen'!A:AF,28,FALSE)</f>
        <v>V</v>
      </c>
      <c r="U870" s="140"/>
      <c r="W870" s="141">
        <f t="shared" si="79"/>
        <v>684</v>
      </c>
    </row>
    <row r="871" spans="1:23" ht="13.9" customHeight="1">
      <c r="A871" s="132">
        <v>871</v>
      </c>
      <c r="B871" s="49" t="s">
        <v>1676</v>
      </c>
      <c r="C871" s="154" t="s">
        <v>1656</v>
      </c>
      <c r="D871" s="154" t="s">
        <v>246</v>
      </c>
      <c r="E871" s="155" t="s">
        <v>1537</v>
      </c>
      <c r="F871" s="156"/>
      <c r="G871" s="157" t="s">
        <v>242</v>
      </c>
      <c r="H871" s="157" t="s">
        <v>255</v>
      </c>
      <c r="I871" s="158" t="s">
        <v>1504</v>
      </c>
      <c r="J871" s="159" t="s">
        <v>1055</v>
      </c>
      <c r="K871" s="152" t="s">
        <v>1522</v>
      </c>
      <c r="L871" s="160">
        <v>3.9</v>
      </c>
      <c r="M871" s="161">
        <f t="shared" si="75"/>
        <v>2</v>
      </c>
      <c r="N871" s="3">
        <v>2</v>
      </c>
      <c r="O871" s="143"/>
      <c r="P871" s="137" t="e">
        <f t="shared" si="76"/>
        <v>#DIV/0!</v>
      </c>
      <c r="Q871" s="137">
        <f t="shared" si="77"/>
        <v>0</v>
      </c>
      <c r="R871" s="138">
        <f>IF(N871="nio",0,IF(N871&gt;0,VLOOKUP(I871,'3-Productie normen'!A:W,VLOOKUP(N871,'3-Productie normen'!$B$35:$C$56,2,FALSE),FALSE)))/VLOOKUP(B871,'2-Kosten per locatie'!$A$11:$C$18,3,FALSE)</f>
        <v>0</v>
      </c>
      <c r="S871" s="138">
        <f t="shared" si="78"/>
        <v>0</v>
      </c>
      <c r="T871" s="139" t="str">
        <f>VLOOKUP(I871,'3-Productie normen'!A:AF,28,FALSE)</f>
        <v>V</v>
      </c>
      <c r="U871" s="140"/>
      <c r="W871" s="141">
        <f t="shared" si="79"/>
        <v>7.8</v>
      </c>
    </row>
    <row r="872" spans="1:23" ht="13.9" customHeight="1">
      <c r="A872" s="132">
        <v>872</v>
      </c>
      <c r="B872" s="49" t="s">
        <v>1676</v>
      </c>
      <c r="C872" s="154" t="s">
        <v>1656</v>
      </c>
      <c r="D872" s="154" t="s">
        <v>246</v>
      </c>
      <c r="E872" s="155" t="s">
        <v>1538</v>
      </c>
      <c r="F872" s="156"/>
      <c r="G872" s="157" t="s">
        <v>242</v>
      </c>
      <c r="H872" s="157" t="s">
        <v>242</v>
      </c>
      <c r="I872" s="158" t="s">
        <v>1504</v>
      </c>
      <c r="J872" s="159" t="s">
        <v>1055</v>
      </c>
      <c r="K872" s="152" t="s">
        <v>1522</v>
      </c>
      <c r="L872" s="160">
        <v>6.1</v>
      </c>
      <c r="M872" s="161">
        <f t="shared" si="75"/>
        <v>2</v>
      </c>
      <c r="N872" s="3">
        <v>2</v>
      </c>
      <c r="O872" s="143"/>
      <c r="P872" s="137" t="e">
        <f t="shared" si="76"/>
        <v>#DIV/0!</v>
      </c>
      <c r="Q872" s="137">
        <f t="shared" si="77"/>
        <v>0</v>
      </c>
      <c r="R872" s="138">
        <f>IF(N872="nio",0,IF(N872&gt;0,VLOOKUP(I872,'3-Productie normen'!A:W,VLOOKUP(N872,'3-Productie normen'!$B$35:$C$56,2,FALSE),FALSE)))/VLOOKUP(B872,'2-Kosten per locatie'!$A$11:$C$18,3,FALSE)</f>
        <v>0</v>
      </c>
      <c r="S872" s="138">
        <f t="shared" si="78"/>
        <v>0</v>
      </c>
      <c r="T872" s="139" t="str">
        <f>VLOOKUP(I872,'3-Productie normen'!A:AF,28,FALSE)</f>
        <v>V</v>
      </c>
      <c r="U872" s="140"/>
      <c r="W872" s="141">
        <f t="shared" si="79"/>
        <v>12.2</v>
      </c>
    </row>
    <row r="873" spans="1:23" ht="13.9" customHeight="1">
      <c r="A873" s="118">
        <v>873</v>
      </c>
      <c r="B873" s="49" t="s">
        <v>1676</v>
      </c>
      <c r="C873" s="154" t="s">
        <v>1656</v>
      </c>
      <c r="D873" s="154" t="s">
        <v>246</v>
      </c>
      <c r="E873" s="155" t="s">
        <v>679</v>
      </c>
      <c r="F873" s="156"/>
      <c r="G873" s="157" t="s">
        <v>242</v>
      </c>
      <c r="H873" s="157" t="s">
        <v>242</v>
      </c>
      <c r="I873" s="158" t="s">
        <v>1504</v>
      </c>
      <c r="J873" s="159" t="s">
        <v>1055</v>
      </c>
      <c r="K873" s="152" t="s">
        <v>1522</v>
      </c>
      <c r="L873" s="160">
        <v>9.8000000000000007</v>
      </c>
      <c r="M873" s="161">
        <f t="shared" si="75"/>
        <v>2</v>
      </c>
      <c r="N873" s="3">
        <v>2</v>
      </c>
      <c r="O873" s="143"/>
      <c r="P873" s="137" t="e">
        <f t="shared" si="76"/>
        <v>#DIV/0!</v>
      </c>
      <c r="Q873" s="137">
        <f t="shared" si="77"/>
        <v>0</v>
      </c>
      <c r="R873" s="138">
        <f>IF(N873="nio",0,IF(N873&gt;0,VLOOKUP(I873,'3-Productie normen'!A:W,VLOOKUP(N873,'3-Productie normen'!$B$35:$C$56,2,FALSE),FALSE)))/VLOOKUP(B873,'2-Kosten per locatie'!$A$11:$C$18,3,FALSE)</f>
        <v>0</v>
      </c>
      <c r="S873" s="138">
        <f t="shared" si="78"/>
        <v>0</v>
      </c>
      <c r="T873" s="139" t="str">
        <f>VLOOKUP(I873,'3-Productie normen'!A:AF,28,FALSE)</f>
        <v>V</v>
      </c>
      <c r="U873" s="140"/>
      <c r="W873" s="141">
        <f t="shared" si="79"/>
        <v>19.600000000000001</v>
      </c>
    </row>
    <row r="874" spans="1:23" ht="13.9" customHeight="1">
      <c r="A874" s="132">
        <v>874</v>
      </c>
      <c r="B874" s="49" t="s">
        <v>1676</v>
      </c>
      <c r="C874" s="154" t="s">
        <v>1656</v>
      </c>
      <c r="D874" s="154" t="s">
        <v>246</v>
      </c>
      <c r="E874" s="155" t="s">
        <v>1539</v>
      </c>
      <c r="F874" s="156"/>
      <c r="G874" s="157" t="s">
        <v>237</v>
      </c>
      <c r="H874" s="157" t="s">
        <v>238</v>
      </c>
      <c r="I874" s="134" t="s">
        <v>239</v>
      </c>
      <c r="J874" s="159" t="s">
        <v>1055</v>
      </c>
      <c r="K874" s="152" t="s">
        <v>1522</v>
      </c>
      <c r="L874" s="160">
        <v>1.2</v>
      </c>
      <c r="M874" s="136"/>
      <c r="N874" s="143" t="s">
        <v>273</v>
      </c>
      <c r="O874" s="143"/>
      <c r="P874" s="137">
        <f t="shared" si="76"/>
        <v>0</v>
      </c>
      <c r="Q874" s="137">
        <f t="shared" si="77"/>
        <v>0</v>
      </c>
      <c r="R874" s="138">
        <f>IF(N874="nio",0,IF(N874&gt;0,VLOOKUP(I874,'3-Productie normen'!A:W,VLOOKUP(N874,'3-Productie normen'!$B$35:$C$56,2,FALSE),FALSE)))/VLOOKUP(B874,'2-Kosten per locatie'!$A$11:$C$18,3,FALSE)</f>
        <v>0</v>
      </c>
      <c r="S874" s="138">
        <f t="shared" si="78"/>
        <v>0</v>
      </c>
      <c r="T874" s="139">
        <f>VLOOKUP(I874,'3-Productie normen'!A:AF,28,FALSE)</f>
        <v>0</v>
      </c>
      <c r="U874" s="140"/>
      <c r="W874" s="141">
        <f t="shared" si="79"/>
        <v>0</v>
      </c>
    </row>
    <row r="875" spans="1:23" ht="13.9" customHeight="1">
      <c r="A875" s="132">
        <v>875</v>
      </c>
      <c r="B875" s="49" t="s">
        <v>1676</v>
      </c>
      <c r="C875" s="154" t="s">
        <v>1656</v>
      </c>
      <c r="D875" s="154" t="s">
        <v>246</v>
      </c>
      <c r="E875" s="155" t="s">
        <v>1540</v>
      </c>
      <c r="F875" s="156"/>
      <c r="G875" s="157" t="s">
        <v>242</v>
      </c>
      <c r="H875" s="157" t="s">
        <v>242</v>
      </c>
      <c r="I875" s="158" t="s">
        <v>1504</v>
      </c>
      <c r="J875" s="159" t="s">
        <v>1055</v>
      </c>
      <c r="K875" s="152" t="s">
        <v>1522</v>
      </c>
      <c r="L875" s="160">
        <v>24.8</v>
      </c>
      <c r="M875" s="161">
        <f t="shared" ref="M875:M917" si="80">SUM(N875:O875)</f>
        <v>2</v>
      </c>
      <c r="N875" s="3">
        <v>2</v>
      </c>
      <c r="O875" s="143"/>
      <c r="P875" s="137" t="e">
        <f t="shared" si="76"/>
        <v>#DIV/0!</v>
      </c>
      <c r="Q875" s="137">
        <f t="shared" si="77"/>
        <v>0</v>
      </c>
      <c r="R875" s="138">
        <f>IF(N875="nio",0,IF(N875&gt;0,VLOOKUP(I875,'3-Productie normen'!A:W,VLOOKUP(N875,'3-Productie normen'!$B$35:$C$56,2,FALSE),FALSE)))/VLOOKUP(B875,'2-Kosten per locatie'!$A$11:$C$18,3,FALSE)</f>
        <v>0</v>
      </c>
      <c r="S875" s="138">
        <f t="shared" si="78"/>
        <v>0</v>
      </c>
      <c r="T875" s="139" t="str">
        <f>VLOOKUP(I875,'3-Productie normen'!A:AF,28,FALSE)</f>
        <v>V</v>
      </c>
      <c r="U875" s="140"/>
      <c r="W875" s="141">
        <f t="shared" si="79"/>
        <v>49.6</v>
      </c>
    </row>
    <row r="876" spans="1:23" ht="13.9" customHeight="1">
      <c r="A876" s="118">
        <v>876</v>
      </c>
      <c r="B876" s="49" t="s">
        <v>1676</v>
      </c>
      <c r="C876" s="154" t="s">
        <v>1656</v>
      </c>
      <c r="D876" s="154" t="s">
        <v>246</v>
      </c>
      <c r="E876" s="155" t="s">
        <v>1541</v>
      </c>
      <c r="F876" s="156"/>
      <c r="G876" s="157" t="s">
        <v>242</v>
      </c>
      <c r="H876" s="157" t="s">
        <v>242</v>
      </c>
      <c r="I876" s="158" t="s">
        <v>1504</v>
      </c>
      <c r="J876" s="159" t="s">
        <v>1055</v>
      </c>
      <c r="K876" s="152" t="s">
        <v>1522</v>
      </c>
      <c r="L876" s="160">
        <v>10.9</v>
      </c>
      <c r="M876" s="161">
        <f t="shared" si="80"/>
        <v>2</v>
      </c>
      <c r="N876" s="3">
        <v>2</v>
      </c>
      <c r="O876" s="143"/>
      <c r="P876" s="137" t="e">
        <f t="shared" si="76"/>
        <v>#DIV/0!</v>
      </c>
      <c r="Q876" s="137">
        <f t="shared" si="77"/>
        <v>0</v>
      </c>
      <c r="R876" s="138">
        <f>IF(N876="nio",0,IF(N876&gt;0,VLOOKUP(I876,'3-Productie normen'!A:W,VLOOKUP(N876,'3-Productie normen'!$B$35:$C$56,2,FALSE),FALSE)))/VLOOKUP(B876,'2-Kosten per locatie'!$A$11:$C$18,3,FALSE)</f>
        <v>0</v>
      </c>
      <c r="S876" s="138">
        <f t="shared" si="78"/>
        <v>0</v>
      </c>
      <c r="T876" s="139" t="str">
        <f>VLOOKUP(I876,'3-Productie normen'!A:AF,28,FALSE)</f>
        <v>V</v>
      </c>
      <c r="U876" s="140"/>
      <c r="W876" s="141">
        <f t="shared" si="79"/>
        <v>21.8</v>
      </c>
    </row>
    <row r="877" spans="1:23" ht="13.9" customHeight="1">
      <c r="A877" s="132">
        <v>877</v>
      </c>
      <c r="B877" s="49" t="s">
        <v>1676</v>
      </c>
      <c r="C877" s="154" t="s">
        <v>1656</v>
      </c>
      <c r="D877" s="154" t="s">
        <v>246</v>
      </c>
      <c r="E877" s="155" t="s">
        <v>1542</v>
      </c>
      <c r="F877" s="156"/>
      <c r="G877" s="157" t="s">
        <v>237</v>
      </c>
      <c r="H877" s="157" t="s">
        <v>238</v>
      </c>
      <c r="I877" s="91" t="s">
        <v>239</v>
      </c>
      <c r="J877" s="159" t="s">
        <v>231</v>
      </c>
      <c r="K877" s="163"/>
      <c r="L877" s="160">
        <v>2.1</v>
      </c>
      <c r="M877" s="161">
        <f t="shared" si="80"/>
        <v>0</v>
      </c>
      <c r="N877" s="143" t="s">
        <v>273</v>
      </c>
      <c r="O877" s="143"/>
      <c r="P877" s="137">
        <f t="shared" si="76"/>
        <v>0</v>
      </c>
      <c r="Q877" s="137">
        <f t="shared" si="77"/>
        <v>0</v>
      </c>
      <c r="R877" s="138">
        <f>IF(N877="nio",0,IF(N877&gt;0,VLOOKUP(I877,'3-Productie normen'!A:W,VLOOKUP(N877,'3-Productie normen'!$B$35:$C$56,2,FALSE),FALSE)))/VLOOKUP(B877,'2-Kosten per locatie'!$A$11:$C$18,3,FALSE)</f>
        <v>0</v>
      </c>
      <c r="S877" s="138">
        <f t="shared" si="78"/>
        <v>0</v>
      </c>
      <c r="T877" s="139">
        <f>VLOOKUP(I877,'3-Productie normen'!A:AF,28,FALSE)</f>
        <v>0</v>
      </c>
      <c r="U877" s="140"/>
      <c r="W877" s="141">
        <f t="shared" si="79"/>
        <v>0</v>
      </c>
    </row>
    <row r="878" spans="1:23" ht="13.9" customHeight="1">
      <c r="A878" s="132">
        <v>878</v>
      </c>
      <c r="B878" s="49" t="s">
        <v>1676</v>
      </c>
      <c r="C878" s="154" t="s">
        <v>1656</v>
      </c>
      <c r="D878" s="154" t="s">
        <v>246</v>
      </c>
      <c r="E878" s="155" t="s">
        <v>1543</v>
      </c>
      <c r="F878" s="156"/>
      <c r="G878" s="157" t="s">
        <v>237</v>
      </c>
      <c r="H878" s="157" t="s">
        <v>238</v>
      </c>
      <c r="I878" s="91" t="s">
        <v>239</v>
      </c>
      <c r="J878" s="159" t="s">
        <v>231</v>
      </c>
      <c r="K878" s="163"/>
      <c r="L878" s="160">
        <v>6.8</v>
      </c>
      <c r="M878" s="161">
        <f t="shared" si="80"/>
        <v>0</v>
      </c>
      <c r="N878" s="143" t="s">
        <v>273</v>
      </c>
      <c r="O878" s="143"/>
      <c r="P878" s="137">
        <f t="shared" si="76"/>
        <v>0</v>
      </c>
      <c r="Q878" s="137">
        <f t="shared" si="77"/>
        <v>0</v>
      </c>
      <c r="R878" s="138">
        <f>IF(N878="nio",0,IF(N878&gt;0,VLOOKUP(I878,'3-Productie normen'!A:W,VLOOKUP(N878,'3-Productie normen'!$B$35:$C$56,2,FALSE),FALSE)))/VLOOKUP(B878,'2-Kosten per locatie'!$A$11:$C$18,3,FALSE)</f>
        <v>0</v>
      </c>
      <c r="S878" s="138">
        <f t="shared" si="78"/>
        <v>0</v>
      </c>
      <c r="T878" s="139">
        <f>VLOOKUP(I878,'3-Productie normen'!A:AF,28,FALSE)</f>
        <v>0</v>
      </c>
      <c r="U878" s="140"/>
      <c r="W878" s="141">
        <f t="shared" si="79"/>
        <v>0</v>
      </c>
    </row>
    <row r="879" spans="1:23" ht="13.9" customHeight="1">
      <c r="A879" s="118">
        <v>879</v>
      </c>
      <c r="B879" s="49" t="s">
        <v>1676</v>
      </c>
      <c r="C879" s="154" t="s">
        <v>1656</v>
      </c>
      <c r="D879" s="154" t="s">
        <v>246</v>
      </c>
      <c r="E879" s="155" t="s">
        <v>1544</v>
      </c>
      <c r="F879" s="156"/>
      <c r="G879" s="157" t="s">
        <v>237</v>
      </c>
      <c r="H879" s="157" t="s">
        <v>238</v>
      </c>
      <c r="I879" s="91" t="s">
        <v>239</v>
      </c>
      <c r="J879" s="159" t="s">
        <v>231</v>
      </c>
      <c r="K879" s="163"/>
      <c r="L879" s="160">
        <v>11.3</v>
      </c>
      <c r="M879" s="161">
        <f t="shared" si="80"/>
        <v>0</v>
      </c>
      <c r="N879" s="143" t="s">
        <v>273</v>
      </c>
      <c r="O879" s="143"/>
      <c r="P879" s="137">
        <f t="shared" si="76"/>
        <v>0</v>
      </c>
      <c r="Q879" s="137">
        <f t="shared" si="77"/>
        <v>0</v>
      </c>
      <c r="R879" s="138">
        <f>IF(N879="nio",0,IF(N879&gt;0,VLOOKUP(I879,'3-Productie normen'!A:W,VLOOKUP(N879,'3-Productie normen'!$B$35:$C$56,2,FALSE),FALSE)))/VLOOKUP(B879,'2-Kosten per locatie'!$A$11:$C$18,3,FALSE)</f>
        <v>0</v>
      </c>
      <c r="S879" s="138">
        <f t="shared" si="78"/>
        <v>0</v>
      </c>
      <c r="T879" s="139">
        <f>VLOOKUP(I879,'3-Productie normen'!A:AF,28,FALSE)</f>
        <v>0</v>
      </c>
      <c r="U879" s="140"/>
      <c r="W879" s="141">
        <f t="shared" si="79"/>
        <v>0</v>
      </c>
    </row>
    <row r="880" spans="1:23" ht="13.9" customHeight="1">
      <c r="A880" s="132">
        <v>880</v>
      </c>
      <c r="B880" s="49" t="s">
        <v>1676</v>
      </c>
      <c r="C880" s="154" t="s">
        <v>1656</v>
      </c>
      <c r="D880" s="154" t="s">
        <v>246</v>
      </c>
      <c r="E880" s="155" t="s">
        <v>1545</v>
      </c>
      <c r="F880" s="156"/>
      <c r="G880" s="157" t="s">
        <v>242</v>
      </c>
      <c r="H880" s="157" t="s">
        <v>242</v>
      </c>
      <c r="I880" s="158" t="s">
        <v>1504</v>
      </c>
      <c r="J880" s="159" t="s">
        <v>231</v>
      </c>
      <c r="K880" s="163"/>
      <c r="L880" s="160">
        <v>29.7</v>
      </c>
      <c r="M880" s="161">
        <f t="shared" si="80"/>
        <v>2</v>
      </c>
      <c r="N880" s="3">
        <v>2</v>
      </c>
      <c r="O880" s="143"/>
      <c r="P880" s="137" t="e">
        <f t="shared" si="76"/>
        <v>#DIV/0!</v>
      </c>
      <c r="Q880" s="137">
        <f t="shared" si="77"/>
        <v>0</v>
      </c>
      <c r="R880" s="138">
        <f>IF(N880="nio",0,IF(N880&gt;0,VLOOKUP(I880,'3-Productie normen'!A:W,VLOOKUP(N880,'3-Productie normen'!$B$35:$C$56,2,FALSE),FALSE)))/VLOOKUP(B880,'2-Kosten per locatie'!$A$11:$C$18,3,FALSE)</f>
        <v>0</v>
      </c>
      <c r="S880" s="138">
        <f t="shared" si="78"/>
        <v>0</v>
      </c>
      <c r="T880" s="139" t="str">
        <f>VLOOKUP(I880,'3-Productie normen'!A:AF,28,FALSE)</f>
        <v>V</v>
      </c>
      <c r="U880" s="140"/>
      <c r="W880" s="141">
        <f t="shared" si="79"/>
        <v>59.4</v>
      </c>
    </row>
    <row r="881" spans="1:23" ht="13.9" customHeight="1">
      <c r="A881" s="132">
        <v>881</v>
      </c>
      <c r="B881" s="49" t="s">
        <v>1676</v>
      </c>
      <c r="C881" s="154" t="s">
        <v>1656</v>
      </c>
      <c r="D881" s="154" t="s">
        <v>246</v>
      </c>
      <c r="E881" s="155" t="s">
        <v>1546</v>
      </c>
      <c r="F881" s="156"/>
      <c r="G881" s="157" t="s">
        <v>237</v>
      </c>
      <c r="H881" s="157" t="s">
        <v>238</v>
      </c>
      <c r="I881" s="91" t="s">
        <v>239</v>
      </c>
      <c r="J881" s="159" t="s">
        <v>231</v>
      </c>
      <c r="K881" s="163"/>
      <c r="L881" s="160">
        <v>1.8</v>
      </c>
      <c r="M881" s="161">
        <f t="shared" si="80"/>
        <v>0</v>
      </c>
      <c r="N881" s="143" t="s">
        <v>273</v>
      </c>
      <c r="O881" s="143"/>
      <c r="P881" s="137">
        <f t="shared" si="76"/>
        <v>0</v>
      </c>
      <c r="Q881" s="137">
        <f t="shared" si="77"/>
        <v>0</v>
      </c>
      <c r="R881" s="138">
        <f>IF(N881="nio",0,IF(N881&gt;0,VLOOKUP(I881,'3-Productie normen'!A:W,VLOOKUP(N881,'3-Productie normen'!$B$35:$C$56,2,FALSE),FALSE)))/VLOOKUP(B881,'2-Kosten per locatie'!$A$11:$C$18,3,FALSE)</f>
        <v>0</v>
      </c>
      <c r="S881" s="138">
        <f t="shared" si="78"/>
        <v>0</v>
      </c>
      <c r="T881" s="139">
        <f>VLOOKUP(I881,'3-Productie normen'!A:AF,28,FALSE)</f>
        <v>0</v>
      </c>
      <c r="U881" s="140"/>
      <c r="W881" s="141">
        <f t="shared" si="79"/>
        <v>0</v>
      </c>
    </row>
    <row r="882" spans="1:23" ht="13.9" customHeight="1">
      <c r="A882" s="118">
        <v>882</v>
      </c>
      <c r="B882" s="49" t="s">
        <v>1676</v>
      </c>
      <c r="C882" s="154" t="s">
        <v>1656</v>
      </c>
      <c r="D882" s="154" t="s">
        <v>246</v>
      </c>
      <c r="E882" s="155" t="s">
        <v>1547</v>
      </c>
      <c r="F882" s="156"/>
      <c r="G882" s="157" t="s">
        <v>237</v>
      </c>
      <c r="H882" s="157" t="s">
        <v>238</v>
      </c>
      <c r="I882" s="91" t="s">
        <v>239</v>
      </c>
      <c r="J882" s="159" t="s">
        <v>231</v>
      </c>
      <c r="K882" s="163"/>
      <c r="L882" s="160">
        <v>2.1</v>
      </c>
      <c r="M882" s="161">
        <f t="shared" si="80"/>
        <v>0</v>
      </c>
      <c r="N882" s="143" t="s">
        <v>273</v>
      </c>
      <c r="O882" s="143"/>
      <c r="P882" s="137">
        <f t="shared" si="76"/>
        <v>0</v>
      </c>
      <c r="Q882" s="137">
        <f t="shared" si="77"/>
        <v>0</v>
      </c>
      <c r="R882" s="138">
        <f>IF(N882="nio",0,IF(N882&gt;0,VLOOKUP(I882,'3-Productie normen'!A:W,VLOOKUP(N882,'3-Productie normen'!$B$35:$C$56,2,FALSE),FALSE)))/VLOOKUP(B882,'2-Kosten per locatie'!$A$11:$C$18,3,FALSE)</f>
        <v>0</v>
      </c>
      <c r="S882" s="138">
        <f t="shared" si="78"/>
        <v>0</v>
      </c>
      <c r="T882" s="139">
        <f>VLOOKUP(I882,'3-Productie normen'!A:AF,28,FALSE)</f>
        <v>0</v>
      </c>
      <c r="U882" s="140"/>
      <c r="W882" s="141">
        <f t="shared" si="79"/>
        <v>0</v>
      </c>
    </row>
    <row r="883" spans="1:23" ht="13.9" customHeight="1">
      <c r="A883" s="132">
        <v>883</v>
      </c>
      <c r="B883" s="49" t="s">
        <v>1676</v>
      </c>
      <c r="C883" s="154" t="s">
        <v>1656</v>
      </c>
      <c r="D883" s="154" t="s">
        <v>246</v>
      </c>
      <c r="E883" s="155" t="s">
        <v>1548</v>
      </c>
      <c r="F883" s="156"/>
      <c r="G883" s="157" t="s">
        <v>237</v>
      </c>
      <c r="H883" s="157" t="s">
        <v>238</v>
      </c>
      <c r="I883" s="91" t="s">
        <v>239</v>
      </c>
      <c r="J883" s="159" t="s">
        <v>231</v>
      </c>
      <c r="K883" s="163"/>
      <c r="L883" s="160">
        <v>3.3</v>
      </c>
      <c r="M883" s="161">
        <f t="shared" si="80"/>
        <v>0</v>
      </c>
      <c r="N883" s="143" t="s">
        <v>273</v>
      </c>
      <c r="O883" s="143"/>
      <c r="P883" s="137">
        <f t="shared" si="76"/>
        <v>0</v>
      </c>
      <c r="Q883" s="137">
        <f t="shared" si="77"/>
        <v>0</v>
      </c>
      <c r="R883" s="138">
        <f>IF(N883="nio",0,IF(N883&gt;0,VLOOKUP(I883,'3-Productie normen'!A:W,VLOOKUP(N883,'3-Productie normen'!$B$35:$C$56,2,FALSE),FALSE)))/VLOOKUP(B883,'2-Kosten per locatie'!$A$11:$C$18,3,FALSE)</f>
        <v>0</v>
      </c>
      <c r="S883" s="138">
        <f t="shared" si="78"/>
        <v>0</v>
      </c>
      <c r="T883" s="139">
        <f>VLOOKUP(I883,'3-Productie normen'!A:AF,28,FALSE)</f>
        <v>0</v>
      </c>
      <c r="U883" s="140"/>
      <c r="W883" s="141">
        <f t="shared" si="79"/>
        <v>0</v>
      </c>
    </row>
    <row r="884" spans="1:23" ht="13.9" customHeight="1">
      <c r="A884" s="132">
        <v>884</v>
      </c>
      <c r="B884" s="49" t="s">
        <v>1676</v>
      </c>
      <c r="C884" s="154" t="s">
        <v>1656</v>
      </c>
      <c r="D884" s="154" t="s">
        <v>246</v>
      </c>
      <c r="E884" s="155" t="s">
        <v>1549</v>
      </c>
      <c r="F884" s="156"/>
      <c r="G884" s="157" t="s">
        <v>237</v>
      </c>
      <c r="H884" s="157" t="s">
        <v>238</v>
      </c>
      <c r="I884" s="91" t="s">
        <v>239</v>
      </c>
      <c r="J884" s="159" t="s">
        <v>231</v>
      </c>
      <c r="K884" s="163"/>
      <c r="L884" s="160">
        <v>5.7</v>
      </c>
      <c r="M884" s="161">
        <f t="shared" si="80"/>
        <v>0</v>
      </c>
      <c r="N884" s="143" t="s">
        <v>273</v>
      </c>
      <c r="O884" s="143"/>
      <c r="P884" s="137">
        <f t="shared" si="76"/>
        <v>0</v>
      </c>
      <c r="Q884" s="137">
        <f t="shared" si="77"/>
        <v>0</v>
      </c>
      <c r="R884" s="138">
        <f>IF(N884="nio",0,IF(N884&gt;0,VLOOKUP(I884,'3-Productie normen'!A:W,VLOOKUP(N884,'3-Productie normen'!$B$35:$C$56,2,FALSE),FALSE)))/VLOOKUP(B884,'2-Kosten per locatie'!$A$11:$C$18,3,FALSE)</f>
        <v>0</v>
      </c>
      <c r="S884" s="138">
        <f t="shared" si="78"/>
        <v>0</v>
      </c>
      <c r="T884" s="139">
        <f>VLOOKUP(I884,'3-Productie normen'!A:AF,28,FALSE)</f>
        <v>0</v>
      </c>
      <c r="U884" s="140"/>
      <c r="W884" s="141">
        <f t="shared" si="79"/>
        <v>0</v>
      </c>
    </row>
    <row r="885" spans="1:23" ht="13.9" customHeight="1">
      <c r="A885" s="118">
        <v>885</v>
      </c>
      <c r="B885" s="49" t="s">
        <v>1676</v>
      </c>
      <c r="C885" s="154" t="s">
        <v>1656</v>
      </c>
      <c r="D885" s="154" t="s">
        <v>246</v>
      </c>
      <c r="E885" s="155" t="s">
        <v>688</v>
      </c>
      <c r="F885" s="156"/>
      <c r="G885" s="157" t="s">
        <v>235</v>
      </c>
      <c r="H885" s="157" t="s">
        <v>53</v>
      </c>
      <c r="I885" s="1" t="s">
        <v>233</v>
      </c>
      <c r="J885" s="159" t="s">
        <v>231</v>
      </c>
      <c r="K885" s="163"/>
      <c r="L885" s="160">
        <v>8</v>
      </c>
      <c r="M885" s="161">
        <f t="shared" si="80"/>
        <v>190</v>
      </c>
      <c r="N885" s="143">
        <v>190</v>
      </c>
      <c r="O885" s="143"/>
      <c r="P885" s="137" t="e">
        <f t="shared" si="76"/>
        <v>#DIV/0!</v>
      </c>
      <c r="Q885" s="137">
        <f t="shared" si="77"/>
        <v>0</v>
      </c>
      <c r="R885" s="138">
        <f>IF(N885="nio",0,IF(N885&gt;0,VLOOKUP(I885,'3-Productie normen'!A:W,VLOOKUP(N885,'3-Productie normen'!$B$35:$C$56,2,FALSE),FALSE)))/VLOOKUP(B885,'2-Kosten per locatie'!$A$11:$C$18,3,FALSE)</f>
        <v>0</v>
      </c>
      <c r="S885" s="138">
        <f t="shared" si="78"/>
        <v>0</v>
      </c>
      <c r="T885" s="139" t="str">
        <f>VLOOKUP(I885,'3-Productie normen'!A:AF,28,FALSE)</f>
        <v>V</v>
      </c>
      <c r="U885" s="140"/>
      <c r="W885" s="141">
        <f t="shared" si="79"/>
        <v>1520</v>
      </c>
    </row>
    <row r="886" spans="1:23" ht="13.9" customHeight="1">
      <c r="A886" s="132">
        <v>886</v>
      </c>
      <c r="B886" s="49" t="s">
        <v>1676</v>
      </c>
      <c r="C886" s="154" t="s">
        <v>1656</v>
      </c>
      <c r="D886" s="154" t="s">
        <v>246</v>
      </c>
      <c r="E886" s="155" t="s">
        <v>1550</v>
      </c>
      <c r="F886" s="156"/>
      <c r="G886" s="157" t="s">
        <v>242</v>
      </c>
      <c r="H886" s="157" t="s">
        <v>242</v>
      </c>
      <c r="I886" s="158" t="s">
        <v>1504</v>
      </c>
      <c r="J886" s="159" t="s">
        <v>1055</v>
      </c>
      <c r="K886" s="152" t="s">
        <v>1522</v>
      </c>
      <c r="L886" s="160">
        <v>35.299999999999997</v>
      </c>
      <c r="M886" s="161">
        <f t="shared" si="80"/>
        <v>2</v>
      </c>
      <c r="N886" s="3">
        <v>2</v>
      </c>
      <c r="O886" s="143"/>
      <c r="P886" s="137" t="e">
        <f t="shared" si="76"/>
        <v>#DIV/0!</v>
      </c>
      <c r="Q886" s="137">
        <f t="shared" si="77"/>
        <v>0</v>
      </c>
      <c r="R886" s="138">
        <f>IF(N886="nio",0,IF(N886&gt;0,VLOOKUP(I886,'3-Productie normen'!A:W,VLOOKUP(N886,'3-Productie normen'!$B$35:$C$56,2,FALSE),FALSE)))/VLOOKUP(B886,'2-Kosten per locatie'!$A$11:$C$18,3,FALSE)</f>
        <v>0</v>
      </c>
      <c r="S886" s="138">
        <f t="shared" si="78"/>
        <v>0</v>
      </c>
      <c r="T886" s="139" t="str">
        <f>VLOOKUP(I886,'3-Productie normen'!A:AF,28,FALSE)</f>
        <v>V</v>
      </c>
      <c r="U886" s="140"/>
      <c r="W886" s="141">
        <f t="shared" si="79"/>
        <v>70.599999999999994</v>
      </c>
    </row>
    <row r="887" spans="1:23" ht="13.9" customHeight="1">
      <c r="A887" s="132">
        <v>887</v>
      </c>
      <c r="B887" s="49" t="s">
        <v>1676</v>
      </c>
      <c r="C887" s="154" t="s">
        <v>1656</v>
      </c>
      <c r="D887" s="154" t="s">
        <v>246</v>
      </c>
      <c r="E887" s="155" t="s">
        <v>682</v>
      </c>
      <c r="F887" s="156"/>
      <c r="G887" s="157" t="s">
        <v>44</v>
      </c>
      <c r="H887" s="157" t="s">
        <v>79</v>
      </c>
      <c r="I887" s="86" t="s">
        <v>49</v>
      </c>
      <c r="J887" s="159" t="s">
        <v>305</v>
      </c>
      <c r="K887" s="163"/>
      <c r="L887" s="160">
        <v>11</v>
      </c>
      <c r="M887" s="161">
        <f t="shared" si="80"/>
        <v>190</v>
      </c>
      <c r="N887" s="143">
        <v>190</v>
      </c>
      <c r="O887" s="143"/>
      <c r="P887" s="137" t="e">
        <f t="shared" si="76"/>
        <v>#DIV/0!</v>
      </c>
      <c r="Q887" s="137">
        <f t="shared" si="77"/>
        <v>0</v>
      </c>
      <c r="R887" s="138">
        <f>IF(N887="nio",0,IF(N887&gt;0,VLOOKUP(I887,'3-Productie normen'!A:W,VLOOKUP(N887,'3-Productie normen'!$B$35:$C$56,2,FALSE),FALSE)))/VLOOKUP(B887,'2-Kosten per locatie'!$A$11:$C$18,3,FALSE)</f>
        <v>0</v>
      </c>
      <c r="S887" s="138">
        <f t="shared" si="78"/>
        <v>0</v>
      </c>
      <c r="T887" s="139" t="str">
        <f>VLOOKUP(I887,'3-Productie normen'!A:AF,28,FALSE)</f>
        <v>V</v>
      </c>
      <c r="U887" s="140"/>
      <c r="W887" s="141">
        <f t="shared" si="79"/>
        <v>2090</v>
      </c>
    </row>
    <row r="888" spans="1:23" ht="13.9" customHeight="1">
      <c r="A888" s="118">
        <v>888</v>
      </c>
      <c r="B888" s="49" t="s">
        <v>1676</v>
      </c>
      <c r="C888" s="154" t="s">
        <v>1656</v>
      </c>
      <c r="D888" s="154" t="s">
        <v>246</v>
      </c>
      <c r="E888" s="155" t="s">
        <v>681</v>
      </c>
      <c r="F888" s="156"/>
      <c r="G888" s="157" t="s">
        <v>44</v>
      </c>
      <c r="H888" s="157" t="s">
        <v>260</v>
      </c>
      <c r="I888" s="86" t="s">
        <v>44</v>
      </c>
      <c r="J888" s="159" t="s">
        <v>305</v>
      </c>
      <c r="K888" s="163"/>
      <c r="L888" s="160">
        <v>9.9</v>
      </c>
      <c r="M888" s="161">
        <f t="shared" si="80"/>
        <v>190</v>
      </c>
      <c r="N888" s="143">
        <v>190</v>
      </c>
      <c r="O888" s="143"/>
      <c r="P888" s="137" t="e">
        <f t="shared" si="76"/>
        <v>#DIV/0!</v>
      </c>
      <c r="Q888" s="137">
        <f t="shared" si="77"/>
        <v>0</v>
      </c>
      <c r="R888" s="138">
        <f>IF(N888="nio",0,IF(N888&gt;0,VLOOKUP(I888,'3-Productie normen'!A:W,VLOOKUP(N888,'3-Productie normen'!$B$35:$C$56,2,FALSE),FALSE)))/VLOOKUP(B888,'2-Kosten per locatie'!$A$11:$C$18,3,FALSE)</f>
        <v>0</v>
      </c>
      <c r="S888" s="138">
        <f t="shared" si="78"/>
        <v>0</v>
      </c>
      <c r="T888" s="139" t="str">
        <f>VLOOKUP(I888,'3-Productie normen'!A:AF,28,FALSE)</f>
        <v>S</v>
      </c>
      <c r="U888" s="140"/>
      <c r="W888" s="141">
        <f t="shared" si="79"/>
        <v>1881</v>
      </c>
    </row>
    <row r="889" spans="1:23" ht="13.9" customHeight="1">
      <c r="A889" s="132">
        <v>889</v>
      </c>
      <c r="B889" s="49" t="s">
        <v>1676</v>
      </c>
      <c r="C889" s="154" t="s">
        <v>1656</v>
      </c>
      <c r="D889" s="154" t="s">
        <v>246</v>
      </c>
      <c r="E889" s="155" t="s">
        <v>680</v>
      </c>
      <c r="F889" s="156"/>
      <c r="G889" s="157" t="s">
        <v>44</v>
      </c>
      <c r="H889" s="157" t="s">
        <v>260</v>
      </c>
      <c r="I889" s="86" t="s">
        <v>44</v>
      </c>
      <c r="J889" s="159" t="s">
        <v>305</v>
      </c>
      <c r="K889" s="163"/>
      <c r="L889" s="160">
        <v>7.4</v>
      </c>
      <c r="M889" s="161">
        <f t="shared" si="80"/>
        <v>190</v>
      </c>
      <c r="N889" s="143">
        <v>190</v>
      </c>
      <c r="O889" s="143"/>
      <c r="P889" s="137" t="e">
        <f t="shared" si="76"/>
        <v>#DIV/0!</v>
      </c>
      <c r="Q889" s="137">
        <f t="shared" si="77"/>
        <v>0</v>
      </c>
      <c r="R889" s="138">
        <f>IF(N889="nio",0,IF(N889&gt;0,VLOOKUP(I889,'3-Productie normen'!A:W,VLOOKUP(N889,'3-Productie normen'!$B$35:$C$56,2,FALSE),FALSE)))/VLOOKUP(B889,'2-Kosten per locatie'!$A$11:$C$18,3,FALSE)</f>
        <v>0</v>
      </c>
      <c r="S889" s="138">
        <f t="shared" si="78"/>
        <v>0</v>
      </c>
      <c r="T889" s="139" t="str">
        <f>VLOOKUP(I889,'3-Productie normen'!A:AF,28,FALSE)</f>
        <v>S</v>
      </c>
      <c r="U889" s="140"/>
      <c r="W889" s="141">
        <f t="shared" si="79"/>
        <v>1406</v>
      </c>
    </row>
    <row r="890" spans="1:23" ht="13.9" customHeight="1">
      <c r="A890" s="132">
        <v>890</v>
      </c>
      <c r="B890" s="49" t="s">
        <v>1676</v>
      </c>
      <c r="C890" s="154" t="s">
        <v>1656</v>
      </c>
      <c r="D890" s="154" t="s">
        <v>246</v>
      </c>
      <c r="E890" s="155" t="s">
        <v>685</v>
      </c>
      <c r="F890" s="156"/>
      <c r="G890" s="157" t="s">
        <v>44</v>
      </c>
      <c r="H890" s="157" t="s">
        <v>355</v>
      </c>
      <c r="I890" s="86" t="s">
        <v>44</v>
      </c>
      <c r="J890" s="159" t="s">
        <v>1055</v>
      </c>
      <c r="K890" s="152" t="s">
        <v>1522</v>
      </c>
      <c r="L890" s="160">
        <v>48.8</v>
      </c>
      <c r="M890" s="161">
        <f t="shared" si="80"/>
        <v>190</v>
      </c>
      <c r="N890" s="143">
        <v>190</v>
      </c>
      <c r="O890" s="143"/>
      <c r="P890" s="137" t="e">
        <f t="shared" si="76"/>
        <v>#DIV/0!</v>
      </c>
      <c r="Q890" s="137">
        <f t="shared" si="77"/>
        <v>0</v>
      </c>
      <c r="R890" s="138">
        <f>IF(N890="nio",0,IF(N890&gt;0,VLOOKUP(I890,'3-Productie normen'!A:W,VLOOKUP(N890,'3-Productie normen'!$B$35:$C$56,2,FALSE),FALSE)))/VLOOKUP(B890,'2-Kosten per locatie'!$A$11:$C$18,3,FALSE)</f>
        <v>0</v>
      </c>
      <c r="S890" s="138">
        <f t="shared" si="78"/>
        <v>0</v>
      </c>
      <c r="T890" s="139" t="str">
        <f>VLOOKUP(I890,'3-Productie normen'!A:AF,28,FALSE)</f>
        <v>S</v>
      </c>
      <c r="U890" s="140"/>
      <c r="W890" s="141">
        <f t="shared" si="79"/>
        <v>9272</v>
      </c>
    </row>
    <row r="891" spans="1:23" ht="13.9" customHeight="1">
      <c r="A891" s="118">
        <v>891</v>
      </c>
      <c r="B891" s="49" t="s">
        <v>1676</v>
      </c>
      <c r="C891" s="154" t="s">
        <v>1656</v>
      </c>
      <c r="D891" s="154" t="s">
        <v>246</v>
      </c>
      <c r="E891" s="155" t="s">
        <v>1550</v>
      </c>
      <c r="F891" s="156"/>
      <c r="G891" s="157" t="s">
        <v>242</v>
      </c>
      <c r="H891" s="157" t="s">
        <v>242</v>
      </c>
      <c r="I891" s="158" t="s">
        <v>1504</v>
      </c>
      <c r="J891" s="159" t="s">
        <v>1055</v>
      </c>
      <c r="K891" s="152" t="s">
        <v>1522</v>
      </c>
      <c r="L891" s="160">
        <v>12.9</v>
      </c>
      <c r="M891" s="161">
        <f t="shared" si="80"/>
        <v>2</v>
      </c>
      <c r="N891" s="3">
        <v>2</v>
      </c>
      <c r="O891" s="143"/>
      <c r="P891" s="137" t="e">
        <f t="shared" si="76"/>
        <v>#DIV/0!</v>
      </c>
      <c r="Q891" s="137">
        <f t="shared" si="77"/>
        <v>0</v>
      </c>
      <c r="R891" s="138">
        <f>IF(N891="nio",0,IF(N891&gt;0,VLOOKUP(I891,'3-Productie normen'!A:W,VLOOKUP(N891,'3-Productie normen'!$B$35:$C$56,2,FALSE),FALSE)))/VLOOKUP(B891,'2-Kosten per locatie'!$A$11:$C$18,3,FALSE)</f>
        <v>0</v>
      </c>
      <c r="S891" s="138">
        <f t="shared" si="78"/>
        <v>0</v>
      </c>
      <c r="T891" s="139" t="str">
        <f>VLOOKUP(I891,'3-Productie normen'!A:AF,28,FALSE)</f>
        <v>V</v>
      </c>
      <c r="U891" s="140"/>
      <c r="W891" s="141">
        <f t="shared" si="79"/>
        <v>25.8</v>
      </c>
    </row>
    <row r="892" spans="1:23" ht="13.9" customHeight="1">
      <c r="A892" s="132">
        <v>892</v>
      </c>
      <c r="B892" s="49" t="s">
        <v>1676</v>
      </c>
      <c r="C892" s="154" t="s">
        <v>1656</v>
      </c>
      <c r="D892" s="154" t="s">
        <v>246</v>
      </c>
      <c r="E892" s="155" t="s">
        <v>1551</v>
      </c>
      <c r="F892" s="156"/>
      <c r="G892" s="157" t="s">
        <v>242</v>
      </c>
      <c r="H892" s="157" t="s">
        <v>242</v>
      </c>
      <c r="I892" s="158" t="s">
        <v>1504</v>
      </c>
      <c r="J892" s="159" t="s">
        <v>1055</v>
      </c>
      <c r="K892" s="152" t="s">
        <v>1522</v>
      </c>
      <c r="L892" s="160">
        <v>48.1</v>
      </c>
      <c r="M892" s="161">
        <f t="shared" si="80"/>
        <v>2</v>
      </c>
      <c r="N892" s="3">
        <v>2</v>
      </c>
      <c r="O892" s="143"/>
      <c r="P892" s="137" t="e">
        <f t="shared" si="76"/>
        <v>#DIV/0!</v>
      </c>
      <c r="Q892" s="137">
        <f t="shared" si="77"/>
        <v>0</v>
      </c>
      <c r="R892" s="138">
        <f>IF(N892="nio",0,IF(N892&gt;0,VLOOKUP(I892,'3-Productie normen'!A:W,VLOOKUP(N892,'3-Productie normen'!$B$35:$C$56,2,FALSE),FALSE)))/VLOOKUP(B892,'2-Kosten per locatie'!$A$11:$C$18,3,FALSE)</f>
        <v>0</v>
      </c>
      <c r="S892" s="138">
        <f t="shared" si="78"/>
        <v>0</v>
      </c>
      <c r="T892" s="139" t="str">
        <f>VLOOKUP(I892,'3-Productie normen'!A:AF,28,FALSE)</f>
        <v>V</v>
      </c>
      <c r="U892" s="140"/>
      <c r="W892" s="141">
        <f t="shared" si="79"/>
        <v>96.2</v>
      </c>
    </row>
    <row r="893" spans="1:23" ht="13.9" customHeight="1">
      <c r="A893" s="132">
        <v>893</v>
      </c>
      <c r="B893" s="49" t="s">
        <v>1676</v>
      </c>
      <c r="C893" s="154" t="s">
        <v>1656</v>
      </c>
      <c r="D893" s="154" t="s">
        <v>246</v>
      </c>
      <c r="E893" s="155" t="s">
        <v>1552</v>
      </c>
      <c r="F893" s="156"/>
      <c r="G893" s="157" t="s">
        <v>281</v>
      </c>
      <c r="H893" s="157" t="s">
        <v>1483</v>
      </c>
      <c r="I893" s="1" t="s">
        <v>1487</v>
      </c>
      <c r="J893" s="159" t="s">
        <v>305</v>
      </c>
      <c r="K893" s="163"/>
      <c r="L893" s="160">
        <v>296.8</v>
      </c>
      <c r="M893" s="161">
        <f t="shared" si="80"/>
        <v>38</v>
      </c>
      <c r="N893" s="143">
        <v>38</v>
      </c>
      <c r="O893" s="143"/>
      <c r="P893" s="137" t="e">
        <f t="shared" si="76"/>
        <v>#DIV/0!</v>
      </c>
      <c r="Q893" s="137">
        <f t="shared" si="77"/>
        <v>0</v>
      </c>
      <c r="R893" s="138">
        <f>IF(N893="nio",0,IF(N893&gt;0,VLOOKUP(I893,'3-Productie normen'!A:W,VLOOKUP(N893,'3-Productie normen'!$B$35:$C$56,2,FALSE),FALSE)))/VLOOKUP(B893,'2-Kosten per locatie'!$A$11:$C$18,3,FALSE)</f>
        <v>0</v>
      </c>
      <c r="S893" s="138">
        <f t="shared" si="78"/>
        <v>0</v>
      </c>
      <c r="T893" s="139" t="str">
        <f>VLOOKUP(I893,'3-Productie normen'!A:AF,28,FALSE)</f>
        <v>V</v>
      </c>
      <c r="U893" s="140"/>
      <c r="W893" s="141">
        <f t="shared" si="79"/>
        <v>11278.4</v>
      </c>
    </row>
    <row r="894" spans="1:23" ht="13.9" customHeight="1">
      <c r="A894" s="118">
        <v>894</v>
      </c>
      <c r="B894" s="49" t="s">
        <v>1676</v>
      </c>
      <c r="C894" s="154" t="s">
        <v>1656</v>
      </c>
      <c r="D894" s="154" t="s">
        <v>246</v>
      </c>
      <c r="E894" s="155" t="s">
        <v>678</v>
      </c>
      <c r="F894" s="156"/>
      <c r="G894" s="157" t="s">
        <v>243</v>
      </c>
      <c r="H894" s="157" t="s">
        <v>1485</v>
      </c>
      <c r="I894" s="86" t="s">
        <v>47</v>
      </c>
      <c r="J894" s="159" t="s">
        <v>256</v>
      </c>
      <c r="K894" s="163"/>
      <c r="L894" s="160">
        <v>8.9</v>
      </c>
      <c r="M894" s="161">
        <f t="shared" si="80"/>
        <v>190</v>
      </c>
      <c r="N894" s="143">
        <v>190</v>
      </c>
      <c r="O894" s="143"/>
      <c r="P894" s="137" t="e">
        <f t="shared" si="76"/>
        <v>#DIV/0!</v>
      </c>
      <c r="Q894" s="137">
        <f t="shared" si="77"/>
        <v>0</v>
      </c>
      <c r="R894" s="138">
        <f>IF(N894="nio",0,IF(N894&gt;0,VLOOKUP(I894,'3-Productie normen'!A:W,VLOOKUP(N894,'3-Productie normen'!$B$35:$C$56,2,FALSE),FALSE)))/VLOOKUP(B894,'2-Kosten per locatie'!$A$11:$C$18,3,FALSE)</f>
        <v>0</v>
      </c>
      <c r="S894" s="138">
        <f t="shared" si="78"/>
        <v>0</v>
      </c>
      <c r="T894" s="139" t="str">
        <f>VLOOKUP(I894,'3-Productie normen'!A:AF,28,FALSE)</f>
        <v>V</v>
      </c>
      <c r="U894" s="140"/>
      <c r="W894" s="141">
        <f t="shared" si="79"/>
        <v>1691</v>
      </c>
    </row>
    <row r="895" spans="1:23" ht="13.9" customHeight="1">
      <c r="A895" s="132">
        <v>895</v>
      </c>
      <c r="B895" s="49" t="s">
        <v>1676</v>
      </c>
      <c r="C895" s="154" t="s">
        <v>1656</v>
      </c>
      <c r="D895" s="154" t="s">
        <v>246</v>
      </c>
      <c r="E895" s="155" t="s">
        <v>677</v>
      </c>
      <c r="F895" s="156"/>
      <c r="G895" s="157" t="s">
        <v>243</v>
      </c>
      <c r="H895" s="157" t="s">
        <v>1485</v>
      </c>
      <c r="I895" s="86" t="s">
        <v>47</v>
      </c>
      <c r="J895" s="159" t="s">
        <v>256</v>
      </c>
      <c r="K895" s="163"/>
      <c r="L895" s="160">
        <v>26.4</v>
      </c>
      <c r="M895" s="161">
        <f t="shared" si="80"/>
        <v>190</v>
      </c>
      <c r="N895" s="143">
        <v>190</v>
      </c>
      <c r="O895" s="143"/>
      <c r="P895" s="137" t="e">
        <f t="shared" si="76"/>
        <v>#DIV/0!</v>
      </c>
      <c r="Q895" s="137">
        <f t="shared" si="77"/>
        <v>0</v>
      </c>
      <c r="R895" s="138">
        <f>IF(N895="nio",0,IF(N895&gt;0,VLOOKUP(I895,'3-Productie normen'!A:W,VLOOKUP(N895,'3-Productie normen'!$B$35:$C$56,2,FALSE),FALSE)))/VLOOKUP(B895,'2-Kosten per locatie'!$A$11:$C$18,3,FALSE)</f>
        <v>0</v>
      </c>
      <c r="S895" s="138">
        <f t="shared" si="78"/>
        <v>0</v>
      </c>
      <c r="T895" s="139" t="str">
        <f>VLOOKUP(I895,'3-Productie normen'!A:AF,28,FALSE)</f>
        <v>V</v>
      </c>
      <c r="U895" s="140"/>
      <c r="W895" s="141">
        <f t="shared" si="79"/>
        <v>5016</v>
      </c>
    </row>
    <row r="896" spans="1:23" ht="13.9" customHeight="1">
      <c r="A896" s="132">
        <v>896</v>
      </c>
      <c r="B896" s="49" t="s">
        <v>1676</v>
      </c>
      <c r="C896" s="154" t="s">
        <v>1656</v>
      </c>
      <c r="D896" s="154" t="s">
        <v>246</v>
      </c>
      <c r="E896" s="155" t="s">
        <v>674</v>
      </c>
      <c r="F896" s="156"/>
      <c r="G896" s="157" t="s">
        <v>245</v>
      </c>
      <c r="H896" s="157" t="s">
        <v>245</v>
      </c>
      <c r="I896" s="86" t="s">
        <v>274</v>
      </c>
      <c r="J896" s="159" t="s">
        <v>1055</v>
      </c>
      <c r="K896" s="152" t="s">
        <v>1522</v>
      </c>
      <c r="L896" s="160">
        <v>37.5</v>
      </c>
      <c r="M896" s="161">
        <f t="shared" si="80"/>
        <v>76</v>
      </c>
      <c r="N896" s="2">
        <v>76</v>
      </c>
      <c r="O896" s="143"/>
      <c r="P896" s="137" t="e">
        <f t="shared" si="76"/>
        <v>#DIV/0!</v>
      </c>
      <c r="Q896" s="137">
        <f t="shared" si="77"/>
        <v>0</v>
      </c>
      <c r="R896" s="138">
        <f>IF(N896="nio",0,IF(N896&gt;0,VLOOKUP(I896,'3-Productie normen'!A:W,VLOOKUP(N896,'3-Productie normen'!$B$35:$C$56,2,FALSE),FALSE)))/VLOOKUP(B896,'2-Kosten per locatie'!$A$11:$C$18,3,FALSE)</f>
        <v>0</v>
      </c>
      <c r="S896" s="138">
        <f t="shared" si="78"/>
        <v>0</v>
      </c>
      <c r="T896" s="139" t="str">
        <f>VLOOKUP(I896,'3-Productie normen'!A:AF,28,FALSE)</f>
        <v>B</v>
      </c>
      <c r="U896" s="140"/>
      <c r="W896" s="141">
        <f t="shared" si="79"/>
        <v>2850</v>
      </c>
    </row>
    <row r="897" spans="1:23" ht="13.9" customHeight="1">
      <c r="A897" s="118">
        <v>897</v>
      </c>
      <c r="B897" s="49" t="s">
        <v>1676</v>
      </c>
      <c r="C897" s="154" t="s">
        <v>1656</v>
      </c>
      <c r="D897" s="154" t="s">
        <v>246</v>
      </c>
      <c r="E897" s="155" t="s">
        <v>687</v>
      </c>
      <c r="F897" s="156"/>
      <c r="G897" s="157" t="s">
        <v>235</v>
      </c>
      <c r="H897" s="157" t="s">
        <v>53</v>
      </c>
      <c r="I897" s="1" t="s">
        <v>233</v>
      </c>
      <c r="J897" s="159" t="s">
        <v>231</v>
      </c>
      <c r="K897" s="163"/>
      <c r="L897" s="160">
        <v>4.2</v>
      </c>
      <c r="M897" s="161">
        <f t="shared" si="80"/>
        <v>190</v>
      </c>
      <c r="N897" s="143">
        <v>190</v>
      </c>
      <c r="O897" s="143"/>
      <c r="P897" s="137" t="e">
        <f t="shared" si="76"/>
        <v>#DIV/0!</v>
      </c>
      <c r="Q897" s="137">
        <f t="shared" si="77"/>
        <v>0</v>
      </c>
      <c r="R897" s="138">
        <f>IF(N897="nio",0,IF(N897&gt;0,VLOOKUP(I897,'3-Productie normen'!A:W,VLOOKUP(N897,'3-Productie normen'!$B$35:$C$56,2,FALSE),FALSE)))/VLOOKUP(B897,'2-Kosten per locatie'!$A$11:$C$18,3,FALSE)</f>
        <v>0</v>
      </c>
      <c r="S897" s="138">
        <f t="shared" si="78"/>
        <v>0</v>
      </c>
      <c r="T897" s="139" t="str">
        <f>VLOOKUP(I897,'3-Productie normen'!A:AF,28,FALSE)</f>
        <v>V</v>
      </c>
      <c r="U897" s="140"/>
      <c r="W897" s="141">
        <f t="shared" si="79"/>
        <v>798</v>
      </c>
    </row>
    <row r="898" spans="1:23" ht="13.9" customHeight="1">
      <c r="A898" s="132">
        <v>898</v>
      </c>
      <c r="B898" s="49" t="s">
        <v>1676</v>
      </c>
      <c r="C898" s="154" t="s">
        <v>1656</v>
      </c>
      <c r="D898" s="154" t="s">
        <v>246</v>
      </c>
      <c r="E898" s="155" t="s">
        <v>1553</v>
      </c>
      <c r="F898" s="156"/>
      <c r="G898" s="157" t="s">
        <v>242</v>
      </c>
      <c r="H898" s="157" t="s">
        <v>242</v>
      </c>
      <c r="I898" s="158" t="s">
        <v>1504</v>
      </c>
      <c r="J898" s="159" t="s">
        <v>1055</v>
      </c>
      <c r="K898" s="152" t="s">
        <v>1522</v>
      </c>
      <c r="L898" s="160">
        <v>3.2</v>
      </c>
      <c r="M898" s="161">
        <f t="shared" si="80"/>
        <v>2</v>
      </c>
      <c r="N898" s="3">
        <v>2</v>
      </c>
      <c r="O898" s="143"/>
      <c r="P898" s="137" t="e">
        <f t="shared" si="76"/>
        <v>#DIV/0!</v>
      </c>
      <c r="Q898" s="137">
        <f t="shared" si="77"/>
        <v>0</v>
      </c>
      <c r="R898" s="138">
        <f>IF(N898="nio",0,IF(N898&gt;0,VLOOKUP(I898,'3-Productie normen'!A:W,VLOOKUP(N898,'3-Productie normen'!$B$35:$C$56,2,FALSE),FALSE)))/VLOOKUP(B898,'2-Kosten per locatie'!$A$11:$C$18,3,FALSE)</f>
        <v>0</v>
      </c>
      <c r="S898" s="138">
        <f t="shared" si="78"/>
        <v>0</v>
      </c>
      <c r="T898" s="139" t="str">
        <f>VLOOKUP(I898,'3-Productie normen'!A:AF,28,FALSE)</f>
        <v>V</v>
      </c>
      <c r="U898" s="140"/>
      <c r="W898" s="141">
        <f t="shared" si="79"/>
        <v>6.4</v>
      </c>
    </row>
    <row r="899" spans="1:23" ht="13.9" customHeight="1">
      <c r="A899" s="132">
        <v>899</v>
      </c>
      <c r="B899" s="49" t="s">
        <v>1676</v>
      </c>
      <c r="C899" s="154" t="s">
        <v>1656</v>
      </c>
      <c r="D899" s="154" t="s">
        <v>246</v>
      </c>
      <c r="E899" s="155" t="s">
        <v>675</v>
      </c>
      <c r="F899" s="156"/>
      <c r="G899" s="157" t="s">
        <v>243</v>
      </c>
      <c r="H899" s="157" t="s">
        <v>1485</v>
      </c>
      <c r="I899" s="86" t="s">
        <v>47</v>
      </c>
      <c r="J899" s="159" t="s">
        <v>1055</v>
      </c>
      <c r="K899" s="152" t="s">
        <v>1522</v>
      </c>
      <c r="L899" s="160">
        <v>166</v>
      </c>
      <c r="M899" s="161">
        <f t="shared" si="80"/>
        <v>190</v>
      </c>
      <c r="N899" s="3">
        <v>190</v>
      </c>
      <c r="O899" s="143"/>
      <c r="P899" s="137" t="e">
        <f t="shared" si="76"/>
        <v>#DIV/0!</v>
      </c>
      <c r="Q899" s="137">
        <f t="shared" si="77"/>
        <v>0</v>
      </c>
      <c r="R899" s="138">
        <f>IF(N899="nio",0,IF(N899&gt;0,VLOOKUP(I899,'3-Productie normen'!A:W,VLOOKUP(N899,'3-Productie normen'!$B$35:$C$56,2,FALSE),FALSE)))/VLOOKUP(B899,'2-Kosten per locatie'!$A$11:$C$18,3,FALSE)</f>
        <v>0</v>
      </c>
      <c r="S899" s="138">
        <f t="shared" si="78"/>
        <v>0</v>
      </c>
      <c r="T899" s="139" t="str">
        <f>VLOOKUP(I899,'3-Productie normen'!A:AF,28,FALSE)</f>
        <v>V</v>
      </c>
      <c r="U899" s="140"/>
      <c r="W899" s="141">
        <f t="shared" si="79"/>
        <v>31540</v>
      </c>
    </row>
    <row r="900" spans="1:23" ht="13.9" customHeight="1">
      <c r="A900" s="118">
        <v>900</v>
      </c>
      <c r="B900" s="49" t="s">
        <v>1676</v>
      </c>
      <c r="C900" s="154" t="s">
        <v>1656</v>
      </c>
      <c r="D900" s="154" t="s">
        <v>246</v>
      </c>
      <c r="E900" s="155" t="s">
        <v>676</v>
      </c>
      <c r="F900" s="156"/>
      <c r="G900" s="157" t="s">
        <v>243</v>
      </c>
      <c r="H900" s="157" t="s">
        <v>245</v>
      </c>
      <c r="I900" s="86" t="s">
        <v>274</v>
      </c>
      <c r="J900" s="159" t="s">
        <v>1055</v>
      </c>
      <c r="K900" s="152" t="s">
        <v>1522</v>
      </c>
      <c r="L900" s="160">
        <v>23.4</v>
      </c>
      <c r="M900" s="161">
        <f t="shared" si="80"/>
        <v>76</v>
      </c>
      <c r="N900" s="2">
        <v>76</v>
      </c>
      <c r="O900" s="143"/>
      <c r="P900" s="137" t="e">
        <f t="shared" si="76"/>
        <v>#DIV/0!</v>
      </c>
      <c r="Q900" s="137">
        <f t="shared" si="77"/>
        <v>0</v>
      </c>
      <c r="R900" s="138">
        <f>IF(N900="nio",0,IF(N900&gt;0,VLOOKUP(I900,'3-Productie normen'!A:W,VLOOKUP(N900,'3-Productie normen'!$B$35:$C$56,2,FALSE),FALSE)))/VLOOKUP(B900,'2-Kosten per locatie'!$A$11:$C$18,3,FALSE)</f>
        <v>0</v>
      </c>
      <c r="S900" s="138">
        <f t="shared" si="78"/>
        <v>0</v>
      </c>
      <c r="T900" s="139" t="str">
        <f>VLOOKUP(I900,'3-Productie normen'!A:AF,28,FALSE)</f>
        <v>B</v>
      </c>
      <c r="U900" s="140"/>
      <c r="W900" s="141">
        <f t="shared" si="79"/>
        <v>1778.3999999999999</v>
      </c>
    </row>
    <row r="901" spans="1:23" ht="13.9" customHeight="1">
      <c r="A901" s="132">
        <v>901</v>
      </c>
      <c r="B901" s="49" t="s">
        <v>1676</v>
      </c>
      <c r="C901" s="154" t="s">
        <v>1656</v>
      </c>
      <c r="D901" s="154" t="s">
        <v>246</v>
      </c>
      <c r="E901" s="155" t="s">
        <v>673</v>
      </c>
      <c r="F901" s="156"/>
      <c r="G901" s="157" t="s">
        <v>264</v>
      </c>
      <c r="H901" s="157" t="s">
        <v>1484</v>
      </c>
      <c r="I901" s="158" t="s">
        <v>50</v>
      </c>
      <c r="J901" s="159" t="s">
        <v>1055</v>
      </c>
      <c r="K901" s="152" t="s">
        <v>1522</v>
      </c>
      <c r="L901" s="160">
        <v>98.2</v>
      </c>
      <c r="M901" s="161">
        <f t="shared" si="80"/>
        <v>76</v>
      </c>
      <c r="N901" s="143">
        <v>76</v>
      </c>
      <c r="O901" s="143"/>
      <c r="P901" s="137" t="e">
        <f t="shared" si="76"/>
        <v>#DIV/0!</v>
      </c>
      <c r="Q901" s="137">
        <f t="shared" si="77"/>
        <v>0</v>
      </c>
      <c r="R901" s="138">
        <f>IF(N901="nio",0,IF(N901&gt;0,VLOOKUP(I901,'3-Productie normen'!A:W,VLOOKUP(N901,'3-Productie normen'!$B$35:$C$56,2,FALSE),FALSE)))/VLOOKUP(B901,'2-Kosten per locatie'!$A$11:$C$18,3,FALSE)</f>
        <v>0</v>
      </c>
      <c r="S901" s="138">
        <f t="shared" si="78"/>
        <v>0</v>
      </c>
      <c r="T901" s="139" t="str">
        <f>VLOOKUP(I901,'3-Productie normen'!A:AF,28,FALSE)</f>
        <v>B</v>
      </c>
      <c r="U901" s="140"/>
      <c r="W901" s="141">
        <f t="shared" si="79"/>
        <v>7463.2</v>
      </c>
    </row>
    <row r="902" spans="1:23" ht="13.9" customHeight="1">
      <c r="A902" s="132">
        <v>902</v>
      </c>
      <c r="B902" s="49" t="s">
        <v>1676</v>
      </c>
      <c r="C902" s="154" t="s">
        <v>1656</v>
      </c>
      <c r="D902" s="154" t="s">
        <v>246</v>
      </c>
      <c r="E902" s="155" t="s">
        <v>1122</v>
      </c>
      <c r="F902" s="156"/>
      <c r="G902" s="157" t="s">
        <v>264</v>
      </c>
      <c r="H902" s="157" t="s">
        <v>265</v>
      </c>
      <c r="I902" s="91" t="s">
        <v>244</v>
      </c>
      <c r="J902" s="159" t="s">
        <v>1055</v>
      </c>
      <c r="K902" s="152" t="s">
        <v>1522</v>
      </c>
      <c r="L902" s="160">
        <v>70.8</v>
      </c>
      <c r="M902" s="161">
        <f t="shared" si="80"/>
        <v>76</v>
      </c>
      <c r="N902" s="3">
        <v>76</v>
      </c>
      <c r="O902" s="143"/>
      <c r="P902" s="137" t="e">
        <f t="shared" si="76"/>
        <v>#DIV/0!</v>
      </c>
      <c r="Q902" s="137">
        <f t="shared" si="77"/>
        <v>0</v>
      </c>
      <c r="R902" s="138">
        <f>IF(N902="nio",0,IF(N902&gt;0,VLOOKUP(I902,'3-Productie normen'!A:W,VLOOKUP(N902,'3-Productie normen'!$B$35:$C$56,2,FALSE),FALSE)))/VLOOKUP(B902,'2-Kosten per locatie'!$A$11:$C$18,3,FALSE)</f>
        <v>0</v>
      </c>
      <c r="S902" s="138">
        <f t="shared" si="78"/>
        <v>0</v>
      </c>
      <c r="T902" s="139" t="str">
        <f>VLOOKUP(I902,'3-Productie normen'!A:AF,28,FALSE)</f>
        <v>L</v>
      </c>
      <c r="U902" s="140"/>
      <c r="W902" s="141">
        <f t="shared" si="79"/>
        <v>5380.8</v>
      </c>
    </row>
    <row r="903" spans="1:23" ht="13.9" customHeight="1">
      <c r="A903" s="118">
        <v>903</v>
      </c>
      <c r="B903" s="49" t="s">
        <v>1676</v>
      </c>
      <c r="C903" s="154" t="s">
        <v>1656</v>
      </c>
      <c r="D903" s="154" t="s">
        <v>246</v>
      </c>
      <c r="E903" s="155" t="s">
        <v>670</v>
      </c>
      <c r="F903" s="156"/>
      <c r="G903" s="157" t="s">
        <v>264</v>
      </c>
      <c r="H903" s="157" t="s">
        <v>290</v>
      </c>
      <c r="I903" s="91" t="s">
        <v>244</v>
      </c>
      <c r="J903" s="159" t="s">
        <v>1055</v>
      </c>
      <c r="K903" s="152" t="s">
        <v>1522</v>
      </c>
      <c r="L903" s="160">
        <v>154.1</v>
      </c>
      <c r="M903" s="161">
        <f t="shared" si="80"/>
        <v>76</v>
      </c>
      <c r="N903" s="3">
        <v>76</v>
      </c>
      <c r="O903" s="143"/>
      <c r="P903" s="137" t="e">
        <f t="shared" si="76"/>
        <v>#DIV/0!</v>
      </c>
      <c r="Q903" s="137">
        <f t="shared" si="77"/>
        <v>0</v>
      </c>
      <c r="R903" s="138">
        <f>IF(N903="nio",0,IF(N903&gt;0,VLOOKUP(I903,'3-Productie normen'!A:W,VLOOKUP(N903,'3-Productie normen'!$B$35:$C$56,2,FALSE),FALSE)))/VLOOKUP(B903,'2-Kosten per locatie'!$A$11:$C$18,3,FALSE)</f>
        <v>0</v>
      </c>
      <c r="S903" s="138">
        <f t="shared" si="78"/>
        <v>0</v>
      </c>
      <c r="T903" s="139" t="str">
        <f>VLOOKUP(I903,'3-Productie normen'!A:AF,28,FALSE)</f>
        <v>L</v>
      </c>
      <c r="U903" s="140"/>
      <c r="W903" s="141">
        <f t="shared" si="79"/>
        <v>11711.6</v>
      </c>
    </row>
    <row r="904" spans="1:23" ht="13.9" customHeight="1">
      <c r="A904" s="132">
        <v>904</v>
      </c>
      <c r="B904" s="49" t="s">
        <v>1676</v>
      </c>
      <c r="C904" s="154" t="s">
        <v>1656</v>
      </c>
      <c r="D904" s="154" t="s">
        <v>268</v>
      </c>
      <c r="E904" s="156" t="s">
        <v>1554</v>
      </c>
      <c r="F904" s="156"/>
      <c r="G904" s="157" t="s">
        <v>243</v>
      </c>
      <c r="H904" s="157" t="s">
        <v>359</v>
      </c>
      <c r="I904" s="86" t="s">
        <v>274</v>
      </c>
      <c r="J904" s="159" t="s">
        <v>1055</v>
      </c>
      <c r="K904" s="152" t="s">
        <v>1522</v>
      </c>
      <c r="L904" s="160">
        <v>31.2</v>
      </c>
      <c r="M904" s="161">
        <f t="shared" si="80"/>
        <v>76</v>
      </c>
      <c r="N904" s="2">
        <v>76</v>
      </c>
      <c r="O904" s="143"/>
      <c r="P904" s="137" t="e">
        <f t="shared" si="76"/>
        <v>#DIV/0!</v>
      </c>
      <c r="Q904" s="137">
        <f t="shared" si="77"/>
        <v>0</v>
      </c>
      <c r="R904" s="138">
        <f>IF(N904="nio",0,IF(N904&gt;0,VLOOKUP(I904,'3-Productie normen'!A:W,VLOOKUP(N904,'3-Productie normen'!$B$35:$C$56,2,FALSE),FALSE)))/VLOOKUP(B904,'2-Kosten per locatie'!$A$11:$C$18,3,FALSE)</f>
        <v>0</v>
      </c>
      <c r="S904" s="138">
        <f t="shared" si="78"/>
        <v>0</v>
      </c>
      <c r="T904" s="139" t="str">
        <f>VLOOKUP(I904,'3-Productie normen'!A:AF,28,FALSE)</f>
        <v>B</v>
      </c>
      <c r="U904" s="140"/>
      <c r="W904" s="141">
        <f t="shared" si="79"/>
        <v>2371.1999999999998</v>
      </c>
    </row>
    <row r="905" spans="1:23" ht="13.9" customHeight="1">
      <c r="A905" s="132">
        <v>905</v>
      </c>
      <c r="B905" s="49" t="s">
        <v>1676</v>
      </c>
      <c r="C905" s="154" t="s">
        <v>1656</v>
      </c>
      <c r="D905" s="154" t="s">
        <v>268</v>
      </c>
      <c r="E905" s="156" t="s">
        <v>694</v>
      </c>
      <c r="F905" s="156"/>
      <c r="G905" s="157" t="s">
        <v>242</v>
      </c>
      <c r="H905" s="157" t="s">
        <v>242</v>
      </c>
      <c r="I905" s="158" t="s">
        <v>1504</v>
      </c>
      <c r="J905" s="159" t="s">
        <v>1055</v>
      </c>
      <c r="K905" s="152" t="s">
        <v>1522</v>
      </c>
      <c r="L905" s="160">
        <v>13.8</v>
      </c>
      <c r="M905" s="161">
        <f t="shared" si="80"/>
        <v>2</v>
      </c>
      <c r="N905" s="3">
        <v>2</v>
      </c>
      <c r="O905" s="143"/>
      <c r="P905" s="137" t="e">
        <f t="shared" si="76"/>
        <v>#DIV/0!</v>
      </c>
      <c r="Q905" s="137">
        <f t="shared" si="77"/>
        <v>0</v>
      </c>
      <c r="R905" s="138">
        <f>IF(N905="nio",0,IF(N905&gt;0,VLOOKUP(I905,'3-Productie normen'!A:W,VLOOKUP(N905,'3-Productie normen'!$B$35:$C$56,2,FALSE),FALSE)))/VLOOKUP(B905,'2-Kosten per locatie'!$A$11:$C$18,3,FALSE)</f>
        <v>0</v>
      </c>
      <c r="S905" s="138">
        <f t="shared" si="78"/>
        <v>0</v>
      </c>
      <c r="T905" s="139" t="str">
        <f>VLOOKUP(I905,'3-Productie normen'!A:AF,28,FALSE)</f>
        <v>V</v>
      </c>
      <c r="U905" s="140"/>
      <c r="W905" s="141">
        <f t="shared" si="79"/>
        <v>27.6</v>
      </c>
    </row>
    <row r="906" spans="1:23" ht="13.9" customHeight="1">
      <c r="A906" s="118">
        <v>906</v>
      </c>
      <c r="B906" s="49" t="s">
        <v>1676</v>
      </c>
      <c r="C906" s="154" t="s">
        <v>1656</v>
      </c>
      <c r="D906" s="154" t="s">
        <v>268</v>
      </c>
      <c r="E906" s="156" t="s">
        <v>696</v>
      </c>
      <c r="F906" s="156"/>
      <c r="G906" s="157" t="s">
        <v>44</v>
      </c>
      <c r="H906" s="157" t="s">
        <v>260</v>
      </c>
      <c r="I906" s="86" t="s">
        <v>44</v>
      </c>
      <c r="J906" s="159" t="s">
        <v>305</v>
      </c>
      <c r="K906" s="163"/>
      <c r="L906" s="160">
        <v>6.2</v>
      </c>
      <c r="M906" s="161">
        <f t="shared" si="80"/>
        <v>190</v>
      </c>
      <c r="N906" s="143">
        <v>190</v>
      </c>
      <c r="O906" s="143"/>
      <c r="P906" s="137" t="e">
        <f t="shared" si="76"/>
        <v>#DIV/0!</v>
      </c>
      <c r="Q906" s="137">
        <f t="shared" si="77"/>
        <v>0</v>
      </c>
      <c r="R906" s="138">
        <f>IF(N906="nio",0,IF(N906&gt;0,VLOOKUP(I906,'3-Productie normen'!A:W,VLOOKUP(N906,'3-Productie normen'!$B$35:$C$56,2,FALSE),FALSE)))/VLOOKUP(B906,'2-Kosten per locatie'!$A$11:$C$18,3,FALSE)</f>
        <v>0</v>
      </c>
      <c r="S906" s="138">
        <f t="shared" si="78"/>
        <v>0</v>
      </c>
      <c r="T906" s="139" t="str">
        <f>VLOOKUP(I906,'3-Productie normen'!A:AF,28,FALSE)</f>
        <v>S</v>
      </c>
      <c r="U906" s="140"/>
      <c r="W906" s="141">
        <f t="shared" si="79"/>
        <v>1178</v>
      </c>
    </row>
    <row r="907" spans="1:23" ht="13.9" customHeight="1">
      <c r="A907" s="132">
        <v>907</v>
      </c>
      <c r="B907" s="49" t="s">
        <v>1676</v>
      </c>
      <c r="C907" s="154" t="s">
        <v>1656</v>
      </c>
      <c r="D907" s="154" t="s">
        <v>268</v>
      </c>
      <c r="E907" s="156" t="s">
        <v>695</v>
      </c>
      <c r="F907" s="156"/>
      <c r="G907" s="157" t="s">
        <v>44</v>
      </c>
      <c r="H907" s="157" t="s">
        <v>260</v>
      </c>
      <c r="I907" s="86" t="s">
        <v>44</v>
      </c>
      <c r="J907" s="159" t="s">
        <v>305</v>
      </c>
      <c r="K907" s="163"/>
      <c r="L907" s="160">
        <v>6.2</v>
      </c>
      <c r="M907" s="161">
        <f t="shared" si="80"/>
        <v>190</v>
      </c>
      <c r="N907" s="143">
        <v>190</v>
      </c>
      <c r="O907" s="143"/>
      <c r="P907" s="137" t="e">
        <f t="shared" si="76"/>
        <v>#DIV/0!</v>
      </c>
      <c r="Q907" s="137">
        <f t="shared" si="77"/>
        <v>0</v>
      </c>
      <c r="R907" s="138">
        <f>IF(N907="nio",0,IF(N907&gt;0,VLOOKUP(I907,'3-Productie normen'!A:W,VLOOKUP(N907,'3-Productie normen'!$B$35:$C$56,2,FALSE),FALSE)))/VLOOKUP(B907,'2-Kosten per locatie'!$A$11:$C$18,3,FALSE)</f>
        <v>0</v>
      </c>
      <c r="S907" s="138">
        <f t="shared" si="78"/>
        <v>0</v>
      </c>
      <c r="T907" s="139" t="str">
        <f>VLOOKUP(I907,'3-Productie normen'!A:AF,28,FALSE)</f>
        <v>S</v>
      </c>
      <c r="U907" s="140"/>
      <c r="W907" s="141">
        <f t="shared" si="79"/>
        <v>1178</v>
      </c>
    </row>
    <row r="908" spans="1:23" ht="13.9" customHeight="1">
      <c r="A908" s="132">
        <v>908</v>
      </c>
      <c r="B908" s="49" t="s">
        <v>1676</v>
      </c>
      <c r="C908" s="154" t="s">
        <v>1656</v>
      </c>
      <c r="D908" s="154" t="s">
        <v>268</v>
      </c>
      <c r="E908" s="156" t="s">
        <v>543</v>
      </c>
      <c r="F908" s="156"/>
      <c r="G908" s="157" t="s">
        <v>245</v>
      </c>
      <c r="H908" s="157" t="s">
        <v>245</v>
      </c>
      <c r="I908" s="86" t="s">
        <v>274</v>
      </c>
      <c r="J908" s="159" t="s">
        <v>1055</v>
      </c>
      <c r="K908" s="152" t="s">
        <v>1522</v>
      </c>
      <c r="L908" s="160">
        <v>84.9</v>
      </c>
      <c r="M908" s="161">
        <f t="shared" si="80"/>
        <v>76</v>
      </c>
      <c r="N908" s="2">
        <v>76</v>
      </c>
      <c r="O908" s="143"/>
      <c r="P908" s="137" t="e">
        <f t="shared" si="76"/>
        <v>#DIV/0!</v>
      </c>
      <c r="Q908" s="137">
        <f t="shared" si="77"/>
        <v>0</v>
      </c>
      <c r="R908" s="138">
        <f>IF(N908="nio",0,IF(N908&gt;0,VLOOKUP(I908,'3-Productie normen'!A:W,VLOOKUP(N908,'3-Productie normen'!$B$35:$C$56,2,FALSE),FALSE)))/VLOOKUP(B908,'2-Kosten per locatie'!$A$11:$C$18,3,FALSE)</f>
        <v>0</v>
      </c>
      <c r="S908" s="138">
        <f t="shared" si="78"/>
        <v>0</v>
      </c>
      <c r="T908" s="139" t="str">
        <f>VLOOKUP(I908,'3-Productie normen'!A:AF,28,FALSE)</f>
        <v>B</v>
      </c>
      <c r="U908" s="140"/>
      <c r="W908" s="141">
        <f t="shared" si="79"/>
        <v>6452.4000000000005</v>
      </c>
    </row>
    <row r="909" spans="1:23" ht="13.9" customHeight="1">
      <c r="A909" s="118">
        <v>909</v>
      </c>
      <c r="B909" s="49" t="s">
        <v>1676</v>
      </c>
      <c r="C909" s="154" t="s">
        <v>1656</v>
      </c>
      <c r="D909" s="154" t="s">
        <v>268</v>
      </c>
      <c r="E909" s="156" t="s">
        <v>699</v>
      </c>
      <c r="F909" s="156"/>
      <c r="G909" s="157" t="s">
        <v>235</v>
      </c>
      <c r="H909" s="157" t="s">
        <v>236</v>
      </c>
      <c r="I909" s="91" t="s">
        <v>1486</v>
      </c>
      <c r="J909" s="159" t="s">
        <v>1055</v>
      </c>
      <c r="K909" s="152" t="s">
        <v>1522</v>
      </c>
      <c r="L909" s="160">
        <v>173.6</v>
      </c>
      <c r="M909" s="161">
        <f t="shared" si="80"/>
        <v>190</v>
      </c>
      <c r="N909" s="143">
        <v>190</v>
      </c>
      <c r="O909" s="143"/>
      <c r="P909" s="137" t="e">
        <f t="shared" si="76"/>
        <v>#DIV/0!</v>
      </c>
      <c r="Q909" s="137">
        <f t="shared" si="77"/>
        <v>0</v>
      </c>
      <c r="R909" s="138">
        <f>IF(N909="nio",0,IF(N909&gt;0,VLOOKUP(I909,'3-Productie normen'!A:W,VLOOKUP(N909,'3-Productie normen'!$B$35:$C$56,2,FALSE),FALSE)))/VLOOKUP(B909,'2-Kosten per locatie'!$A$11:$C$18,3,FALSE)</f>
        <v>0</v>
      </c>
      <c r="S909" s="138">
        <f t="shared" si="78"/>
        <v>0</v>
      </c>
      <c r="T909" s="139" t="str">
        <f>VLOOKUP(I909,'3-Productie normen'!A:AF,28,FALSE)</f>
        <v>V</v>
      </c>
      <c r="U909" s="140"/>
      <c r="W909" s="141">
        <f t="shared" si="79"/>
        <v>32984</v>
      </c>
    </row>
    <row r="910" spans="1:23" ht="13.9" customHeight="1">
      <c r="A910" s="132">
        <v>910</v>
      </c>
      <c r="B910" s="49" t="s">
        <v>1676</v>
      </c>
      <c r="C910" s="154" t="s">
        <v>1656</v>
      </c>
      <c r="D910" s="154" t="s">
        <v>268</v>
      </c>
      <c r="E910" s="156" t="s">
        <v>700</v>
      </c>
      <c r="F910" s="156"/>
      <c r="G910" s="157" t="s">
        <v>245</v>
      </c>
      <c r="H910" s="157" t="s">
        <v>245</v>
      </c>
      <c r="I910" s="86" t="s">
        <v>274</v>
      </c>
      <c r="J910" s="159" t="s">
        <v>1055</v>
      </c>
      <c r="K910" s="152" t="s">
        <v>1522</v>
      </c>
      <c r="L910" s="160">
        <v>107.9</v>
      </c>
      <c r="M910" s="161">
        <f t="shared" si="80"/>
        <v>76</v>
      </c>
      <c r="N910" s="2">
        <v>76</v>
      </c>
      <c r="O910" s="143"/>
      <c r="P910" s="137" t="e">
        <f t="shared" si="76"/>
        <v>#DIV/0!</v>
      </c>
      <c r="Q910" s="137">
        <f t="shared" si="77"/>
        <v>0</v>
      </c>
      <c r="R910" s="138">
        <f>IF(N910="nio",0,IF(N910&gt;0,VLOOKUP(I910,'3-Productie normen'!A:W,VLOOKUP(N910,'3-Productie normen'!$B$35:$C$56,2,FALSE),FALSE)))/VLOOKUP(B910,'2-Kosten per locatie'!$A$11:$C$18,3,FALSE)</f>
        <v>0</v>
      </c>
      <c r="S910" s="138">
        <f t="shared" si="78"/>
        <v>0</v>
      </c>
      <c r="T910" s="139" t="str">
        <f>VLOOKUP(I910,'3-Productie normen'!A:AF,28,FALSE)</f>
        <v>B</v>
      </c>
      <c r="U910" s="140"/>
      <c r="W910" s="141">
        <f t="shared" si="79"/>
        <v>8200.4</v>
      </c>
    </row>
    <row r="911" spans="1:23" ht="13.9" customHeight="1">
      <c r="A911" s="132">
        <v>911</v>
      </c>
      <c r="B911" s="49" t="s">
        <v>1676</v>
      </c>
      <c r="C911" s="154" t="s">
        <v>1656</v>
      </c>
      <c r="D911" s="154" t="s">
        <v>268</v>
      </c>
      <c r="E911" s="156" t="s">
        <v>1555</v>
      </c>
      <c r="F911" s="156"/>
      <c r="G911" s="157" t="s">
        <v>232</v>
      </c>
      <c r="H911" s="157" t="s">
        <v>324</v>
      </c>
      <c r="I911" s="91" t="s">
        <v>239</v>
      </c>
      <c r="J911" s="159" t="s">
        <v>231</v>
      </c>
      <c r="K911" s="163"/>
      <c r="L911" s="160">
        <v>3.6</v>
      </c>
      <c r="M911" s="161">
        <f t="shared" si="80"/>
        <v>0</v>
      </c>
      <c r="N911" s="143" t="s">
        <v>273</v>
      </c>
      <c r="O911" s="143"/>
      <c r="P911" s="137">
        <f t="shared" si="76"/>
        <v>0</v>
      </c>
      <c r="Q911" s="137">
        <f t="shared" si="77"/>
        <v>0</v>
      </c>
      <c r="R911" s="138">
        <f>IF(N911="nio",0,IF(N911&gt;0,VLOOKUP(I911,'3-Productie normen'!A:W,VLOOKUP(N911,'3-Productie normen'!$B$35:$C$56,2,FALSE),FALSE)))/VLOOKUP(B911,'2-Kosten per locatie'!$A$11:$C$18,3,FALSE)</f>
        <v>0</v>
      </c>
      <c r="S911" s="138">
        <f t="shared" si="78"/>
        <v>0</v>
      </c>
      <c r="T911" s="139">
        <f>VLOOKUP(I911,'3-Productie normen'!A:AF,28,FALSE)</f>
        <v>0</v>
      </c>
      <c r="U911" s="140"/>
      <c r="W911" s="141">
        <f t="shared" si="79"/>
        <v>0</v>
      </c>
    </row>
    <row r="912" spans="1:23" ht="13.9" customHeight="1">
      <c r="A912" s="118">
        <v>912</v>
      </c>
      <c r="B912" s="49" t="s">
        <v>1676</v>
      </c>
      <c r="C912" s="154" t="s">
        <v>1656</v>
      </c>
      <c r="D912" s="154" t="s">
        <v>268</v>
      </c>
      <c r="E912" s="156" t="s">
        <v>1556</v>
      </c>
      <c r="F912" s="156"/>
      <c r="G912" s="157" t="s">
        <v>242</v>
      </c>
      <c r="H912" s="157" t="s">
        <v>255</v>
      </c>
      <c r="I912" s="158" t="s">
        <v>1504</v>
      </c>
      <c r="J912" s="159" t="s">
        <v>1055</v>
      </c>
      <c r="K912" s="152" t="s">
        <v>1522</v>
      </c>
      <c r="L912" s="160">
        <v>3.9</v>
      </c>
      <c r="M912" s="161">
        <f t="shared" si="80"/>
        <v>2</v>
      </c>
      <c r="N912" s="3">
        <v>2</v>
      </c>
      <c r="O912" s="143"/>
      <c r="P912" s="137" t="e">
        <f t="shared" si="76"/>
        <v>#DIV/0!</v>
      </c>
      <c r="Q912" s="137">
        <f t="shared" si="77"/>
        <v>0</v>
      </c>
      <c r="R912" s="138">
        <f>IF(N912="nio",0,IF(N912&gt;0,VLOOKUP(I912,'3-Productie normen'!A:W,VLOOKUP(N912,'3-Productie normen'!$B$35:$C$56,2,FALSE),FALSE)))/VLOOKUP(B912,'2-Kosten per locatie'!$A$11:$C$18,3,FALSE)</f>
        <v>0</v>
      </c>
      <c r="S912" s="138">
        <f t="shared" si="78"/>
        <v>0</v>
      </c>
      <c r="T912" s="139" t="str">
        <f>VLOOKUP(I912,'3-Productie normen'!A:AF,28,FALSE)</f>
        <v>V</v>
      </c>
      <c r="U912" s="140"/>
      <c r="W912" s="141">
        <f t="shared" si="79"/>
        <v>7.8</v>
      </c>
    </row>
    <row r="913" spans="1:23" ht="13.9" customHeight="1">
      <c r="A913" s="132">
        <v>913</v>
      </c>
      <c r="B913" s="49" t="s">
        <v>1676</v>
      </c>
      <c r="C913" s="154" t="s">
        <v>1656</v>
      </c>
      <c r="D913" s="154" t="s">
        <v>268</v>
      </c>
      <c r="E913" s="156" t="s">
        <v>697</v>
      </c>
      <c r="F913" s="156"/>
      <c r="G913" s="157" t="s">
        <v>44</v>
      </c>
      <c r="H913" s="157" t="s">
        <v>260</v>
      </c>
      <c r="I913" s="86" t="s">
        <v>44</v>
      </c>
      <c r="J913" s="159" t="s">
        <v>256</v>
      </c>
      <c r="K913" s="163"/>
      <c r="L913" s="160">
        <v>8.1</v>
      </c>
      <c r="M913" s="161">
        <f t="shared" si="80"/>
        <v>190</v>
      </c>
      <c r="N913" s="143">
        <v>190</v>
      </c>
      <c r="O913" s="143"/>
      <c r="P913" s="137" t="e">
        <f t="shared" si="76"/>
        <v>#DIV/0!</v>
      </c>
      <c r="Q913" s="137">
        <f t="shared" si="77"/>
        <v>0</v>
      </c>
      <c r="R913" s="138">
        <f>IF(N913="nio",0,IF(N913&gt;0,VLOOKUP(I913,'3-Productie normen'!A:W,VLOOKUP(N913,'3-Productie normen'!$B$35:$C$56,2,FALSE),FALSE)))/VLOOKUP(B913,'2-Kosten per locatie'!$A$11:$C$18,3,FALSE)</f>
        <v>0</v>
      </c>
      <c r="S913" s="138">
        <f t="shared" si="78"/>
        <v>0</v>
      </c>
      <c r="T913" s="139" t="str">
        <f>VLOOKUP(I913,'3-Productie normen'!A:AF,28,FALSE)</f>
        <v>S</v>
      </c>
      <c r="U913" s="140"/>
      <c r="W913" s="141">
        <f t="shared" si="79"/>
        <v>1539</v>
      </c>
    </row>
    <row r="914" spans="1:23" ht="13.9" customHeight="1">
      <c r="A914" s="132">
        <v>914</v>
      </c>
      <c r="B914" s="49" t="s">
        <v>1676</v>
      </c>
      <c r="C914" s="154" t="s">
        <v>1656</v>
      </c>
      <c r="D914" s="154" t="s">
        <v>268</v>
      </c>
      <c r="E914" s="156" t="s">
        <v>1557</v>
      </c>
      <c r="F914" s="156"/>
      <c r="G914" s="157" t="s">
        <v>242</v>
      </c>
      <c r="H914" s="157" t="s">
        <v>242</v>
      </c>
      <c r="I914" s="158" t="s">
        <v>1504</v>
      </c>
      <c r="J914" s="159" t="s">
        <v>1055</v>
      </c>
      <c r="K914" s="152" t="s">
        <v>1522</v>
      </c>
      <c r="L914" s="160">
        <v>8.8000000000000007</v>
      </c>
      <c r="M914" s="161">
        <f t="shared" si="80"/>
        <v>2</v>
      </c>
      <c r="N914" s="3">
        <v>2</v>
      </c>
      <c r="O914" s="143"/>
      <c r="P914" s="137" t="e">
        <f t="shared" si="76"/>
        <v>#DIV/0!</v>
      </c>
      <c r="Q914" s="137">
        <f t="shared" si="77"/>
        <v>0</v>
      </c>
      <c r="R914" s="138">
        <f>IF(N914="nio",0,IF(N914&gt;0,VLOOKUP(I914,'3-Productie normen'!A:W,VLOOKUP(N914,'3-Productie normen'!$B$35:$C$56,2,FALSE),FALSE)))/VLOOKUP(B914,'2-Kosten per locatie'!$A$11:$C$18,3,FALSE)</f>
        <v>0</v>
      </c>
      <c r="S914" s="138">
        <f t="shared" si="78"/>
        <v>0</v>
      </c>
      <c r="T914" s="139" t="str">
        <f>VLOOKUP(I914,'3-Productie normen'!A:AF,28,FALSE)</f>
        <v>V</v>
      </c>
      <c r="U914" s="140"/>
      <c r="W914" s="141">
        <f t="shared" si="79"/>
        <v>17.600000000000001</v>
      </c>
    </row>
    <row r="915" spans="1:23" ht="13.9" customHeight="1">
      <c r="A915" s="118">
        <v>915</v>
      </c>
      <c r="B915" s="49" t="s">
        <v>1676</v>
      </c>
      <c r="C915" s="154" t="s">
        <v>1656</v>
      </c>
      <c r="D915" s="154" t="s">
        <v>268</v>
      </c>
      <c r="E915" s="156" t="s">
        <v>698</v>
      </c>
      <c r="F915" s="156"/>
      <c r="G915" s="157" t="s">
        <v>44</v>
      </c>
      <c r="H915" s="157" t="s">
        <v>260</v>
      </c>
      <c r="I915" s="86" t="s">
        <v>44</v>
      </c>
      <c r="J915" s="159" t="s">
        <v>256</v>
      </c>
      <c r="K915" s="163"/>
      <c r="L915" s="160">
        <v>5.2</v>
      </c>
      <c r="M915" s="161">
        <f t="shared" si="80"/>
        <v>190</v>
      </c>
      <c r="N915" s="143">
        <v>190</v>
      </c>
      <c r="O915" s="143"/>
      <c r="P915" s="137" t="e">
        <f t="shared" ref="P915:P968" si="81">IF(N915="nio",0,IF(N915&gt;0,N915*L915/R915,0))</f>
        <v>#DIV/0!</v>
      </c>
      <c r="Q915" s="137">
        <f t="shared" ref="Q915:Q968" si="82">IF(O915&gt;0,O915*L915/S915,0)</f>
        <v>0</v>
      </c>
      <c r="R915" s="138">
        <f>IF(N915="nio",0,IF(N915&gt;0,VLOOKUP(I915,'3-Productie normen'!A:W,VLOOKUP(N915,'3-Productie normen'!$B$35:$C$56,2,FALSE),FALSE)))/VLOOKUP(B915,'2-Kosten per locatie'!$A$11:$C$18,3,FALSE)</f>
        <v>0</v>
      </c>
      <c r="S915" s="138">
        <f t="shared" ref="S915:S968" si="83">IF(O915&gt;0,R915*$S$8,0)</f>
        <v>0</v>
      </c>
      <c r="T915" s="139" t="str">
        <f>VLOOKUP(I915,'3-Productie normen'!A:AF,28,FALSE)</f>
        <v>S</v>
      </c>
      <c r="U915" s="140"/>
      <c r="W915" s="141">
        <f t="shared" ref="W915:W968" si="84">M915*L915</f>
        <v>988</v>
      </c>
    </row>
    <row r="916" spans="1:23" ht="13.9" customHeight="1">
      <c r="A916" s="132">
        <v>916</v>
      </c>
      <c r="B916" s="49" t="s">
        <v>1676</v>
      </c>
      <c r="C916" s="154" t="s">
        <v>1656</v>
      </c>
      <c r="D916" s="154" t="s">
        <v>268</v>
      </c>
      <c r="E916" s="156" t="s">
        <v>1558</v>
      </c>
      <c r="F916" s="156"/>
      <c r="G916" s="157" t="s">
        <v>242</v>
      </c>
      <c r="H916" s="157" t="s">
        <v>242</v>
      </c>
      <c r="I916" s="158" t="s">
        <v>1504</v>
      </c>
      <c r="J916" s="159" t="s">
        <v>1055</v>
      </c>
      <c r="K916" s="152" t="s">
        <v>1522</v>
      </c>
      <c r="L916" s="160">
        <v>1.2</v>
      </c>
      <c r="M916" s="161">
        <f t="shared" si="80"/>
        <v>2</v>
      </c>
      <c r="N916" s="3">
        <v>2</v>
      </c>
      <c r="O916" s="143"/>
      <c r="P916" s="137" t="e">
        <f t="shared" si="81"/>
        <v>#DIV/0!</v>
      </c>
      <c r="Q916" s="137">
        <f t="shared" si="82"/>
        <v>0</v>
      </c>
      <c r="R916" s="138">
        <f>IF(N916="nio",0,IF(N916&gt;0,VLOOKUP(I916,'3-Productie normen'!A:W,VLOOKUP(N916,'3-Productie normen'!$B$35:$C$56,2,FALSE),FALSE)))/VLOOKUP(B916,'2-Kosten per locatie'!$A$11:$C$18,3,FALSE)</f>
        <v>0</v>
      </c>
      <c r="S916" s="138">
        <f t="shared" si="83"/>
        <v>0</v>
      </c>
      <c r="T916" s="139" t="str">
        <f>VLOOKUP(I916,'3-Productie normen'!A:AF,28,FALSE)</f>
        <v>V</v>
      </c>
      <c r="U916" s="140"/>
      <c r="W916" s="141">
        <f t="shared" si="84"/>
        <v>2.4</v>
      </c>
    </row>
    <row r="917" spans="1:23" ht="13.9" customHeight="1">
      <c r="A917" s="132">
        <v>917</v>
      </c>
      <c r="B917" s="49" t="s">
        <v>1676</v>
      </c>
      <c r="C917" s="154" t="s">
        <v>1656</v>
      </c>
      <c r="D917" s="154" t="s">
        <v>268</v>
      </c>
      <c r="E917" s="156" t="s">
        <v>690</v>
      </c>
      <c r="F917" s="156"/>
      <c r="G917" s="157" t="s">
        <v>242</v>
      </c>
      <c r="H917" s="157" t="s">
        <v>242</v>
      </c>
      <c r="I917" s="158" t="s">
        <v>1504</v>
      </c>
      <c r="J917" s="159" t="s">
        <v>1055</v>
      </c>
      <c r="K917" s="152" t="s">
        <v>1522</v>
      </c>
      <c r="L917" s="160">
        <v>9.8000000000000007</v>
      </c>
      <c r="M917" s="161">
        <f t="shared" si="80"/>
        <v>2</v>
      </c>
      <c r="N917" s="3">
        <v>2</v>
      </c>
      <c r="O917" s="143"/>
      <c r="P917" s="137" t="e">
        <f t="shared" si="81"/>
        <v>#DIV/0!</v>
      </c>
      <c r="Q917" s="137">
        <f t="shared" si="82"/>
        <v>0</v>
      </c>
      <c r="R917" s="138">
        <f>IF(N917="nio",0,IF(N917&gt;0,VLOOKUP(I917,'3-Productie normen'!A:W,VLOOKUP(N917,'3-Productie normen'!$B$35:$C$56,2,FALSE),FALSE)))/VLOOKUP(B917,'2-Kosten per locatie'!$A$11:$C$18,3,FALSE)</f>
        <v>0</v>
      </c>
      <c r="S917" s="138">
        <f t="shared" si="83"/>
        <v>0</v>
      </c>
      <c r="T917" s="139" t="str">
        <f>VLOOKUP(I917,'3-Productie normen'!A:AF,28,FALSE)</f>
        <v>V</v>
      </c>
      <c r="U917" s="140"/>
      <c r="W917" s="141">
        <f t="shared" si="84"/>
        <v>19.600000000000001</v>
      </c>
    </row>
    <row r="918" spans="1:23" ht="13.9" customHeight="1">
      <c r="A918" s="118">
        <v>918</v>
      </c>
      <c r="B918" s="49" t="s">
        <v>1676</v>
      </c>
      <c r="C918" s="154" t="s">
        <v>1656</v>
      </c>
      <c r="D918" s="154" t="s">
        <v>268</v>
      </c>
      <c r="E918" s="156" t="s">
        <v>1559</v>
      </c>
      <c r="F918" s="156"/>
      <c r="G918" s="157" t="s">
        <v>237</v>
      </c>
      <c r="H918" s="157" t="s">
        <v>277</v>
      </c>
      <c r="I918" s="134" t="s">
        <v>239</v>
      </c>
      <c r="J918" s="159" t="s">
        <v>1055</v>
      </c>
      <c r="K918" s="152" t="s">
        <v>1522</v>
      </c>
      <c r="L918" s="160">
        <v>16.7</v>
      </c>
      <c r="M918" s="136"/>
      <c r="N918" s="143" t="s">
        <v>273</v>
      </c>
      <c r="O918" s="143"/>
      <c r="P918" s="137">
        <f t="shared" si="81"/>
        <v>0</v>
      </c>
      <c r="Q918" s="137">
        <f t="shared" si="82"/>
        <v>0</v>
      </c>
      <c r="R918" s="138">
        <f>IF(N918="nio",0,IF(N918&gt;0,VLOOKUP(I918,'3-Productie normen'!A:W,VLOOKUP(N918,'3-Productie normen'!$B$35:$C$56,2,FALSE),FALSE)))/VLOOKUP(B918,'2-Kosten per locatie'!$A$11:$C$18,3,FALSE)</f>
        <v>0</v>
      </c>
      <c r="S918" s="138">
        <f t="shared" si="83"/>
        <v>0</v>
      </c>
      <c r="T918" s="139">
        <f>VLOOKUP(I918,'3-Productie normen'!A:AF,28,FALSE)</f>
        <v>0</v>
      </c>
      <c r="U918" s="140"/>
      <c r="W918" s="141">
        <f t="shared" si="84"/>
        <v>0</v>
      </c>
    </row>
    <row r="919" spans="1:23" ht="13.9" customHeight="1">
      <c r="A919" s="132">
        <v>919</v>
      </c>
      <c r="B919" s="49" t="s">
        <v>1676</v>
      </c>
      <c r="C919" s="154" t="s">
        <v>1656</v>
      </c>
      <c r="D919" s="154" t="s">
        <v>268</v>
      </c>
      <c r="E919" s="156" t="s">
        <v>332</v>
      </c>
      <c r="F919" s="156"/>
      <c r="G919" s="157" t="s">
        <v>245</v>
      </c>
      <c r="H919" s="157" t="s">
        <v>245</v>
      </c>
      <c r="I919" s="86" t="s">
        <v>274</v>
      </c>
      <c r="J919" s="159" t="s">
        <v>1055</v>
      </c>
      <c r="K919" s="152" t="s">
        <v>1522</v>
      </c>
      <c r="L919" s="160">
        <v>13.4</v>
      </c>
      <c r="M919" s="161">
        <f t="shared" ref="M919:M948" si="85">SUM(N919:O919)</f>
        <v>76</v>
      </c>
      <c r="N919" s="2">
        <v>76</v>
      </c>
      <c r="O919" s="143"/>
      <c r="P919" s="137" t="e">
        <f t="shared" si="81"/>
        <v>#DIV/0!</v>
      </c>
      <c r="Q919" s="137">
        <f t="shared" si="82"/>
        <v>0</v>
      </c>
      <c r="R919" s="138">
        <f>IF(N919="nio",0,IF(N919&gt;0,VLOOKUP(I919,'3-Productie normen'!A:W,VLOOKUP(N919,'3-Productie normen'!$B$35:$C$56,2,FALSE),FALSE)))/VLOOKUP(B919,'2-Kosten per locatie'!$A$11:$C$18,3,FALSE)</f>
        <v>0</v>
      </c>
      <c r="S919" s="138">
        <f t="shared" si="83"/>
        <v>0</v>
      </c>
      <c r="T919" s="139" t="str">
        <f>VLOOKUP(I919,'3-Productie normen'!A:AF,28,FALSE)</f>
        <v>B</v>
      </c>
      <c r="U919" s="140"/>
      <c r="W919" s="141">
        <f t="shared" si="84"/>
        <v>1018.4</v>
      </c>
    </row>
    <row r="920" spans="1:23" ht="13.9" customHeight="1">
      <c r="A920" s="132">
        <v>920</v>
      </c>
      <c r="B920" s="49" t="s">
        <v>1676</v>
      </c>
      <c r="C920" s="154" t="s">
        <v>1656</v>
      </c>
      <c r="D920" s="154" t="s">
        <v>268</v>
      </c>
      <c r="E920" s="156" t="s">
        <v>333</v>
      </c>
      <c r="F920" s="156"/>
      <c r="G920" s="157" t="s">
        <v>245</v>
      </c>
      <c r="H920" s="157" t="s">
        <v>245</v>
      </c>
      <c r="I920" s="86" t="s">
        <v>274</v>
      </c>
      <c r="J920" s="159" t="s">
        <v>1055</v>
      </c>
      <c r="K920" s="152" t="s">
        <v>1522</v>
      </c>
      <c r="L920" s="160">
        <v>12.4</v>
      </c>
      <c r="M920" s="161">
        <f t="shared" si="85"/>
        <v>76</v>
      </c>
      <c r="N920" s="2">
        <v>76</v>
      </c>
      <c r="O920" s="143"/>
      <c r="P920" s="137" t="e">
        <f t="shared" si="81"/>
        <v>#DIV/0!</v>
      </c>
      <c r="Q920" s="137">
        <f t="shared" si="82"/>
        <v>0</v>
      </c>
      <c r="R920" s="138">
        <f>IF(N920="nio",0,IF(N920&gt;0,VLOOKUP(I920,'3-Productie normen'!A:W,VLOOKUP(N920,'3-Productie normen'!$B$35:$C$56,2,FALSE),FALSE)))/VLOOKUP(B920,'2-Kosten per locatie'!$A$11:$C$18,3,FALSE)</f>
        <v>0</v>
      </c>
      <c r="S920" s="138">
        <f t="shared" si="83"/>
        <v>0</v>
      </c>
      <c r="T920" s="139" t="str">
        <f>VLOOKUP(I920,'3-Productie normen'!A:AF,28,FALSE)</f>
        <v>B</v>
      </c>
      <c r="U920" s="140"/>
      <c r="W920" s="141">
        <f t="shared" si="84"/>
        <v>942.4</v>
      </c>
    </row>
    <row r="921" spans="1:23" ht="13.9" customHeight="1">
      <c r="A921" s="118">
        <v>921</v>
      </c>
      <c r="B921" s="49" t="s">
        <v>1676</v>
      </c>
      <c r="C921" s="154" t="s">
        <v>1656</v>
      </c>
      <c r="D921" s="154" t="s">
        <v>268</v>
      </c>
      <c r="E921" s="156" t="s">
        <v>335</v>
      </c>
      <c r="F921" s="156"/>
      <c r="G921" s="157" t="s">
        <v>245</v>
      </c>
      <c r="H921" s="157" t="s">
        <v>245</v>
      </c>
      <c r="I921" s="86" t="s">
        <v>274</v>
      </c>
      <c r="J921" s="159" t="s">
        <v>1055</v>
      </c>
      <c r="K921" s="152" t="s">
        <v>1522</v>
      </c>
      <c r="L921" s="160">
        <v>12.4</v>
      </c>
      <c r="M921" s="161">
        <f t="shared" si="85"/>
        <v>76</v>
      </c>
      <c r="N921" s="2">
        <v>76</v>
      </c>
      <c r="O921" s="143"/>
      <c r="P921" s="137" t="e">
        <f t="shared" si="81"/>
        <v>#DIV/0!</v>
      </c>
      <c r="Q921" s="137">
        <f t="shared" si="82"/>
        <v>0</v>
      </c>
      <c r="R921" s="138">
        <f>IF(N921="nio",0,IF(N921&gt;0,VLOOKUP(I921,'3-Productie normen'!A:W,VLOOKUP(N921,'3-Productie normen'!$B$35:$C$56,2,FALSE),FALSE)))/VLOOKUP(B921,'2-Kosten per locatie'!$A$11:$C$18,3,FALSE)</f>
        <v>0</v>
      </c>
      <c r="S921" s="138">
        <f t="shared" si="83"/>
        <v>0</v>
      </c>
      <c r="T921" s="139" t="str">
        <f>VLOOKUP(I921,'3-Productie normen'!A:AF,28,FALSE)</f>
        <v>B</v>
      </c>
      <c r="U921" s="140"/>
      <c r="W921" s="141">
        <f t="shared" si="84"/>
        <v>942.4</v>
      </c>
    </row>
    <row r="922" spans="1:23" ht="13.9" customHeight="1">
      <c r="A922" s="132">
        <v>922</v>
      </c>
      <c r="B922" s="49" t="s">
        <v>1676</v>
      </c>
      <c r="C922" s="154" t="s">
        <v>1656</v>
      </c>
      <c r="D922" s="154" t="s">
        <v>268</v>
      </c>
      <c r="E922" s="156" t="s">
        <v>693</v>
      </c>
      <c r="F922" s="156"/>
      <c r="G922" s="157" t="s">
        <v>242</v>
      </c>
      <c r="H922" s="157" t="s">
        <v>242</v>
      </c>
      <c r="I922" s="158" t="s">
        <v>1504</v>
      </c>
      <c r="J922" s="159" t="s">
        <v>1055</v>
      </c>
      <c r="K922" s="152" t="s">
        <v>1522</v>
      </c>
      <c r="L922" s="160">
        <v>11.9</v>
      </c>
      <c r="M922" s="161">
        <f t="shared" si="85"/>
        <v>2</v>
      </c>
      <c r="N922" s="3">
        <v>2</v>
      </c>
      <c r="O922" s="143"/>
      <c r="P922" s="137" t="e">
        <f t="shared" si="81"/>
        <v>#DIV/0!</v>
      </c>
      <c r="Q922" s="137">
        <f t="shared" si="82"/>
        <v>0</v>
      </c>
      <c r="R922" s="138">
        <f>IF(N922="nio",0,IF(N922&gt;0,VLOOKUP(I922,'3-Productie normen'!A:W,VLOOKUP(N922,'3-Productie normen'!$B$35:$C$56,2,FALSE),FALSE)))/VLOOKUP(B922,'2-Kosten per locatie'!$A$11:$C$18,3,FALSE)</f>
        <v>0</v>
      </c>
      <c r="S922" s="138">
        <f t="shared" si="83"/>
        <v>0</v>
      </c>
      <c r="T922" s="139" t="str">
        <f>VLOOKUP(I922,'3-Productie normen'!A:AF,28,FALSE)</f>
        <v>V</v>
      </c>
      <c r="U922" s="140"/>
      <c r="W922" s="141">
        <f t="shared" si="84"/>
        <v>23.8</v>
      </c>
    </row>
    <row r="923" spans="1:23" ht="13.9" customHeight="1">
      <c r="A923" s="132">
        <v>923</v>
      </c>
      <c r="B923" s="49" t="s">
        <v>1676</v>
      </c>
      <c r="C923" s="154" t="s">
        <v>1656</v>
      </c>
      <c r="D923" s="154" t="s">
        <v>268</v>
      </c>
      <c r="E923" s="156" t="s">
        <v>692</v>
      </c>
      <c r="F923" s="156"/>
      <c r="G923" s="157" t="s">
        <v>242</v>
      </c>
      <c r="H923" s="157" t="s">
        <v>242</v>
      </c>
      <c r="I923" s="158" t="s">
        <v>1504</v>
      </c>
      <c r="J923" s="159" t="s">
        <v>1055</v>
      </c>
      <c r="K923" s="152" t="s">
        <v>1522</v>
      </c>
      <c r="L923" s="160">
        <v>17.2</v>
      </c>
      <c r="M923" s="161">
        <f t="shared" si="85"/>
        <v>2</v>
      </c>
      <c r="N923" s="3">
        <v>2</v>
      </c>
      <c r="O923" s="143"/>
      <c r="P923" s="137" t="e">
        <f t="shared" si="81"/>
        <v>#DIV/0!</v>
      </c>
      <c r="Q923" s="137">
        <f t="shared" si="82"/>
        <v>0</v>
      </c>
      <c r="R923" s="138">
        <f>IF(N923="nio",0,IF(N923&gt;0,VLOOKUP(I923,'3-Productie normen'!A:W,VLOOKUP(N923,'3-Productie normen'!$B$35:$C$56,2,FALSE),FALSE)))/VLOOKUP(B923,'2-Kosten per locatie'!$A$11:$C$18,3,FALSE)</f>
        <v>0</v>
      </c>
      <c r="S923" s="138">
        <f t="shared" si="83"/>
        <v>0</v>
      </c>
      <c r="T923" s="139" t="str">
        <f>VLOOKUP(I923,'3-Productie normen'!A:AF,28,FALSE)</f>
        <v>V</v>
      </c>
      <c r="U923" s="140"/>
      <c r="W923" s="141">
        <f t="shared" si="84"/>
        <v>34.4</v>
      </c>
    </row>
    <row r="924" spans="1:23" ht="13.9" customHeight="1">
      <c r="A924" s="118">
        <v>924</v>
      </c>
      <c r="B924" s="49" t="s">
        <v>1676</v>
      </c>
      <c r="C924" s="154" t="s">
        <v>1656</v>
      </c>
      <c r="D924" s="154" t="s">
        <v>268</v>
      </c>
      <c r="E924" s="156" t="s">
        <v>1560</v>
      </c>
      <c r="F924" s="156"/>
      <c r="G924" s="157" t="s">
        <v>1561</v>
      </c>
      <c r="H924" s="157" t="s">
        <v>1561</v>
      </c>
      <c r="I924" s="91" t="s">
        <v>244</v>
      </c>
      <c r="J924" s="159" t="s">
        <v>305</v>
      </c>
      <c r="K924" s="163"/>
      <c r="L924" s="160">
        <v>362.7</v>
      </c>
      <c r="M924" s="161">
        <f t="shared" si="85"/>
        <v>76</v>
      </c>
      <c r="N924" s="3">
        <v>76</v>
      </c>
      <c r="O924" s="143"/>
      <c r="P924" s="137" t="e">
        <f t="shared" si="81"/>
        <v>#DIV/0!</v>
      </c>
      <c r="Q924" s="137">
        <f t="shared" si="82"/>
        <v>0</v>
      </c>
      <c r="R924" s="138">
        <f>IF(N924="nio",0,IF(N924&gt;0,VLOOKUP(I924,'3-Productie normen'!A:W,VLOOKUP(N924,'3-Productie normen'!$B$35:$C$56,2,FALSE),FALSE)))/VLOOKUP(B924,'2-Kosten per locatie'!$A$11:$C$18,3,FALSE)</f>
        <v>0</v>
      </c>
      <c r="S924" s="138">
        <f t="shared" si="83"/>
        <v>0</v>
      </c>
      <c r="T924" s="139" t="str">
        <f>VLOOKUP(I924,'3-Productie normen'!A:AF,28,FALSE)</f>
        <v>L</v>
      </c>
      <c r="U924" s="140"/>
      <c r="W924" s="141">
        <f t="shared" si="84"/>
        <v>27565.200000000001</v>
      </c>
    </row>
    <row r="925" spans="1:23" ht="13.9" customHeight="1">
      <c r="A925" s="132">
        <v>925</v>
      </c>
      <c r="B925" s="49" t="s">
        <v>1676</v>
      </c>
      <c r="C925" s="154" t="s">
        <v>1656</v>
      </c>
      <c r="D925" s="154" t="s">
        <v>268</v>
      </c>
      <c r="E925" s="156" t="s">
        <v>311</v>
      </c>
      <c r="F925" s="156"/>
      <c r="G925" s="157" t="s">
        <v>264</v>
      </c>
      <c r="H925" s="157" t="s">
        <v>265</v>
      </c>
      <c r="I925" s="91" t="s">
        <v>244</v>
      </c>
      <c r="J925" s="159" t="s">
        <v>231</v>
      </c>
      <c r="K925" s="163"/>
      <c r="L925" s="160">
        <v>59.2</v>
      </c>
      <c r="M925" s="161">
        <f t="shared" si="85"/>
        <v>76</v>
      </c>
      <c r="N925" s="3">
        <v>76</v>
      </c>
      <c r="O925" s="143"/>
      <c r="P925" s="137" t="e">
        <f t="shared" si="81"/>
        <v>#DIV/0!</v>
      </c>
      <c r="Q925" s="137">
        <f t="shared" si="82"/>
        <v>0</v>
      </c>
      <c r="R925" s="138">
        <f>IF(N925="nio",0,IF(N925&gt;0,VLOOKUP(I925,'3-Productie normen'!A:W,VLOOKUP(N925,'3-Productie normen'!$B$35:$C$56,2,FALSE),FALSE)))/VLOOKUP(B925,'2-Kosten per locatie'!$A$11:$C$18,3,FALSE)</f>
        <v>0</v>
      </c>
      <c r="S925" s="138">
        <f t="shared" si="83"/>
        <v>0</v>
      </c>
      <c r="T925" s="139" t="str">
        <f>VLOOKUP(I925,'3-Productie normen'!A:AF,28,FALSE)</f>
        <v>L</v>
      </c>
      <c r="U925" s="140"/>
      <c r="W925" s="141">
        <f t="shared" si="84"/>
        <v>4499.2</v>
      </c>
    </row>
    <row r="926" spans="1:23" ht="13.9" customHeight="1">
      <c r="A926" s="132">
        <v>926</v>
      </c>
      <c r="B926" s="49" t="s">
        <v>1676</v>
      </c>
      <c r="C926" s="154" t="s">
        <v>1656</v>
      </c>
      <c r="D926" s="154" t="s">
        <v>268</v>
      </c>
      <c r="E926" s="156" t="s">
        <v>331</v>
      </c>
      <c r="F926" s="156"/>
      <c r="G926" s="157" t="s">
        <v>264</v>
      </c>
      <c r="H926" s="157" t="s">
        <v>265</v>
      </c>
      <c r="I926" s="86" t="s">
        <v>244</v>
      </c>
      <c r="J926" s="159" t="s">
        <v>1055</v>
      </c>
      <c r="K926" s="152" t="s">
        <v>1522</v>
      </c>
      <c r="L926" s="160">
        <v>61.6</v>
      </c>
      <c r="M926" s="161">
        <f t="shared" si="85"/>
        <v>76</v>
      </c>
      <c r="N926" s="3">
        <v>76</v>
      </c>
      <c r="O926" s="143"/>
      <c r="P926" s="137" t="e">
        <f t="shared" si="81"/>
        <v>#DIV/0!</v>
      </c>
      <c r="Q926" s="137">
        <f t="shared" si="82"/>
        <v>0</v>
      </c>
      <c r="R926" s="138">
        <f>IF(N926="nio",0,IF(N926&gt;0,VLOOKUP(I926,'3-Productie normen'!A:W,VLOOKUP(N926,'3-Productie normen'!$B$35:$C$56,2,FALSE),FALSE)))/VLOOKUP(B926,'2-Kosten per locatie'!$A$11:$C$18,3,FALSE)</f>
        <v>0</v>
      </c>
      <c r="S926" s="138">
        <f t="shared" si="83"/>
        <v>0</v>
      </c>
      <c r="T926" s="139" t="str">
        <f>VLOOKUP(I926,'3-Productie normen'!A:AF,28,FALSE)</f>
        <v>L</v>
      </c>
      <c r="U926" s="140"/>
      <c r="W926" s="141">
        <f t="shared" si="84"/>
        <v>4681.6000000000004</v>
      </c>
    </row>
    <row r="927" spans="1:23" ht="13.9" customHeight="1">
      <c r="A927" s="118">
        <v>927</v>
      </c>
      <c r="B927" s="49" t="s">
        <v>1676</v>
      </c>
      <c r="C927" s="154" t="s">
        <v>1656</v>
      </c>
      <c r="D927" s="154" t="s">
        <v>268</v>
      </c>
      <c r="E927" s="156" t="s">
        <v>330</v>
      </c>
      <c r="F927" s="156"/>
      <c r="G927" s="157" t="s">
        <v>264</v>
      </c>
      <c r="H927" s="157" t="s">
        <v>265</v>
      </c>
      <c r="I927" s="86" t="s">
        <v>244</v>
      </c>
      <c r="J927" s="159" t="s">
        <v>1055</v>
      </c>
      <c r="K927" s="152" t="s">
        <v>1522</v>
      </c>
      <c r="L927" s="160">
        <v>61.5</v>
      </c>
      <c r="M927" s="161">
        <f t="shared" si="85"/>
        <v>76</v>
      </c>
      <c r="N927" s="3">
        <v>76</v>
      </c>
      <c r="O927" s="143"/>
      <c r="P927" s="137" t="e">
        <f t="shared" si="81"/>
        <v>#DIV/0!</v>
      </c>
      <c r="Q927" s="137">
        <f t="shared" si="82"/>
        <v>0</v>
      </c>
      <c r="R927" s="138">
        <f>IF(N927="nio",0,IF(N927&gt;0,VLOOKUP(I927,'3-Productie normen'!A:W,VLOOKUP(N927,'3-Productie normen'!$B$35:$C$56,2,FALSE),FALSE)))/VLOOKUP(B927,'2-Kosten per locatie'!$A$11:$C$18,3,FALSE)</f>
        <v>0</v>
      </c>
      <c r="S927" s="138">
        <f t="shared" si="83"/>
        <v>0</v>
      </c>
      <c r="T927" s="139" t="str">
        <f>VLOOKUP(I927,'3-Productie normen'!A:AF,28,FALSE)</f>
        <v>L</v>
      </c>
      <c r="U927" s="140"/>
      <c r="W927" s="141">
        <f t="shared" si="84"/>
        <v>4674</v>
      </c>
    </row>
    <row r="928" spans="1:23" ht="13.9" customHeight="1">
      <c r="A928" s="132">
        <v>928</v>
      </c>
      <c r="B928" s="49" t="s">
        <v>1676</v>
      </c>
      <c r="C928" s="154" t="s">
        <v>1656</v>
      </c>
      <c r="D928" s="154" t="s">
        <v>268</v>
      </c>
      <c r="E928" s="156" t="s">
        <v>554</v>
      </c>
      <c r="F928" s="156"/>
      <c r="G928" s="157" t="s">
        <v>264</v>
      </c>
      <c r="H928" s="157" t="s">
        <v>265</v>
      </c>
      <c r="I928" s="86" t="s">
        <v>244</v>
      </c>
      <c r="J928" s="159" t="s">
        <v>1055</v>
      </c>
      <c r="K928" s="152" t="s">
        <v>1522</v>
      </c>
      <c r="L928" s="160">
        <v>61.2</v>
      </c>
      <c r="M928" s="161">
        <f t="shared" si="85"/>
        <v>76</v>
      </c>
      <c r="N928" s="3">
        <v>76</v>
      </c>
      <c r="O928" s="143"/>
      <c r="P928" s="137" t="e">
        <f t="shared" si="81"/>
        <v>#DIV/0!</v>
      </c>
      <c r="Q928" s="137">
        <f t="shared" si="82"/>
        <v>0</v>
      </c>
      <c r="R928" s="138">
        <f>IF(N928="nio",0,IF(N928&gt;0,VLOOKUP(I928,'3-Productie normen'!A:W,VLOOKUP(N928,'3-Productie normen'!$B$35:$C$56,2,FALSE),FALSE)))/VLOOKUP(B928,'2-Kosten per locatie'!$A$11:$C$18,3,FALSE)</f>
        <v>0</v>
      </c>
      <c r="S928" s="138">
        <f t="shared" si="83"/>
        <v>0</v>
      </c>
      <c r="T928" s="139" t="str">
        <f>VLOOKUP(I928,'3-Productie normen'!A:AF,28,FALSE)</f>
        <v>L</v>
      </c>
      <c r="U928" s="140"/>
      <c r="W928" s="141">
        <f t="shared" si="84"/>
        <v>4651.2</v>
      </c>
    </row>
    <row r="929" spans="1:23" ht="13.9" customHeight="1">
      <c r="A929" s="132">
        <v>929</v>
      </c>
      <c r="B929" s="49" t="s">
        <v>1676</v>
      </c>
      <c r="C929" s="154" t="s">
        <v>1656</v>
      </c>
      <c r="D929" s="154" t="s">
        <v>268</v>
      </c>
      <c r="E929" s="156" t="s">
        <v>1562</v>
      </c>
      <c r="F929" s="156"/>
      <c r="G929" s="157" t="s">
        <v>242</v>
      </c>
      <c r="H929" s="157" t="s">
        <v>242</v>
      </c>
      <c r="I929" s="158" t="s">
        <v>1504</v>
      </c>
      <c r="J929" s="159" t="s">
        <v>1055</v>
      </c>
      <c r="K929" s="152" t="s">
        <v>1522</v>
      </c>
      <c r="L929" s="160">
        <v>12.4</v>
      </c>
      <c r="M929" s="161">
        <f t="shared" si="85"/>
        <v>2</v>
      </c>
      <c r="N929" s="3">
        <v>2</v>
      </c>
      <c r="O929" s="143"/>
      <c r="P929" s="137" t="e">
        <f t="shared" si="81"/>
        <v>#DIV/0!</v>
      </c>
      <c r="Q929" s="137">
        <f t="shared" si="82"/>
        <v>0</v>
      </c>
      <c r="R929" s="138">
        <f>IF(N929="nio",0,IF(N929&gt;0,VLOOKUP(I929,'3-Productie normen'!A:W,VLOOKUP(N929,'3-Productie normen'!$B$35:$C$56,2,FALSE),FALSE)))/VLOOKUP(B929,'2-Kosten per locatie'!$A$11:$C$18,3,FALSE)</f>
        <v>0</v>
      </c>
      <c r="S929" s="138">
        <f t="shared" si="83"/>
        <v>0</v>
      </c>
      <c r="T929" s="139" t="str">
        <f>VLOOKUP(I929,'3-Productie normen'!A:AF,28,FALSE)</f>
        <v>V</v>
      </c>
      <c r="U929" s="140"/>
      <c r="W929" s="141">
        <f t="shared" si="84"/>
        <v>24.8</v>
      </c>
    </row>
    <row r="930" spans="1:23" ht="13.9" customHeight="1">
      <c r="A930" s="118">
        <v>930</v>
      </c>
      <c r="B930" s="49" t="s">
        <v>1676</v>
      </c>
      <c r="C930" s="154" t="s">
        <v>1656</v>
      </c>
      <c r="D930" s="154" t="s">
        <v>268</v>
      </c>
      <c r="E930" s="156" t="s">
        <v>689</v>
      </c>
      <c r="F930" s="156"/>
      <c r="G930" s="157" t="s">
        <v>243</v>
      </c>
      <c r="H930" s="157" t="s">
        <v>257</v>
      </c>
      <c r="I930" s="157" t="s">
        <v>239</v>
      </c>
      <c r="J930" s="159" t="s">
        <v>1055</v>
      </c>
      <c r="K930" s="152"/>
      <c r="L930" s="160">
        <v>25.7</v>
      </c>
      <c r="M930" s="161">
        <f t="shared" si="85"/>
        <v>0</v>
      </c>
      <c r="N930" s="143" t="s">
        <v>273</v>
      </c>
      <c r="O930" s="143"/>
      <c r="P930" s="137">
        <f t="shared" si="81"/>
        <v>0</v>
      </c>
      <c r="Q930" s="137">
        <f t="shared" si="82"/>
        <v>0</v>
      </c>
      <c r="R930" s="138">
        <f>IF(N930="nio",0,IF(N930&gt;0,VLOOKUP(I930,'3-Productie normen'!A:W,VLOOKUP(N930,'3-Productie normen'!$B$35:$C$56,2,FALSE),FALSE)))/VLOOKUP(B930,'2-Kosten per locatie'!$A$11:$C$18,3,FALSE)</f>
        <v>0</v>
      </c>
      <c r="S930" s="138">
        <f t="shared" si="83"/>
        <v>0</v>
      </c>
      <c r="T930" s="139">
        <f>VLOOKUP(I930,'3-Productie normen'!A:AF,28,FALSE)</f>
        <v>0</v>
      </c>
      <c r="U930" s="140"/>
      <c r="W930" s="141">
        <f t="shared" si="84"/>
        <v>0</v>
      </c>
    </row>
    <row r="931" spans="1:23" ht="13.9" customHeight="1">
      <c r="A931" s="132">
        <v>931</v>
      </c>
      <c r="B931" s="49" t="s">
        <v>1676</v>
      </c>
      <c r="C931" s="154" t="s">
        <v>1656</v>
      </c>
      <c r="D931" s="154" t="s">
        <v>268</v>
      </c>
      <c r="E931" s="156" t="s">
        <v>298</v>
      </c>
      <c r="F931" s="156"/>
      <c r="G931" s="157" t="s">
        <v>245</v>
      </c>
      <c r="H931" s="157" t="s">
        <v>245</v>
      </c>
      <c r="I931" s="86" t="s">
        <v>274</v>
      </c>
      <c r="J931" s="159" t="s">
        <v>1055</v>
      </c>
      <c r="K931" s="152" t="s">
        <v>1522</v>
      </c>
      <c r="L931" s="160">
        <v>21.6</v>
      </c>
      <c r="M931" s="161">
        <f t="shared" si="85"/>
        <v>76</v>
      </c>
      <c r="N931" s="2">
        <v>76</v>
      </c>
      <c r="O931" s="143"/>
      <c r="P931" s="137" t="e">
        <f t="shared" si="81"/>
        <v>#DIV/0!</v>
      </c>
      <c r="Q931" s="137">
        <f t="shared" si="82"/>
        <v>0</v>
      </c>
      <c r="R931" s="138">
        <f>IF(N931="nio",0,IF(N931&gt;0,VLOOKUP(I931,'3-Productie normen'!A:W,VLOOKUP(N931,'3-Productie normen'!$B$35:$C$56,2,FALSE),FALSE)))/VLOOKUP(B931,'2-Kosten per locatie'!$A$11:$C$18,3,FALSE)</f>
        <v>0</v>
      </c>
      <c r="S931" s="138">
        <f t="shared" si="83"/>
        <v>0</v>
      </c>
      <c r="T931" s="139" t="str">
        <f>VLOOKUP(I931,'3-Productie normen'!A:AF,28,FALSE)</f>
        <v>B</v>
      </c>
      <c r="U931" s="140"/>
      <c r="W931" s="141">
        <f t="shared" si="84"/>
        <v>1641.6000000000001</v>
      </c>
    </row>
    <row r="932" spans="1:23" ht="13.9" customHeight="1">
      <c r="A932" s="132">
        <v>932</v>
      </c>
      <c r="B932" s="49" t="s">
        <v>1676</v>
      </c>
      <c r="C932" s="154" t="s">
        <v>1656</v>
      </c>
      <c r="D932" s="154" t="s">
        <v>268</v>
      </c>
      <c r="E932" s="156" t="s">
        <v>507</v>
      </c>
      <c r="F932" s="156"/>
      <c r="G932" s="157" t="s">
        <v>264</v>
      </c>
      <c r="H932" s="157" t="s">
        <v>265</v>
      </c>
      <c r="I932" s="86" t="s">
        <v>244</v>
      </c>
      <c r="J932" s="159" t="s">
        <v>1055</v>
      </c>
      <c r="K932" s="152" t="s">
        <v>1522</v>
      </c>
      <c r="L932" s="160">
        <v>63.5</v>
      </c>
      <c r="M932" s="161">
        <f t="shared" si="85"/>
        <v>76</v>
      </c>
      <c r="N932" s="3">
        <v>76</v>
      </c>
      <c r="O932" s="143"/>
      <c r="P932" s="137" t="e">
        <f t="shared" si="81"/>
        <v>#DIV/0!</v>
      </c>
      <c r="Q932" s="137">
        <f t="shared" si="82"/>
        <v>0</v>
      </c>
      <c r="R932" s="138">
        <f>IF(N932="nio",0,IF(N932&gt;0,VLOOKUP(I932,'3-Productie normen'!A:W,VLOOKUP(N932,'3-Productie normen'!$B$35:$C$56,2,FALSE),FALSE)))/VLOOKUP(B932,'2-Kosten per locatie'!$A$11:$C$18,3,FALSE)</f>
        <v>0</v>
      </c>
      <c r="S932" s="138">
        <f t="shared" si="83"/>
        <v>0</v>
      </c>
      <c r="T932" s="139" t="str">
        <f>VLOOKUP(I932,'3-Productie normen'!A:AF,28,FALSE)</f>
        <v>L</v>
      </c>
      <c r="U932" s="140"/>
      <c r="W932" s="141">
        <f t="shared" si="84"/>
        <v>4826</v>
      </c>
    </row>
    <row r="933" spans="1:23" ht="13.9" customHeight="1">
      <c r="A933" s="118">
        <v>933</v>
      </c>
      <c r="B933" s="49" t="s">
        <v>1676</v>
      </c>
      <c r="C933" s="154" t="s">
        <v>1656</v>
      </c>
      <c r="D933" s="154" t="s">
        <v>268</v>
      </c>
      <c r="E933" s="156" t="s">
        <v>545</v>
      </c>
      <c r="F933" s="156"/>
      <c r="G933" s="157" t="s">
        <v>264</v>
      </c>
      <c r="H933" s="157" t="s">
        <v>265</v>
      </c>
      <c r="I933" s="86" t="s">
        <v>244</v>
      </c>
      <c r="J933" s="159" t="s">
        <v>1055</v>
      </c>
      <c r="K933" s="152" t="s">
        <v>1522</v>
      </c>
      <c r="L933" s="160">
        <v>57.8</v>
      </c>
      <c r="M933" s="161">
        <f t="shared" si="85"/>
        <v>76</v>
      </c>
      <c r="N933" s="3">
        <v>76</v>
      </c>
      <c r="O933" s="143"/>
      <c r="P933" s="137" t="e">
        <f t="shared" si="81"/>
        <v>#DIV/0!</v>
      </c>
      <c r="Q933" s="137">
        <f t="shared" si="82"/>
        <v>0</v>
      </c>
      <c r="R933" s="138">
        <f>IF(N933="nio",0,IF(N933&gt;0,VLOOKUP(I933,'3-Productie normen'!A:W,VLOOKUP(N933,'3-Productie normen'!$B$35:$C$56,2,FALSE),FALSE)))/VLOOKUP(B933,'2-Kosten per locatie'!$A$11:$C$18,3,FALSE)</f>
        <v>0</v>
      </c>
      <c r="S933" s="138">
        <f t="shared" si="83"/>
        <v>0</v>
      </c>
      <c r="T933" s="139" t="str">
        <f>VLOOKUP(I933,'3-Productie normen'!A:AF,28,FALSE)</f>
        <v>L</v>
      </c>
      <c r="U933" s="140"/>
      <c r="W933" s="141">
        <f t="shared" si="84"/>
        <v>4392.8</v>
      </c>
    </row>
    <row r="934" spans="1:23" ht="13.9" customHeight="1">
      <c r="A934" s="132">
        <v>934</v>
      </c>
      <c r="B934" s="49" t="s">
        <v>1676</v>
      </c>
      <c r="C934" s="154" t="s">
        <v>1656</v>
      </c>
      <c r="D934" s="154" t="s">
        <v>268</v>
      </c>
      <c r="E934" s="156" t="s">
        <v>547</v>
      </c>
      <c r="F934" s="156"/>
      <c r="G934" s="157" t="s">
        <v>264</v>
      </c>
      <c r="H934" s="157" t="s">
        <v>265</v>
      </c>
      <c r="I934" s="86" t="s">
        <v>244</v>
      </c>
      <c r="J934" s="159" t="s">
        <v>1055</v>
      </c>
      <c r="K934" s="152" t="s">
        <v>1522</v>
      </c>
      <c r="L934" s="160">
        <v>60.8</v>
      </c>
      <c r="M934" s="161">
        <f t="shared" si="85"/>
        <v>76</v>
      </c>
      <c r="N934" s="3">
        <v>76</v>
      </c>
      <c r="O934" s="143"/>
      <c r="P934" s="137" t="e">
        <f t="shared" si="81"/>
        <v>#DIV/0!</v>
      </c>
      <c r="Q934" s="137">
        <f t="shared" si="82"/>
        <v>0</v>
      </c>
      <c r="R934" s="138">
        <f>IF(N934="nio",0,IF(N934&gt;0,VLOOKUP(I934,'3-Productie normen'!A:W,VLOOKUP(N934,'3-Productie normen'!$B$35:$C$56,2,FALSE),FALSE)))/VLOOKUP(B934,'2-Kosten per locatie'!$A$11:$C$18,3,FALSE)</f>
        <v>0</v>
      </c>
      <c r="S934" s="138">
        <f t="shared" si="83"/>
        <v>0</v>
      </c>
      <c r="T934" s="139" t="str">
        <f>VLOOKUP(I934,'3-Productie normen'!A:AF,28,FALSE)</f>
        <v>L</v>
      </c>
      <c r="U934" s="140"/>
      <c r="W934" s="141">
        <f t="shared" si="84"/>
        <v>4620.8</v>
      </c>
    </row>
    <row r="935" spans="1:23" ht="13.9" customHeight="1">
      <c r="A935" s="132">
        <v>935</v>
      </c>
      <c r="B935" s="49" t="s">
        <v>1676</v>
      </c>
      <c r="C935" s="154" t="s">
        <v>1656</v>
      </c>
      <c r="D935" s="154" t="s">
        <v>268</v>
      </c>
      <c r="E935" s="156" t="s">
        <v>701</v>
      </c>
      <c r="F935" s="156"/>
      <c r="G935" s="157" t="s">
        <v>232</v>
      </c>
      <c r="H935" s="157" t="s">
        <v>53</v>
      </c>
      <c r="I935" s="1" t="s">
        <v>233</v>
      </c>
      <c r="J935" s="159" t="s">
        <v>231</v>
      </c>
      <c r="K935" s="163"/>
      <c r="L935" s="160">
        <v>17.7</v>
      </c>
      <c r="M935" s="161">
        <f t="shared" si="85"/>
        <v>190</v>
      </c>
      <c r="N935" s="143">
        <v>190</v>
      </c>
      <c r="O935" s="143"/>
      <c r="P935" s="137" t="e">
        <f t="shared" si="81"/>
        <v>#DIV/0!</v>
      </c>
      <c r="Q935" s="137">
        <f t="shared" si="82"/>
        <v>0</v>
      </c>
      <c r="R935" s="138">
        <f>IF(N935="nio",0,IF(N935&gt;0,VLOOKUP(I935,'3-Productie normen'!A:W,VLOOKUP(N935,'3-Productie normen'!$B$35:$C$56,2,FALSE),FALSE)))/VLOOKUP(B935,'2-Kosten per locatie'!$A$11:$C$18,3,FALSE)</f>
        <v>0</v>
      </c>
      <c r="S935" s="138">
        <f t="shared" si="83"/>
        <v>0</v>
      </c>
      <c r="T935" s="139" t="str">
        <f>VLOOKUP(I935,'3-Productie normen'!A:AF,28,FALSE)</f>
        <v>V</v>
      </c>
      <c r="U935" s="140"/>
      <c r="W935" s="141">
        <f t="shared" si="84"/>
        <v>3363</v>
      </c>
    </row>
    <row r="936" spans="1:23" ht="13.9" customHeight="1">
      <c r="A936" s="118">
        <v>936</v>
      </c>
      <c r="B936" s="49" t="s">
        <v>1676</v>
      </c>
      <c r="C936" s="154" t="s">
        <v>1656</v>
      </c>
      <c r="D936" s="154" t="s">
        <v>268</v>
      </c>
      <c r="E936" s="156" t="s">
        <v>552</v>
      </c>
      <c r="F936" s="156"/>
      <c r="G936" s="157" t="s">
        <v>264</v>
      </c>
      <c r="H936" s="157" t="s">
        <v>297</v>
      </c>
      <c r="I936" s="158" t="s">
        <v>50</v>
      </c>
      <c r="J936" s="159" t="s">
        <v>1055</v>
      </c>
      <c r="K936" s="152" t="s">
        <v>1522</v>
      </c>
      <c r="L936" s="160">
        <v>70.3</v>
      </c>
      <c r="M936" s="161">
        <f t="shared" si="85"/>
        <v>76</v>
      </c>
      <c r="N936" s="143">
        <v>76</v>
      </c>
      <c r="O936" s="143"/>
      <c r="P936" s="137" t="e">
        <f t="shared" si="81"/>
        <v>#DIV/0!</v>
      </c>
      <c r="Q936" s="137">
        <f t="shared" si="82"/>
        <v>0</v>
      </c>
      <c r="R936" s="138">
        <f>IF(N936="nio",0,IF(N936&gt;0,VLOOKUP(I936,'3-Productie normen'!A:W,VLOOKUP(N936,'3-Productie normen'!$B$35:$C$56,2,FALSE),FALSE)))/VLOOKUP(B936,'2-Kosten per locatie'!$A$11:$C$18,3,FALSE)</f>
        <v>0</v>
      </c>
      <c r="S936" s="138">
        <f t="shared" si="83"/>
        <v>0</v>
      </c>
      <c r="T936" s="139" t="str">
        <f>VLOOKUP(I936,'3-Productie normen'!A:AF,28,FALSE)</f>
        <v>B</v>
      </c>
      <c r="U936" s="140"/>
      <c r="W936" s="141">
        <f t="shared" si="84"/>
        <v>5342.8</v>
      </c>
    </row>
    <row r="937" spans="1:23" ht="13.9" customHeight="1">
      <c r="A937" s="132">
        <v>937</v>
      </c>
      <c r="B937" s="49" t="s">
        <v>1676</v>
      </c>
      <c r="C937" s="154" t="s">
        <v>1656</v>
      </c>
      <c r="D937" s="154" t="s">
        <v>271</v>
      </c>
      <c r="E937" s="155" t="s">
        <v>1563</v>
      </c>
      <c r="F937" s="156"/>
      <c r="G937" s="157" t="s">
        <v>232</v>
      </c>
      <c r="H937" s="157" t="s">
        <v>54</v>
      </c>
      <c r="I937" s="91" t="s">
        <v>239</v>
      </c>
      <c r="J937" s="159" t="s">
        <v>231</v>
      </c>
      <c r="K937" s="163"/>
      <c r="L937" s="160">
        <v>3.6</v>
      </c>
      <c r="M937" s="161">
        <f t="shared" si="85"/>
        <v>0</v>
      </c>
      <c r="N937" s="143" t="s">
        <v>273</v>
      </c>
      <c r="O937" s="143"/>
      <c r="P937" s="137">
        <f t="shared" si="81"/>
        <v>0</v>
      </c>
      <c r="Q937" s="137">
        <f t="shared" si="82"/>
        <v>0</v>
      </c>
      <c r="R937" s="138">
        <f>IF(N937="nio",0,IF(N937&gt;0,VLOOKUP(I937,'3-Productie normen'!A:W,VLOOKUP(N937,'3-Productie normen'!$B$35:$C$56,2,FALSE),FALSE)))/VLOOKUP(B937,'2-Kosten per locatie'!$A$11:$C$18,3,FALSE)</f>
        <v>0</v>
      </c>
      <c r="S937" s="138">
        <f t="shared" si="83"/>
        <v>0</v>
      </c>
      <c r="T937" s="139">
        <f>VLOOKUP(I937,'3-Productie normen'!A:AF,28,FALSE)</f>
        <v>0</v>
      </c>
      <c r="U937" s="140"/>
      <c r="W937" s="141">
        <f t="shared" si="84"/>
        <v>0</v>
      </c>
    </row>
    <row r="938" spans="1:23" ht="13.9" customHeight="1">
      <c r="A938" s="132">
        <v>938</v>
      </c>
      <c r="B938" s="49" t="s">
        <v>1676</v>
      </c>
      <c r="C938" s="154" t="s">
        <v>1656</v>
      </c>
      <c r="D938" s="154" t="s">
        <v>271</v>
      </c>
      <c r="E938" s="155" t="s">
        <v>1564</v>
      </c>
      <c r="F938" s="156"/>
      <c r="G938" s="157" t="s">
        <v>242</v>
      </c>
      <c r="H938" s="157" t="s">
        <v>255</v>
      </c>
      <c r="I938" s="158" t="s">
        <v>1504</v>
      </c>
      <c r="J938" s="159" t="s">
        <v>1055</v>
      </c>
      <c r="K938" s="152" t="s">
        <v>1522</v>
      </c>
      <c r="L938" s="160">
        <v>3.9</v>
      </c>
      <c r="M938" s="161">
        <f t="shared" si="85"/>
        <v>2</v>
      </c>
      <c r="N938" s="3">
        <v>2</v>
      </c>
      <c r="O938" s="143"/>
      <c r="P938" s="137" t="e">
        <f t="shared" si="81"/>
        <v>#DIV/0!</v>
      </c>
      <c r="Q938" s="137">
        <f t="shared" si="82"/>
        <v>0</v>
      </c>
      <c r="R938" s="138">
        <f>IF(N938="nio",0,IF(N938&gt;0,VLOOKUP(I938,'3-Productie normen'!A:W,VLOOKUP(N938,'3-Productie normen'!$B$35:$C$56,2,FALSE),FALSE)))/VLOOKUP(B938,'2-Kosten per locatie'!$A$11:$C$18,3,FALSE)</f>
        <v>0</v>
      </c>
      <c r="S938" s="138">
        <f t="shared" si="83"/>
        <v>0</v>
      </c>
      <c r="T938" s="139" t="str">
        <f>VLOOKUP(I938,'3-Productie normen'!A:AF,28,FALSE)</f>
        <v>V</v>
      </c>
      <c r="U938" s="140"/>
      <c r="W938" s="141">
        <f t="shared" si="84"/>
        <v>7.8</v>
      </c>
    </row>
    <row r="939" spans="1:23" ht="13.9" customHeight="1">
      <c r="A939" s="118">
        <v>939</v>
      </c>
      <c r="B939" s="49" t="s">
        <v>1676</v>
      </c>
      <c r="C939" s="154" t="s">
        <v>1656</v>
      </c>
      <c r="D939" s="154" t="s">
        <v>271</v>
      </c>
      <c r="E939" s="155" t="s">
        <v>708</v>
      </c>
      <c r="F939" s="156"/>
      <c r="G939" s="157" t="s">
        <v>44</v>
      </c>
      <c r="H939" s="157" t="s">
        <v>260</v>
      </c>
      <c r="I939" s="86" t="s">
        <v>44</v>
      </c>
      <c r="J939" s="159" t="s">
        <v>256</v>
      </c>
      <c r="K939" s="163"/>
      <c r="L939" s="160">
        <v>8.1</v>
      </c>
      <c r="M939" s="161">
        <f t="shared" si="85"/>
        <v>190</v>
      </c>
      <c r="N939" s="143">
        <v>190</v>
      </c>
      <c r="O939" s="143"/>
      <c r="P939" s="137" t="e">
        <f t="shared" si="81"/>
        <v>#DIV/0!</v>
      </c>
      <c r="Q939" s="137">
        <f t="shared" si="82"/>
        <v>0</v>
      </c>
      <c r="R939" s="138">
        <f>IF(N939="nio",0,IF(N939&gt;0,VLOOKUP(I939,'3-Productie normen'!A:W,VLOOKUP(N939,'3-Productie normen'!$B$35:$C$56,2,FALSE),FALSE)))/VLOOKUP(B939,'2-Kosten per locatie'!$A$11:$C$18,3,FALSE)</f>
        <v>0</v>
      </c>
      <c r="S939" s="138">
        <f t="shared" si="83"/>
        <v>0</v>
      </c>
      <c r="T939" s="139" t="str">
        <f>VLOOKUP(I939,'3-Productie normen'!A:AF,28,FALSE)</f>
        <v>S</v>
      </c>
      <c r="U939" s="140"/>
      <c r="W939" s="141">
        <f t="shared" si="84"/>
        <v>1539</v>
      </c>
    </row>
    <row r="940" spans="1:23" ht="13.9" customHeight="1">
      <c r="A940" s="132">
        <v>940</v>
      </c>
      <c r="B940" s="49" t="s">
        <v>1676</v>
      </c>
      <c r="C940" s="154" t="s">
        <v>1656</v>
      </c>
      <c r="D940" s="154" t="s">
        <v>271</v>
      </c>
      <c r="E940" s="155" t="s">
        <v>707</v>
      </c>
      <c r="F940" s="156"/>
      <c r="G940" s="157" t="s">
        <v>44</v>
      </c>
      <c r="H940" s="157" t="s">
        <v>260</v>
      </c>
      <c r="I940" s="86" t="s">
        <v>44</v>
      </c>
      <c r="J940" s="159" t="s">
        <v>256</v>
      </c>
      <c r="K940" s="163"/>
      <c r="L940" s="160">
        <v>5.2</v>
      </c>
      <c r="M940" s="161">
        <f t="shared" si="85"/>
        <v>190</v>
      </c>
      <c r="N940" s="143">
        <v>190</v>
      </c>
      <c r="O940" s="143"/>
      <c r="P940" s="137" t="e">
        <f t="shared" si="81"/>
        <v>#DIV/0!</v>
      </c>
      <c r="Q940" s="137">
        <f t="shared" si="82"/>
        <v>0</v>
      </c>
      <c r="R940" s="138">
        <f>IF(N940="nio",0,IF(N940&gt;0,VLOOKUP(I940,'3-Productie normen'!A:W,VLOOKUP(N940,'3-Productie normen'!$B$35:$C$56,2,FALSE),FALSE)))/VLOOKUP(B940,'2-Kosten per locatie'!$A$11:$C$18,3,FALSE)</f>
        <v>0</v>
      </c>
      <c r="S940" s="138">
        <f t="shared" si="83"/>
        <v>0</v>
      </c>
      <c r="T940" s="139" t="str">
        <f>VLOOKUP(I940,'3-Productie normen'!A:AF,28,FALSE)</f>
        <v>S</v>
      </c>
      <c r="U940" s="140"/>
      <c r="W940" s="141">
        <f t="shared" si="84"/>
        <v>988</v>
      </c>
    </row>
    <row r="941" spans="1:23" ht="13.9" customHeight="1">
      <c r="A941" s="132">
        <v>941</v>
      </c>
      <c r="B941" s="49" t="s">
        <v>1676</v>
      </c>
      <c r="C941" s="154" t="s">
        <v>1656</v>
      </c>
      <c r="D941" s="154" t="s">
        <v>271</v>
      </c>
      <c r="E941" s="155" t="s">
        <v>642</v>
      </c>
      <c r="F941" s="156"/>
      <c r="G941" s="157" t="s">
        <v>245</v>
      </c>
      <c r="H941" s="157" t="s">
        <v>245</v>
      </c>
      <c r="I941" s="86" t="s">
        <v>274</v>
      </c>
      <c r="J941" s="159" t="s">
        <v>1055</v>
      </c>
      <c r="K941" s="152" t="s">
        <v>1522</v>
      </c>
      <c r="L941" s="160">
        <v>8.8000000000000007</v>
      </c>
      <c r="M941" s="161">
        <f t="shared" si="85"/>
        <v>76</v>
      </c>
      <c r="N941" s="2">
        <v>76</v>
      </c>
      <c r="O941" s="143"/>
      <c r="P941" s="137" t="e">
        <f t="shared" si="81"/>
        <v>#DIV/0!</v>
      </c>
      <c r="Q941" s="137">
        <f t="shared" si="82"/>
        <v>0</v>
      </c>
      <c r="R941" s="138">
        <f>IF(N941="nio",0,IF(N941&gt;0,VLOOKUP(I941,'3-Productie normen'!A:W,VLOOKUP(N941,'3-Productie normen'!$B$35:$C$56,2,FALSE),FALSE)))/VLOOKUP(B941,'2-Kosten per locatie'!$A$11:$C$18,3,FALSE)</f>
        <v>0</v>
      </c>
      <c r="S941" s="138">
        <f t="shared" si="83"/>
        <v>0</v>
      </c>
      <c r="T941" s="139" t="str">
        <f>VLOOKUP(I941,'3-Productie normen'!A:AF,28,FALSE)</f>
        <v>B</v>
      </c>
      <c r="U941" s="140"/>
      <c r="W941" s="141">
        <f t="shared" si="84"/>
        <v>668.80000000000007</v>
      </c>
    </row>
    <row r="942" spans="1:23" ht="13.9" customHeight="1">
      <c r="A942" s="118">
        <v>942</v>
      </c>
      <c r="B942" s="49" t="s">
        <v>1676</v>
      </c>
      <c r="C942" s="154" t="s">
        <v>1656</v>
      </c>
      <c r="D942" s="154" t="s">
        <v>271</v>
      </c>
      <c r="E942" s="155" t="s">
        <v>1565</v>
      </c>
      <c r="F942" s="156"/>
      <c r="G942" s="157" t="s">
        <v>237</v>
      </c>
      <c r="H942" s="157" t="s">
        <v>238</v>
      </c>
      <c r="I942" s="91" t="s">
        <v>239</v>
      </c>
      <c r="J942" s="159" t="s">
        <v>231</v>
      </c>
      <c r="K942" s="163"/>
      <c r="L942" s="160">
        <v>1.2</v>
      </c>
      <c r="M942" s="161">
        <f t="shared" si="85"/>
        <v>0</v>
      </c>
      <c r="N942" s="143" t="s">
        <v>273</v>
      </c>
      <c r="O942" s="143"/>
      <c r="P942" s="137">
        <f t="shared" si="81"/>
        <v>0</v>
      </c>
      <c r="Q942" s="137">
        <f t="shared" si="82"/>
        <v>0</v>
      </c>
      <c r="R942" s="138">
        <f>IF(N942="nio",0,IF(N942&gt;0,VLOOKUP(I942,'3-Productie normen'!A:W,VLOOKUP(N942,'3-Productie normen'!$B$35:$C$56,2,FALSE),FALSE)))/VLOOKUP(B942,'2-Kosten per locatie'!$A$11:$C$18,3,FALSE)</f>
        <v>0</v>
      </c>
      <c r="S942" s="138">
        <f t="shared" si="83"/>
        <v>0</v>
      </c>
      <c r="T942" s="139">
        <f>VLOOKUP(I942,'3-Productie normen'!A:AF,28,FALSE)</f>
        <v>0</v>
      </c>
      <c r="U942" s="140"/>
      <c r="W942" s="141">
        <f t="shared" si="84"/>
        <v>0</v>
      </c>
    </row>
    <row r="943" spans="1:23" ht="13.9" customHeight="1">
      <c r="A943" s="132">
        <v>943</v>
      </c>
      <c r="B943" s="49" t="s">
        <v>1676</v>
      </c>
      <c r="C943" s="154" t="s">
        <v>1656</v>
      </c>
      <c r="D943" s="154" t="s">
        <v>271</v>
      </c>
      <c r="E943" s="155" t="s">
        <v>705</v>
      </c>
      <c r="F943" s="156"/>
      <c r="G943" s="157" t="s">
        <v>242</v>
      </c>
      <c r="H943" s="157" t="s">
        <v>242</v>
      </c>
      <c r="I943" s="158" t="s">
        <v>1504</v>
      </c>
      <c r="J943" s="159" t="s">
        <v>1055</v>
      </c>
      <c r="K943" s="152" t="s">
        <v>1522</v>
      </c>
      <c r="L943" s="160">
        <v>9.3000000000000007</v>
      </c>
      <c r="M943" s="161">
        <f t="shared" si="85"/>
        <v>2</v>
      </c>
      <c r="N943" s="3">
        <v>2</v>
      </c>
      <c r="O943" s="143"/>
      <c r="P943" s="137" t="e">
        <f t="shared" si="81"/>
        <v>#DIV/0!</v>
      </c>
      <c r="Q943" s="137">
        <f t="shared" si="82"/>
        <v>0</v>
      </c>
      <c r="R943" s="138">
        <f>IF(N943="nio",0,IF(N943&gt;0,VLOOKUP(I943,'3-Productie normen'!A:W,VLOOKUP(N943,'3-Productie normen'!$B$35:$C$56,2,FALSE),FALSE)))/VLOOKUP(B943,'2-Kosten per locatie'!$A$11:$C$18,3,FALSE)</f>
        <v>0</v>
      </c>
      <c r="S943" s="138">
        <f t="shared" si="83"/>
        <v>0</v>
      </c>
      <c r="T943" s="139" t="str">
        <f>VLOOKUP(I943,'3-Productie normen'!A:AF,28,FALSE)</f>
        <v>V</v>
      </c>
      <c r="U943" s="140"/>
      <c r="W943" s="141">
        <f t="shared" si="84"/>
        <v>18.600000000000001</v>
      </c>
    </row>
    <row r="944" spans="1:23" ht="13.9" customHeight="1">
      <c r="A944" s="132">
        <v>944</v>
      </c>
      <c r="B944" s="49" t="s">
        <v>1676</v>
      </c>
      <c r="C944" s="154" t="s">
        <v>1656</v>
      </c>
      <c r="D944" s="154" t="s">
        <v>271</v>
      </c>
      <c r="E944" s="155" t="s">
        <v>710</v>
      </c>
      <c r="F944" s="156"/>
      <c r="G944" s="157" t="s">
        <v>245</v>
      </c>
      <c r="H944" s="157" t="s">
        <v>245</v>
      </c>
      <c r="I944" s="86" t="s">
        <v>274</v>
      </c>
      <c r="J944" s="159" t="s">
        <v>1055</v>
      </c>
      <c r="K944" s="152" t="s">
        <v>1522</v>
      </c>
      <c r="L944" s="160">
        <v>105.7</v>
      </c>
      <c r="M944" s="161">
        <f t="shared" si="85"/>
        <v>76</v>
      </c>
      <c r="N944" s="2">
        <v>76</v>
      </c>
      <c r="O944" s="143"/>
      <c r="P944" s="137" t="e">
        <f t="shared" si="81"/>
        <v>#DIV/0!</v>
      </c>
      <c r="Q944" s="137">
        <f t="shared" si="82"/>
        <v>0</v>
      </c>
      <c r="R944" s="138">
        <f>IF(N944="nio",0,IF(N944&gt;0,VLOOKUP(I944,'3-Productie normen'!A:W,VLOOKUP(N944,'3-Productie normen'!$B$35:$C$56,2,FALSE),FALSE)))/VLOOKUP(B944,'2-Kosten per locatie'!$A$11:$C$18,3,FALSE)</f>
        <v>0</v>
      </c>
      <c r="S944" s="138">
        <f t="shared" si="83"/>
        <v>0</v>
      </c>
      <c r="T944" s="139" t="str">
        <f>VLOOKUP(I944,'3-Productie normen'!A:AF,28,FALSE)</f>
        <v>B</v>
      </c>
      <c r="U944" s="140"/>
      <c r="W944" s="141">
        <f t="shared" si="84"/>
        <v>8033.2</v>
      </c>
    </row>
    <row r="945" spans="1:23" ht="13.9" customHeight="1">
      <c r="A945" s="118">
        <v>945</v>
      </c>
      <c r="B945" s="49" t="s">
        <v>1676</v>
      </c>
      <c r="C945" s="154" t="s">
        <v>1656</v>
      </c>
      <c r="D945" s="154" t="s">
        <v>271</v>
      </c>
      <c r="E945" s="155" t="s">
        <v>709</v>
      </c>
      <c r="F945" s="156"/>
      <c r="G945" s="157" t="s">
        <v>245</v>
      </c>
      <c r="H945" s="157" t="s">
        <v>245</v>
      </c>
      <c r="I945" s="86" t="s">
        <v>274</v>
      </c>
      <c r="J945" s="159" t="s">
        <v>1055</v>
      </c>
      <c r="K945" s="152" t="s">
        <v>1522</v>
      </c>
      <c r="L945" s="160">
        <v>73.8</v>
      </c>
      <c r="M945" s="161">
        <f t="shared" si="85"/>
        <v>76</v>
      </c>
      <c r="N945" s="2">
        <v>76</v>
      </c>
      <c r="O945" s="143"/>
      <c r="P945" s="137" t="e">
        <f t="shared" si="81"/>
        <v>#DIV/0!</v>
      </c>
      <c r="Q945" s="137">
        <f t="shared" si="82"/>
        <v>0</v>
      </c>
      <c r="R945" s="138">
        <f>IF(N945="nio",0,IF(N945&gt;0,VLOOKUP(I945,'3-Productie normen'!A:W,VLOOKUP(N945,'3-Productie normen'!$B$35:$C$56,2,FALSE),FALSE)))/VLOOKUP(B945,'2-Kosten per locatie'!$A$11:$C$18,3,FALSE)</f>
        <v>0</v>
      </c>
      <c r="S945" s="138">
        <f t="shared" si="83"/>
        <v>0</v>
      </c>
      <c r="T945" s="139" t="str">
        <f>VLOOKUP(I945,'3-Productie normen'!A:AF,28,FALSE)</f>
        <v>B</v>
      </c>
      <c r="U945" s="140"/>
      <c r="W945" s="141">
        <f t="shared" si="84"/>
        <v>5608.8</v>
      </c>
    </row>
    <row r="946" spans="1:23" ht="13.9" customHeight="1">
      <c r="A946" s="132">
        <v>946</v>
      </c>
      <c r="B946" s="49" t="s">
        <v>1676</v>
      </c>
      <c r="C946" s="154" t="s">
        <v>1656</v>
      </c>
      <c r="D946" s="154" t="s">
        <v>271</v>
      </c>
      <c r="E946" s="155" t="s">
        <v>1566</v>
      </c>
      <c r="F946" s="156"/>
      <c r="G946" s="157" t="s">
        <v>264</v>
      </c>
      <c r="H946" s="157" t="s">
        <v>265</v>
      </c>
      <c r="I946" s="86" t="s">
        <v>244</v>
      </c>
      <c r="J946" s="159" t="s">
        <v>1055</v>
      </c>
      <c r="K946" s="152" t="s">
        <v>1522</v>
      </c>
      <c r="L946" s="160">
        <v>42.1</v>
      </c>
      <c r="M946" s="161">
        <f t="shared" si="85"/>
        <v>76</v>
      </c>
      <c r="N946" s="3">
        <v>76</v>
      </c>
      <c r="O946" s="143"/>
      <c r="P946" s="137" t="e">
        <f t="shared" si="81"/>
        <v>#DIV/0!</v>
      </c>
      <c r="Q946" s="137">
        <f t="shared" si="82"/>
        <v>0</v>
      </c>
      <c r="R946" s="138">
        <f>IF(N946="nio",0,IF(N946&gt;0,VLOOKUP(I946,'3-Productie normen'!A:W,VLOOKUP(N946,'3-Productie normen'!$B$35:$C$56,2,FALSE),FALSE)))/VLOOKUP(B946,'2-Kosten per locatie'!$A$11:$C$18,3,FALSE)</f>
        <v>0</v>
      </c>
      <c r="S946" s="138">
        <f t="shared" si="83"/>
        <v>0</v>
      </c>
      <c r="T946" s="139" t="str">
        <f>VLOOKUP(I946,'3-Productie normen'!A:AF,28,FALSE)</f>
        <v>L</v>
      </c>
      <c r="U946" s="140"/>
      <c r="W946" s="141">
        <f t="shared" si="84"/>
        <v>3199.6</v>
      </c>
    </row>
    <row r="947" spans="1:23" ht="13.9" customHeight="1">
      <c r="A947" s="132">
        <v>947</v>
      </c>
      <c r="B947" s="49" t="s">
        <v>1676</v>
      </c>
      <c r="C947" s="154" t="s">
        <v>1656</v>
      </c>
      <c r="D947" s="154" t="s">
        <v>271</v>
      </c>
      <c r="E947" s="155" t="s">
        <v>1567</v>
      </c>
      <c r="F947" s="156"/>
      <c r="G947" s="157" t="s">
        <v>242</v>
      </c>
      <c r="H947" s="157" t="s">
        <v>242</v>
      </c>
      <c r="I947" s="158" t="s">
        <v>1504</v>
      </c>
      <c r="J947" s="159" t="s">
        <v>1055</v>
      </c>
      <c r="K947" s="152" t="s">
        <v>1522</v>
      </c>
      <c r="L947" s="160">
        <v>14.7</v>
      </c>
      <c r="M947" s="161">
        <f t="shared" si="85"/>
        <v>2</v>
      </c>
      <c r="N947" s="3">
        <v>2</v>
      </c>
      <c r="O947" s="143"/>
      <c r="P947" s="137" t="e">
        <f t="shared" si="81"/>
        <v>#DIV/0!</v>
      </c>
      <c r="Q947" s="137">
        <f t="shared" si="82"/>
        <v>0</v>
      </c>
      <c r="R947" s="138">
        <f>IF(N947="nio",0,IF(N947&gt;0,VLOOKUP(I947,'3-Productie normen'!A:W,VLOOKUP(N947,'3-Productie normen'!$B$35:$C$56,2,FALSE),FALSE)))/VLOOKUP(B947,'2-Kosten per locatie'!$A$11:$C$18,3,FALSE)</f>
        <v>0</v>
      </c>
      <c r="S947" s="138">
        <f t="shared" si="83"/>
        <v>0</v>
      </c>
      <c r="T947" s="139" t="str">
        <f>VLOOKUP(I947,'3-Productie normen'!A:AF,28,FALSE)</f>
        <v>V</v>
      </c>
      <c r="U947" s="140"/>
      <c r="W947" s="141">
        <f t="shared" si="84"/>
        <v>29.4</v>
      </c>
    </row>
    <row r="948" spans="1:23" ht="13.9" customHeight="1">
      <c r="A948" s="118">
        <v>948</v>
      </c>
      <c r="B948" s="49" t="s">
        <v>1676</v>
      </c>
      <c r="C948" s="154" t="s">
        <v>1656</v>
      </c>
      <c r="D948" s="154" t="s">
        <v>271</v>
      </c>
      <c r="E948" s="155" t="s">
        <v>713</v>
      </c>
      <c r="F948" s="156"/>
      <c r="G948" s="157" t="s">
        <v>232</v>
      </c>
      <c r="H948" s="157" t="s">
        <v>53</v>
      </c>
      <c r="I948" s="1" t="s">
        <v>233</v>
      </c>
      <c r="J948" s="159" t="s">
        <v>231</v>
      </c>
      <c r="K948" s="163"/>
      <c r="L948" s="160">
        <v>15.1</v>
      </c>
      <c r="M948" s="161">
        <f t="shared" si="85"/>
        <v>190</v>
      </c>
      <c r="N948" s="143">
        <v>190</v>
      </c>
      <c r="O948" s="143"/>
      <c r="P948" s="137" t="e">
        <f t="shared" si="81"/>
        <v>#DIV/0!</v>
      </c>
      <c r="Q948" s="137">
        <f t="shared" si="82"/>
        <v>0</v>
      </c>
      <c r="R948" s="138">
        <f>IF(N948="nio",0,IF(N948&gt;0,VLOOKUP(I948,'3-Productie normen'!A:W,VLOOKUP(N948,'3-Productie normen'!$B$35:$C$56,2,FALSE),FALSE)))/VLOOKUP(B948,'2-Kosten per locatie'!$A$11:$C$18,3,FALSE)</f>
        <v>0</v>
      </c>
      <c r="S948" s="138">
        <f t="shared" si="83"/>
        <v>0</v>
      </c>
      <c r="T948" s="139" t="str">
        <f>VLOOKUP(I948,'3-Productie normen'!A:AF,28,FALSE)</f>
        <v>V</v>
      </c>
      <c r="U948" s="140"/>
      <c r="W948" s="141">
        <f t="shared" si="84"/>
        <v>2869</v>
      </c>
    </row>
    <row r="949" spans="1:23" ht="13.9" customHeight="1">
      <c r="A949" s="132">
        <v>949</v>
      </c>
      <c r="B949" s="49" t="s">
        <v>1676</v>
      </c>
      <c r="C949" s="154" t="s">
        <v>1656</v>
      </c>
      <c r="D949" s="154" t="s">
        <v>271</v>
      </c>
      <c r="E949" s="155" t="s">
        <v>706</v>
      </c>
      <c r="F949" s="156"/>
      <c r="G949" s="157" t="s">
        <v>237</v>
      </c>
      <c r="H949" s="157" t="s">
        <v>238</v>
      </c>
      <c r="I949" s="134" t="s">
        <v>239</v>
      </c>
      <c r="J949" s="159" t="s">
        <v>1055</v>
      </c>
      <c r="K949" s="152" t="s">
        <v>1522</v>
      </c>
      <c r="L949" s="160">
        <v>12.5</v>
      </c>
      <c r="M949" s="136"/>
      <c r="N949" s="143" t="s">
        <v>273</v>
      </c>
      <c r="O949" s="143"/>
      <c r="P949" s="137">
        <f t="shared" si="81"/>
        <v>0</v>
      </c>
      <c r="Q949" s="137">
        <f t="shared" si="82"/>
        <v>0</v>
      </c>
      <c r="R949" s="138">
        <f>IF(N949="nio",0,IF(N949&gt;0,VLOOKUP(I949,'3-Productie normen'!A:W,VLOOKUP(N949,'3-Productie normen'!$B$35:$C$56,2,FALSE),FALSE)))/VLOOKUP(B949,'2-Kosten per locatie'!$A$11:$C$18,3,FALSE)</f>
        <v>0</v>
      </c>
      <c r="S949" s="138">
        <f t="shared" si="83"/>
        <v>0</v>
      </c>
      <c r="T949" s="139">
        <f>VLOOKUP(I949,'3-Productie normen'!A:AF,28,FALSE)</f>
        <v>0</v>
      </c>
      <c r="U949" s="140"/>
      <c r="W949" s="141">
        <f t="shared" si="84"/>
        <v>0</v>
      </c>
    </row>
    <row r="950" spans="1:23" ht="13.9" customHeight="1">
      <c r="A950" s="132">
        <v>950</v>
      </c>
      <c r="B950" s="49" t="s">
        <v>1676</v>
      </c>
      <c r="C950" s="154" t="s">
        <v>1656</v>
      </c>
      <c r="D950" s="154" t="s">
        <v>271</v>
      </c>
      <c r="E950" s="155" t="s">
        <v>1568</v>
      </c>
      <c r="F950" s="156"/>
      <c r="G950" s="157" t="s">
        <v>237</v>
      </c>
      <c r="H950" s="157" t="s">
        <v>238</v>
      </c>
      <c r="I950" s="134" t="s">
        <v>239</v>
      </c>
      <c r="J950" s="159" t="s">
        <v>1055</v>
      </c>
      <c r="K950" s="152" t="s">
        <v>1522</v>
      </c>
      <c r="L950" s="160">
        <v>79.099999999999994</v>
      </c>
      <c r="M950" s="136"/>
      <c r="N950" s="143" t="s">
        <v>273</v>
      </c>
      <c r="O950" s="143"/>
      <c r="P950" s="137">
        <f t="shared" si="81"/>
        <v>0</v>
      </c>
      <c r="Q950" s="137">
        <f t="shared" si="82"/>
        <v>0</v>
      </c>
      <c r="R950" s="138">
        <f>IF(N950="nio",0,IF(N950&gt;0,VLOOKUP(I950,'3-Productie normen'!A:W,VLOOKUP(N950,'3-Productie normen'!$B$35:$C$56,2,FALSE),FALSE)))/VLOOKUP(B950,'2-Kosten per locatie'!$A$11:$C$18,3,FALSE)</f>
        <v>0</v>
      </c>
      <c r="S950" s="138">
        <f t="shared" si="83"/>
        <v>0</v>
      </c>
      <c r="T950" s="139">
        <f>VLOOKUP(I950,'3-Productie normen'!A:AF,28,FALSE)</f>
        <v>0</v>
      </c>
      <c r="U950" s="140"/>
      <c r="W950" s="141">
        <f t="shared" si="84"/>
        <v>0</v>
      </c>
    </row>
    <row r="951" spans="1:23" ht="13.9" customHeight="1">
      <c r="A951" s="118">
        <v>951</v>
      </c>
      <c r="B951" s="49" t="s">
        <v>1676</v>
      </c>
      <c r="C951" s="154" t="s">
        <v>1656</v>
      </c>
      <c r="D951" s="154" t="s">
        <v>271</v>
      </c>
      <c r="E951" s="155" t="s">
        <v>704</v>
      </c>
      <c r="F951" s="156"/>
      <c r="G951" s="157" t="s">
        <v>242</v>
      </c>
      <c r="H951" s="157" t="s">
        <v>242</v>
      </c>
      <c r="I951" s="158" t="s">
        <v>1504</v>
      </c>
      <c r="J951" s="159" t="s">
        <v>1055</v>
      </c>
      <c r="K951" s="152" t="s">
        <v>1522</v>
      </c>
      <c r="L951" s="160">
        <v>19.8</v>
      </c>
      <c r="M951" s="161">
        <f t="shared" ref="M951:M968" si="86">SUM(N951:O951)</f>
        <v>2</v>
      </c>
      <c r="N951" s="3">
        <v>2</v>
      </c>
      <c r="O951" s="143"/>
      <c r="P951" s="137" t="e">
        <f t="shared" si="81"/>
        <v>#DIV/0!</v>
      </c>
      <c r="Q951" s="137">
        <f t="shared" si="82"/>
        <v>0</v>
      </c>
      <c r="R951" s="138">
        <f>IF(N951="nio",0,IF(N951&gt;0,VLOOKUP(I951,'3-Productie normen'!A:W,VLOOKUP(N951,'3-Productie normen'!$B$35:$C$56,2,FALSE),FALSE)))/VLOOKUP(B951,'2-Kosten per locatie'!$A$11:$C$18,3,FALSE)</f>
        <v>0</v>
      </c>
      <c r="S951" s="138">
        <f t="shared" si="83"/>
        <v>0</v>
      </c>
      <c r="T951" s="139" t="str">
        <f>VLOOKUP(I951,'3-Productie normen'!A:AF,28,FALSE)</f>
        <v>V</v>
      </c>
      <c r="U951" s="140"/>
      <c r="W951" s="141">
        <f t="shared" si="84"/>
        <v>39.6</v>
      </c>
    </row>
    <row r="952" spans="1:23" ht="13.9" customHeight="1">
      <c r="A952" s="132">
        <v>952</v>
      </c>
      <c r="B952" s="49" t="s">
        <v>1676</v>
      </c>
      <c r="C952" s="154" t="s">
        <v>1656</v>
      </c>
      <c r="D952" s="154" t="s">
        <v>271</v>
      </c>
      <c r="E952" s="155" t="s">
        <v>632</v>
      </c>
      <c r="F952" s="156"/>
      <c r="G952" s="157" t="s">
        <v>264</v>
      </c>
      <c r="H952" s="157" t="s">
        <v>265</v>
      </c>
      <c r="I952" s="86" t="s">
        <v>244</v>
      </c>
      <c r="J952" s="159" t="s">
        <v>1055</v>
      </c>
      <c r="K952" s="152" t="s">
        <v>1522</v>
      </c>
      <c r="L952" s="160">
        <v>12.2</v>
      </c>
      <c r="M952" s="161">
        <f t="shared" si="86"/>
        <v>76</v>
      </c>
      <c r="N952" s="3">
        <v>76</v>
      </c>
      <c r="O952" s="143"/>
      <c r="P952" s="137" t="e">
        <f t="shared" si="81"/>
        <v>#DIV/0!</v>
      </c>
      <c r="Q952" s="137">
        <f t="shared" si="82"/>
        <v>0</v>
      </c>
      <c r="R952" s="138">
        <f>IF(N952="nio",0,IF(N952&gt;0,VLOOKUP(I952,'3-Productie normen'!A:W,VLOOKUP(N952,'3-Productie normen'!$B$35:$C$56,2,FALSE),FALSE)))/VLOOKUP(B952,'2-Kosten per locatie'!$A$11:$C$18,3,FALSE)</f>
        <v>0</v>
      </c>
      <c r="S952" s="138">
        <f t="shared" si="83"/>
        <v>0</v>
      </c>
      <c r="T952" s="139" t="str">
        <f>VLOOKUP(I952,'3-Productie normen'!A:AF,28,FALSE)</f>
        <v>L</v>
      </c>
      <c r="U952" s="140"/>
      <c r="W952" s="141">
        <f t="shared" si="84"/>
        <v>927.19999999999993</v>
      </c>
    </row>
    <row r="953" spans="1:23" ht="13.9" customHeight="1">
      <c r="A953" s="132">
        <v>953</v>
      </c>
      <c r="B953" s="49" t="s">
        <v>1676</v>
      </c>
      <c r="C953" s="154" t="s">
        <v>1656</v>
      </c>
      <c r="D953" s="154" t="s">
        <v>271</v>
      </c>
      <c r="E953" s="155" t="s">
        <v>321</v>
      </c>
      <c r="F953" s="156"/>
      <c r="G953" s="157" t="s">
        <v>264</v>
      </c>
      <c r="H953" s="157" t="s">
        <v>265</v>
      </c>
      <c r="I953" s="86" t="s">
        <v>244</v>
      </c>
      <c r="J953" s="159" t="s">
        <v>1055</v>
      </c>
      <c r="K953" s="152" t="s">
        <v>1522</v>
      </c>
      <c r="L953" s="160">
        <v>168.1</v>
      </c>
      <c r="M953" s="161">
        <f t="shared" si="86"/>
        <v>76</v>
      </c>
      <c r="N953" s="3">
        <v>76</v>
      </c>
      <c r="O953" s="143"/>
      <c r="P953" s="137" t="e">
        <f t="shared" si="81"/>
        <v>#DIV/0!</v>
      </c>
      <c r="Q953" s="137">
        <f t="shared" si="82"/>
        <v>0</v>
      </c>
      <c r="R953" s="138">
        <f>IF(N953="nio",0,IF(N953&gt;0,VLOOKUP(I953,'3-Productie normen'!A:W,VLOOKUP(N953,'3-Productie normen'!$B$35:$C$56,2,FALSE),FALSE)))/VLOOKUP(B953,'2-Kosten per locatie'!$A$11:$C$18,3,FALSE)</f>
        <v>0</v>
      </c>
      <c r="S953" s="138">
        <f t="shared" si="83"/>
        <v>0</v>
      </c>
      <c r="T953" s="139" t="str">
        <f>VLOOKUP(I953,'3-Productie normen'!A:AF,28,FALSE)</f>
        <v>L</v>
      </c>
      <c r="U953" s="140"/>
      <c r="W953" s="141">
        <f t="shared" si="84"/>
        <v>12775.6</v>
      </c>
    </row>
    <row r="954" spans="1:23" ht="13.9" customHeight="1">
      <c r="A954" s="118">
        <v>954</v>
      </c>
      <c r="B954" s="49" t="s">
        <v>1676</v>
      </c>
      <c r="C954" s="154" t="s">
        <v>1656</v>
      </c>
      <c r="D954" s="154" t="s">
        <v>271</v>
      </c>
      <c r="E954" s="155" t="s">
        <v>320</v>
      </c>
      <c r="F954" s="156"/>
      <c r="G954" s="157" t="s">
        <v>243</v>
      </c>
      <c r="H954" s="157" t="s">
        <v>703</v>
      </c>
      <c r="I954" s="86" t="s">
        <v>274</v>
      </c>
      <c r="J954" s="159" t="s">
        <v>1055</v>
      </c>
      <c r="K954" s="152" t="s">
        <v>1522</v>
      </c>
      <c r="L954" s="160">
        <v>68.3</v>
      </c>
      <c r="M954" s="161">
        <f t="shared" si="86"/>
        <v>76</v>
      </c>
      <c r="N954" s="2">
        <v>76</v>
      </c>
      <c r="O954" s="143"/>
      <c r="P954" s="137" t="e">
        <f t="shared" si="81"/>
        <v>#DIV/0!</v>
      </c>
      <c r="Q954" s="137">
        <f t="shared" si="82"/>
        <v>0</v>
      </c>
      <c r="R954" s="138">
        <f>IF(N954="nio",0,IF(N954&gt;0,VLOOKUP(I954,'3-Productie normen'!A:W,VLOOKUP(N954,'3-Productie normen'!$B$35:$C$56,2,FALSE),FALSE)))/VLOOKUP(B954,'2-Kosten per locatie'!$A$11:$C$18,3,FALSE)</f>
        <v>0</v>
      </c>
      <c r="S954" s="138">
        <f t="shared" si="83"/>
        <v>0</v>
      </c>
      <c r="T954" s="139" t="str">
        <f>VLOOKUP(I954,'3-Productie normen'!A:AF,28,FALSE)</f>
        <v>B</v>
      </c>
      <c r="U954" s="140"/>
      <c r="W954" s="141">
        <f t="shared" si="84"/>
        <v>5190.8</v>
      </c>
    </row>
    <row r="955" spans="1:23" ht="13.9" customHeight="1">
      <c r="A955" s="132">
        <v>955</v>
      </c>
      <c r="B955" s="49" t="s">
        <v>1676</v>
      </c>
      <c r="C955" s="154" t="s">
        <v>1656</v>
      </c>
      <c r="D955" s="154" t="s">
        <v>271</v>
      </c>
      <c r="E955" s="155" t="s">
        <v>634</v>
      </c>
      <c r="F955" s="156"/>
      <c r="G955" s="157" t="s">
        <v>264</v>
      </c>
      <c r="H955" s="157" t="s">
        <v>265</v>
      </c>
      <c r="I955" s="86" t="s">
        <v>244</v>
      </c>
      <c r="J955" s="159" t="s">
        <v>1055</v>
      </c>
      <c r="K955" s="152" t="s">
        <v>1522</v>
      </c>
      <c r="L955" s="160">
        <v>59.3</v>
      </c>
      <c r="M955" s="161">
        <f t="shared" si="86"/>
        <v>76</v>
      </c>
      <c r="N955" s="3">
        <v>76</v>
      </c>
      <c r="O955" s="143"/>
      <c r="P955" s="137" t="e">
        <f t="shared" si="81"/>
        <v>#DIV/0!</v>
      </c>
      <c r="Q955" s="137">
        <f t="shared" si="82"/>
        <v>0</v>
      </c>
      <c r="R955" s="138">
        <f>IF(N955="nio",0,IF(N955&gt;0,VLOOKUP(I955,'3-Productie normen'!A:W,VLOOKUP(N955,'3-Productie normen'!$B$35:$C$56,2,FALSE),FALSE)))/VLOOKUP(B955,'2-Kosten per locatie'!$A$11:$C$18,3,FALSE)</f>
        <v>0</v>
      </c>
      <c r="S955" s="138">
        <f t="shared" si="83"/>
        <v>0</v>
      </c>
      <c r="T955" s="139" t="str">
        <f>VLOOKUP(I955,'3-Productie normen'!A:AF,28,FALSE)</f>
        <v>L</v>
      </c>
      <c r="U955" s="140"/>
      <c r="W955" s="141">
        <f t="shared" si="84"/>
        <v>4506.8</v>
      </c>
    </row>
    <row r="956" spans="1:23" ht="13.9" customHeight="1">
      <c r="A956" s="132">
        <v>956</v>
      </c>
      <c r="B956" s="49" t="s">
        <v>1676</v>
      </c>
      <c r="C956" s="154" t="s">
        <v>1656</v>
      </c>
      <c r="D956" s="154" t="s">
        <v>271</v>
      </c>
      <c r="E956" s="155" t="s">
        <v>636</v>
      </c>
      <c r="F956" s="156"/>
      <c r="G956" s="157" t="s">
        <v>264</v>
      </c>
      <c r="H956" s="157" t="s">
        <v>265</v>
      </c>
      <c r="I956" s="86" t="s">
        <v>244</v>
      </c>
      <c r="J956" s="159" t="s">
        <v>1055</v>
      </c>
      <c r="K956" s="152" t="s">
        <v>1522</v>
      </c>
      <c r="L956" s="160">
        <v>61.3</v>
      </c>
      <c r="M956" s="161">
        <f t="shared" si="86"/>
        <v>76</v>
      </c>
      <c r="N956" s="3">
        <v>76</v>
      </c>
      <c r="O956" s="143"/>
      <c r="P956" s="137" t="e">
        <f t="shared" si="81"/>
        <v>#DIV/0!</v>
      </c>
      <c r="Q956" s="137">
        <f t="shared" si="82"/>
        <v>0</v>
      </c>
      <c r="R956" s="138">
        <f>IF(N956="nio",0,IF(N956&gt;0,VLOOKUP(I956,'3-Productie normen'!A:W,VLOOKUP(N956,'3-Productie normen'!$B$35:$C$56,2,FALSE),FALSE)))/VLOOKUP(B956,'2-Kosten per locatie'!$A$11:$C$18,3,FALSE)</f>
        <v>0</v>
      </c>
      <c r="S956" s="138">
        <f t="shared" si="83"/>
        <v>0</v>
      </c>
      <c r="T956" s="139" t="str">
        <f>VLOOKUP(I956,'3-Productie normen'!A:AF,28,FALSE)</f>
        <v>L</v>
      </c>
      <c r="U956" s="140"/>
      <c r="W956" s="141">
        <f t="shared" si="84"/>
        <v>4658.8</v>
      </c>
    </row>
    <row r="957" spans="1:23" ht="13.9" customHeight="1">
      <c r="A957" s="118">
        <v>957</v>
      </c>
      <c r="B957" s="49" t="s">
        <v>1676</v>
      </c>
      <c r="C957" s="154" t="s">
        <v>1656</v>
      </c>
      <c r="D957" s="154" t="s">
        <v>271</v>
      </c>
      <c r="E957" s="155" t="s">
        <v>640</v>
      </c>
      <c r="F957" s="156"/>
      <c r="G957" s="157" t="s">
        <v>264</v>
      </c>
      <c r="H957" s="157" t="s">
        <v>265</v>
      </c>
      <c r="I957" s="86" t="s">
        <v>244</v>
      </c>
      <c r="J957" s="159" t="s">
        <v>1055</v>
      </c>
      <c r="K957" s="152" t="s">
        <v>1522</v>
      </c>
      <c r="L957" s="160">
        <v>61.5</v>
      </c>
      <c r="M957" s="161">
        <f t="shared" si="86"/>
        <v>76</v>
      </c>
      <c r="N957" s="3">
        <v>76</v>
      </c>
      <c r="O957" s="143"/>
      <c r="P957" s="137" t="e">
        <f t="shared" si="81"/>
        <v>#DIV/0!</v>
      </c>
      <c r="Q957" s="137">
        <f t="shared" si="82"/>
        <v>0</v>
      </c>
      <c r="R957" s="138">
        <f>IF(N957="nio",0,IF(N957&gt;0,VLOOKUP(I957,'3-Productie normen'!A:W,VLOOKUP(N957,'3-Productie normen'!$B$35:$C$56,2,FALSE),FALSE)))/VLOOKUP(B957,'2-Kosten per locatie'!$A$11:$C$18,3,FALSE)</f>
        <v>0</v>
      </c>
      <c r="S957" s="138">
        <f t="shared" si="83"/>
        <v>0</v>
      </c>
      <c r="T957" s="139" t="str">
        <f>VLOOKUP(I957,'3-Productie normen'!A:AF,28,FALSE)</f>
        <v>L</v>
      </c>
      <c r="U957" s="140"/>
      <c r="W957" s="141">
        <f t="shared" si="84"/>
        <v>4674</v>
      </c>
    </row>
    <row r="958" spans="1:23" ht="13.9" customHeight="1">
      <c r="A958" s="132">
        <v>958</v>
      </c>
      <c r="B958" s="49" t="s">
        <v>1676</v>
      </c>
      <c r="C958" s="154" t="s">
        <v>1656</v>
      </c>
      <c r="D958" s="154" t="s">
        <v>271</v>
      </c>
      <c r="E958" s="155" t="s">
        <v>647</v>
      </c>
      <c r="F958" s="156"/>
      <c r="G958" s="157" t="s">
        <v>264</v>
      </c>
      <c r="H958" s="157" t="s">
        <v>265</v>
      </c>
      <c r="I958" s="86" t="s">
        <v>244</v>
      </c>
      <c r="J958" s="159" t="s">
        <v>1055</v>
      </c>
      <c r="K958" s="152" t="s">
        <v>1522</v>
      </c>
      <c r="L958" s="160">
        <v>73.900000000000006</v>
      </c>
      <c r="M958" s="161">
        <f t="shared" si="86"/>
        <v>76</v>
      </c>
      <c r="N958" s="3">
        <v>76</v>
      </c>
      <c r="O958" s="143"/>
      <c r="P958" s="137" t="e">
        <f t="shared" si="81"/>
        <v>#DIV/0!</v>
      </c>
      <c r="Q958" s="137">
        <f t="shared" si="82"/>
        <v>0</v>
      </c>
      <c r="R958" s="138">
        <f>IF(N958="nio",0,IF(N958&gt;0,VLOOKUP(I958,'3-Productie normen'!A:W,VLOOKUP(N958,'3-Productie normen'!$B$35:$C$56,2,FALSE),FALSE)))/VLOOKUP(B958,'2-Kosten per locatie'!$A$11:$C$18,3,FALSE)</f>
        <v>0</v>
      </c>
      <c r="S958" s="138">
        <f t="shared" si="83"/>
        <v>0</v>
      </c>
      <c r="T958" s="139" t="str">
        <f>VLOOKUP(I958,'3-Productie normen'!A:AF,28,FALSE)</f>
        <v>L</v>
      </c>
      <c r="U958" s="140"/>
      <c r="W958" s="141">
        <f t="shared" si="84"/>
        <v>5616.4000000000005</v>
      </c>
    </row>
    <row r="959" spans="1:23" ht="13.9" customHeight="1">
      <c r="A959" s="132">
        <v>959</v>
      </c>
      <c r="B959" s="49" t="s">
        <v>1676</v>
      </c>
      <c r="C959" s="154" t="s">
        <v>1656</v>
      </c>
      <c r="D959" s="154" t="s">
        <v>271</v>
      </c>
      <c r="E959" s="155" t="s">
        <v>712</v>
      </c>
      <c r="F959" s="156"/>
      <c r="G959" s="157" t="s">
        <v>232</v>
      </c>
      <c r="H959" s="157" t="s">
        <v>53</v>
      </c>
      <c r="I959" s="1" t="s">
        <v>233</v>
      </c>
      <c r="J959" s="159" t="s">
        <v>231</v>
      </c>
      <c r="K959" s="163"/>
      <c r="L959" s="160">
        <v>6.9</v>
      </c>
      <c r="M959" s="161">
        <f t="shared" si="86"/>
        <v>190</v>
      </c>
      <c r="N959" s="143">
        <v>190</v>
      </c>
      <c r="O959" s="143"/>
      <c r="P959" s="137" t="e">
        <f t="shared" si="81"/>
        <v>#DIV/0!</v>
      </c>
      <c r="Q959" s="137">
        <f t="shared" si="82"/>
        <v>0</v>
      </c>
      <c r="R959" s="138">
        <f>IF(N959="nio",0,IF(N959&gt;0,VLOOKUP(I959,'3-Productie normen'!A:W,VLOOKUP(N959,'3-Productie normen'!$B$35:$C$56,2,FALSE),FALSE)))/VLOOKUP(B959,'2-Kosten per locatie'!$A$11:$C$18,3,FALSE)</f>
        <v>0</v>
      </c>
      <c r="S959" s="138">
        <f t="shared" si="83"/>
        <v>0</v>
      </c>
      <c r="T959" s="139" t="str">
        <f>VLOOKUP(I959,'3-Productie normen'!A:AF,28,FALSE)</f>
        <v>V</v>
      </c>
      <c r="U959" s="140"/>
      <c r="W959" s="141">
        <f t="shared" si="84"/>
        <v>1311</v>
      </c>
    </row>
    <row r="960" spans="1:23" ht="13.9" customHeight="1">
      <c r="A960" s="118">
        <v>960</v>
      </c>
      <c r="B960" s="49" t="s">
        <v>1676</v>
      </c>
      <c r="C960" s="154" t="s">
        <v>1656</v>
      </c>
      <c r="D960" s="154" t="s">
        <v>271</v>
      </c>
      <c r="E960" s="155" t="s">
        <v>1569</v>
      </c>
      <c r="F960" s="156"/>
      <c r="G960" s="157" t="s">
        <v>242</v>
      </c>
      <c r="H960" s="157" t="s">
        <v>242</v>
      </c>
      <c r="I960" s="158" t="s">
        <v>1504</v>
      </c>
      <c r="J960" s="159" t="s">
        <v>1055</v>
      </c>
      <c r="K960" s="152" t="s">
        <v>1522</v>
      </c>
      <c r="L960" s="160">
        <v>3.8</v>
      </c>
      <c r="M960" s="161">
        <f t="shared" si="86"/>
        <v>2</v>
      </c>
      <c r="N960" s="3">
        <v>2</v>
      </c>
      <c r="O960" s="143"/>
      <c r="P960" s="137" t="e">
        <f t="shared" si="81"/>
        <v>#DIV/0!</v>
      </c>
      <c r="Q960" s="137">
        <f t="shared" si="82"/>
        <v>0</v>
      </c>
      <c r="R960" s="138">
        <f>IF(N960="nio",0,IF(N960&gt;0,VLOOKUP(I960,'3-Productie normen'!A:W,VLOOKUP(N960,'3-Productie normen'!$B$35:$C$56,2,FALSE),FALSE)))/VLOOKUP(B960,'2-Kosten per locatie'!$A$11:$C$18,3,FALSE)</f>
        <v>0</v>
      </c>
      <c r="S960" s="138">
        <f t="shared" si="83"/>
        <v>0</v>
      </c>
      <c r="T960" s="139" t="str">
        <f>VLOOKUP(I960,'3-Productie normen'!A:AF,28,FALSE)</f>
        <v>V</v>
      </c>
      <c r="U960" s="140"/>
      <c r="W960" s="141">
        <f t="shared" si="84"/>
        <v>7.6</v>
      </c>
    </row>
    <row r="961" spans="1:23" ht="13.9" customHeight="1">
      <c r="A961" s="132">
        <v>961</v>
      </c>
      <c r="B961" s="49" t="s">
        <v>1676</v>
      </c>
      <c r="C961" s="154" t="s">
        <v>1656</v>
      </c>
      <c r="D961" s="154" t="s">
        <v>271</v>
      </c>
      <c r="E961" s="155" t="s">
        <v>711</v>
      </c>
      <c r="F961" s="156"/>
      <c r="G961" s="157" t="s">
        <v>235</v>
      </c>
      <c r="H961" s="157" t="s">
        <v>236</v>
      </c>
      <c r="I961" s="91" t="s">
        <v>1486</v>
      </c>
      <c r="J961" s="159" t="s">
        <v>1055</v>
      </c>
      <c r="K961" s="152" t="s">
        <v>1522</v>
      </c>
      <c r="L961" s="160">
        <v>20</v>
      </c>
      <c r="M961" s="161">
        <f t="shared" si="86"/>
        <v>190</v>
      </c>
      <c r="N961" s="143">
        <v>190</v>
      </c>
      <c r="O961" s="143"/>
      <c r="P961" s="137" t="e">
        <f t="shared" si="81"/>
        <v>#DIV/0!</v>
      </c>
      <c r="Q961" s="137">
        <f t="shared" si="82"/>
        <v>0</v>
      </c>
      <c r="R961" s="138">
        <f>IF(N961="nio",0,IF(N961&gt;0,VLOOKUP(I961,'3-Productie normen'!A:W,VLOOKUP(N961,'3-Productie normen'!$B$35:$C$56,2,FALSE),FALSE)))/VLOOKUP(B961,'2-Kosten per locatie'!$A$11:$C$18,3,FALSE)</f>
        <v>0</v>
      </c>
      <c r="S961" s="138">
        <f t="shared" si="83"/>
        <v>0</v>
      </c>
      <c r="T961" s="139" t="str">
        <f>VLOOKUP(I961,'3-Productie normen'!A:AF,28,FALSE)</f>
        <v>V</v>
      </c>
      <c r="U961" s="140"/>
      <c r="W961" s="141">
        <f t="shared" si="84"/>
        <v>3800</v>
      </c>
    </row>
    <row r="962" spans="1:23" ht="13.9" customHeight="1">
      <c r="A962" s="132">
        <v>962</v>
      </c>
      <c r="B962" s="49" t="s">
        <v>1676</v>
      </c>
      <c r="C962" s="154" t="s">
        <v>1656</v>
      </c>
      <c r="D962" s="154" t="s">
        <v>271</v>
      </c>
      <c r="E962" s="155" t="s">
        <v>319</v>
      </c>
      <c r="F962" s="156"/>
      <c r="G962" s="157" t="s">
        <v>243</v>
      </c>
      <c r="H962" s="157" t="s">
        <v>703</v>
      </c>
      <c r="I962" s="86" t="s">
        <v>274</v>
      </c>
      <c r="J962" s="159" t="s">
        <v>1055</v>
      </c>
      <c r="K962" s="152" t="s">
        <v>1522</v>
      </c>
      <c r="L962" s="160">
        <v>72.900000000000006</v>
      </c>
      <c r="M962" s="161">
        <f t="shared" si="86"/>
        <v>76</v>
      </c>
      <c r="N962" s="2">
        <v>76</v>
      </c>
      <c r="O962" s="143"/>
      <c r="P962" s="137" t="e">
        <f t="shared" si="81"/>
        <v>#DIV/0!</v>
      </c>
      <c r="Q962" s="137">
        <f t="shared" si="82"/>
        <v>0</v>
      </c>
      <c r="R962" s="138">
        <f>IF(N962="nio",0,IF(N962&gt;0,VLOOKUP(I962,'3-Productie normen'!A:W,VLOOKUP(N962,'3-Productie normen'!$B$35:$C$56,2,FALSE),FALSE)))/VLOOKUP(B962,'2-Kosten per locatie'!$A$11:$C$18,3,FALSE)</f>
        <v>0</v>
      </c>
      <c r="S962" s="138">
        <f t="shared" si="83"/>
        <v>0</v>
      </c>
      <c r="T962" s="139" t="str">
        <f>VLOOKUP(I962,'3-Productie normen'!A:AF,28,FALSE)</f>
        <v>B</v>
      </c>
      <c r="U962" s="140"/>
      <c r="W962" s="141">
        <f t="shared" si="84"/>
        <v>5540.4000000000005</v>
      </c>
    </row>
    <row r="963" spans="1:23" ht="13.9" customHeight="1">
      <c r="A963" s="118">
        <v>963</v>
      </c>
      <c r="B963" s="49" t="s">
        <v>1676</v>
      </c>
      <c r="C963" s="154" t="s">
        <v>1656</v>
      </c>
      <c r="D963" s="154" t="s">
        <v>271</v>
      </c>
      <c r="E963" s="155" t="s">
        <v>318</v>
      </c>
      <c r="F963" s="156"/>
      <c r="G963" s="157" t="s">
        <v>243</v>
      </c>
      <c r="H963" s="157" t="s">
        <v>703</v>
      </c>
      <c r="I963" s="86" t="s">
        <v>274</v>
      </c>
      <c r="J963" s="159" t="s">
        <v>1055</v>
      </c>
      <c r="K963" s="152" t="s">
        <v>1522</v>
      </c>
      <c r="L963" s="160">
        <v>63.9</v>
      </c>
      <c r="M963" s="161">
        <f t="shared" si="86"/>
        <v>76</v>
      </c>
      <c r="N963" s="2">
        <v>76</v>
      </c>
      <c r="O963" s="143"/>
      <c r="P963" s="137" t="e">
        <f t="shared" si="81"/>
        <v>#DIV/0!</v>
      </c>
      <c r="Q963" s="137">
        <f t="shared" si="82"/>
        <v>0</v>
      </c>
      <c r="R963" s="138">
        <f>IF(N963="nio",0,IF(N963&gt;0,VLOOKUP(I963,'3-Productie normen'!A:W,VLOOKUP(N963,'3-Productie normen'!$B$35:$C$56,2,FALSE),FALSE)))/VLOOKUP(B963,'2-Kosten per locatie'!$A$11:$C$18,3,FALSE)</f>
        <v>0</v>
      </c>
      <c r="S963" s="138">
        <f t="shared" si="83"/>
        <v>0</v>
      </c>
      <c r="T963" s="139" t="str">
        <f>VLOOKUP(I963,'3-Productie normen'!A:AF,28,FALSE)</f>
        <v>B</v>
      </c>
      <c r="U963" s="140"/>
      <c r="W963" s="141">
        <f t="shared" si="84"/>
        <v>4856.3999999999996</v>
      </c>
    </row>
    <row r="964" spans="1:23" ht="13.9" customHeight="1">
      <c r="A964" s="132">
        <v>964</v>
      </c>
      <c r="B964" s="49" t="s">
        <v>1676</v>
      </c>
      <c r="C964" s="154" t="s">
        <v>1656</v>
      </c>
      <c r="D964" s="154" t="s">
        <v>271</v>
      </c>
      <c r="E964" s="155" t="s">
        <v>346</v>
      </c>
      <c r="F964" s="156"/>
      <c r="G964" s="157" t="s">
        <v>264</v>
      </c>
      <c r="H964" s="157" t="s">
        <v>265</v>
      </c>
      <c r="I964" s="86" t="s">
        <v>244</v>
      </c>
      <c r="J964" s="159" t="s">
        <v>1055</v>
      </c>
      <c r="K964" s="152" t="s">
        <v>1522</v>
      </c>
      <c r="L964" s="160">
        <v>57.7</v>
      </c>
      <c r="M964" s="161">
        <f t="shared" si="86"/>
        <v>76</v>
      </c>
      <c r="N964" s="3">
        <v>76</v>
      </c>
      <c r="O964" s="143"/>
      <c r="P964" s="137" t="e">
        <f t="shared" si="81"/>
        <v>#DIV/0!</v>
      </c>
      <c r="Q964" s="137">
        <f t="shared" si="82"/>
        <v>0</v>
      </c>
      <c r="R964" s="138">
        <f>IF(N964="nio",0,IF(N964&gt;0,VLOOKUP(I964,'3-Productie normen'!A:W,VLOOKUP(N964,'3-Productie normen'!$B$35:$C$56,2,FALSE),FALSE)))/VLOOKUP(B964,'2-Kosten per locatie'!$A$11:$C$18,3,FALSE)</f>
        <v>0</v>
      </c>
      <c r="S964" s="138">
        <f t="shared" si="83"/>
        <v>0</v>
      </c>
      <c r="T964" s="139" t="str">
        <f>VLOOKUP(I964,'3-Productie normen'!A:AF,28,FALSE)</f>
        <v>L</v>
      </c>
      <c r="U964" s="140"/>
      <c r="W964" s="141">
        <f t="shared" si="84"/>
        <v>4385.2</v>
      </c>
    </row>
    <row r="965" spans="1:23" ht="13.9" customHeight="1">
      <c r="A965" s="132">
        <v>965</v>
      </c>
      <c r="B965" s="49" t="s">
        <v>1676</v>
      </c>
      <c r="C965" s="154" t="s">
        <v>1656</v>
      </c>
      <c r="D965" s="154" t="s">
        <v>271</v>
      </c>
      <c r="E965" s="155" t="s">
        <v>345</v>
      </c>
      <c r="F965" s="156"/>
      <c r="G965" s="157" t="s">
        <v>264</v>
      </c>
      <c r="H965" s="157" t="s">
        <v>265</v>
      </c>
      <c r="I965" s="86" t="s">
        <v>244</v>
      </c>
      <c r="J965" s="159" t="s">
        <v>1055</v>
      </c>
      <c r="K965" s="152" t="s">
        <v>1522</v>
      </c>
      <c r="L965" s="160">
        <v>60.8</v>
      </c>
      <c r="M965" s="161">
        <f t="shared" si="86"/>
        <v>76</v>
      </c>
      <c r="N965" s="3">
        <v>76</v>
      </c>
      <c r="O965" s="143"/>
      <c r="P965" s="137" t="e">
        <f t="shared" si="81"/>
        <v>#DIV/0!</v>
      </c>
      <c r="Q965" s="137">
        <f t="shared" si="82"/>
        <v>0</v>
      </c>
      <c r="R965" s="138">
        <f>IF(N965="nio",0,IF(N965&gt;0,VLOOKUP(I965,'3-Productie normen'!A:W,VLOOKUP(N965,'3-Productie normen'!$B$35:$C$56,2,FALSE),FALSE)))/VLOOKUP(B965,'2-Kosten per locatie'!$A$11:$C$18,3,FALSE)</f>
        <v>0</v>
      </c>
      <c r="S965" s="138">
        <f t="shared" si="83"/>
        <v>0</v>
      </c>
      <c r="T965" s="139" t="str">
        <f>VLOOKUP(I965,'3-Productie normen'!A:AF,28,FALSE)</f>
        <v>L</v>
      </c>
      <c r="U965" s="140"/>
      <c r="W965" s="141">
        <f t="shared" si="84"/>
        <v>4620.8</v>
      </c>
    </row>
    <row r="966" spans="1:23" ht="13.9" customHeight="1">
      <c r="A966" s="118">
        <v>966</v>
      </c>
      <c r="B966" s="49" t="s">
        <v>1676</v>
      </c>
      <c r="C966" s="154" t="s">
        <v>1656</v>
      </c>
      <c r="D966" s="154" t="s">
        <v>271</v>
      </c>
      <c r="E966" s="155" t="s">
        <v>344</v>
      </c>
      <c r="F966" s="156"/>
      <c r="G966" s="157" t="s">
        <v>245</v>
      </c>
      <c r="H966" s="157" t="s">
        <v>245</v>
      </c>
      <c r="I966" s="86" t="s">
        <v>274</v>
      </c>
      <c r="J966" s="159" t="s">
        <v>1055</v>
      </c>
      <c r="K966" s="152" t="s">
        <v>1522</v>
      </c>
      <c r="L966" s="160">
        <v>14.2</v>
      </c>
      <c r="M966" s="161">
        <f t="shared" si="86"/>
        <v>76</v>
      </c>
      <c r="N966" s="2">
        <v>76</v>
      </c>
      <c r="O966" s="143"/>
      <c r="P966" s="137" t="e">
        <f t="shared" si="81"/>
        <v>#DIV/0!</v>
      </c>
      <c r="Q966" s="137">
        <f t="shared" si="82"/>
        <v>0</v>
      </c>
      <c r="R966" s="138">
        <f>IF(N966="nio",0,IF(N966&gt;0,VLOOKUP(I966,'3-Productie normen'!A:W,VLOOKUP(N966,'3-Productie normen'!$B$35:$C$56,2,FALSE),FALSE)))/VLOOKUP(B966,'2-Kosten per locatie'!$A$11:$C$18,3,FALSE)</f>
        <v>0</v>
      </c>
      <c r="S966" s="138">
        <f t="shared" si="83"/>
        <v>0</v>
      </c>
      <c r="T966" s="139" t="str">
        <f>VLOOKUP(I966,'3-Productie normen'!A:AF,28,FALSE)</f>
        <v>B</v>
      </c>
      <c r="U966" s="140"/>
      <c r="W966" s="141">
        <f t="shared" si="84"/>
        <v>1079.2</v>
      </c>
    </row>
    <row r="967" spans="1:23" ht="13.9" customHeight="1">
      <c r="A967" s="132">
        <v>967</v>
      </c>
      <c r="B967" s="49" t="s">
        <v>1676</v>
      </c>
      <c r="C967" s="154" t="s">
        <v>1656</v>
      </c>
      <c r="D967" s="154" t="s">
        <v>271</v>
      </c>
      <c r="E967" s="155" t="s">
        <v>343</v>
      </c>
      <c r="F967" s="156"/>
      <c r="G967" s="157" t="s">
        <v>243</v>
      </c>
      <c r="H967" s="157" t="s">
        <v>1570</v>
      </c>
      <c r="I967" s="86" t="s">
        <v>274</v>
      </c>
      <c r="J967" s="159" t="s">
        <v>1055</v>
      </c>
      <c r="K967" s="152" t="s">
        <v>1522</v>
      </c>
      <c r="L967" s="160">
        <v>13.7</v>
      </c>
      <c r="M967" s="161">
        <f t="shared" si="86"/>
        <v>76</v>
      </c>
      <c r="N967" s="2">
        <v>76</v>
      </c>
      <c r="O967" s="143"/>
      <c r="P967" s="137" t="e">
        <f t="shared" si="81"/>
        <v>#DIV/0!</v>
      </c>
      <c r="Q967" s="137">
        <f t="shared" si="82"/>
        <v>0</v>
      </c>
      <c r="R967" s="138">
        <f>IF(N967="nio",0,IF(N967&gt;0,VLOOKUP(I967,'3-Productie normen'!A:W,VLOOKUP(N967,'3-Productie normen'!$B$35:$C$56,2,FALSE),FALSE)))/VLOOKUP(B967,'2-Kosten per locatie'!$A$11:$C$18,3,FALSE)</f>
        <v>0</v>
      </c>
      <c r="S967" s="138">
        <f t="shared" si="83"/>
        <v>0</v>
      </c>
      <c r="T967" s="139" t="str">
        <f>VLOOKUP(I967,'3-Productie normen'!A:AF,28,FALSE)</f>
        <v>B</v>
      </c>
      <c r="U967" s="140"/>
      <c r="W967" s="141">
        <f t="shared" si="84"/>
        <v>1041.2</v>
      </c>
    </row>
    <row r="968" spans="1:23" ht="13.9" customHeight="1">
      <c r="A968" s="132">
        <v>968</v>
      </c>
      <c r="B968" s="49" t="s">
        <v>1676</v>
      </c>
      <c r="C968" s="154" t="s">
        <v>1656</v>
      </c>
      <c r="D968" s="154" t="s">
        <v>271</v>
      </c>
      <c r="E968" s="155" t="s">
        <v>342</v>
      </c>
      <c r="F968" s="156"/>
      <c r="G968" s="157" t="s">
        <v>264</v>
      </c>
      <c r="H968" s="157" t="s">
        <v>1571</v>
      </c>
      <c r="I968" s="158" t="s">
        <v>50</v>
      </c>
      <c r="J968" s="159" t="s">
        <v>1055</v>
      </c>
      <c r="K968" s="152" t="s">
        <v>1522</v>
      </c>
      <c r="L968" s="160">
        <v>31.9</v>
      </c>
      <c r="M968" s="161">
        <f t="shared" si="86"/>
        <v>76</v>
      </c>
      <c r="N968" s="143">
        <v>76</v>
      </c>
      <c r="O968" s="143"/>
      <c r="P968" s="137" t="e">
        <f t="shared" si="81"/>
        <v>#DIV/0!</v>
      </c>
      <c r="Q968" s="137">
        <f t="shared" si="82"/>
        <v>0</v>
      </c>
      <c r="R968" s="138">
        <f>IF(N968="nio",0,IF(N968&gt;0,VLOOKUP(I968,'3-Productie normen'!A:W,VLOOKUP(N968,'3-Productie normen'!$B$35:$C$56,2,FALSE),FALSE)))/VLOOKUP(B968,'2-Kosten per locatie'!$A$11:$C$18,3,FALSE)</f>
        <v>0</v>
      </c>
      <c r="S968" s="138">
        <f t="shared" si="83"/>
        <v>0</v>
      </c>
      <c r="T968" s="139" t="str">
        <f>VLOOKUP(I968,'3-Productie normen'!A:AF,28,FALSE)</f>
        <v>B</v>
      </c>
      <c r="U968" s="140"/>
      <c r="W968" s="141">
        <f t="shared" si="84"/>
        <v>2424.4</v>
      </c>
    </row>
    <row r="969" spans="1:23" ht="13.9" customHeight="1">
      <c r="L969" s="164"/>
    </row>
  </sheetData>
  <autoFilter ref="B9:W968" xr:uid="{00000000-0009-0000-0000-000004000000}"/>
  <mergeCells count="1">
    <mergeCell ref="S6:S7"/>
  </mergeCells>
  <phoneticPr fontId="11"/>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G82"/>
  <sheetViews>
    <sheetView showGridLines="0" showZeros="0" showOutlineSymbols="0" zoomScale="80" zoomScaleNormal="80" zoomScaleSheetLayoutView="100" workbookViewId="0">
      <pane ySplit="8" topLeftCell="A9" activePane="bottomLeft" state="frozen"/>
      <selection activeCell="A5" sqref="A5"/>
      <selection pane="bottomLeft" activeCell="A9" sqref="A9"/>
    </sheetView>
  </sheetViews>
  <sheetFormatPr defaultColWidth="9.28515625" defaultRowHeight="12.75"/>
  <cols>
    <col min="1" max="1" width="45.5703125" style="6" customWidth="1"/>
    <col min="2" max="2" width="18.28515625" style="6" customWidth="1"/>
    <col min="3" max="3" width="18.42578125" style="6" customWidth="1"/>
    <col min="4" max="4" width="10.7109375" style="6" customWidth="1"/>
    <col min="5" max="5" width="11.28515625" style="6" customWidth="1"/>
    <col min="6" max="6" width="2.28515625" style="6" customWidth="1"/>
    <col min="7" max="7" width="7.7109375" style="6" customWidth="1"/>
    <col min="8" max="8" width="27" style="6" bestFit="1" customWidth="1"/>
    <col min="9" max="16384" width="9.28515625" style="6"/>
  </cols>
  <sheetData>
    <row r="1" spans="1:7">
      <c r="A1" s="172" t="s">
        <v>2</v>
      </c>
      <c r="B1" s="173"/>
      <c r="C1" s="174"/>
      <c r="D1" s="174"/>
      <c r="E1" s="174"/>
      <c r="F1" s="174"/>
      <c r="G1" s="174"/>
    </row>
    <row r="2" spans="1:7">
      <c r="A2" s="174"/>
      <c r="B2" s="174"/>
      <c r="C2" s="174"/>
      <c r="D2" s="174"/>
      <c r="E2" s="174"/>
      <c r="F2" s="174"/>
      <c r="G2" s="174"/>
    </row>
    <row r="3" spans="1:7" ht="15.75">
      <c r="A3" s="4" t="str">
        <f>'2-Kosten per locatie'!A3</f>
        <v>Naam opdrachtgever</v>
      </c>
      <c r="B3" s="31" t="str">
        <f>'2-Kosten per locatie'!B3</f>
        <v>Voortgezet Onderwijs van Amsterdam</v>
      </c>
      <c r="C3" s="174"/>
      <c r="D3" s="174"/>
      <c r="E3" s="175"/>
      <c r="F3" s="174"/>
      <c r="G3" s="174"/>
    </row>
    <row r="4" spans="1:7" ht="15.75">
      <c r="A4" s="4" t="str">
        <f>'2-Kosten per locatie'!A4</f>
        <v>Calculatie onderdeel</v>
      </c>
      <c r="B4" s="31" t="str">
        <f ca="1">MID(CELL("bestandsnaam",$C$8),SEARCH("]",CELL("bestandsnaam",$C$8),1)+1,256)</f>
        <v>5-Premies en opslagen</v>
      </c>
      <c r="C4" s="124"/>
      <c r="D4" s="176"/>
      <c r="E4" s="177"/>
      <c r="F4" s="177"/>
      <c r="G4" s="177"/>
    </row>
    <row r="5" spans="1:7" ht="15.75">
      <c r="A5" s="4" t="str">
        <f>'2-Kosten per locatie'!A5</f>
        <v>Plaats</v>
      </c>
      <c r="B5" s="31" t="str">
        <f>'2-Kosten per locatie'!B5</f>
        <v>Amsterdam</v>
      </c>
      <c r="C5" s="4"/>
      <c r="D5" s="178"/>
      <c r="E5" s="179"/>
      <c r="F5" s="180"/>
      <c r="G5" s="177"/>
    </row>
    <row r="6" spans="1:7" ht="15.75">
      <c r="A6" s="4" t="str">
        <f>'2-Kosten per locatie'!A6</f>
        <v>Naam dienstverlener</v>
      </c>
      <c r="B6" s="31">
        <f>'2-Kosten per locatie'!B6</f>
        <v>0</v>
      </c>
      <c r="C6" s="120"/>
      <c r="D6" s="178"/>
      <c r="E6" s="179"/>
      <c r="F6" s="180"/>
      <c r="G6" s="177"/>
    </row>
    <row r="7" spans="1:7" ht="15.75">
      <c r="A7" s="4" t="str">
        <f>'2-Kosten per locatie'!A7</f>
        <v>Prijspeil</v>
      </c>
      <c r="B7" s="181">
        <f>'2-Kosten per locatie'!B7</f>
        <v>45839</v>
      </c>
      <c r="C7" s="179"/>
      <c r="D7" s="179"/>
      <c r="E7" s="179"/>
      <c r="F7" s="180"/>
      <c r="G7" s="177"/>
    </row>
    <row r="8" spans="1:7" ht="15.75">
      <c r="A8" s="182"/>
      <c r="B8" s="179"/>
      <c r="C8" s="179"/>
      <c r="D8" s="179"/>
      <c r="E8" s="179"/>
      <c r="F8" s="180"/>
      <c r="G8" s="177"/>
    </row>
    <row r="9" spans="1:7" ht="18">
      <c r="A9" s="235" t="s">
        <v>81</v>
      </c>
      <c r="B9" s="236"/>
      <c r="C9" s="237"/>
      <c r="D9" s="179"/>
      <c r="E9" s="179"/>
      <c r="F9" s="180"/>
      <c r="G9" s="177"/>
    </row>
    <row r="10" spans="1:7">
      <c r="A10" s="183"/>
      <c r="B10" s="184"/>
      <c r="C10" s="184"/>
      <c r="D10" s="179"/>
      <c r="E10" s="179"/>
      <c r="F10" s="177"/>
      <c r="G10" s="177"/>
    </row>
    <row r="11" spans="1:7">
      <c r="A11" s="185"/>
      <c r="B11" s="71"/>
      <c r="C11" s="186" t="s">
        <v>82</v>
      </c>
      <c r="D11" s="179"/>
      <c r="E11" s="179"/>
      <c r="F11" s="180"/>
      <c r="G11" s="177"/>
    </row>
    <row r="12" spans="1:7">
      <c r="A12" s="187" t="s">
        <v>83</v>
      </c>
      <c r="B12" s="71"/>
      <c r="C12" s="188"/>
      <c r="D12" s="179"/>
      <c r="E12" s="179"/>
      <c r="F12" s="189"/>
      <c r="G12" s="177"/>
    </row>
    <row r="13" spans="1:7">
      <c r="A13" s="187" t="s">
        <v>84</v>
      </c>
      <c r="B13" s="71"/>
      <c r="C13" s="188"/>
      <c r="D13" s="179"/>
      <c r="E13" s="179"/>
      <c r="F13" s="189"/>
      <c r="G13" s="177"/>
    </row>
    <row r="14" spans="1:7">
      <c r="A14" s="187" t="s">
        <v>85</v>
      </c>
      <c r="B14" s="71"/>
      <c r="C14" s="188"/>
      <c r="D14" s="179"/>
      <c r="E14" s="179"/>
      <c r="F14" s="189"/>
      <c r="G14" s="177"/>
    </row>
    <row r="15" spans="1:7">
      <c r="A15" s="190" t="s">
        <v>26</v>
      </c>
      <c r="B15" s="191"/>
      <c r="C15" s="192">
        <f>SUM(C12:C14)</f>
        <v>0</v>
      </c>
      <c r="D15" s="179"/>
      <c r="E15" s="179"/>
      <c r="F15" s="177"/>
    </row>
    <row r="16" spans="1:7">
      <c r="A16" s="190"/>
      <c r="B16" s="191"/>
      <c r="C16" s="192"/>
      <c r="D16" s="179"/>
      <c r="E16" s="179"/>
      <c r="F16" s="177"/>
    </row>
    <row r="17" spans="1:7">
      <c r="A17" s="541" t="s">
        <v>86</v>
      </c>
      <c r="B17" s="542"/>
      <c r="C17" s="188"/>
      <c r="D17" s="179"/>
      <c r="E17" s="179"/>
      <c r="F17" s="177"/>
    </row>
    <row r="18" spans="1:7">
      <c r="A18" s="187" t="s">
        <v>87</v>
      </c>
      <c r="B18" s="193"/>
      <c r="C18" s="188"/>
      <c r="D18" s="179"/>
      <c r="E18" s="179"/>
      <c r="F18" s="177"/>
    </row>
    <row r="19" spans="1:7">
      <c r="A19" s="541" t="s">
        <v>88</v>
      </c>
      <c r="B19" s="542"/>
      <c r="C19" s="188"/>
      <c r="D19" s="179"/>
      <c r="E19" s="179"/>
      <c r="F19" s="177"/>
    </row>
    <row r="20" spans="1:7">
      <c r="A20" s="541" t="s">
        <v>89</v>
      </c>
      <c r="B20" s="542"/>
      <c r="C20" s="194" t="e">
        <f>C33</f>
        <v>#DIV/0!</v>
      </c>
      <c r="D20" s="179"/>
      <c r="E20" s="179"/>
      <c r="F20" s="177"/>
    </row>
    <row r="21" spans="1:7">
      <c r="A21" s="541" t="s">
        <v>90</v>
      </c>
      <c r="B21" s="542"/>
      <c r="C21" s="188"/>
      <c r="D21" s="179"/>
      <c r="E21" s="179"/>
      <c r="F21" s="177"/>
    </row>
    <row r="22" spans="1:7">
      <c r="A22" s="541" t="s">
        <v>91</v>
      </c>
      <c r="B22" s="542"/>
      <c r="C22" s="188"/>
      <c r="D22" s="179"/>
      <c r="E22" s="179"/>
      <c r="F22" s="177"/>
    </row>
    <row r="23" spans="1:7">
      <c r="A23" s="543" t="s">
        <v>92</v>
      </c>
      <c r="B23" s="544"/>
      <c r="C23" s="195" t="e">
        <f>SUM(C15:C22)</f>
        <v>#DIV/0!</v>
      </c>
      <c r="D23" s="179"/>
      <c r="E23" s="179"/>
      <c r="F23" s="177"/>
    </row>
    <row r="24" spans="1:7">
      <c r="A24" s="196"/>
      <c r="B24" s="176"/>
      <c r="C24" s="197"/>
      <c r="D24" s="179"/>
      <c r="E24" s="179"/>
      <c r="F24" s="198"/>
      <c r="G24" s="177"/>
    </row>
    <row r="25" spans="1:7" ht="18">
      <c r="A25" s="235" t="s">
        <v>93</v>
      </c>
      <c r="B25" s="236"/>
      <c r="C25" s="237"/>
      <c r="D25" s="179"/>
      <c r="E25" s="179"/>
      <c r="F25" s="180"/>
      <c r="G25" s="177"/>
    </row>
    <row r="26" spans="1:7">
      <c r="A26" s="183"/>
      <c r="B26" s="184"/>
      <c r="C26" s="184"/>
      <c r="D26" s="179"/>
      <c r="E26" s="179"/>
      <c r="F26" s="177"/>
      <c r="G26" s="177"/>
    </row>
    <row r="27" spans="1:7">
      <c r="A27" s="184"/>
      <c r="B27" s="184"/>
      <c r="C27" s="199" t="s">
        <v>94</v>
      </c>
      <c r="D27" s="179"/>
      <c r="E27" s="179"/>
      <c r="F27" s="177"/>
      <c r="G27" s="177"/>
    </row>
    <row r="28" spans="1:7">
      <c r="A28" s="187" t="s">
        <v>95</v>
      </c>
      <c r="B28" s="71"/>
      <c r="C28" s="200">
        <f>'6-Opbouw uurtarief productie'!E19</f>
        <v>0</v>
      </c>
      <c r="D28" s="179"/>
      <c r="E28" s="179"/>
      <c r="G28" s="177"/>
    </row>
    <row r="29" spans="1:7">
      <c r="A29" s="187" t="s">
        <v>96</v>
      </c>
      <c r="B29" s="201" t="s">
        <v>97</v>
      </c>
      <c r="C29" s="202"/>
      <c r="D29" s="179"/>
      <c r="E29" s="179"/>
      <c r="F29" s="180"/>
      <c r="G29" s="177"/>
    </row>
    <row r="30" spans="1:7">
      <c r="A30" s="187" t="s">
        <v>98</v>
      </c>
      <c r="B30" s="71"/>
      <c r="C30" s="203">
        <f>C28+C29</f>
        <v>0</v>
      </c>
      <c r="D30" s="179"/>
      <c r="E30" s="179"/>
      <c r="F30" s="180"/>
      <c r="G30" s="177"/>
    </row>
    <row r="31" spans="1:7">
      <c r="A31" s="204" t="s">
        <v>99</v>
      </c>
      <c r="B31" s="205"/>
      <c r="C31" s="206"/>
      <c r="E31" s="207"/>
      <c r="F31" s="180"/>
      <c r="G31" s="177"/>
    </row>
    <row r="32" spans="1:7">
      <c r="A32" s="183"/>
      <c r="B32" s="208"/>
      <c r="C32" s="209"/>
      <c r="E32" s="184"/>
      <c r="F32" s="177"/>
      <c r="G32" s="177"/>
    </row>
    <row r="33" spans="1:7">
      <c r="A33" s="210" t="s">
        <v>100</v>
      </c>
      <c r="B33" s="211"/>
      <c r="C33" s="212" t="e">
        <f>(C30/C28)*C31</f>
        <v>#DIV/0!</v>
      </c>
      <c r="E33" s="213"/>
      <c r="F33" s="180"/>
      <c r="G33" s="214"/>
    </row>
    <row r="34" spans="1:7">
      <c r="A34" s="183"/>
      <c r="B34" s="184"/>
      <c r="C34" s="184"/>
      <c r="E34" s="213"/>
      <c r="F34" s="180"/>
      <c r="G34" s="177"/>
    </row>
    <row r="35" spans="1:7" ht="18">
      <c r="A35" s="238" t="s">
        <v>101</v>
      </c>
      <c r="B35" s="239"/>
      <c r="C35" s="240"/>
      <c r="E35" s="213"/>
      <c r="F35" s="180"/>
      <c r="G35" s="177"/>
    </row>
    <row r="36" spans="1:7">
      <c r="A36" s="196"/>
      <c r="B36" s="176"/>
      <c r="C36" s="197"/>
      <c r="E36" s="213"/>
      <c r="F36" s="180"/>
      <c r="G36" s="177"/>
    </row>
    <row r="37" spans="1:7">
      <c r="A37" s="196"/>
      <c r="B37" s="241" t="s">
        <v>102</v>
      </c>
      <c r="C37" s="197"/>
      <c r="E37" s="213"/>
      <c r="F37" s="180"/>
      <c r="G37" s="177"/>
    </row>
    <row r="38" spans="1:7">
      <c r="A38" s="215" t="s">
        <v>103</v>
      </c>
      <c r="B38" s="216">
        <v>365</v>
      </c>
      <c r="C38" s="197"/>
      <c r="E38" s="213"/>
      <c r="F38" s="180"/>
      <c r="G38" s="217"/>
    </row>
    <row r="39" spans="1:7">
      <c r="A39" s="215" t="s">
        <v>104</v>
      </c>
      <c r="B39" s="216">
        <v>104</v>
      </c>
      <c r="C39" s="197"/>
      <c r="E39" s="213"/>
      <c r="F39" s="180"/>
      <c r="G39" s="217"/>
    </row>
    <row r="40" spans="1:7">
      <c r="A40" s="218" t="s">
        <v>105</v>
      </c>
      <c r="B40" s="219">
        <f>B38-B39</f>
        <v>261</v>
      </c>
      <c r="C40" s="197"/>
      <c r="E40" s="213"/>
      <c r="F40" s="180"/>
      <c r="G40" s="220"/>
    </row>
    <row r="41" spans="1:7">
      <c r="A41" s="221"/>
      <c r="B41" s="91"/>
      <c r="C41" s="197"/>
      <c r="E41" s="213"/>
      <c r="F41" s="180"/>
      <c r="G41" s="220"/>
    </row>
    <row r="42" spans="1:7">
      <c r="A42" s="215" t="s">
        <v>106</v>
      </c>
      <c r="B42" s="222"/>
      <c r="C42" s="197"/>
      <c r="E42" s="213"/>
      <c r="F42" s="180"/>
      <c r="G42" s="220"/>
    </row>
    <row r="43" spans="1:7">
      <c r="A43" s="215" t="s">
        <v>107</v>
      </c>
      <c r="B43" s="222"/>
      <c r="C43" s="197"/>
      <c r="E43" s="213"/>
      <c r="F43" s="180"/>
      <c r="G43" s="220"/>
    </row>
    <row r="44" spans="1:7">
      <c r="A44" s="215" t="s">
        <v>108</v>
      </c>
      <c r="B44" s="222"/>
      <c r="C44" s="197"/>
      <c r="E44" s="213"/>
      <c r="F44" s="180"/>
      <c r="G44" s="220"/>
    </row>
    <row r="45" spans="1:7">
      <c r="A45" s="215" t="s">
        <v>109</v>
      </c>
      <c r="B45" s="222"/>
      <c r="C45" s="197"/>
      <c r="E45" s="213"/>
      <c r="F45" s="180"/>
      <c r="G45" s="220"/>
    </row>
    <row r="46" spans="1:7">
      <c r="A46" s="218" t="s">
        <v>110</v>
      </c>
      <c r="B46" s="219">
        <f>B40-SUM(B42:B45)</f>
        <v>261</v>
      </c>
      <c r="C46" s="197"/>
      <c r="E46" s="213"/>
      <c r="F46" s="180"/>
      <c r="G46" s="220"/>
    </row>
    <row r="47" spans="1:7">
      <c r="A47" s="223"/>
      <c r="B47" s="91"/>
      <c r="C47" s="197"/>
      <c r="E47" s="213"/>
      <c r="F47" s="180"/>
      <c r="G47" s="220"/>
    </row>
    <row r="48" spans="1:7">
      <c r="A48" s="224" t="s">
        <v>111</v>
      </c>
      <c r="B48" s="225">
        <f>IF(B42=0,0,B42/$B$46)</f>
        <v>0</v>
      </c>
      <c r="C48" s="197"/>
      <c r="E48" s="213"/>
      <c r="F48" s="180"/>
      <c r="G48" s="220"/>
    </row>
    <row r="49" spans="1:7">
      <c r="A49" s="224" t="s">
        <v>107</v>
      </c>
      <c r="B49" s="225">
        <f>IF(B43=0,0,B43/$B$46)</f>
        <v>0</v>
      </c>
      <c r="C49" s="197"/>
      <c r="E49" s="213"/>
      <c r="F49" s="180"/>
      <c r="G49" s="220"/>
    </row>
    <row r="50" spans="1:7">
      <c r="A50" s="215" t="s">
        <v>108</v>
      </c>
      <c r="B50" s="225">
        <f>IF(B44=0,0,B44/$B$46)</f>
        <v>0</v>
      </c>
      <c r="C50" s="197"/>
      <c r="E50" s="213"/>
      <c r="F50" s="180"/>
      <c r="G50" s="220"/>
    </row>
    <row r="51" spans="1:7">
      <c r="A51" s="224" t="s">
        <v>109</v>
      </c>
      <c r="B51" s="225">
        <f>IF(B45=0,0,B45/$B$46)</f>
        <v>0</v>
      </c>
      <c r="C51" s="197"/>
      <c r="E51" s="213"/>
      <c r="F51" s="180"/>
      <c r="G51" s="226"/>
    </row>
    <row r="52" spans="1:7">
      <c r="A52" s="218" t="s">
        <v>112</v>
      </c>
      <c r="B52" s="227">
        <f>SUM(B48:B51)</f>
        <v>0</v>
      </c>
      <c r="C52" s="197"/>
      <c r="E52" s="213"/>
      <c r="F52" s="180"/>
      <c r="G52" s="228"/>
    </row>
    <row r="53" spans="1:7">
      <c r="A53" s="229"/>
      <c r="B53" s="229"/>
      <c r="C53" s="229"/>
      <c r="E53" s="213"/>
      <c r="F53" s="180"/>
      <c r="G53" s="174"/>
    </row>
    <row r="54" spans="1:7" ht="31.15" customHeight="1">
      <c r="A54" s="538" t="s">
        <v>113</v>
      </c>
      <c r="B54" s="539"/>
      <c r="C54" s="540"/>
      <c r="E54" s="213"/>
      <c r="F54" s="180"/>
      <c r="G54" s="174"/>
    </row>
    <row r="57" spans="1:7" ht="14.25">
      <c r="A57" s="230"/>
      <c r="B57" s="231"/>
    </row>
    <row r="58" spans="1:7" ht="14.25">
      <c r="A58" s="230"/>
      <c r="B58" s="231"/>
    </row>
    <row r="59" spans="1:7" ht="14.25">
      <c r="A59" s="230"/>
      <c r="B59" s="231"/>
    </row>
    <row r="60" spans="1:7" ht="14.25">
      <c r="A60" s="230"/>
      <c r="B60" s="231"/>
    </row>
    <row r="61" spans="1:7" ht="14.25">
      <c r="A61" s="232"/>
      <c r="B61" s="231"/>
    </row>
    <row r="62" spans="1:7" ht="14.25">
      <c r="A62" s="231"/>
      <c r="B62" s="231"/>
    </row>
    <row r="63" spans="1:7" ht="14.25">
      <c r="A63" s="231"/>
      <c r="B63" s="231"/>
    </row>
    <row r="64" spans="1:7" ht="14.25">
      <c r="A64" s="231"/>
      <c r="B64" s="231"/>
    </row>
    <row r="65" spans="1:3" ht="14.25">
      <c r="A65" s="231"/>
      <c r="B65" s="231"/>
    </row>
    <row r="66" spans="1:3" ht="14.25">
      <c r="A66" s="231"/>
      <c r="B66" s="231"/>
    </row>
    <row r="67" spans="1:3" ht="14.25">
      <c r="A67" s="231"/>
      <c r="B67" s="231"/>
    </row>
    <row r="68" spans="1:3" ht="14.25">
      <c r="A68" s="231"/>
      <c r="B68" s="231"/>
    </row>
    <row r="69" spans="1:3" ht="14.25">
      <c r="A69" s="231"/>
      <c r="B69" s="233"/>
    </row>
    <row r="70" spans="1:3" ht="14.25">
      <c r="A70" s="231"/>
      <c r="B70" s="231"/>
    </row>
    <row r="71" spans="1:3" ht="14.25">
      <c r="B71" s="231"/>
    </row>
    <row r="72" spans="1:3" ht="14.25">
      <c r="A72" s="231"/>
      <c r="B72" s="231"/>
      <c r="C72" s="231"/>
    </row>
    <row r="73" spans="1:3" ht="14.25">
      <c r="A73" s="234"/>
      <c r="B73" s="231"/>
      <c r="C73" s="234"/>
    </row>
    <row r="74" spans="1:3" ht="14.25">
      <c r="A74" s="231"/>
      <c r="B74" s="231"/>
      <c r="C74" s="231"/>
    </row>
    <row r="75" spans="1:3" ht="14.25">
      <c r="A75" s="231"/>
      <c r="B75" s="231"/>
      <c r="C75" s="231"/>
    </row>
    <row r="76" spans="1:3" ht="14.25">
      <c r="A76" s="231"/>
      <c r="B76" s="231"/>
      <c r="C76" s="231"/>
    </row>
    <row r="77" spans="1:3" ht="14.25">
      <c r="A77" s="234"/>
      <c r="B77" s="231"/>
      <c r="C77" s="234"/>
    </row>
    <row r="78" spans="1:3" ht="14.25">
      <c r="A78" s="234"/>
      <c r="B78" s="231"/>
      <c r="C78" s="234"/>
    </row>
    <row r="79" spans="1:3" ht="14.25">
      <c r="A79" s="234"/>
      <c r="B79" s="231"/>
      <c r="C79" s="234"/>
    </row>
    <row r="80" spans="1:3" ht="14.25">
      <c r="A80" s="231"/>
      <c r="B80" s="231"/>
    </row>
    <row r="81" spans="1:2" ht="14.25">
      <c r="A81" s="231"/>
      <c r="B81" s="231"/>
    </row>
    <row r="82" spans="1:2" ht="14.25">
      <c r="A82" s="231"/>
      <c r="B82" s="231"/>
    </row>
  </sheetData>
  <dataConsolidate/>
  <mergeCells count="7">
    <mergeCell ref="A54:C54"/>
    <mergeCell ref="A17:B17"/>
    <mergeCell ref="A23:B23"/>
    <mergeCell ref="A20:B20"/>
    <mergeCell ref="A19:B19"/>
    <mergeCell ref="A22:B22"/>
    <mergeCell ref="A21:B21"/>
  </mergeCells>
  <phoneticPr fontId="11"/>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1"/>
  <sheetViews>
    <sheetView showGridLines="0" showZeros="0" showOutlineSymbols="0" zoomScale="80" zoomScaleNormal="80" zoomScalePageLayoutView="50" workbookViewId="0">
      <pane ySplit="9" topLeftCell="A10" activePane="bottomLeft" state="frozen"/>
      <selection activeCell="A5" sqref="A5"/>
      <selection pane="bottomLeft" activeCell="A10" sqref="A10"/>
    </sheetView>
  </sheetViews>
  <sheetFormatPr defaultColWidth="11.42578125" defaultRowHeight="12.75"/>
  <cols>
    <col min="1" max="1" width="35.7109375" style="6" customWidth="1"/>
    <col min="2" max="2" width="21.7109375" style="6" customWidth="1"/>
    <col min="3" max="3" width="19.28515625" style="6" bestFit="1" customWidth="1"/>
    <col min="4" max="4" width="2" style="6" customWidth="1"/>
    <col min="5" max="5" width="14.42578125" style="6" customWidth="1"/>
    <col min="6" max="6" width="12.28515625" style="6" customWidth="1"/>
    <col min="7" max="7" width="6" style="6" customWidth="1"/>
    <col min="8" max="8" width="27.5703125" style="6" customWidth="1"/>
    <col min="9" max="10" width="11.42578125" style="6"/>
    <col min="11" max="11" width="12.5703125" style="6" customWidth="1"/>
    <col min="12" max="15" width="11.42578125" style="6"/>
    <col min="16" max="16" width="23.5703125" style="6" bestFit="1" customWidth="1"/>
    <col min="17" max="16384" width="11.42578125" style="6"/>
  </cols>
  <sheetData>
    <row r="1" spans="1:22" ht="12.75" customHeight="1">
      <c r="A1" s="172" t="s">
        <v>2</v>
      </c>
      <c r="B1" s="173"/>
      <c r="C1" s="174"/>
      <c r="D1" s="174"/>
      <c r="E1" s="174"/>
      <c r="F1" s="174"/>
      <c r="H1" s="548"/>
      <c r="I1" s="548"/>
      <c r="J1" s="548"/>
      <c r="K1" s="548"/>
      <c r="L1" s="548"/>
      <c r="M1" s="548"/>
      <c r="N1" s="548"/>
    </row>
    <row r="2" spans="1:22">
      <c r="A2" s="242"/>
      <c r="B2" s="243"/>
      <c r="C2" s="244"/>
      <c r="D2" s="243"/>
      <c r="E2" s="245"/>
      <c r="F2" s="246"/>
      <c r="H2" s="548"/>
      <c r="I2" s="548"/>
      <c r="J2" s="548"/>
      <c r="K2" s="548"/>
      <c r="L2" s="548"/>
      <c r="M2" s="548"/>
      <c r="N2" s="548"/>
    </row>
    <row r="3" spans="1:22" ht="18">
      <c r="A3" s="247" t="str">
        <f>'2-Kosten per locatie'!A3</f>
        <v>Naam opdrachtgever</v>
      </c>
      <c r="B3" s="248" t="str">
        <f>'2-Kosten per locatie'!B3</f>
        <v>Voortgezet Onderwijs van Amsterdam</v>
      </c>
      <c r="C3" s="249"/>
      <c r="D3" s="243"/>
      <c r="E3" s="250"/>
      <c r="F3" s="251"/>
      <c r="H3" s="548"/>
      <c r="I3" s="548"/>
      <c r="J3" s="548"/>
      <c r="K3" s="548"/>
      <c r="L3" s="548"/>
      <c r="M3" s="548"/>
      <c r="N3" s="548"/>
    </row>
    <row r="4" spans="1:22" ht="15.75">
      <c r="A4" s="247" t="str">
        <f>'2-Kosten per locatie'!A4</f>
        <v>Calculatie onderdeel</v>
      </c>
      <c r="B4" s="252" t="str">
        <f ca="1">MID(CELL("bestandsnaam",$C$8),SEARCH("]",CELL("bestandsnaam",$C$8),1)+1,256)</f>
        <v>6-Opbouw uurtarief productie</v>
      </c>
      <c r="C4" s="253"/>
      <c r="D4" s="254"/>
      <c r="H4" s="548"/>
      <c r="I4" s="548"/>
      <c r="J4" s="548"/>
      <c r="K4" s="548"/>
      <c r="L4" s="548"/>
      <c r="M4" s="548"/>
      <c r="N4" s="548"/>
      <c r="O4" s="255"/>
      <c r="P4" s="255"/>
      <c r="Q4" s="255"/>
      <c r="R4" s="255"/>
      <c r="S4" s="255"/>
    </row>
    <row r="5" spans="1:22" ht="15.75">
      <c r="A5" s="247" t="str">
        <f>'2-Kosten per locatie'!A5</f>
        <v>Plaats</v>
      </c>
      <c r="B5" s="248" t="str">
        <f>'2-Kosten per locatie'!B5</f>
        <v>Amsterdam</v>
      </c>
      <c r="C5" s="253"/>
      <c r="D5" s="254"/>
      <c r="H5" s="548"/>
      <c r="I5" s="548"/>
      <c r="J5" s="548"/>
      <c r="K5" s="548"/>
      <c r="L5" s="548"/>
      <c r="M5" s="548"/>
      <c r="N5" s="548"/>
      <c r="O5" s="256"/>
      <c r="P5" s="256"/>
      <c r="Q5" s="256"/>
      <c r="R5" s="256"/>
      <c r="S5" s="256"/>
    </row>
    <row r="6" spans="1:22" ht="15.75">
      <c r="A6" s="247" t="str">
        <f>'2-Kosten per locatie'!A6</f>
        <v>Naam dienstverlener</v>
      </c>
      <c r="B6" s="248">
        <f>'2-Kosten per locatie'!B6</f>
        <v>0</v>
      </c>
      <c r="C6" s="253"/>
      <c r="D6" s="254"/>
      <c r="E6"/>
      <c r="F6"/>
      <c r="G6"/>
      <c r="H6"/>
      <c r="I6" s="257"/>
      <c r="J6" s="257"/>
      <c r="K6" s="257"/>
      <c r="L6" s="257"/>
      <c r="M6" s="257"/>
      <c r="N6" s="257"/>
    </row>
    <row r="7" spans="1:22" ht="15.75">
      <c r="A7" s="247" t="str">
        <f>'2-Kosten per locatie'!A7</f>
        <v>Prijspeil</v>
      </c>
      <c r="B7" s="259">
        <f>'2-Kosten per locatie'!B7</f>
        <v>45839</v>
      </c>
      <c r="C7" s="253"/>
      <c r="D7" s="254"/>
      <c r="E7"/>
      <c r="F7"/>
      <c r="G7"/>
      <c r="H7"/>
      <c r="J7" s="257"/>
      <c r="K7" s="257"/>
      <c r="L7" s="257"/>
      <c r="M7" s="257"/>
      <c r="N7" s="257"/>
      <c r="O7" s="260"/>
      <c r="P7"/>
      <c r="Q7"/>
      <c r="R7"/>
      <c r="S7"/>
      <c r="T7"/>
      <c r="U7"/>
      <c r="V7"/>
    </row>
    <row r="8" spans="1:22" ht="15.75">
      <c r="A8" s="261"/>
      <c r="B8" s="262"/>
      <c r="C8" s="263"/>
      <c r="D8" s="254"/>
      <c r="E8" s="264"/>
      <c r="F8" s="265"/>
      <c r="P8"/>
      <c r="Q8"/>
      <c r="R8"/>
      <c r="S8"/>
      <c r="T8"/>
      <c r="U8"/>
      <c r="V8"/>
    </row>
    <row r="9" spans="1:22" s="260" customFormat="1" ht="30.75" customHeight="1">
      <c r="A9" s="345" t="s">
        <v>114</v>
      </c>
      <c r="B9" s="346"/>
      <c r="C9" s="347"/>
      <c r="D9" s="266"/>
      <c r="E9" s="546" t="s">
        <v>115</v>
      </c>
      <c r="F9" s="547"/>
      <c r="H9" s="345" t="s">
        <v>116</v>
      </c>
      <c r="I9" s="545" t="s">
        <v>1694</v>
      </c>
      <c r="J9" s="545"/>
      <c r="K9" s="545"/>
      <c r="L9" s="545"/>
      <c r="M9" s="545"/>
      <c r="N9" s="545"/>
      <c r="P9"/>
      <c r="Q9"/>
      <c r="R9"/>
      <c r="S9"/>
      <c r="T9"/>
      <c r="U9"/>
      <c r="V9"/>
    </row>
    <row r="10" spans="1:22" ht="30" customHeight="1">
      <c r="A10" s="267"/>
      <c r="B10" s="268" t="s">
        <v>117</v>
      </c>
      <c r="C10" s="269" t="s">
        <v>117</v>
      </c>
      <c r="D10" s="254"/>
      <c r="E10" s="270"/>
      <c r="F10" s="271"/>
      <c r="H10" s="267"/>
      <c r="I10" s="272">
        <v>1</v>
      </c>
      <c r="J10" s="272">
        <v>2</v>
      </c>
      <c r="K10" s="272">
        <v>3</v>
      </c>
      <c r="L10" s="272">
        <v>4</v>
      </c>
      <c r="M10" s="272">
        <v>5</v>
      </c>
      <c r="N10" s="272">
        <v>6</v>
      </c>
      <c r="P10"/>
      <c r="Q10"/>
      <c r="R10"/>
      <c r="S10"/>
      <c r="T10"/>
      <c r="U10"/>
      <c r="V10"/>
    </row>
    <row r="11" spans="1:22">
      <c r="A11" s="267" t="s">
        <v>118</v>
      </c>
      <c r="B11" s="273" t="s">
        <v>119</v>
      </c>
      <c r="C11" s="274"/>
      <c r="D11" s="254"/>
      <c r="E11" s="275">
        <f>SUM(I39:N39)</f>
        <v>0</v>
      </c>
      <c r="F11" s="276"/>
      <c r="H11" s="267" t="s">
        <v>120</v>
      </c>
      <c r="I11" s="277"/>
      <c r="J11" s="277"/>
      <c r="K11" s="277"/>
      <c r="L11" s="277"/>
      <c r="M11" s="277"/>
      <c r="N11" s="277"/>
      <c r="P11"/>
      <c r="Q11"/>
      <c r="R11"/>
      <c r="S11"/>
      <c r="T11"/>
      <c r="U11"/>
      <c r="V11"/>
    </row>
    <row r="12" spans="1:22">
      <c r="A12" s="267" t="s">
        <v>121</v>
      </c>
      <c r="B12" s="273" t="s">
        <v>119</v>
      </c>
      <c r="C12" s="278"/>
      <c r="D12" s="254"/>
      <c r="E12" s="279">
        <v>0</v>
      </c>
      <c r="F12" s="276"/>
      <c r="H12" s="267" t="s">
        <v>122</v>
      </c>
      <c r="I12" s="277"/>
      <c r="J12" s="277"/>
      <c r="K12" s="277"/>
      <c r="L12" s="277"/>
      <c r="M12" s="277"/>
      <c r="N12" s="277"/>
      <c r="P12"/>
      <c r="Q12"/>
      <c r="R12"/>
      <c r="S12"/>
      <c r="T12"/>
      <c r="U12"/>
      <c r="V12"/>
    </row>
    <row r="13" spans="1:22">
      <c r="A13" s="280" t="s">
        <v>124</v>
      </c>
      <c r="B13" s="281"/>
      <c r="C13" s="282"/>
      <c r="D13" s="283"/>
      <c r="E13" s="284">
        <f>SUM(E11:E12)</f>
        <v>0</v>
      </c>
      <c r="F13" s="276"/>
      <c r="H13" s="267" t="s">
        <v>123</v>
      </c>
      <c r="I13" s="277"/>
      <c r="J13" s="277"/>
      <c r="K13" s="277"/>
      <c r="L13" s="277"/>
      <c r="M13" s="277"/>
      <c r="N13" s="277"/>
      <c r="P13"/>
      <c r="Q13"/>
      <c r="R13"/>
      <c r="S13"/>
      <c r="T13"/>
      <c r="U13"/>
      <c r="V13"/>
    </row>
    <row r="14" spans="1:22">
      <c r="A14" s="285"/>
      <c r="B14" s="286"/>
      <c r="C14" s="287"/>
      <c r="D14" s="254"/>
      <c r="E14" s="288"/>
      <c r="F14" s="276"/>
      <c r="H14" s="267" t="s">
        <v>125</v>
      </c>
      <c r="I14" s="277"/>
      <c r="J14" s="277"/>
      <c r="K14" s="277"/>
      <c r="L14" s="277"/>
      <c r="M14" s="277"/>
      <c r="N14" s="277"/>
      <c r="P14"/>
      <c r="Q14"/>
      <c r="R14"/>
      <c r="S14"/>
      <c r="T14"/>
      <c r="U14"/>
      <c r="V14"/>
    </row>
    <row r="15" spans="1:22">
      <c r="A15" s="289" t="s">
        <v>127</v>
      </c>
      <c r="B15" s="273" t="s">
        <v>119</v>
      </c>
      <c r="C15" s="290"/>
      <c r="D15" s="254"/>
      <c r="E15" s="291">
        <f>$C15*E13</f>
        <v>0</v>
      </c>
      <c r="F15" s="276"/>
      <c r="H15" s="267" t="s">
        <v>126</v>
      </c>
      <c r="I15" s="277"/>
      <c r="J15" s="277"/>
      <c r="K15" s="277"/>
      <c r="L15" s="277"/>
      <c r="M15" s="277"/>
      <c r="N15" s="277"/>
      <c r="P15"/>
      <c r="Q15"/>
      <c r="R15"/>
      <c r="S15"/>
      <c r="T15"/>
      <c r="U15"/>
      <c r="V15"/>
    </row>
    <row r="16" spans="1:22">
      <c r="A16" s="289" t="s">
        <v>129</v>
      </c>
      <c r="B16" s="273" t="s">
        <v>119</v>
      </c>
      <c r="C16" s="290"/>
      <c r="D16" s="254"/>
      <c r="E16" s="292">
        <f>$C16*E13</f>
        <v>0</v>
      </c>
      <c r="F16" s="276"/>
      <c r="H16" s="267" t="s">
        <v>128</v>
      </c>
      <c r="I16" s="277"/>
      <c r="J16" s="277"/>
      <c r="K16" s="277"/>
      <c r="L16" s="277"/>
      <c r="M16" s="277"/>
      <c r="N16" s="277"/>
      <c r="P16"/>
      <c r="Q16"/>
      <c r="R16"/>
      <c r="S16"/>
      <c r="T16"/>
      <c r="U16"/>
      <c r="V16"/>
    </row>
    <row r="17" spans="1:22">
      <c r="A17" s="280" t="s">
        <v>131</v>
      </c>
      <c r="B17" s="293"/>
      <c r="C17" s="294"/>
      <c r="D17" s="254"/>
      <c r="E17" s="284">
        <f>SUM(E13:E16)</f>
        <v>0</v>
      </c>
      <c r="F17" s="295">
        <f>IF(E17=0,0,E17/E$45)</f>
        <v>0</v>
      </c>
      <c r="H17" s="267" t="s">
        <v>130</v>
      </c>
      <c r="I17" s="277"/>
      <c r="J17" s="277"/>
      <c r="K17" s="277"/>
      <c r="L17" s="277"/>
      <c r="M17" s="277"/>
      <c r="N17" s="277"/>
      <c r="P17"/>
      <c r="Q17"/>
      <c r="R17"/>
      <c r="S17"/>
      <c r="T17"/>
      <c r="U17"/>
      <c r="V17"/>
    </row>
    <row r="18" spans="1:22">
      <c r="A18" s="285"/>
      <c r="B18" s="286"/>
      <c r="C18" s="287"/>
      <c r="D18" s="254"/>
      <c r="E18" s="288"/>
      <c r="F18" s="276"/>
      <c r="P18"/>
      <c r="Q18"/>
      <c r="R18"/>
      <c r="S18"/>
      <c r="T18"/>
      <c r="U18"/>
      <c r="V18"/>
    </row>
    <row r="19" spans="1:22">
      <c r="A19" s="296" t="s">
        <v>133</v>
      </c>
      <c r="B19" s="297"/>
      <c r="C19" s="287"/>
      <c r="D19" s="298"/>
      <c r="E19" s="299">
        <f>E17*0.96</f>
        <v>0</v>
      </c>
      <c r="F19" s="300"/>
      <c r="G19" s="301"/>
      <c r="H19" s="345" t="s">
        <v>116</v>
      </c>
      <c r="I19" s="549" t="s">
        <v>132</v>
      </c>
      <c r="J19" s="550"/>
      <c r="K19" s="550"/>
      <c r="L19" s="550"/>
      <c r="M19" s="550"/>
      <c r="N19" s="551"/>
      <c r="P19"/>
      <c r="Q19"/>
      <c r="R19"/>
      <c r="S19"/>
      <c r="T19"/>
      <c r="U19"/>
      <c r="V19"/>
    </row>
    <row r="20" spans="1:22">
      <c r="A20" s="289" t="s">
        <v>134</v>
      </c>
      <c r="B20" s="297"/>
      <c r="C20" s="302" t="s">
        <v>135</v>
      </c>
      <c r="D20" s="254"/>
      <c r="E20" s="291" t="e">
        <f>E19*'5-Premies en opslagen'!$C23</f>
        <v>#DIV/0!</v>
      </c>
      <c r="F20" s="276"/>
      <c r="H20" s="267"/>
      <c r="I20" s="272">
        <v>1</v>
      </c>
      <c r="J20" s="272">
        <v>2</v>
      </c>
      <c r="K20" s="272">
        <v>3</v>
      </c>
      <c r="L20" s="272">
        <v>4</v>
      </c>
      <c r="M20" s="272">
        <v>5</v>
      </c>
      <c r="N20" s="272">
        <v>6</v>
      </c>
      <c r="O20" s="301"/>
      <c r="P20" s="301"/>
      <c r="Q20" s="301"/>
      <c r="R20" s="301"/>
      <c r="S20" s="301"/>
      <c r="T20" s="301"/>
      <c r="U20" s="301"/>
      <c r="V20" s="301"/>
    </row>
    <row r="21" spans="1:22" s="301" customFormat="1">
      <c r="A21" s="280" t="s">
        <v>136</v>
      </c>
      <c r="B21" s="304"/>
      <c r="C21" s="294"/>
      <c r="D21" s="254"/>
      <c r="E21" s="284" t="e">
        <f>E20+E17</f>
        <v>#DIV/0!</v>
      </c>
      <c r="F21" s="295" t="e">
        <f>IF(E21=0,0,E21/E$45)</f>
        <v>#DIV/0!</v>
      </c>
      <c r="G21" s="6"/>
      <c r="H21" s="267" t="s">
        <v>120</v>
      </c>
      <c r="I21" s="303"/>
      <c r="J21" s="303"/>
      <c r="K21" s="303"/>
      <c r="L21" s="303"/>
      <c r="M21" s="303"/>
      <c r="N21" s="303"/>
      <c r="O21" s="6"/>
      <c r="P21" s="6"/>
      <c r="Q21" s="6"/>
      <c r="R21" s="6"/>
      <c r="S21" s="6"/>
      <c r="T21" s="6"/>
      <c r="U21" s="6"/>
      <c r="V21" s="6"/>
    </row>
    <row r="22" spans="1:22" ht="14.25" customHeight="1">
      <c r="A22" s="285"/>
      <c r="B22" s="293"/>
      <c r="C22" s="294"/>
      <c r="D22" s="254"/>
      <c r="E22" s="270"/>
      <c r="F22" s="276"/>
      <c r="H22" s="267" t="s">
        <v>122</v>
      </c>
      <c r="I22" s="303"/>
      <c r="J22" s="303"/>
      <c r="K22" s="303"/>
      <c r="L22" s="303"/>
      <c r="M22" s="303"/>
      <c r="N22" s="303"/>
    </row>
    <row r="23" spans="1:22" ht="12.75" customHeight="1">
      <c r="A23" s="289" t="s">
        <v>137</v>
      </c>
      <c r="B23" s="297"/>
      <c r="C23" s="302" t="s">
        <v>135</v>
      </c>
      <c r="D23" s="254"/>
      <c r="E23" s="291" t="e">
        <f>E21*'5-Premies en opslagen'!$B52</f>
        <v>#DIV/0!</v>
      </c>
      <c r="F23" s="276"/>
      <c r="H23" s="267" t="s">
        <v>123</v>
      </c>
      <c r="I23" s="303"/>
      <c r="J23" s="303"/>
      <c r="K23" s="303"/>
      <c r="L23" s="303"/>
      <c r="M23" s="303"/>
      <c r="N23" s="303"/>
    </row>
    <row r="24" spans="1:22" ht="12.75" customHeight="1">
      <c r="A24" s="280" t="s">
        <v>138</v>
      </c>
      <c r="B24" s="293"/>
      <c r="C24" s="294"/>
      <c r="D24" s="254"/>
      <c r="E24" s="284" t="e">
        <f>SUM(E21:E23)</f>
        <v>#DIV/0!</v>
      </c>
      <c r="F24" s="295" t="e">
        <f>IF(E24=0,0,E24/E$45)</f>
        <v>#DIV/0!</v>
      </c>
      <c r="H24" s="267" t="s">
        <v>125</v>
      </c>
      <c r="I24" s="303"/>
      <c r="J24" s="303"/>
      <c r="K24" s="303"/>
      <c r="L24" s="303"/>
      <c r="M24" s="303"/>
      <c r="N24" s="303"/>
    </row>
    <row r="25" spans="1:22">
      <c r="A25" s="285"/>
      <c r="B25" s="293"/>
      <c r="C25" s="294"/>
      <c r="D25" s="254"/>
      <c r="E25" s="270"/>
      <c r="F25" s="276"/>
      <c r="H25" s="267" t="s">
        <v>126</v>
      </c>
      <c r="I25" s="303"/>
      <c r="J25" s="303"/>
      <c r="K25" s="303"/>
      <c r="L25" s="303"/>
      <c r="M25" s="303"/>
      <c r="N25" s="303"/>
    </row>
    <row r="26" spans="1:22">
      <c r="A26" s="285" t="s">
        <v>139</v>
      </c>
      <c r="B26" s="305"/>
      <c r="C26" s="278" t="s">
        <v>140</v>
      </c>
      <c r="D26" s="254"/>
      <c r="E26" s="279"/>
      <c r="F26" s="276">
        <v>0</v>
      </c>
      <c r="H26" s="267" t="s">
        <v>128</v>
      </c>
      <c r="I26" s="303"/>
      <c r="J26" s="303"/>
      <c r="K26" s="303"/>
      <c r="L26" s="303"/>
      <c r="M26" s="303"/>
      <c r="N26" s="303"/>
    </row>
    <row r="27" spans="1:22">
      <c r="A27" s="285" t="s">
        <v>141</v>
      </c>
      <c r="B27" s="306"/>
      <c r="C27" s="278" t="s">
        <v>140</v>
      </c>
      <c r="D27" s="254"/>
      <c r="E27" s="279"/>
      <c r="F27" s="276">
        <v>0</v>
      </c>
      <c r="H27" s="267" t="s">
        <v>130</v>
      </c>
      <c r="I27" s="303"/>
      <c r="J27" s="303"/>
      <c r="K27" s="303"/>
      <c r="L27" s="303"/>
      <c r="M27" s="303"/>
      <c r="N27" s="303"/>
    </row>
    <row r="28" spans="1:22">
      <c r="A28" s="285" t="s">
        <v>143</v>
      </c>
      <c r="B28" s="293"/>
      <c r="C28" s="294" t="s">
        <v>117</v>
      </c>
      <c r="D28" s="254"/>
      <c r="E28" s="279"/>
      <c r="F28" s="309" t="e">
        <f>E28/$E$45</f>
        <v>#DIV/0!</v>
      </c>
      <c r="H28" s="100" t="s">
        <v>142</v>
      </c>
      <c r="I28" s="307">
        <f t="shared" ref="I28:N28" si="0">SUM(I21:I27)</f>
        <v>0</v>
      </c>
      <c r="J28" s="307">
        <f t="shared" si="0"/>
        <v>0</v>
      </c>
      <c r="K28" s="307">
        <f t="shared" si="0"/>
        <v>0</v>
      </c>
      <c r="L28" s="307">
        <f t="shared" si="0"/>
        <v>0</v>
      </c>
      <c r="M28" s="307">
        <f t="shared" si="0"/>
        <v>0</v>
      </c>
      <c r="N28" s="307">
        <f t="shared" si="0"/>
        <v>0</v>
      </c>
      <c r="O28" s="308">
        <f>SUM(I28:N28)</f>
        <v>0</v>
      </c>
    </row>
    <row r="29" spans="1:22">
      <c r="A29" s="310"/>
      <c r="B29" s="311"/>
      <c r="C29" s="312" t="s">
        <v>117</v>
      </c>
      <c r="D29" s="254"/>
      <c r="E29" s="279"/>
      <c r="F29" s="276"/>
      <c r="H29" s="301"/>
      <c r="I29" s="301"/>
      <c r="J29" s="301"/>
      <c r="K29" s="301"/>
      <c r="L29" s="301"/>
      <c r="M29" s="301"/>
      <c r="N29" s="301"/>
    </row>
    <row r="30" spans="1:22" ht="12.75" customHeight="1">
      <c r="A30" s="280" t="s">
        <v>145</v>
      </c>
      <c r="B30" s="293"/>
      <c r="C30" s="294"/>
      <c r="D30" s="254"/>
      <c r="E30" s="284" t="e">
        <f>SUM(E24:E29)</f>
        <v>#DIV/0!</v>
      </c>
      <c r="F30" s="295" t="e">
        <f>IF(E30=0,0,E30/E$45)</f>
        <v>#DIV/0!</v>
      </c>
      <c r="H30" s="345" t="s">
        <v>116</v>
      </c>
      <c r="I30" s="545" t="s">
        <v>144</v>
      </c>
      <c r="J30" s="545"/>
      <c r="K30" s="545"/>
      <c r="L30" s="545"/>
      <c r="M30" s="545"/>
      <c r="N30" s="545"/>
    </row>
    <row r="31" spans="1:22" ht="12.75" customHeight="1">
      <c r="A31" s="285"/>
      <c r="B31" s="293"/>
      <c r="C31" s="294"/>
      <c r="D31" s="254"/>
      <c r="E31" s="270"/>
      <c r="F31" s="276"/>
      <c r="H31" s="267"/>
      <c r="I31" s="272">
        <v>1</v>
      </c>
      <c r="J31" s="272">
        <v>2</v>
      </c>
      <c r="K31" s="272">
        <v>3</v>
      </c>
      <c r="L31" s="272">
        <v>4</v>
      </c>
      <c r="M31" s="272">
        <v>5</v>
      </c>
      <c r="N31" s="272">
        <v>6</v>
      </c>
    </row>
    <row r="32" spans="1:22" ht="12.75" customHeight="1">
      <c r="A32" s="285" t="s">
        <v>146</v>
      </c>
      <c r="B32" s="293"/>
      <c r="C32" s="315"/>
      <c r="D32" s="254"/>
      <c r="E32" s="279"/>
      <c r="F32" s="309" t="e">
        <f t="shared" ref="F32:F40" si="1">E32/$E$45</f>
        <v>#DIV/0!</v>
      </c>
      <c r="H32" s="267" t="s">
        <v>120</v>
      </c>
      <c r="I32" s="313">
        <f t="shared" ref="I32:N38" si="2">I21*I11</f>
        <v>0</v>
      </c>
      <c r="J32" s="313">
        <f t="shared" si="2"/>
        <v>0</v>
      </c>
      <c r="K32" s="313">
        <f t="shared" si="2"/>
        <v>0</v>
      </c>
      <c r="L32" s="313">
        <f t="shared" si="2"/>
        <v>0</v>
      </c>
      <c r="M32" s="313">
        <f t="shared" si="2"/>
        <v>0</v>
      </c>
      <c r="N32" s="314">
        <f t="shared" si="2"/>
        <v>0</v>
      </c>
    </row>
    <row r="33" spans="1:22" ht="12.75" customHeight="1">
      <c r="A33" s="285" t="s">
        <v>147</v>
      </c>
      <c r="B33" s="293"/>
      <c r="C33" s="315"/>
      <c r="D33" s="254"/>
      <c r="E33" s="279"/>
      <c r="F33" s="309" t="e">
        <f t="shared" si="1"/>
        <v>#DIV/0!</v>
      </c>
      <c r="H33" s="267" t="s">
        <v>122</v>
      </c>
      <c r="I33" s="313">
        <f t="shared" si="2"/>
        <v>0</v>
      </c>
      <c r="J33" s="313">
        <f t="shared" si="2"/>
        <v>0</v>
      </c>
      <c r="K33" s="313">
        <f t="shared" si="2"/>
        <v>0</v>
      </c>
      <c r="L33" s="313">
        <f t="shared" si="2"/>
        <v>0</v>
      </c>
      <c r="M33" s="313">
        <f t="shared" si="2"/>
        <v>0</v>
      </c>
      <c r="N33" s="314">
        <f t="shared" si="2"/>
        <v>0</v>
      </c>
    </row>
    <row r="34" spans="1:22" ht="12.75" customHeight="1">
      <c r="A34" s="285" t="s">
        <v>148</v>
      </c>
      <c r="B34" s="293"/>
      <c r="C34" s="315"/>
      <c r="D34" s="254"/>
      <c r="E34" s="279"/>
      <c r="F34" s="309" t="e">
        <f t="shared" si="1"/>
        <v>#DIV/0!</v>
      </c>
      <c r="H34" s="267" t="s">
        <v>123</v>
      </c>
      <c r="I34" s="313">
        <f t="shared" si="2"/>
        <v>0</v>
      </c>
      <c r="J34" s="313">
        <f t="shared" si="2"/>
        <v>0</v>
      </c>
      <c r="K34" s="313">
        <f t="shared" si="2"/>
        <v>0</v>
      </c>
      <c r="L34" s="313">
        <f t="shared" si="2"/>
        <v>0</v>
      </c>
      <c r="M34" s="313">
        <f t="shared" si="2"/>
        <v>0</v>
      </c>
      <c r="N34" s="314">
        <f t="shared" si="2"/>
        <v>0</v>
      </c>
      <c r="O34" s="301"/>
    </row>
    <row r="35" spans="1:22" ht="14.25" customHeight="1">
      <c r="A35" s="285" t="s">
        <v>149</v>
      </c>
      <c r="B35" s="293"/>
      <c r="C35" s="316"/>
      <c r="D35" s="254"/>
      <c r="E35" s="279"/>
      <c r="F35" s="309" t="e">
        <f t="shared" si="1"/>
        <v>#DIV/0!</v>
      </c>
      <c r="H35" s="267" t="s">
        <v>125</v>
      </c>
      <c r="I35" s="313">
        <f t="shared" si="2"/>
        <v>0</v>
      </c>
      <c r="J35" s="313">
        <f t="shared" si="2"/>
        <v>0</v>
      </c>
      <c r="K35" s="313">
        <f t="shared" si="2"/>
        <v>0</v>
      </c>
      <c r="L35" s="313">
        <f t="shared" si="2"/>
        <v>0</v>
      </c>
      <c r="M35" s="313">
        <f t="shared" si="2"/>
        <v>0</v>
      </c>
      <c r="N35" s="314">
        <f t="shared" si="2"/>
        <v>0</v>
      </c>
      <c r="O35" s="301"/>
    </row>
    <row r="36" spans="1:22">
      <c r="A36" s="285" t="s">
        <v>150</v>
      </c>
      <c r="B36" s="293"/>
      <c r="C36" s="315"/>
      <c r="D36" s="254"/>
      <c r="E36" s="279"/>
      <c r="F36" s="309" t="e">
        <f t="shared" si="1"/>
        <v>#DIV/0!</v>
      </c>
      <c r="H36" s="267" t="s">
        <v>126</v>
      </c>
      <c r="I36" s="313">
        <f t="shared" si="2"/>
        <v>0</v>
      </c>
      <c r="J36" s="313">
        <f t="shared" si="2"/>
        <v>0</v>
      </c>
      <c r="K36" s="313">
        <f t="shared" si="2"/>
        <v>0</v>
      </c>
      <c r="L36" s="313">
        <f t="shared" si="2"/>
        <v>0</v>
      </c>
      <c r="M36" s="313">
        <f t="shared" si="2"/>
        <v>0</v>
      </c>
      <c r="N36" s="314">
        <f t="shared" si="2"/>
        <v>0</v>
      </c>
      <c r="O36" s="301"/>
    </row>
    <row r="37" spans="1:22">
      <c r="A37" s="285" t="s">
        <v>151</v>
      </c>
      <c r="B37" s="293"/>
      <c r="C37" s="316"/>
      <c r="D37" s="254"/>
      <c r="E37" s="279"/>
      <c r="F37" s="309" t="e">
        <f t="shared" si="1"/>
        <v>#DIV/0!</v>
      </c>
      <c r="H37" s="267" t="s">
        <v>128</v>
      </c>
      <c r="I37" s="313">
        <f t="shared" si="2"/>
        <v>0</v>
      </c>
      <c r="J37" s="313">
        <f t="shared" si="2"/>
        <v>0</v>
      </c>
      <c r="K37" s="313">
        <f t="shared" si="2"/>
        <v>0</v>
      </c>
      <c r="L37" s="313">
        <f t="shared" si="2"/>
        <v>0</v>
      </c>
      <c r="M37" s="313">
        <f t="shared" si="2"/>
        <v>0</v>
      </c>
      <c r="N37" s="314">
        <f t="shared" si="2"/>
        <v>0</v>
      </c>
      <c r="O37" s="301"/>
    </row>
    <row r="38" spans="1:22">
      <c r="A38" s="285" t="s">
        <v>152</v>
      </c>
      <c r="B38" s="293"/>
      <c r="C38" s="278" t="s">
        <v>140</v>
      </c>
      <c r="D38" s="254"/>
      <c r="E38" s="279"/>
      <c r="F38" s="309" t="e">
        <f t="shared" si="1"/>
        <v>#DIV/0!</v>
      </c>
      <c r="H38" s="267" t="s">
        <v>130</v>
      </c>
      <c r="I38" s="313">
        <f t="shared" si="2"/>
        <v>0</v>
      </c>
      <c r="J38" s="313">
        <f t="shared" si="2"/>
        <v>0</v>
      </c>
      <c r="K38" s="313">
        <f t="shared" si="2"/>
        <v>0</v>
      </c>
      <c r="L38" s="313">
        <f t="shared" si="2"/>
        <v>0</v>
      </c>
      <c r="M38" s="313">
        <f t="shared" si="2"/>
        <v>0</v>
      </c>
      <c r="N38" s="314">
        <f t="shared" si="2"/>
        <v>0</v>
      </c>
      <c r="O38" s="301"/>
    </row>
    <row r="39" spans="1:22">
      <c r="A39" s="285" t="s">
        <v>153</v>
      </c>
      <c r="B39" s="293"/>
      <c r="C39" s="278"/>
      <c r="D39" s="254"/>
      <c r="E39" s="279"/>
      <c r="F39" s="309" t="e">
        <f t="shared" si="1"/>
        <v>#DIV/0!</v>
      </c>
      <c r="H39" s="100" t="s">
        <v>142</v>
      </c>
      <c r="I39" s="56">
        <f t="shared" ref="I39:N39" si="3">SUM(I32:I38)</f>
        <v>0</v>
      </c>
      <c r="J39" s="56">
        <f t="shared" si="3"/>
        <v>0</v>
      </c>
      <c r="K39" s="56">
        <f t="shared" si="3"/>
        <v>0</v>
      </c>
      <c r="L39" s="56">
        <f t="shared" si="3"/>
        <v>0</v>
      </c>
      <c r="M39" s="56">
        <f t="shared" si="3"/>
        <v>0</v>
      </c>
      <c r="N39" s="56">
        <f t="shared" si="3"/>
        <v>0</v>
      </c>
      <c r="O39" s="301"/>
    </row>
    <row r="40" spans="1:22">
      <c r="A40" s="310"/>
      <c r="B40" s="311"/>
      <c r="C40" s="317"/>
      <c r="D40" s="254"/>
      <c r="E40" s="279"/>
      <c r="F40" s="276" t="e">
        <f t="shared" si="1"/>
        <v>#DIV/0!</v>
      </c>
      <c r="H40" s="301"/>
      <c r="I40" s="301"/>
      <c r="J40" s="301"/>
      <c r="K40" s="301"/>
      <c r="L40" s="301"/>
      <c r="M40" s="301"/>
      <c r="N40" s="301"/>
      <c r="O40" s="301"/>
    </row>
    <row r="41" spans="1:22">
      <c r="A41" s="280" t="s">
        <v>154</v>
      </c>
      <c r="B41" s="293"/>
      <c r="C41" s="294"/>
      <c r="D41" s="254"/>
      <c r="E41" s="284" t="e">
        <f>SUM(E30:E40)</f>
        <v>#DIV/0!</v>
      </c>
      <c r="F41" s="295" t="e">
        <f>IF(E41=0,0,E41/E$45)</f>
        <v>#DIV/0!</v>
      </c>
      <c r="H41" s="301"/>
      <c r="I41" s="301"/>
      <c r="J41" s="301"/>
      <c r="K41" s="301"/>
      <c r="L41" s="301"/>
      <c r="M41" s="301"/>
      <c r="N41" s="301"/>
      <c r="O41" s="301"/>
    </row>
    <row r="42" spans="1:22" ht="36">
      <c r="A42" s="285"/>
      <c r="B42" s="293"/>
      <c r="C42" s="294"/>
      <c r="D42" s="254"/>
      <c r="E42" s="270"/>
      <c r="F42" s="318"/>
      <c r="H42" s="345" t="s">
        <v>155</v>
      </c>
      <c r="I42" s="346"/>
      <c r="J42" s="347"/>
      <c r="K42" s="348" t="s">
        <v>115</v>
      </c>
      <c r="L42" s="301"/>
      <c r="M42" s="301"/>
      <c r="N42" s="301"/>
    </row>
    <row r="43" spans="1:22">
      <c r="A43" s="285" t="s">
        <v>156</v>
      </c>
      <c r="B43" s="293"/>
      <c r="C43" s="316"/>
      <c r="D43" s="254"/>
      <c r="E43" s="279"/>
      <c r="F43" s="295">
        <f>(IF(E43=0,0,E43/E$45))</f>
        <v>0</v>
      </c>
      <c r="H43" s="267"/>
      <c r="I43" s="268" t="s">
        <v>117</v>
      </c>
      <c r="J43" s="269" t="s">
        <v>117</v>
      </c>
      <c r="K43" s="270"/>
      <c r="L43" s="301"/>
      <c r="M43" s="301"/>
      <c r="N43" s="301"/>
    </row>
    <row r="44" spans="1:22">
      <c r="A44" s="285"/>
      <c r="B44" s="322"/>
      <c r="C44" s="294"/>
      <c r="D44" s="254"/>
      <c r="E44" s="270"/>
      <c r="F44" s="276"/>
      <c r="H44" s="319" t="s">
        <v>124</v>
      </c>
      <c r="I44" s="320"/>
      <c r="J44" s="321"/>
      <c r="K44" s="284">
        <f>E13</f>
        <v>0</v>
      </c>
      <c r="L44" s="301"/>
      <c r="M44" s="301"/>
      <c r="N44" s="301"/>
    </row>
    <row r="45" spans="1:22" ht="30" customHeight="1">
      <c r="A45" s="280" t="s">
        <v>157</v>
      </c>
      <c r="B45" s="326"/>
      <c r="C45" s="327"/>
      <c r="D45" s="254"/>
      <c r="E45" s="328" t="e">
        <f>SUM(E41:E44)</f>
        <v>#DIV/0!</v>
      </c>
      <c r="F45" s="329" t="e">
        <f>SUM(F41:F44)</f>
        <v>#DIV/0!</v>
      </c>
      <c r="H45" s="323" t="s">
        <v>127</v>
      </c>
      <c r="I45" s="324"/>
      <c r="J45" s="325"/>
      <c r="K45" s="291">
        <f>E15</f>
        <v>0</v>
      </c>
      <c r="L45" s="301"/>
      <c r="M45" s="301"/>
      <c r="N45" s="301"/>
    </row>
    <row r="46" spans="1:22">
      <c r="B46" s="330"/>
      <c r="C46" s="331"/>
      <c r="D46" s="254"/>
      <c r="F46" s="332"/>
      <c r="H46" s="289" t="s">
        <v>129</v>
      </c>
      <c r="I46" s="324"/>
      <c r="J46" s="325"/>
      <c r="K46" s="292">
        <f>E16</f>
        <v>0</v>
      </c>
      <c r="L46" s="301"/>
      <c r="M46" s="301"/>
      <c r="N46" s="301"/>
      <c r="O46" s="301"/>
    </row>
    <row r="47" spans="1:22">
      <c r="A47" s="333" t="s">
        <v>158</v>
      </c>
      <c r="B47" s="334"/>
      <c r="C47" s="335"/>
      <c r="D47" s="301"/>
      <c r="E47" s="336" t="e">
        <f>(E$24*1.3)+($E$45-$E$24)</f>
        <v>#DIV/0!</v>
      </c>
      <c r="F47" s="337"/>
      <c r="G47" s="301"/>
      <c r="H47" s="289" t="s">
        <v>134</v>
      </c>
      <c r="I47" s="324"/>
      <c r="J47" s="325"/>
      <c r="K47" s="291" t="e">
        <f>E20</f>
        <v>#DIV/0!</v>
      </c>
      <c r="L47" s="301"/>
      <c r="M47" s="301"/>
      <c r="N47" s="301"/>
      <c r="O47" s="301"/>
      <c r="P47" s="301"/>
    </row>
    <row r="48" spans="1:22">
      <c r="A48" s="301"/>
      <c r="B48" s="338"/>
      <c r="C48" s="339"/>
      <c r="D48" s="301"/>
      <c r="E48" s="301"/>
      <c r="F48" s="301"/>
      <c r="G48" s="301"/>
      <c r="H48" s="289" t="s">
        <v>137</v>
      </c>
      <c r="I48" s="297"/>
      <c r="J48" s="302"/>
      <c r="K48" s="291" t="e">
        <f>E23</f>
        <v>#DIV/0!</v>
      </c>
      <c r="L48" s="301"/>
      <c r="M48" s="301"/>
      <c r="N48" s="301"/>
      <c r="O48" s="301"/>
      <c r="P48" s="301"/>
      <c r="Q48" s="301"/>
      <c r="R48" s="301"/>
      <c r="S48" s="301"/>
      <c r="T48" s="301"/>
      <c r="U48" s="301"/>
      <c r="V48" s="301"/>
    </row>
    <row r="49" spans="1:16" s="301" customFormat="1">
      <c r="A49" s="333" t="s">
        <v>159</v>
      </c>
      <c r="B49" s="334"/>
      <c r="C49" s="335"/>
      <c r="E49" s="336" t="e">
        <f>(E$24*1.5)+($E$45-$E$24)</f>
        <v>#DIV/0!</v>
      </c>
      <c r="F49" s="337"/>
      <c r="H49" s="285" t="s">
        <v>139</v>
      </c>
      <c r="I49" s="305"/>
      <c r="J49" s="278"/>
      <c r="K49" s="275">
        <f>E26</f>
        <v>0</v>
      </c>
    </row>
    <row r="50" spans="1:16" s="301" customFormat="1">
      <c r="B50" s="338"/>
      <c r="C50" s="339"/>
      <c r="H50" s="285" t="s">
        <v>141</v>
      </c>
      <c r="I50" s="306"/>
      <c r="J50" s="278"/>
      <c r="K50" s="275">
        <f t="shared" ref="K50:K51" si="4">E27</f>
        <v>0</v>
      </c>
      <c r="M50" s="6"/>
    </row>
    <row r="51" spans="1:16" s="301" customFormat="1">
      <c r="A51" s="333" t="s">
        <v>160</v>
      </c>
      <c r="B51" s="334"/>
      <c r="C51" s="335"/>
      <c r="E51" s="336" t="e">
        <f>(E$24*2.5)+($E$45-$E$24)</f>
        <v>#DIV/0!</v>
      </c>
      <c r="H51" s="285" t="s">
        <v>143</v>
      </c>
      <c r="I51" s="293"/>
      <c r="J51" s="294" t="s">
        <v>117</v>
      </c>
      <c r="K51" s="275">
        <f t="shared" si="4"/>
        <v>0</v>
      </c>
      <c r="M51" s="6"/>
    </row>
    <row r="52" spans="1:16" s="301" customFormat="1">
      <c r="B52" s="338"/>
      <c r="C52" s="340"/>
      <c r="F52" s="341"/>
      <c r="H52" s="285" t="s">
        <v>146</v>
      </c>
      <c r="I52" s="293"/>
      <c r="J52" s="315"/>
      <c r="K52" s="275">
        <f>E32</f>
        <v>0</v>
      </c>
      <c r="M52" s="6"/>
    </row>
    <row r="53" spans="1:16" s="301" customFormat="1">
      <c r="B53" s="338"/>
      <c r="C53"/>
      <c r="D53"/>
      <c r="E53"/>
      <c r="F53" s="341"/>
      <c r="H53" s="285" t="s">
        <v>147</v>
      </c>
      <c r="I53" s="293"/>
      <c r="J53" s="315"/>
      <c r="K53" s="275">
        <f t="shared" ref="K53:K59" si="5">E33</f>
        <v>0</v>
      </c>
      <c r="M53" s="6"/>
    </row>
    <row r="54" spans="1:16" s="301" customFormat="1">
      <c r="C54"/>
      <c r="D54"/>
      <c r="E54"/>
      <c r="F54" s="341"/>
      <c r="H54" s="285" t="s">
        <v>148</v>
      </c>
      <c r="I54" s="293"/>
      <c r="J54" s="315"/>
      <c r="K54" s="275">
        <f t="shared" si="5"/>
        <v>0</v>
      </c>
      <c r="M54" s="6"/>
    </row>
    <row r="55" spans="1:16" s="301" customFormat="1">
      <c r="C55"/>
      <c r="D55"/>
      <c r="E55"/>
      <c r="F55" s="341"/>
      <c r="H55" s="285" t="s">
        <v>149</v>
      </c>
      <c r="I55" s="293"/>
      <c r="J55" s="316"/>
      <c r="K55" s="275">
        <f t="shared" si="5"/>
        <v>0</v>
      </c>
      <c r="M55" s="6"/>
    </row>
    <row r="56" spans="1:16" s="301" customFormat="1">
      <c r="A56" s="6"/>
      <c r="C56" s="342"/>
      <c r="F56" s="341"/>
      <c r="H56" s="285" t="s">
        <v>150</v>
      </c>
      <c r="I56" s="293"/>
      <c r="J56" s="315"/>
      <c r="K56" s="275">
        <f t="shared" si="5"/>
        <v>0</v>
      </c>
      <c r="M56" s="6"/>
    </row>
    <row r="57" spans="1:16" s="301" customFormat="1">
      <c r="C57" s="342"/>
      <c r="F57" s="341"/>
      <c r="H57" s="285" t="s">
        <v>151</v>
      </c>
      <c r="I57" s="293"/>
      <c r="J57" s="316"/>
      <c r="K57" s="275">
        <f t="shared" si="5"/>
        <v>0</v>
      </c>
      <c r="M57" s="6"/>
      <c r="N57" s="6"/>
    </row>
    <row r="58" spans="1:16" s="301" customFormat="1">
      <c r="C58" s="342"/>
      <c r="F58" s="341"/>
      <c r="H58" s="285" t="s">
        <v>152</v>
      </c>
      <c r="I58" s="293"/>
      <c r="J58" s="278"/>
      <c r="K58" s="275">
        <f t="shared" si="5"/>
        <v>0</v>
      </c>
      <c r="M58" s="6"/>
      <c r="N58" s="6"/>
    </row>
    <row r="59" spans="1:16" s="301" customFormat="1">
      <c r="C59" s="342"/>
      <c r="F59" s="341"/>
      <c r="H59" s="285" t="s">
        <v>153</v>
      </c>
      <c r="I59" s="293"/>
      <c r="J59" s="278"/>
      <c r="K59" s="275">
        <f t="shared" si="5"/>
        <v>0</v>
      </c>
      <c r="M59" s="6"/>
      <c r="N59" s="6"/>
    </row>
    <row r="60" spans="1:16" s="301" customFormat="1">
      <c r="C60" s="342"/>
      <c r="F60" s="341"/>
      <c r="H60" s="285" t="s">
        <v>156</v>
      </c>
      <c r="I60" s="293"/>
      <c r="J60" s="316"/>
      <c r="K60" s="275">
        <f>E43</f>
        <v>0</v>
      </c>
      <c r="M60" s="6"/>
      <c r="N60" s="6"/>
    </row>
    <row r="61" spans="1:16" s="301" customFormat="1">
      <c r="C61" s="342"/>
      <c r="F61" s="341"/>
      <c r="H61" s="285"/>
      <c r="I61" s="322"/>
      <c r="J61" s="294"/>
      <c r="K61" s="270"/>
      <c r="M61" s="6"/>
      <c r="N61" s="6"/>
    </row>
    <row r="62" spans="1:16" s="301" customFormat="1">
      <c r="C62" s="342"/>
      <c r="F62" s="341"/>
      <c r="H62" s="280" t="s">
        <v>157</v>
      </c>
      <c r="I62" s="326"/>
      <c r="J62" s="327"/>
      <c r="K62" s="328" t="e">
        <f>SUM(K44:K61)</f>
        <v>#DIV/0!</v>
      </c>
      <c r="M62" s="6"/>
      <c r="N62" s="6"/>
    </row>
    <row r="63" spans="1:16" s="301" customFormat="1">
      <c r="C63" s="342"/>
      <c r="E63" s="6"/>
      <c r="F63" s="341"/>
      <c r="H63" s="6"/>
      <c r="I63" s="330"/>
      <c r="J63" s="331"/>
      <c r="K63" s="6"/>
      <c r="M63" s="6"/>
      <c r="N63" s="6"/>
      <c r="O63" s="6"/>
    </row>
    <row r="64" spans="1:16" s="301" customFormat="1">
      <c r="A64" s="6"/>
      <c r="B64" s="6"/>
      <c r="C64" s="6"/>
      <c r="D64" s="6"/>
      <c r="E64" s="6"/>
      <c r="F64" s="6"/>
      <c r="G64" s="6"/>
      <c r="H64" s="333" t="s">
        <v>158</v>
      </c>
      <c r="I64" s="334"/>
      <c r="J64" s="335"/>
      <c r="K64" s="336" t="e">
        <f>E47</f>
        <v>#DIV/0!</v>
      </c>
      <c r="M64" s="6"/>
      <c r="N64" s="6"/>
      <c r="O64" s="6"/>
      <c r="P64" s="6"/>
    </row>
    <row r="65" spans="1:22" s="301" customFormat="1">
      <c r="A65" s="6"/>
      <c r="B65" s="6"/>
      <c r="C65" s="6"/>
      <c r="D65" s="6"/>
      <c r="E65" s="6"/>
      <c r="F65" s="6"/>
      <c r="G65" s="6"/>
      <c r="I65" s="338"/>
      <c r="J65" s="339"/>
      <c r="M65" s="6"/>
      <c r="N65" s="6"/>
      <c r="O65" s="6"/>
      <c r="P65" s="6"/>
      <c r="Q65" s="6"/>
      <c r="R65" s="6"/>
      <c r="S65" s="6"/>
      <c r="T65" s="6"/>
      <c r="U65" s="6"/>
      <c r="V65" s="6"/>
    </row>
    <row r="66" spans="1:22">
      <c r="H66" s="333" t="s">
        <v>159</v>
      </c>
      <c r="I66" s="334"/>
      <c r="J66" s="335"/>
      <c r="K66" s="336" t="e">
        <f>E49</f>
        <v>#DIV/0!</v>
      </c>
      <c r="L66" s="301"/>
    </row>
    <row r="67" spans="1:22">
      <c r="H67" s="301"/>
      <c r="I67" s="338"/>
      <c r="J67" s="339"/>
      <c r="K67" s="301"/>
      <c r="L67" s="301"/>
    </row>
    <row r="68" spans="1:22">
      <c r="H68" s="333" t="s">
        <v>160</v>
      </c>
      <c r="I68" s="334"/>
      <c r="J68" s="335"/>
      <c r="K68" s="336" t="e">
        <f>E51</f>
        <v>#DIV/0!</v>
      </c>
      <c r="L68" s="301"/>
    </row>
    <row r="69" spans="1:22">
      <c r="L69" s="301"/>
    </row>
    <row r="70" spans="1:22">
      <c r="L70" s="301"/>
    </row>
    <row r="71" spans="1:22">
      <c r="L71" s="301"/>
    </row>
  </sheetData>
  <dataConsolidate/>
  <mergeCells count="7">
    <mergeCell ref="I30:N30"/>
    <mergeCell ref="E9:F9"/>
    <mergeCell ref="H1:N2"/>
    <mergeCell ref="H3:N3"/>
    <mergeCell ref="H4:N5"/>
    <mergeCell ref="I9:N9"/>
    <mergeCell ref="I19:N19"/>
  </mergeCells>
  <phoneticPr fontId="11"/>
  <conditionalFormatting sqref="O28">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X75"/>
  <sheetViews>
    <sheetView showGridLines="0" zoomScale="80" zoomScaleNormal="80" zoomScalePageLayoutView="50" workbookViewId="0">
      <pane ySplit="8" topLeftCell="A9" activePane="bottomLeft" state="frozen"/>
      <selection activeCell="A5" sqref="A5"/>
      <selection pane="bottomLeft" activeCell="A9" sqref="A9"/>
    </sheetView>
  </sheetViews>
  <sheetFormatPr defaultColWidth="11.42578125" defaultRowHeight="12.75"/>
  <cols>
    <col min="1" max="1" width="35.7109375" style="6" customWidth="1"/>
    <col min="2" max="2" width="21.28515625" style="6" customWidth="1"/>
    <col min="3" max="3" width="19.28515625" style="6" bestFit="1" customWidth="1"/>
    <col min="4" max="4" width="2" style="6" customWidth="1"/>
    <col min="5" max="5" width="14.42578125" style="6" customWidth="1"/>
    <col min="6" max="6" width="11.7109375" style="6" customWidth="1"/>
    <col min="7" max="7" width="6" style="6" customWidth="1"/>
    <col min="8" max="8" width="27.7109375" style="6" customWidth="1"/>
    <col min="9" max="15" width="11.42578125" style="6"/>
    <col min="16" max="16" width="23.5703125" style="6" bestFit="1" customWidth="1"/>
    <col min="17" max="16384" width="11.42578125" style="6"/>
  </cols>
  <sheetData>
    <row r="1" spans="1:24" ht="12.75" customHeight="1">
      <c r="A1" s="349" t="s">
        <v>2</v>
      </c>
      <c r="B1" s="173"/>
      <c r="C1" s="174"/>
      <c r="D1" s="174"/>
      <c r="E1" s="174"/>
      <c r="F1" s="174"/>
      <c r="H1" s="548"/>
      <c r="I1" s="548"/>
      <c r="J1" s="548"/>
      <c r="K1" s="548"/>
      <c r="L1" s="548"/>
      <c r="M1" s="548"/>
      <c r="N1" s="548"/>
    </row>
    <row r="2" spans="1:24">
      <c r="A2" s="242"/>
      <c r="B2" s="243"/>
      <c r="C2" s="244"/>
      <c r="D2" s="243"/>
      <c r="E2" s="245"/>
      <c r="F2" s="246"/>
      <c r="H2" s="548"/>
      <c r="I2" s="548"/>
      <c r="J2" s="548"/>
      <c r="K2" s="548"/>
      <c r="L2" s="548"/>
      <c r="M2" s="548"/>
      <c r="N2" s="548"/>
    </row>
    <row r="3" spans="1:24" ht="18">
      <c r="A3" s="247" t="str">
        <f>'2-Kosten per locatie'!A3</f>
        <v>Naam opdrachtgever</v>
      </c>
      <c r="B3" s="248" t="str">
        <f>'2-Kosten per locatie'!B3</f>
        <v>Voortgezet Onderwijs van Amsterdam</v>
      </c>
      <c r="C3" s="249"/>
      <c r="D3" s="243"/>
      <c r="E3" s="250"/>
      <c r="F3" s="251"/>
      <c r="H3" s="548"/>
      <c r="I3" s="548"/>
      <c r="J3" s="548"/>
      <c r="K3" s="548"/>
      <c r="L3" s="548"/>
      <c r="M3" s="548"/>
      <c r="N3" s="548"/>
    </row>
    <row r="4" spans="1:24" ht="15.75">
      <c r="A4" s="247" t="str">
        <f>'2-Kosten per locatie'!A4</f>
        <v>Calculatie onderdeel</v>
      </c>
      <c r="B4" s="252" t="str">
        <f ca="1">MID(CELL("bestandsnaam",$C$8),SEARCH("]",CELL("bestandsnaam",$C$8),1)+1,256)</f>
        <v>7-Opbouw uurtarief toezicht</v>
      </c>
      <c r="C4" s="253"/>
      <c r="D4" s="254"/>
      <c r="H4" s="548"/>
      <c r="I4" s="548"/>
      <c r="J4" s="548"/>
      <c r="K4" s="548"/>
      <c r="L4" s="548"/>
      <c r="M4" s="548"/>
      <c r="N4" s="548"/>
    </row>
    <row r="5" spans="1:24" ht="15.75">
      <c r="A5" s="247" t="str">
        <f>'2-Kosten per locatie'!A5</f>
        <v>Plaats</v>
      </c>
      <c r="B5" s="248" t="str">
        <f>'2-Kosten per locatie'!B5</f>
        <v>Amsterdam</v>
      </c>
      <c r="C5" s="253"/>
      <c r="D5" s="254"/>
      <c r="H5" s="548"/>
      <c r="I5" s="548"/>
      <c r="J5" s="548"/>
      <c r="K5" s="548"/>
      <c r="L5" s="548"/>
      <c r="M5" s="548"/>
      <c r="N5" s="548"/>
    </row>
    <row r="6" spans="1:24" ht="15.75">
      <c r="A6" s="247" t="str">
        <f>'2-Kosten per locatie'!A6</f>
        <v>Naam dienstverlener</v>
      </c>
      <c r="B6" s="248">
        <f>'2-Kosten per locatie'!B6</f>
        <v>0</v>
      </c>
      <c r="C6" s="253"/>
      <c r="D6" s="254"/>
      <c r="H6" s="257"/>
      <c r="I6" s="257"/>
      <c r="J6" s="257"/>
      <c r="K6" s="257"/>
      <c r="L6" s="257"/>
      <c r="M6" s="257"/>
      <c r="N6" s="257"/>
    </row>
    <row r="7" spans="1:24" ht="15.75">
      <c r="A7" s="247" t="str">
        <f>'2-Kosten per locatie'!A7</f>
        <v>Prijspeil</v>
      </c>
      <c r="B7" s="259">
        <f>'2-Kosten per locatie'!B7</f>
        <v>45839</v>
      </c>
      <c r="C7" s="253"/>
      <c r="D7" s="254"/>
      <c r="J7" s="257"/>
      <c r="K7" s="257"/>
      <c r="L7" s="257"/>
      <c r="M7" s="257"/>
      <c r="N7" s="257"/>
      <c r="O7" s="260"/>
      <c r="P7"/>
      <c r="Q7"/>
      <c r="R7"/>
      <c r="S7"/>
      <c r="T7"/>
      <c r="U7"/>
      <c r="V7"/>
      <c r="W7"/>
      <c r="X7"/>
    </row>
    <row r="8" spans="1:24" ht="15.75">
      <c r="A8" s="261"/>
      <c r="B8" s="262"/>
      <c r="C8" s="263"/>
      <c r="D8" s="254"/>
      <c r="E8" s="264"/>
      <c r="F8" s="265"/>
      <c r="P8"/>
      <c r="Q8"/>
      <c r="R8"/>
      <c r="S8"/>
      <c r="T8"/>
      <c r="U8"/>
      <c r="V8"/>
      <c r="W8"/>
      <c r="X8"/>
    </row>
    <row r="9" spans="1:24" s="260" customFormat="1" ht="30.75" customHeight="1">
      <c r="A9" s="352" t="s">
        <v>161</v>
      </c>
      <c r="B9" s="346"/>
      <c r="C9" s="347"/>
      <c r="D9" s="266"/>
      <c r="E9" s="546" t="s">
        <v>162</v>
      </c>
      <c r="F9" s="547"/>
      <c r="H9" s="345" t="s">
        <v>116</v>
      </c>
      <c r="I9" s="545" t="s">
        <v>1694</v>
      </c>
      <c r="J9" s="545"/>
      <c r="K9" s="545"/>
      <c r="L9" s="545"/>
      <c r="M9" s="545"/>
      <c r="N9" s="545"/>
      <c r="P9"/>
      <c r="Q9"/>
      <c r="R9"/>
      <c r="S9"/>
      <c r="T9"/>
      <c r="U9"/>
      <c r="V9"/>
      <c r="W9"/>
      <c r="X9"/>
    </row>
    <row r="10" spans="1:24" ht="14.65" customHeight="1">
      <c r="A10" s="267"/>
      <c r="B10" s="268" t="s">
        <v>117</v>
      </c>
      <c r="C10" s="269" t="s">
        <v>117</v>
      </c>
      <c r="D10" s="254"/>
      <c r="E10" s="270"/>
      <c r="F10" s="271"/>
      <c r="H10" s="267"/>
      <c r="I10" s="272">
        <v>1</v>
      </c>
      <c r="J10" s="272">
        <v>2</v>
      </c>
      <c r="K10" s="272">
        <v>3</v>
      </c>
      <c r="L10" s="272">
        <v>4</v>
      </c>
      <c r="M10" s="272">
        <v>5</v>
      </c>
      <c r="N10" s="272">
        <v>6</v>
      </c>
      <c r="P10"/>
      <c r="Q10"/>
      <c r="R10"/>
      <c r="S10"/>
      <c r="T10"/>
      <c r="U10"/>
      <c r="V10"/>
      <c r="W10"/>
      <c r="X10"/>
    </row>
    <row r="11" spans="1:24" ht="12.75" customHeight="1">
      <c r="A11" s="267" t="s">
        <v>118</v>
      </c>
      <c r="B11" s="273" t="s">
        <v>119</v>
      </c>
      <c r="C11" s="274"/>
      <c r="D11" s="254"/>
      <c r="E11" s="275">
        <f>SUM(I30:N30)</f>
        <v>0</v>
      </c>
      <c r="F11" s="276"/>
      <c r="H11" s="267" t="s">
        <v>125</v>
      </c>
      <c r="I11" s="277"/>
      <c r="J11" s="277"/>
      <c r="K11" s="277"/>
      <c r="L11" s="277"/>
      <c r="M11" s="277"/>
      <c r="N11" s="277"/>
      <c r="P11"/>
      <c r="Q11"/>
      <c r="R11"/>
      <c r="S11"/>
      <c r="T11"/>
      <c r="U11"/>
      <c r="V11"/>
      <c r="W11"/>
      <c r="X11"/>
    </row>
    <row r="12" spans="1:24">
      <c r="A12" s="267" t="s">
        <v>121</v>
      </c>
      <c r="B12" s="273" t="s">
        <v>119</v>
      </c>
      <c r="C12" s="278"/>
      <c r="D12" s="254"/>
      <c r="E12" s="279">
        <v>0</v>
      </c>
      <c r="F12" s="276"/>
      <c r="H12" s="267" t="s">
        <v>126</v>
      </c>
      <c r="I12" s="277"/>
      <c r="J12" s="277"/>
      <c r="K12" s="277"/>
      <c r="L12" s="277"/>
      <c r="M12" s="277"/>
      <c r="N12" s="277"/>
      <c r="P12"/>
      <c r="Q12"/>
      <c r="R12"/>
      <c r="S12"/>
      <c r="T12"/>
      <c r="U12"/>
      <c r="V12"/>
      <c r="W12"/>
      <c r="X12"/>
    </row>
    <row r="13" spans="1:24">
      <c r="A13" s="280" t="s">
        <v>124</v>
      </c>
      <c r="B13" s="281"/>
      <c r="C13" s="282"/>
      <c r="D13" s="283"/>
      <c r="E13" s="284">
        <f>SUM(E11:E12)</f>
        <v>0</v>
      </c>
      <c r="F13" s="276"/>
      <c r="H13" s="267" t="s">
        <v>128</v>
      </c>
      <c r="I13" s="277"/>
      <c r="J13" s="277"/>
      <c r="K13" s="277"/>
      <c r="L13" s="277"/>
      <c r="M13" s="277"/>
      <c r="N13" s="277"/>
      <c r="P13"/>
      <c r="Q13"/>
      <c r="R13"/>
      <c r="S13"/>
      <c r="T13"/>
      <c r="U13"/>
      <c r="V13"/>
      <c r="W13"/>
      <c r="X13"/>
    </row>
    <row r="14" spans="1:24">
      <c r="A14" s="285"/>
      <c r="B14" s="286"/>
      <c r="C14" s="287"/>
      <c r="D14" s="254"/>
      <c r="E14" s="288"/>
      <c r="F14" s="276"/>
      <c r="H14" s="267" t="s">
        <v>130</v>
      </c>
      <c r="I14" s="277"/>
      <c r="J14" s="277"/>
      <c r="K14" s="277"/>
      <c r="L14" s="277"/>
      <c r="M14" s="277"/>
      <c r="N14" s="277"/>
      <c r="P14"/>
      <c r="Q14"/>
      <c r="R14"/>
      <c r="S14"/>
      <c r="T14"/>
      <c r="U14"/>
      <c r="V14"/>
      <c r="W14"/>
      <c r="X14"/>
    </row>
    <row r="15" spans="1:24">
      <c r="A15" s="289" t="s">
        <v>127</v>
      </c>
      <c r="B15" s="273" t="s">
        <v>119</v>
      </c>
      <c r="C15" s="290">
        <v>0.08</v>
      </c>
      <c r="D15" s="254"/>
      <c r="E15" s="291">
        <f>$C15*E13</f>
        <v>0</v>
      </c>
      <c r="F15" s="276"/>
      <c r="P15"/>
      <c r="Q15"/>
      <c r="R15"/>
      <c r="S15"/>
      <c r="T15"/>
      <c r="U15"/>
      <c r="V15"/>
      <c r="W15"/>
      <c r="X15"/>
    </row>
    <row r="16" spans="1:24" ht="40.9" customHeight="1">
      <c r="A16" s="289" t="s">
        <v>129</v>
      </c>
      <c r="B16" s="273" t="s">
        <v>119</v>
      </c>
      <c r="C16" s="290">
        <v>0.05</v>
      </c>
      <c r="D16" s="254"/>
      <c r="E16" s="292">
        <f>$C16*E13</f>
        <v>0</v>
      </c>
      <c r="F16" s="276"/>
      <c r="H16" s="345" t="s">
        <v>116</v>
      </c>
      <c r="I16" s="549" t="s">
        <v>132</v>
      </c>
      <c r="J16" s="550"/>
      <c r="K16" s="550"/>
      <c r="L16" s="550"/>
      <c r="M16" s="550"/>
      <c r="N16" s="551"/>
      <c r="P16"/>
      <c r="Q16"/>
      <c r="R16"/>
      <c r="S16"/>
      <c r="T16"/>
      <c r="U16"/>
      <c r="V16"/>
      <c r="W16"/>
      <c r="X16"/>
    </row>
    <row r="17" spans="1:24" ht="13.15" customHeight="1">
      <c r="A17" s="280" t="s">
        <v>131</v>
      </c>
      <c r="B17" s="293"/>
      <c r="C17" s="294"/>
      <c r="D17" s="254"/>
      <c r="E17" s="284">
        <f>SUM(E13:E16)</f>
        <v>0</v>
      </c>
      <c r="F17" s="295">
        <f>IF(E17=0,0,E17/E$45)</f>
        <v>0</v>
      </c>
      <c r="H17" s="267"/>
      <c r="I17" s="272">
        <v>1</v>
      </c>
      <c r="J17" s="272">
        <v>2</v>
      </c>
      <c r="K17" s="272">
        <v>3</v>
      </c>
      <c r="L17" s="272">
        <v>4</v>
      </c>
      <c r="M17" s="272">
        <v>5</v>
      </c>
      <c r="N17" s="272">
        <v>6</v>
      </c>
      <c r="P17"/>
      <c r="Q17"/>
      <c r="R17"/>
      <c r="S17"/>
      <c r="T17"/>
      <c r="U17"/>
      <c r="V17"/>
      <c r="W17"/>
      <c r="X17"/>
    </row>
    <row r="18" spans="1:24">
      <c r="A18" s="285"/>
      <c r="B18" s="286"/>
      <c r="C18" s="287"/>
      <c r="D18" s="254"/>
      <c r="E18" s="288"/>
      <c r="F18" s="276"/>
      <c r="H18" s="267" t="s">
        <v>125</v>
      </c>
      <c r="I18" s="303"/>
      <c r="J18" s="303"/>
      <c r="K18" s="303"/>
      <c r="L18" s="303"/>
      <c r="M18" s="303"/>
      <c r="N18" s="303"/>
      <c r="P18"/>
      <c r="Q18"/>
      <c r="R18"/>
      <c r="S18"/>
      <c r="T18"/>
      <c r="U18"/>
      <c r="V18"/>
      <c r="W18"/>
      <c r="X18"/>
    </row>
    <row r="19" spans="1:24">
      <c r="A19" s="296" t="s">
        <v>133</v>
      </c>
      <c r="B19" s="297"/>
      <c r="C19" s="287"/>
      <c r="D19" s="298"/>
      <c r="E19" s="299">
        <f>E17*0.96</f>
        <v>0</v>
      </c>
      <c r="F19" s="300"/>
      <c r="G19" s="301"/>
      <c r="H19" s="267" t="s">
        <v>126</v>
      </c>
      <c r="I19" s="303"/>
      <c r="J19" s="303"/>
      <c r="K19" s="303"/>
      <c r="L19" s="303"/>
      <c r="M19" s="303"/>
      <c r="N19" s="303"/>
      <c r="O19" s="301"/>
    </row>
    <row r="20" spans="1:24">
      <c r="A20" s="289" t="s">
        <v>134</v>
      </c>
      <c r="B20" s="297"/>
      <c r="C20" s="302" t="s">
        <v>135</v>
      </c>
      <c r="D20" s="254"/>
      <c r="E20" s="291" t="e">
        <f>E19*'5-Premies en opslagen'!$C23</f>
        <v>#DIV/0!</v>
      </c>
      <c r="F20" s="276"/>
      <c r="H20" s="267" t="s">
        <v>128</v>
      </c>
      <c r="I20" s="303"/>
      <c r="J20" s="303"/>
      <c r="K20" s="303"/>
      <c r="L20" s="303"/>
      <c r="M20" s="303"/>
      <c r="N20" s="303"/>
    </row>
    <row r="21" spans="1:24" s="301" customFormat="1">
      <c r="A21" s="280" t="s">
        <v>136</v>
      </c>
      <c r="B21" s="304"/>
      <c r="C21" s="294"/>
      <c r="D21" s="254"/>
      <c r="E21" s="284" t="e">
        <f>E20+E17</f>
        <v>#DIV/0!</v>
      </c>
      <c r="F21" s="295" t="e">
        <f>IF(E21=0,0,E21/E$45)</f>
        <v>#DIV/0!</v>
      </c>
      <c r="G21" s="6"/>
      <c r="H21" s="267" t="s">
        <v>130</v>
      </c>
      <c r="I21" s="303"/>
      <c r="J21" s="303"/>
      <c r="K21" s="303"/>
      <c r="L21" s="303"/>
      <c r="M21" s="303"/>
      <c r="N21" s="303"/>
      <c r="O21" s="6"/>
    </row>
    <row r="22" spans="1:24" ht="14.25" customHeight="1">
      <c r="A22" s="285"/>
      <c r="B22" s="293"/>
      <c r="C22" s="294"/>
      <c r="D22" s="254"/>
      <c r="E22" s="270"/>
      <c r="F22" s="276"/>
      <c r="H22" s="100" t="s">
        <v>142</v>
      </c>
      <c r="I22" s="307">
        <f t="shared" ref="I22:N22" si="0">SUM(I18:I21)</f>
        <v>0</v>
      </c>
      <c r="J22" s="307">
        <f t="shared" si="0"/>
        <v>0</v>
      </c>
      <c r="K22" s="307">
        <f t="shared" si="0"/>
        <v>0</v>
      </c>
      <c r="L22" s="307">
        <f t="shared" si="0"/>
        <v>0</v>
      </c>
      <c r="M22" s="307">
        <f t="shared" si="0"/>
        <v>0</v>
      </c>
      <c r="N22" s="307">
        <f t="shared" si="0"/>
        <v>0</v>
      </c>
      <c r="O22" s="308">
        <f>SUM(I22:N22)</f>
        <v>0</v>
      </c>
    </row>
    <row r="23" spans="1:24" ht="12.75" customHeight="1">
      <c r="A23" s="289" t="s">
        <v>137</v>
      </c>
      <c r="B23" s="297"/>
      <c r="C23" s="302" t="s">
        <v>135</v>
      </c>
      <c r="D23" s="254"/>
      <c r="E23" s="291" t="e">
        <f>E21*'5-Premies en opslagen'!$B52</f>
        <v>#DIV/0!</v>
      </c>
      <c r="F23" s="276"/>
    </row>
    <row r="24" spans="1:24" ht="12.75" customHeight="1">
      <c r="A24" s="280" t="s">
        <v>138</v>
      </c>
      <c r="B24" s="293"/>
      <c r="C24" s="294"/>
      <c r="D24" s="254"/>
      <c r="E24" s="284" t="e">
        <f>SUM(E21:E23)</f>
        <v>#DIV/0!</v>
      </c>
      <c r="F24" s="295" t="e">
        <f>IF(E24=0,0,E24/E$45)</f>
        <v>#DIV/0!</v>
      </c>
      <c r="H24" s="345" t="s">
        <v>116</v>
      </c>
      <c r="I24" s="545" t="s">
        <v>144</v>
      </c>
      <c r="J24" s="545"/>
      <c r="K24" s="545"/>
      <c r="L24" s="545"/>
      <c r="M24" s="545"/>
      <c r="N24" s="545"/>
    </row>
    <row r="25" spans="1:24">
      <c r="A25" s="285"/>
      <c r="B25" s="293"/>
      <c r="C25" s="294"/>
      <c r="D25" s="254"/>
      <c r="E25" s="270"/>
      <c r="F25" s="276"/>
      <c r="H25" s="267"/>
      <c r="I25" s="272">
        <v>1</v>
      </c>
      <c r="J25" s="272">
        <v>2</v>
      </c>
      <c r="K25" s="272">
        <v>3</v>
      </c>
      <c r="L25" s="272">
        <v>4</v>
      </c>
      <c r="M25" s="272">
        <v>5</v>
      </c>
      <c r="N25" s="272">
        <v>6</v>
      </c>
    </row>
    <row r="26" spans="1:24" ht="13.15" customHeight="1">
      <c r="A26" s="285" t="s">
        <v>139</v>
      </c>
      <c r="B26" s="305"/>
      <c r="C26" s="278" t="s">
        <v>140</v>
      </c>
      <c r="D26" s="254"/>
      <c r="E26" s="279">
        <v>0</v>
      </c>
      <c r="F26" s="276">
        <v>0</v>
      </c>
      <c r="H26" s="267" t="s">
        <v>125</v>
      </c>
      <c r="I26" s="350">
        <f t="shared" ref="I26:N29" si="1">I18*I11</f>
        <v>0</v>
      </c>
      <c r="J26" s="350">
        <f t="shared" si="1"/>
        <v>0</v>
      </c>
      <c r="K26" s="350">
        <f t="shared" si="1"/>
        <v>0</v>
      </c>
      <c r="L26" s="350">
        <f t="shared" si="1"/>
        <v>0</v>
      </c>
      <c r="M26" s="350">
        <f t="shared" si="1"/>
        <v>0</v>
      </c>
      <c r="N26" s="350">
        <f t="shared" si="1"/>
        <v>0</v>
      </c>
    </row>
    <row r="27" spans="1:24">
      <c r="A27" s="285" t="s">
        <v>141</v>
      </c>
      <c r="B27" s="306"/>
      <c r="C27" s="278" t="s">
        <v>140</v>
      </c>
      <c r="D27" s="254"/>
      <c r="E27" s="279"/>
      <c r="F27" s="276">
        <v>0</v>
      </c>
      <c r="H27" s="267" t="s">
        <v>126</v>
      </c>
      <c r="I27" s="350">
        <f t="shared" si="1"/>
        <v>0</v>
      </c>
      <c r="J27" s="350">
        <f t="shared" si="1"/>
        <v>0</v>
      </c>
      <c r="K27" s="350">
        <f t="shared" si="1"/>
        <v>0</v>
      </c>
      <c r="L27" s="350">
        <f t="shared" si="1"/>
        <v>0</v>
      </c>
      <c r="M27" s="350">
        <f t="shared" si="1"/>
        <v>0</v>
      </c>
      <c r="N27" s="350">
        <f t="shared" si="1"/>
        <v>0</v>
      </c>
    </row>
    <row r="28" spans="1:24">
      <c r="A28" s="285"/>
      <c r="B28" s="293"/>
      <c r="C28" s="294"/>
      <c r="D28" s="254"/>
      <c r="E28" s="279"/>
      <c r="F28" s="276"/>
      <c r="H28" s="267" t="s">
        <v>128</v>
      </c>
      <c r="I28" s="350">
        <f t="shared" si="1"/>
        <v>0</v>
      </c>
      <c r="J28" s="350">
        <f t="shared" si="1"/>
        <v>0</v>
      </c>
      <c r="K28" s="350">
        <f t="shared" si="1"/>
        <v>0</v>
      </c>
      <c r="L28" s="350">
        <f t="shared" si="1"/>
        <v>0</v>
      </c>
      <c r="M28" s="350">
        <f t="shared" si="1"/>
        <v>0</v>
      </c>
      <c r="N28" s="350">
        <f t="shared" si="1"/>
        <v>0</v>
      </c>
    </row>
    <row r="29" spans="1:24">
      <c r="A29" s="310"/>
      <c r="B29" s="311"/>
      <c r="C29" s="312" t="s">
        <v>117</v>
      </c>
      <c r="D29" s="254"/>
      <c r="E29" s="279"/>
      <c r="F29" s="276"/>
      <c r="H29" s="267" t="s">
        <v>130</v>
      </c>
      <c r="I29" s="350">
        <f t="shared" si="1"/>
        <v>0</v>
      </c>
      <c r="J29" s="350">
        <f t="shared" si="1"/>
        <v>0</v>
      </c>
      <c r="K29" s="350">
        <f t="shared" si="1"/>
        <v>0</v>
      </c>
      <c r="L29" s="350">
        <f t="shared" si="1"/>
        <v>0</v>
      </c>
      <c r="M29" s="350">
        <f>M21*M14</f>
        <v>0</v>
      </c>
      <c r="N29" s="350">
        <f t="shared" si="1"/>
        <v>0</v>
      </c>
    </row>
    <row r="30" spans="1:24" ht="12.75" customHeight="1">
      <c r="A30" s="280" t="s">
        <v>145</v>
      </c>
      <c r="B30" s="293"/>
      <c r="C30" s="294"/>
      <c r="D30" s="254"/>
      <c r="E30" s="284" t="e">
        <f>SUM(E24:E29)</f>
        <v>#DIV/0!</v>
      </c>
      <c r="F30" s="295" t="e">
        <f>IF(E30=0,0,E30/E$45)</f>
        <v>#DIV/0!</v>
      </c>
      <c r="H30" s="100" t="s">
        <v>142</v>
      </c>
      <c r="I30" s="351">
        <f t="shared" ref="I30:N30" si="2">SUM(I26:I29)</f>
        <v>0</v>
      </c>
      <c r="J30" s="351">
        <f t="shared" si="2"/>
        <v>0</v>
      </c>
      <c r="K30" s="351">
        <f t="shared" si="2"/>
        <v>0</v>
      </c>
      <c r="L30" s="351">
        <f t="shared" si="2"/>
        <v>0</v>
      </c>
      <c r="M30" s="351">
        <f t="shared" si="2"/>
        <v>0</v>
      </c>
      <c r="N30" s="351">
        <f t="shared" si="2"/>
        <v>0</v>
      </c>
    </row>
    <row r="31" spans="1:24" ht="12.75" customHeight="1">
      <c r="A31" s="285"/>
      <c r="B31" s="293"/>
      <c r="C31" s="294"/>
      <c r="D31" s="254"/>
      <c r="E31" s="270"/>
      <c r="F31" s="276"/>
    </row>
    <row r="32" spans="1:24" ht="12.75" customHeight="1">
      <c r="A32" s="285" t="s">
        <v>146</v>
      </c>
      <c r="B32" s="293"/>
      <c r="C32" s="315"/>
      <c r="D32" s="254"/>
      <c r="E32" s="279"/>
      <c r="F32" s="309" t="e">
        <f>E32/$E$45</f>
        <v>#DIV/0!</v>
      </c>
    </row>
    <row r="33" spans="1:15" ht="12.75" customHeight="1">
      <c r="A33" s="285" t="s">
        <v>147</v>
      </c>
      <c r="B33" s="293"/>
      <c r="C33" s="315"/>
      <c r="D33" s="254"/>
      <c r="E33" s="279"/>
      <c r="F33" s="309" t="e">
        <f t="shared" ref="F33:F39" si="3">E33/$E$45</f>
        <v>#DIV/0!</v>
      </c>
    </row>
    <row r="34" spans="1:15" ht="12.75" customHeight="1">
      <c r="A34" s="285" t="s">
        <v>148</v>
      </c>
      <c r="B34" s="293"/>
      <c r="C34" s="315"/>
      <c r="D34" s="254"/>
      <c r="E34" s="279"/>
      <c r="F34" s="309" t="e">
        <f t="shared" si="3"/>
        <v>#DIV/0!</v>
      </c>
    </row>
    <row r="35" spans="1:15" ht="14.25" customHeight="1">
      <c r="A35" s="285" t="s">
        <v>149</v>
      </c>
      <c r="B35" s="293"/>
      <c r="C35" s="316"/>
      <c r="D35" s="254"/>
      <c r="E35" s="279"/>
      <c r="F35" s="309" t="e">
        <f t="shared" si="3"/>
        <v>#DIV/0!</v>
      </c>
    </row>
    <row r="36" spans="1:15">
      <c r="A36" s="285" t="s">
        <v>150</v>
      </c>
      <c r="B36" s="293"/>
      <c r="C36" s="315"/>
      <c r="D36" s="254"/>
      <c r="E36" s="279"/>
      <c r="F36" s="309" t="e">
        <f t="shared" si="3"/>
        <v>#DIV/0!</v>
      </c>
    </row>
    <row r="37" spans="1:15">
      <c r="A37" s="285" t="s">
        <v>151</v>
      </c>
      <c r="B37" s="293"/>
      <c r="C37" s="316"/>
      <c r="D37" s="254"/>
      <c r="E37" s="279"/>
      <c r="F37" s="309" t="e">
        <f t="shared" si="3"/>
        <v>#DIV/0!</v>
      </c>
    </row>
    <row r="38" spans="1:15">
      <c r="A38" s="285" t="s">
        <v>152</v>
      </c>
      <c r="B38" s="293"/>
      <c r="C38" s="278" t="s">
        <v>140</v>
      </c>
      <c r="D38" s="254"/>
      <c r="E38" s="279"/>
      <c r="F38" s="309" t="e">
        <f t="shared" si="3"/>
        <v>#DIV/0!</v>
      </c>
    </row>
    <row r="39" spans="1:15">
      <c r="A39" s="285" t="s">
        <v>153</v>
      </c>
      <c r="B39" s="293"/>
      <c r="C39" s="278"/>
      <c r="D39" s="254"/>
      <c r="E39" s="279"/>
      <c r="F39" s="309" t="e">
        <f t="shared" si="3"/>
        <v>#DIV/0!</v>
      </c>
    </row>
    <row r="40" spans="1:15">
      <c r="A40" s="310"/>
      <c r="B40" s="311"/>
      <c r="C40" s="317"/>
      <c r="D40" s="254"/>
      <c r="E40" s="279"/>
      <c r="F40" s="276"/>
      <c r="H40" s="301"/>
      <c r="I40" s="301"/>
      <c r="J40" s="301"/>
      <c r="K40" s="301"/>
      <c r="L40" s="301"/>
      <c r="M40" s="301"/>
      <c r="N40" s="301"/>
      <c r="O40" s="301"/>
    </row>
    <row r="41" spans="1:15">
      <c r="A41" s="280" t="s">
        <v>154</v>
      </c>
      <c r="B41" s="293"/>
      <c r="C41" s="294"/>
      <c r="D41" s="254"/>
      <c r="E41" s="284" t="e">
        <f>SUM(E30:E40)</f>
        <v>#DIV/0!</v>
      </c>
      <c r="F41" s="295" t="e">
        <f>IF(E41=0,0,E41/E$45)</f>
        <v>#DIV/0!</v>
      </c>
      <c r="H41" s="301"/>
      <c r="I41" s="301"/>
      <c r="J41" s="301"/>
      <c r="K41" s="301"/>
      <c r="L41" s="301"/>
      <c r="M41" s="301"/>
      <c r="N41" s="301"/>
      <c r="O41" s="301"/>
    </row>
    <row r="42" spans="1:15" ht="36">
      <c r="A42" s="285"/>
      <c r="B42" s="293"/>
      <c r="C42" s="294"/>
      <c r="D42" s="254"/>
      <c r="E42" s="270"/>
      <c r="F42" s="318"/>
      <c r="H42" s="352" t="s">
        <v>155</v>
      </c>
      <c r="I42" s="346"/>
      <c r="J42" s="347"/>
      <c r="K42" s="348" t="s">
        <v>115</v>
      </c>
      <c r="L42" s="301"/>
      <c r="M42" s="301"/>
      <c r="N42" s="301"/>
    </row>
    <row r="43" spans="1:15">
      <c r="A43" s="285" t="s">
        <v>156</v>
      </c>
      <c r="B43" s="293"/>
      <c r="C43" s="316"/>
      <c r="D43" s="254"/>
      <c r="E43" s="279" t="e">
        <f>E41*0.053</f>
        <v>#DIV/0!</v>
      </c>
      <c r="F43" s="295" t="e">
        <f>(IF(E43=0,0,E43/E$45))</f>
        <v>#DIV/0!</v>
      </c>
      <c r="H43" s="267"/>
      <c r="I43" s="268" t="s">
        <v>117</v>
      </c>
      <c r="J43" s="269" t="s">
        <v>117</v>
      </c>
      <c r="K43" s="270"/>
      <c r="L43" s="301"/>
      <c r="M43" s="301"/>
      <c r="N43" s="301"/>
    </row>
    <row r="44" spans="1:15">
      <c r="A44" s="285"/>
      <c r="B44" s="322"/>
      <c r="C44" s="294"/>
      <c r="D44" s="254"/>
      <c r="E44" s="270"/>
      <c r="F44" s="276"/>
      <c r="H44" s="319" t="s">
        <v>124</v>
      </c>
      <c r="I44" s="320"/>
      <c r="J44" s="321"/>
      <c r="K44" s="284">
        <f>E13</f>
        <v>0</v>
      </c>
      <c r="L44" s="301"/>
      <c r="M44" s="301"/>
      <c r="N44" s="301"/>
    </row>
    <row r="45" spans="1:15">
      <c r="A45" s="280" t="s">
        <v>157</v>
      </c>
      <c r="B45" s="326"/>
      <c r="C45" s="327"/>
      <c r="D45" s="254"/>
      <c r="E45" s="328" t="e">
        <f>SUM(E41:E44)</f>
        <v>#DIV/0!</v>
      </c>
      <c r="F45" s="329" t="e">
        <f>SUM(F41:F44)</f>
        <v>#DIV/0!</v>
      </c>
      <c r="H45" s="323" t="s">
        <v>127</v>
      </c>
      <c r="I45" s="324"/>
      <c r="J45" s="325"/>
      <c r="K45" s="291">
        <f>E15</f>
        <v>0</v>
      </c>
      <c r="L45" s="301"/>
      <c r="M45" s="301"/>
      <c r="N45" s="301"/>
    </row>
    <row r="46" spans="1:15">
      <c r="B46" s="330"/>
      <c r="C46" s="331"/>
      <c r="D46" s="254"/>
      <c r="F46" s="332"/>
      <c r="H46" s="289" t="s">
        <v>129</v>
      </c>
      <c r="I46" s="324"/>
      <c r="J46" s="325"/>
      <c r="K46" s="292">
        <f>E16</f>
        <v>0</v>
      </c>
      <c r="L46" s="301"/>
      <c r="M46" s="301"/>
      <c r="N46" s="301"/>
      <c r="O46" s="301"/>
    </row>
    <row r="47" spans="1:15">
      <c r="A47" s="333" t="s">
        <v>158</v>
      </c>
      <c r="B47" s="334"/>
      <c r="C47" s="335"/>
      <c r="D47" s="301"/>
      <c r="E47" s="336" t="e">
        <f>(E$24*1.3)+($E$45-$E$24)</f>
        <v>#DIV/0!</v>
      </c>
      <c r="F47" s="337"/>
      <c r="G47" s="301"/>
      <c r="H47" s="289" t="s">
        <v>134</v>
      </c>
      <c r="I47" s="324"/>
      <c r="J47" s="325"/>
      <c r="K47" s="291" t="e">
        <f>E20</f>
        <v>#DIV/0!</v>
      </c>
      <c r="L47" s="301"/>
      <c r="M47" s="301"/>
      <c r="N47" s="301"/>
      <c r="O47" s="301"/>
    </row>
    <row r="48" spans="1:15">
      <c r="A48" s="301"/>
      <c r="B48" s="338"/>
      <c r="C48" s="339"/>
      <c r="D48" s="301"/>
      <c r="E48" s="301"/>
      <c r="F48" s="301"/>
      <c r="G48" s="301"/>
      <c r="H48" s="289" t="s">
        <v>137</v>
      </c>
      <c r="I48" s="297"/>
      <c r="J48" s="302"/>
      <c r="K48" s="291" t="e">
        <f>E23</f>
        <v>#DIV/0!</v>
      </c>
      <c r="L48" s="301"/>
      <c r="M48" s="301"/>
      <c r="N48" s="301"/>
      <c r="O48" s="301"/>
    </row>
    <row r="49" spans="1:15" s="301" customFormat="1">
      <c r="A49" s="333" t="s">
        <v>159</v>
      </c>
      <c r="B49" s="334"/>
      <c r="C49" s="335"/>
      <c r="E49" s="336" t="e">
        <f>(E$24*1.5)+($E$45-$E$24)</f>
        <v>#DIV/0!</v>
      </c>
      <c r="F49" s="337"/>
      <c r="H49" s="285" t="s">
        <v>139</v>
      </c>
      <c r="I49" s="305"/>
      <c r="J49" s="278"/>
      <c r="K49" s="275">
        <f>E26</f>
        <v>0</v>
      </c>
    </row>
    <row r="50" spans="1:15" s="301" customFormat="1">
      <c r="B50" s="338"/>
      <c r="C50" s="339"/>
      <c r="H50" s="285" t="s">
        <v>141</v>
      </c>
      <c r="I50" s="306"/>
      <c r="J50" s="278"/>
      <c r="K50" s="275">
        <f t="shared" ref="K50:K51" si="4">E27</f>
        <v>0</v>
      </c>
      <c r="M50" s="6"/>
    </row>
    <row r="51" spans="1:15" s="301" customFormat="1">
      <c r="A51" s="333" t="s">
        <v>160</v>
      </c>
      <c r="B51" s="334"/>
      <c r="C51" s="335"/>
      <c r="E51" s="336" t="e">
        <f>(E$24*2.5)+($E$45-$E$24)</f>
        <v>#DIV/0!</v>
      </c>
      <c r="H51" s="285" t="s">
        <v>143</v>
      </c>
      <c r="I51" s="293"/>
      <c r="J51" s="294" t="s">
        <v>117</v>
      </c>
      <c r="K51" s="275">
        <f t="shared" si="4"/>
        <v>0</v>
      </c>
      <c r="M51" s="6"/>
    </row>
    <row r="52" spans="1:15" s="301" customFormat="1">
      <c r="B52" s="338"/>
      <c r="C52" s="340"/>
      <c r="F52" s="341"/>
      <c r="H52" s="285" t="s">
        <v>146</v>
      </c>
      <c r="I52" s="293"/>
      <c r="J52" s="315"/>
      <c r="K52" s="275">
        <f>E32</f>
        <v>0</v>
      </c>
      <c r="M52" s="6"/>
    </row>
    <row r="53" spans="1:15" s="301" customFormat="1">
      <c r="B53"/>
      <c r="C53"/>
      <c r="D53"/>
      <c r="E53"/>
      <c r="F53" s="341"/>
      <c r="H53" s="285" t="s">
        <v>147</v>
      </c>
      <c r="I53" s="293"/>
      <c r="J53" s="315"/>
      <c r="K53" s="275">
        <f t="shared" ref="K53:K59" si="5">E33</f>
        <v>0</v>
      </c>
      <c r="M53" s="6"/>
    </row>
    <row r="54" spans="1:15" s="301" customFormat="1">
      <c r="B54"/>
      <c r="C54"/>
      <c r="D54"/>
      <c r="E54"/>
      <c r="F54" s="341"/>
      <c r="H54" s="285" t="s">
        <v>148</v>
      </c>
      <c r="I54" s="293"/>
      <c r="J54" s="315"/>
      <c r="K54" s="275">
        <f t="shared" si="5"/>
        <v>0</v>
      </c>
      <c r="M54" s="6"/>
    </row>
    <row r="55" spans="1:15" s="301" customFormat="1">
      <c r="B55"/>
      <c r="C55"/>
      <c r="D55"/>
      <c r="E55"/>
      <c r="F55" s="341"/>
      <c r="H55" s="285" t="s">
        <v>149</v>
      </c>
      <c r="I55" s="293"/>
      <c r="J55" s="316"/>
      <c r="K55" s="275">
        <f t="shared" si="5"/>
        <v>0</v>
      </c>
      <c r="M55" s="6"/>
    </row>
    <row r="56" spans="1:15" s="301" customFormat="1">
      <c r="A56" s="6"/>
      <c r="C56" s="342"/>
      <c r="F56" s="341"/>
      <c r="H56" s="285" t="s">
        <v>150</v>
      </c>
      <c r="I56" s="293"/>
      <c r="J56" s="315"/>
      <c r="K56" s="275">
        <f t="shared" si="5"/>
        <v>0</v>
      </c>
      <c r="M56" s="6"/>
    </row>
    <row r="57" spans="1:15" s="301" customFormat="1">
      <c r="C57" s="342"/>
      <c r="F57" s="341"/>
      <c r="H57" s="285" t="s">
        <v>151</v>
      </c>
      <c r="I57" s="293"/>
      <c r="J57" s="316"/>
      <c r="K57" s="275">
        <f t="shared" si="5"/>
        <v>0</v>
      </c>
      <c r="M57" s="6"/>
      <c r="N57" s="6"/>
    </row>
    <row r="58" spans="1:15" s="301" customFormat="1">
      <c r="C58" s="342"/>
      <c r="F58" s="341"/>
      <c r="H58" s="285" t="s">
        <v>152</v>
      </c>
      <c r="I58" s="293"/>
      <c r="J58" s="278"/>
      <c r="K58" s="275">
        <f t="shared" si="5"/>
        <v>0</v>
      </c>
      <c r="M58" s="6"/>
      <c r="N58" s="6"/>
    </row>
    <row r="59" spans="1:15" s="301" customFormat="1">
      <c r="C59" s="342"/>
      <c r="F59" s="341"/>
      <c r="H59" s="285" t="s">
        <v>153</v>
      </c>
      <c r="I59" s="293"/>
      <c r="J59" s="278"/>
      <c r="K59" s="275">
        <f t="shared" si="5"/>
        <v>0</v>
      </c>
      <c r="M59" s="6"/>
      <c r="N59" s="6"/>
    </row>
    <row r="60" spans="1:15" s="301" customFormat="1">
      <c r="C60" s="342"/>
      <c r="F60" s="341"/>
      <c r="H60" s="285" t="s">
        <v>156</v>
      </c>
      <c r="I60" s="293"/>
      <c r="J60" s="316"/>
      <c r="K60" s="275" t="e">
        <f>E43</f>
        <v>#DIV/0!</v>
      </c>
      <c r="M60" s="6"/>
      <c r="N60" s="6"/>
    </row>
    <row r="61" spans="1:15" s="301" customFormat="1">
      <c r="C61" s="342"/>
      <c r="F61" s="341"/>
      <c r="H61" s="285"/>
      <c r="I61" s="322"/>
      <c r="J61" s="294"/>
      <c r="K61" s="270"/>
      <c r="M61" s="6"/>
      <c r="N61" s="6"/>
    </row>
    <row r="62" spans="1:15" s="301" customFormat="1">
      <c r="C62" s="342"/>
      <c r="F62" s="341"/>
      <c r="H62" s="280" t="s">
        <v>157</v>
      </c>
      <c r="I62" s="326"/>
      <c r="J62" s="327"/>
      <c r="K62" s="328" t="e">
        <f>SUM(K44:K61)</f>
        <v>#DIV/0!</v>
      </c>
      <c r="M62" s="6"/>
      <c r="N62" s="6"/>
    </row>
    <row r="63" spans="1:15" s="301" customFormat="1">
      <c r="C63" s="342"/>
      <c r="E63" s="6"/>
      <c r="F63" s="341"/>
      <c r="H63" s="6"/>
      <c r="I63" s="330"/>
      <c r="J63" s="331"/>
      <c r="K63" s="6"/>
      <c r="M63" s="6"/>
      <c r="N63" s="6"/>
      <c r="O63" s="6"/>
    </row>
    <row r="64" spans="1:15" s="301" customFormat="1">
      <c r="A64" s="6"/>
      <c r="B64" s="6"/>
      <c r="C64" s="6"/>
      <c r="D64" s="6"/>
      <c r="E64" s="6"/>
      <c r="F64" s="6"/>
      <c r="G64" s="6"/>
      <c r="H64" s="333" t="s">
        <v>158</v>
      </c>
      <c r="I64" s="334"/>
      <c r="J64" s="335"/>
      <c r="K64" s="336" t="e">
        <f>E47</f>
        <v>#DIV/0!</v>
      </c>
      <c r="M64" s="6"/>
      <c r="N64" s="6"/>
      <c r="O64" s="6"/>
    </row>
    <row r="65" spans="8:15">
      <c r="H65" s="301"/>
      <c r="I65" s="338"/>
      <c r="J65" s="339"/>
      <c r="K65" s="301"/>
      <c r="L65" s="301"/>
    </row>
    <row r="66" spans="8:15">
      <c r="H66" s="333" t="s">
        <v>159</v>
      </c>
      <c r="I66" s="334"/>
      <c r="J66" s="335"/>
      <c r="K66" s="336" t="e">
        <f>E49</f>
        <v>#DIV/0!</v>
      </c>
      <c r="L66" s="301"/>
    </row>
    <row r="67" spans="8:15">
      <c r="H67" s="301"/>
      <c r="I67" s="338"/>
      <c r="J67" s="339"/>
      <c r="K67" s="301"/>
      <c r="L67" s="301"/>
    </row>
    <row r="68" spans="8:15">
      <c r="H68" s="333" t="s">
        <v>160</v>
      </c>
      <c r="I68" s="334"/>
      <c r="J68" s="335"/>
      <c r="K68" s="336" t="e">
        <f>E51</f>
        <v>#DIV/0!</v>
      </c>
      <c r="L68" s="301"/>
    </row>
    <row r="69" spans="8:15">
      <c r="L69" s="301"/>
      <c r="O69" s="301"/>
    </row>
    <row r="70" spans="8:15">
      <c r="O70" s="301"/>
    </row>
    <row r="71" spans="8:15">
      <c r="O71" s="301"/>
    </row>
    <row r="72" spans="8:15">
      <c r="O72" s="301"/>
    </row>
    <row r="73" spans="8:15">
      <c r="O73" s="301"/>
    </row>
    <row r="74" spans="8:15">
      <c r="O74" s="301"/>
    </row>
    <row r="75" spans="8:15">
      <c r="O75" s="301"/>
    </row>
  </sheetData>
  <mergeCells count="7">
    <mergeCell ref="I24:N24"/>
    <mergeCell ref="I16:N16"/>
    <mergeCell ref="E9:F9"/>
    <mergeCell ref="I9:N9"/>
    <mergeCell ref="H1:N2"/>
    <mergeCell ref="H3:N3"/>
    <mergeCell ref="H4:N5"/>
  </mergeCells>
  <conditionalFormatting sqref="O22">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9"/>
  <sheetViews>
    <sheetView showGridLines="0" zoomScale="80" zoomScaleNormal="80" workbookViewId="0">
      <pane ySplit="8" topLeftCell="A9" activePane="bottomLeft" state="frozen"/>
      <selection activeCell="A5" sqref="A5"/>
      <selection pane="bottomLeft" activeCell="A9" sqref="A9"/>
    </sheetView>
  </sheetViews>
  <sheetFormatPr defaultColWidth="9.28515625" defaultRowHeight="12.75"/>
  <cols>
    <col min="1" max="1" width="40.5703125" style="6" bestFit="1" customWidth="1"/>
    <col min="2" max="2" width="33.28515625" style="6" bestFit="1" customWidth="1"/>
    <col min="3" max="3" width="50.7109375" style="6" customWidth="1"/>
    <col min="4" max="4" width="18.7109375" style="6" customWidth="1"/>
    <col min="5" max="5" width="13.28515625" style="6" customWidth="1"/>
    <col min="6" max="6" width="18.7109375" style="6" bestFit="1" customWidth="1"/>
    <col min="7" max="7" width="18.7109375" style="6" customWidth="1"/>
    <col min="8" max="8" width="20.42578125" style="6" customWidth="1"/>
    <col min="9" max="9" width="20" style="6" customWidth="1"/>
    <col min="10" max="10" width="19.7109375" style="6" customWidth="1"/>
    <col min="11" max="11" width="9.28515625" style="6"/>
    <col min="12" max="12" width="13.42578125" style="6" bestFit="1" customWidth="1"/>
    <col min="13" max="16384" width="9.28515625" style="6"/>
  </cols>
  <sheetData>
    <row r="1" spans="1:10" ht="15">
      <c r="A1" s="353" t="s">
        <v>2</v>
      </c>
      <c r="C1" s="354"/>
    </row>
    <row r="2" spans="1:10" ht="15">
      <c r="C2" s="354"/>
    </row>
    <row r="3" spans="1:10" ht="15.75">
      <c r="A3" s="355" t="str">
        <f>'2-Kosten per locatie'!A3</f>
        <v>Naam opdrachtgever</v>
      </c>
      <c r="B3" s="354" t="str">
        <f>'2-Kosten per locatie'!B3</f>
        <v>Voortgezet Onderwijs van Amsterdam</v>
      </c>
      <c r="C3" s="354"/>
      <c r="D3" s="354"/>
      <c r="E3" s="354"/>
    </row>
    <row r="4" spans="1:10" ht="15.75">
      <c r="A4" s="355" t="str">
        <f>'2-Kosten per locatie'!A4</f>
        <v>Calculatie onderdeel</v>
      </c>
      <c r="B4" s="31" t="str">
        <f ca="1">MID(CELL("bestandsnaam",$F$8),SEARCH("]",CELL("bestandsnaam",$F$8),1)+1,256)</f>
        <v>8-Additionele kosten</v>
      </c>
      <c r="C4" s="354"/>
      <c r="D4" s="31"/>
      <c r="E4" s="31"/>
      <c r="G4" s="356"/>
    </row>
    <row r="5" spans="1:10" ht="15.75">
      <c r="A5" s="355" t="str">
        <f>'2-Kosten per locatie'!A5</f>
        <v>Plaats</v>
      </c>
      <c r="B5" s="354" t="str">
        <f>'2-Kosten per locatie'!B5</f>
        <v>Amsterdam</v>
      </c>
      <c r="C5" s="354"/>
      <c r="D5" s="354"/>
      <c r="E5" s="354"/>
      <c r="G5" s="523"/>
    </row>
    <row r="6" spans="1:10" ht="15.75">
      <c r="A6" s="355" t="str">
        <f>'2-Kosten per locatie'!A6</f>
        <v>Naam dienstverlener</v>
      </c>
      <c r="B6" s="354">
        <f>'2-Kosten per locatie'!B6</f>
        <v>0</v>
      </c>
      <c r="C6" s="354"/>
      <c r="E6" s="354"/>
      <c r="H6" s="258"/>
      <c r="J6" s="357"/>
    </row>
    <row r="7" spans="1:10" ht="15.75">
      <c r="A7" s="355" t="str">
        <f>'2-Kosten per locatie'!A7</f>
        <v>Prijspeil</v>
      </c>
      <c r="B7" s="358">
        <f>'2-Kosten per locatie'!B7</f>
        <v>45839</v>
      </c>
      <c r="E7" s="354"/>
      <c r="J7" s="357"/>
    </row>
    <row r="9" spans="1:10" s="176" customFormat="1">
      <c r="I9" s="564"/>
    </row>
    <row r="10" spans="1:10">
      <c r="A10" s="361"/>
      <c r="B10" s="362"/>
      <c r="C10" s="363"/>
      <c r="D10" s="364"/>
      <c r="E10" s="365"/>
      <c r="F10" s="365"/>
      <c r="G10" s="365"/>
      <c r="H10" s="365"/>
      <c r="I10" s="564"/>
    </row>
    <row r="11" spans="1:10" s="176" customFormat="1" ht="18">
      <c r="A11" s="530" t="s">
        <v>1692</v>
      </c>
      <c r="B11" s="530"/>
      <c r="C11" s="530"/>
      <c r="D11" s="530"/>
      <c r="E11" s="530"/>
      <c r="F11" s="530"/>
      <c r="G11" s="530"/>
      <c r="H11" s="530"/>
      <c r="I11" s="565"/>
    </row>
    <row r="12" spans="1:10" ht="25.5">
      <c r="A12" s="369" t="s">
        <v>15</v>
      </c>
      <c r="B12" s="369" t="s">
        <v>63</v>
      </c>
      <c r="C12" s="531" t="s">
        <v>166</v>
      </c>
      <c r="D12" s="369" t="s">
        <v>1703</v>
      </c>
      <c r="E12" s="369" t="s">
        <v>1521</v>
      </c>
      <c r="F12" s="369" t="s">
        <v>1697</v>
      </c>
      <c r="G12" s="369" t="s">
        <v>167</v>
      </c>
      <c r="H12" s="369" t="s">
        <v>168</v>
      </c>
    </row>
    <row r="13" spans="1:10" s="368" customFormat="1">
      <c r="A13" s="49" t="s">
        <v>1680</v>
      </c>
      <c r="B13" s="366" t="s">
        <v>1644</v>
      </c>
      <c r="C13" s="532" t="s">
        <v>1699</v>
      </c>
      <c r="D13" s="367">
        <v>175</v>
      </c>
      <c r="E13" s="90" t="s">
        <v>1696</v>
      </c>
      <c r="F13" s="563">
        <v>0</v>
      </c>
      <c r="G13" s="367">
        <v>1</v>
      </c>
      <c r="H13" s="360">
        <f>G13*F13*D13</f>
        <v>0</v>
      </c>
    </row>
    <row r="14" spans="1:10" s="368" customFormat="1">
      <c r="A14" s="49" t="s">
        <v>1677</v>
      </c>
      <c r="B14" s="366" t="s">
        <v>376</v>
      </c>
      <c r="C14" s="532" t="s">
        <v>1700</v>
      </c>
      <c r="D14" s="367">
        <v>530</v>
      </c>
      <c r="E14" s="90" t="s">
        <v>1696</v>
      </c>
      <c r="F14" s="563">
        <v>0</v>
      </c>
      <c r="G14" s="367">
        <v>1</v>
      </c>
      <c r="H14" s="360">
        <f t="shared" ref="H14:H16" si="0">G14*F14*D14</f>
        <v>0</v>
      </c>
    </row>
    <row r="15" spans="1:10" s="368" customFormat="1">
      <c r="A15" s="49" t="s">
        <v>1679</v>
      </c>
      <c r="B15" s="366" t="s">
        <v>1505</v>
      </c>
      <c r="C15" s="532" t="s">
        <v>1701</v>
      </c>
      <c r="D15" s="367">
        <v>35</v>
      </c>
      <c r="E15" s="90" t="s">
        <v>1696</v>
      </c>
      <c r="F15" s="563">
        <v>0</v>
      </c>
      <c r="G15" s="367">
        <v>1</v>
      </c>
      <c r="H15" s="360">
        <f t="shared" si="0"/>
        <v>0</v>
      </c>
    </row>
    <row r="16" spans="1:10" s="368" customFormat="1">
      <c r="A16" s="49" t="s">
        <v>1681</v>
      </c>
      <c r="B16" s="366" t="s">
        <v>667</v>
      </c>
      <c r="C16" s="532" t="s">
        <v>1702</v>
      </c>
      <c r="D16" s="367">
        <v>55</v>
      </c>
      <c r="E16" s="90" t="s">
        <v>1696</v>
      </c>
      <c r="F16" s="563">
        <v>0</v>
      </c>
      <c r="G16" s="367">
        <v>1</v>
      </c>
      <c r="H16" s="360">
        <f t="shared" si="0"/>
        <v>0</v>
      </c>
    </row>
    <row r="17" spans="1:8">
      <c r="A17" s="520" t="s">
        <v>1693</v>
      </c>
      <c r="D17" s="521"/>
      <c r="E17" s="522"/>
      <c r="F17" s="115"/>
      <c r="G17" s="115"/>
      <c r="H17" s="115"/>
    </row>
    <row r="18" spans="1:8">
      <c r="A18" s="166"/>
      <c r="B18" s="166"/>
      <c r="D18" s="363"/>
      <c r="E18" s="205"/>
      <c r="F18" s="115"/>
      <c r="G18" s="115"/>
      <c r="H18" s="115"/>
    </row>
    <row r="19" spans="1:8" s="8" customFormat="1">
      <c r="A19" s="190" t="s">
        <v>26</v>
      </c>
      <c r="B19" s="211"/>
      <c r="C19" s="211"/>
      <c r="D19" s="211"/>
      <c r="E19" s="211"/>
      <c r="F19" s="211"/>
      <c r="G19" s="211"/>
      <c r="H19" s="56">
        <f>SUM(H13:H18)</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89"/>
  <sheetViews>
    <sheetView showGridLines="0" showZeros="0" zoomScale="80" zoomScaleNormal="80" zoomScaleSheetLayoutView="75" zoomScalePageLayoutView="50" workbookViewId="0">
      <pane ySplit="9" topLeftCell="A10" activePane="bottomLeft" state="frozen"/>
      <selection activeCell="A5" sqref="A5"/>
      <selection pane="bottomLeft" activeCell="A10" sqref="A10"/>
    </sheetView>
  </sheetViews>
  <sheetFormatPr defaultColWidth="11.42578125" defaultRowHeight="12.75"/>
  <cols>
    <col min="1" max="1" width="39" style="6" customWidth="1"/>
    <col min="2" max="2" width="43.7109375" style="6" bestFit="1" customWidth="1"/>
    <col min="3" max="5" width="17.5703125" style="6" customWidth="1"/>
    <col min="6" max="6" width="19.28515625" style="6" customWidth="1"/>
    <col min="7" max="16384" width="11.42578125" style="6"/>
  </cols>
  <sheetData>
    <row r="1" spans="1:13">
      <c r="A1" s="353" t="s">
        <v>2</v>
      </c>
      <c r="B1" s="370"/>
      <c r="C1" s="370"/>
      <c r="D1" s="371"/>
    </row>
    <row r="3" spans="1:13" ht="15.75">
      <c r="A3" s="4" t="str">
        <f>'2-Kosten per locatie'!A3</f>
        <v>Naam opdrachtgever</v>
      </c>
      <c r="B3" s="31" t="str">
        <f>'2-Kosten per locatie'!B3</f>
        <v>Voortgezet Onderwijs van Amsterdam</v>
      </c>
      <c r="C3" s="372"/>
      <c r="D3" s="372"/>
    </row>
    <row r="4" spans="1:13" ht="15.75">
      <c r="A4" s="4" t="str">
        <f>'2-Kosten per locatie'!A4</f>
        <v>Calculatie onderdeel</v>
      </c>
      <c r="B4" s="31" t="str">
        <f ca="1">MID(CELL("bestandsnaam",$G$8),SEARCH("]",CELL("bestandsnaam",$G$8),1)+1,256)</f>
        <v>9-Afroepprijs</v>
      </c>
      <c r="C4" s="373"/>
      <c r="D4" s="374"/>
    </row>
    <row r="5" spans="1:13" ht="15.75">
      <c r="A5" s="4" t="str">
        <f>'2-Kosten per locatie'!A5</f>
        <v>Plaats</v>
      </c>
      <c r="B5" s="31" t="str">
        <f>'2-Kosten per locatie'!B5</f>
        <v>Amsterdam</v>
      </c>
      <c r="C5" s="373"/>
      <c r="D5" s="374"/>
    </row>
    <row r="6" spans="1:13" ht="15.75">
      <c r="A6" s="4" t="str">
        <f>'2-Kosten per locatie'!A6</f>
        <v>Naam dienstverlener</v>
      </c>
      <c r="B6" s="31">
        <f>'2-Kosten per locatie'!B6</f>
        <v>0</v>
      </c>
      <c r="C6" s="375"/>
      <c r="D6" s="374"/>
    </row>
    <row r="7" spans="1:13" ht="15.75">
      <c r="A7" s="4" t="str">
        <f>'2-Kosten per locatie'!A7</f>
        <v>Prijspeil</v>
      </c>
      <c r="B7" s="181">
        <f>'2-Kosten per locatie'!B7</f>
        <v>45839</v>
      </c>
      <c r="H7" s="13"/>
      <c r="I7" s="13"/>
      <c r="J7" s="13"/>
      <c r="K7" s="13"/>
      <c r="L7" s="13"/>
      <c r="M7" s="13"/>
    </row>
    <row r="8" spans="1:13" ht="15.75">
      <c r="A8" s="376"/>
      <c r="B8" s="377"/>
    </row>
    <row r="9" spans="1:13">
      <c r="A9" s="378"/>
      <c r="B9" s="379"/>
      <c r="C9" s="379"/>
      <c r="D9" s="379"/>
    </row>
    <row r="10" spans="1:13" ht="15.75">
      <c r="A10" s="413" t="s">
        <v>1509</v>
      </c>
      <c r="B10" s="414"/>
      <c r="C10" s="414"/>
      <c r="D10" s="415"/>
      <c r="E10" s="415"/>
      <c r="F10" s="416"/>
    </row>
    <row r="11" spans="1:13">
      <c r="A11" s="380"/>
      <c r="B11" s="381"/>
      <c r="C11" s="552" t="s">
        <v>170</v>
      </c>
      <c r="D11" s="553"/>
      <c r="E11" s="553"/>
      <c r="F11" s="554"/>
    </row>
    <row r="12" spans="1:13">
      <c r="A12" s="382" t="s">
        <v>171</v>
      </c>
      <c r="B12" s="382" t="s">
        <v>172</v>
      </c>
      <c r="C12" s="383" t="s">
        <v>173</v>
      </c>
      <c r="D12" s="384" t="s">
        <v>174</v>
      </c>
      <c r="E12" s="384" t="s">
        <v>175</v>
      </c>
      <c r="F12" s="384" t="s">
        <v>176</v>
      </c>
    </row>
    <row r="13" spans="1:13">
      <c r="A13" s="385" t="s">
        <v>1510</v>
      </c>
      <c r="B13" s="386" t="s">
        <v>189</v>
      </c>
      <c r="C13" s="387">
        <v>0</v>
      </c>
      <c r="D13" s="387">
        <v>0</v>
      </c>
      <c r="E13" s="387">
        <v>0</v>
      </c>
      <c r="F13" s="387">
        <v>0</v>
      </c>
    </row>
    <row r="14" spans="1:13">
      <c r="C14" s="92" t="s">
        <v>186</v>
      </c>
      <c r="D14" s="92" t="s">
        <v>187</v>
      </c>
    </row>
    <row r="15" spans="1:13">
      <c r="A15" s="385" t="s">
        <v>1585</v>
      </c>
      <c r="B15" s="353" t="s">
        <v>189</v>
      </c>
      <c r="C15" s="387">
        <v>0</v>
      </c>
      <c r="D15" s="387">
        <v>0</v>
      </c>
    </row>
    <row r="16" spans="1:13">
      <c r="F16" s="255"/>
    </row>
    <row r="17" spans="1:13" ht="15.75">
      <c r="A17" s="421" t="s">
        <v>1647</v>
      </c>
      <c r="B17" s="414"/>
      <c r="C17" s="414"/>
      <c r="D17" s="414"/>
    </row>
    <row r="18" spans="1:13">
      <c r="A18" s="388"/>
      <c r="B18" s="389"/>
      <c r="C18" s="390"/>
      <c r="D18" s="390"/>
      <c r="G18" s="255"/>
      <c r="H18" s="255"/>
      <c r="I18" s="255"/>
      <c r="J18" s="255"/>
      <c r="K18" s="255"/>
      <c r="L18" s="255"/>
      <c r="M18" s="255"/>
    </row>
    <row r="19" spans="1:13">
      <c r="A19" s="382" t="s">
        <v>1523</v>
      </c>
      <c r="B19" s="382" t="s">
        <v>172</v>
      </c>
      <c r="C19" s="419" t="s">
        <v>1524</v>
      </c>
      <c r="D19" s="420" t="s">
        <v>1525</v>
      </c>
      <c r="G19" s="255"/>
      <c r="H19" s="255"/>
      <c r="I19" s="255"/>
      <c r="J19" s="255"/>
      <c r="K19" s="255"/>
      <c r="L19" s="255"/>
      <c r="M19" s="255"/>
    </row>
    <row r="20" spans="1:13">
      <c r="A20" s="391" t="s">
        <v>1526</v>
      </c>
      <c r="B20" s="386" t="s">
        <v>189</v>
      </c>
      <c r="C20" s="387">
        <v>0</v>
      </c>
      <c r="D20" s="387">
        <v>0</v>
      </c>
      <c r="G20" s="255"/>
      <c r="H20" s="255"/>
      <c r="I20" s="255"/>
      <c r="J20" s="255"/>
      <c r="K20" s="255"/>
      <c r="L20" s="255"/>
      <c r="M20" s="255"/>
    </row>
    <row r="21" spans="1:13">
      <c r="A21" s="391" t="s">
        <v>1527</v>
      </c>
      <c r="B21" s="386" t="s">
        <v>189</v>
      </c>
      <c r="C21" s="387">
        <v>0</v>
      </c>
      <c r="D21" s="387">
        <v>0</v>
      </c>
      <c r="G21" s="255"/>
      <c r="H21" s="255"/>
      <c r="I21" s="255"/>
      <c r="J21" s="255"/>
      <c r="K21" s="255"/>
      <c r="L21" s="255"/>
      <c r="M21" s="255"/>
    </row>
    <row r="22" spans="1:13">
      <c r="A22" s="391" t="s">
        <v>1528</v>
      </c>
      <c r="B22" s="386" t="s">
        <v>189</v>
      </c>
      <c r="C22" s="387">
        <v>0</v>
      </c>
      <c r="D22" s="387">
        <v>0</v>
      </c>
      <c r="G22" s="255"/>
      <c r="H22" s="255"/>
      <c r="I22" s="255"/>
      <c r="J22" s="255"/>
      <c r="K22" s="255"/>
      <c r="L22" s="255"/>
      <c r="M22" s="255"/>
    </row>
    <row r="23" spans="1:13">
      <c r="A23" s="392" t="s">
        <v>1529</v>
      </c>
      <c r="B23" s="386" t="s">
        <v>189</v>
      </c>
      <c r="C23" s="387">
        <v>0</v>
      </c>
      <c r="D23" s="387">
        <v>0</v>
      </c>
      <c r="G23" s="255"/>
      <c r="H23" s="255"/>
      <c r="I23" s="255"/>
      <c r="J23" s="255"/>
      <c r="K23" s="255"/>
      <c r="L23" s="255"/>
      <c r="M23" s="255"/>
    </row>
    <row r="24" spans="1:13">
      <c r="A24" s="392" t="s">
        <v>1530</v>
      </c>
      <c r="B24" s="386" t="s">
        <v>189</v>
      </c>
      <c r="C24" s="387">
        <v>0</v>
      </c>
      <c r="D24" s="387">
        <v>0</v>
      </c>
      <c r="G24" s="255"/>
      <c r="H24" s="255"/>
      <c r="I24" s="255"/>
      <c r="J24" s="255"/>
      <c r="K24" s="255"/>
      <c r="L24" s="255"/>
      <c r="M24" s="255"/>
    </row>
    <row r="25" spans="1:13">
      <c r="A25" s="392" t="s">
        <v>1531</v>
      </c>
      <c r="B25" s="386" t="s">
        <v>189</v>
      </c>
      <c r="C25" s="387">
        <v>0</v>
      </c>
      <c r="D25" s="387">
        <v>0</v>
      </c>
    </row>
    <row r="26" spans="1:13">
      <c r="A26" s="392" t="s">
        <v>1532</v>
      </c>
      <c r="B26" s="386" t="s">
        <v>189</v>
      </c>
      <c r="C26" s="387">
        <v>0</v>
      </c>
      <c r="D26" s="387">
        <v>0</v>
      </c>
    </row>
    <row r="27" spans="1:13" s="16" customFormat="1">
      <c r="A27" s="395"/>
      <c r="B27" s="395"/>
      <c r="C27" s="395"/>
      <c r="D27" s="395"/>
      <c r="E27" s="395"/>
      <c r="F27" s="395"/>
      <c r="G27" s="395"/>
    </row>
    <row r="28" spans="1:13">
      <c r="A28" s="255"/>
      <c r="B28" s="255"/>
      <c r="C28" s="255"/>
      <c r="D28" s="255"/>
      <c r="E28" s="255"/>
      <c r="F28" s="255"/>
    </row>
    <row r="29" spans="1:13" ht="15.75">
      <c r="A29" s="413" t="s">
        <v>169</v>
      </c>
      <c r="B29" s="414"/>
      <c r="C29" s="414"/>
      <c r="D29" s="415"/>
      <c r="E29" s="415"/>
      <c r="F29" s="416"/>
    </row>
    <row r="31" spans="1:13">
      <c r="A31" s="380"/>
      <c r="B31" s="381"/>
      <c r="C31" s="552" t="s">
        <v>170</v>
      </c>
      <c r="D31" s="553"/>
      <c r="E31" s="553"/>
      <c r="F31" s="554"/>
      <c r="G31" s="255"/>
      <c r="H31" s="255"/>
      <c r="I31" s="255"/>
      <c r="J31" s="255"/>
      <c r="K31" s="255"/>
      <c r="L31" s="255"/>
      <c r="M31" s="255"/>
    </row>
    <row r="32" spans="1:13">
      <c r="A32" s="382" t="s">
        <v>171</v>
      </c>
      <c r="B32" s="382" t="s">
        <v>172</v>
      </c>
      <c r="C32" s="383" t="s">
        <v>173</v>
      </c>
      <c r="D32" s="384" t="s">
        <v>174</v>
      </c>
      <c r="E32" s="384" t="s">
        <v>175</v>
      </c>
      <c r="F32" s="384" t="s">
        <v>176</v>
      </c>
      <c r="G32" s="255"/>
    </row>
    <row r="33" spans="1:7">
      <c r="A33" s="385" t="s">
        <v>177</v>
      </c>
      <c r="B33" s="385" t="s">
        <v>178</v>
      </c>
      <c r="C33" s="387">
        <v>0</v>
      </c>
      <c r="D33" s="387">
        <v>0</v>
      </c>
      <c r="E33" s="387">
        <v>0</v>
      </c>
      <c r="F33" s="387">
        <v>0</v>
      </c>
      <c r="G33" s="255"/>
    </row>
    <row r="34" spans="1:7">
      <c r="A34" s="385" t="s">
        <v>179</v>
      </c>
      <c r="B34" s="385" t="s">
        <v>178</v>
      </c>
      <c r="C34" s="387">
        <v>0</v>
      </c>
      <c r="D34" s="387">
        <v>0</v>
      </c>
      <c r="E34" s="387">
        <v>0</v>
      </c>
      <c r="F34" s="387">
        <v>0</v>
      </c>
      <c r="G34" s="255"/>
    </row>
    <row r="35" spans="1:7">
      <c r="A35" s="385" t="s">
        <v>180</v>
      </c>
      <c r="B35" s="385" t="s">
        <v>181</v>
      </c>
      <c r="C35" s="387">
        <v>0</v>
      </c>
      <c r="D35" s="387">
        <v>0</v>
      </c>
      <c r="E35" s="387">
        <v>0</v>
      </c>
      <c r="F35" s="387">
        <v>0</v>
      </c>
      <c r="G35" s="255"/>
    </row>
    <row r="36" spans="1:7">
      <c r="A36" s="382" t="s">
        <v>182</v>
      </c>
      <c r="B36" s="353"/>
      <c r="C36" s="387">
        <v>0</v>
      </c>
      <c r="D36" s="387">
        <v>0</v>
      </c>
      <c r="E36" s="387">
        <v>0</v>
      </c>
      <c r="F36" s="387">
        <v>0</v>
      </c>
    </row>
    <row r="37" spans="1:7">
      <c r="A37" s="382" t="s">
        <v>1507</v>
      </c>
      <c r="B37" s="353"/>
      <c r="C37" s="387">
        <v>0</v>
      </c>
      <c r="D37" s="387">
        <v>0</v>
      </c>
      <c r="E37" s="387">
        <v>0</v>
      </c>
      <c r="F37" s="387">
        <v>0</v>
      </c>
    </row>
    <row r="38" spans="1:7">
      <c r="A38" s="382" t="s">
        <v>1508</v>
      </c>
      <c r="B38" s="353"/>
      <c r="C38" s="387">
        <v>0</v>
      </c>
      <c r="D38" s="387">
        <v>0</v>
      </c>
      <c r="E38" s="387">
        <v>0</v>
      </c>
      <c r="F38" s="387">
        <v>0</v>
      </c>
    </row>
    <row r="39" spans="1:7">
      <c r="A39" s="382" t="s">
        <v>1506</v>
      </c>
      <c r="B39" s="353"/>
      <c r="C39" s="387">
        <v>0</v>
      </c>
      <c r="D39" s="387">
        <v>0</v>
      </c>
      <c r="E39" s="387">
        <v>0</v>
      </c>
      <c r="F39" s="387">
        <v>0</v>
      </c>
    </row>
    <row r="40" spans="1:7">
      <c r="A40" s="393" t="s">
        <v>1533</v>
      </c>
      <c r="B40" s="353"/>
      <c r="C40" s="387">
        <v>0</v>
      </c>
      <c r="D40" s="387">
        <v>0</v>
      </c>
      <c r="E40" s="387">
        <v>0</v>
      </c>
      <c r="F40" s="387">
        <v>0</v>
      </c>
    </row>
    <row r="41" spans="1:7">
      <c r="A41" s="393" t="s">
        <v>1586</v>
      </c>
      <c r="B41" s="353"/>
      <c r="C41" s="387">
        <v>0</v>
      </c>
      <c r="D41" s="387">
        <v>0</v>
      </c>
      <c r="E41" s="387">
        <v>0</v>
      </c>
      <c r="F41" s="387">
        <v>0</v>
      </c>
    </row>
    <row r="42" spans="1:7" s="16" customFormat="1">
      <c r="A42" s="395"/>
      <c r="B42" s="395"/>
      <c r="C42" s="395"/>
      <c r="D42" s="395"/>
      <c r="E42" s="395"/>
      <c r="F42" s="395"/>
      <c r="G42" s="395"/>
    </row>
    <row r="43" spans="1:7" s="16" customFormat="1">
      <c r="A43" s="395"/>
      <c r="B43" s="395"/>
      <c r="C43" s="395"/>
      <c r="D43" s="395"/>
      <c r="E43" s="395"/>
      <c r="F43" s="395"/>
      <c r="G43" s="395"/>
    </row>
    <row r="44" spans="1:7" ht="15.75">
      <c r="A44" s="413" t="s">
        <v>183</v>
      </c>
      <c r="B44" s="414"/>
      <c r="C44" s="414"/>
      <c r="D44" s="414"/>
      <c r="E44" s="414"/>
      <c r="F44" s="417"/>
    </row>
    <row r="45" spans="1:7">
      <c r="A45" s="394"/>
      <c r="B45" s="395"/>
      <c r="C45" s="395"/>
      <c r="D45" s="370"/>
      <c r="E45" s="552" t="s">
        <v>184</v>
      </c>
      <c r="F45" s="554"/>
    </row>
    <row r="46" spans="1:7">
      <c r="A46" s="382" t="s">
        <v>185</v>
      </c>
      <c r="B46" s="396" t="s">
        <v>172</v>
      </c>
      <c r="C46" s="397"/>
      <c r="D46" s="398"/>
      <c r="E46" s="383" t="s">
        <v>186</v>
      </c>
      <c r="F46" s="383" t="s">
        <v>187</v>
      </c>
    </row>
    <row r="47" spans="1:7">
      <c r="A47" s="385" t="s">
        <v>188</v>
      </c>
      <c r="B47" s="353" t="s">
        <v>189</v>
      </c>
      <c r="C47" s="399"/>
      <c r="D47" s="399"/>
      <c r="E47" s="387">
        <v>0</v>
      </c>
      <c r="F47" s="387">
        <v>0</v>
      </c>
    </row>
    <row r="48" spans="1:7">
      <c r="A48" s="385" t="s">
        <v>190</v>
      </c>
      <c r="B48" s="353" t="s">
        <v>189</v>
      </c>
      <c r="C48" s="400"/>
      <c r="D48" s="400"/>
      <c r="E48" s="387">
        <v>0</v>
      </c>
      <c r="F48" s="387">
        <v>0</v>
      </c>
    </row>
    <row r="49" spans="1:7">
      <c r="A49" s="385" t="s">
        <v>191</v>
      </c>
      <c r="B49" s="353" t="s">
        <v>189</v>
      </c>
      <c r="C49" s="400"/>
      <c r="D49" s="400"/>
      <c r="E49" s="387">
        <v>0</v>
      </c>
      <c r="F49" s="387">
        <v>0</v>
      </c>
    </row>
    <row r="50" spans="1:7">
      <c r="A50" s="385" t="s">
        <v>192</v>
      </c>
      <c r="B50" s="353" t="s">
        <v>189</v>
      </c>
      <c r="C50" s="401"/>
      <c r="D50" s="400"/>
      <c r="E50" s="387">
        <v>0</v>
      </c>
      <c r="F50" s="387">
        <v>0</v>
      </c>
    </row>
    <row r="51" spans="1:7">
      <c r="A51" s="385" t="s">
        <v>193</v>
      </c>
      <c r="B51" s="353" t="s">
        <v>189</v>
      </c>
      <c r="C51" s="401"/>
      <c r="D51" s="400"/>
      <c r="E51" s="387">
        <v>0</v>
      </c>
      <c r="F51" s="387">
        <v>0</v>
      </c>
    </row>
    <row r="52" spans="1:7" s="16" customFormat="1">
      <c r="A52" s="395"/>
      <c r="B52" s="395"/>
      <c r="C52" s="395"/>
      <c r="D52" s="395"/>
      <c r="E52" s="395"/>
      <c r="F52" s="395"/>
      <c r="G52" s="395"/>
    </row>
    <row r="53" spans="1:7">
      <c r="A53" s="402"/>
      <c r="B53" s="403"/>
      <c r="C53" s="403"/>
      <c r="D53" s="402"/>
    </row>
    <row r="54" spans="1:7" s="16" customFormat="1" ht="15.75">
      <c r="A54" s="413" t="s">
        <v>194</v>
      </c>
      <c r="B54" s="414"/>
      <c r="C54" s="414"/>
      <c r="D54" s="414"/>
      <c r="E54" s="414"/>
      <c r="F54" s="417"/>
      <c r="G54" s="6"/>
    </row>
    <row r="55" spans="1:7" s="16" customFormat="1">
      <c r="A55" s="404"/>
      <c r="B55" s="404"/>
      <c r="C55" s="404"/>
      <c r="D55" s="404"/>
      <c r="E55" s="6"/>
      <c r="F55" s="6"/>
      <c r="G55" s="6"/>
    </row>
    <row r="56" spans="1:7" s="16" customFormat="1" ht="25.5">
      <c r="A56" s="405" t="s">
        <v>195</v>
      </c>
      <c r="B56" s="406" t="s">
        <v>172</v>
      </c>
      <c r="C56" s="397"/>
      <c r="D56" s="398"/>
      <c r="E56" s="393" t="s">
        <v>196</v>
      </c>
      <c r="F56" s="407" t="s">
        <v>197</v>
      </c>
      <c r="G56" s="6"/>
    </row>
    <row r="57" spans="1:7" s="16" customFormat="1">
      <c r="A57" s="385" t="s">
        <v>198</v>
      </c>
      <c r="B57" s="353" t="s">
        <v>189</v>
      </c>
      <c r="C57" s="399"/>
      <c r="D57" s="399"/>
      <c r="E57" s="387">
        <v>0</v>
      </c>
      <c r="F57" s="387">
        <v>0</v>
      </c>
      <c r="G57" s="6"/>
    </row>
    <row r="58" spans="1:7" s="16" customFormat="1">
      <c r="A58" s="385" t="s">
        <v>199</v>
      </c>
      <c r="B58" s="353" t="s">
        <v>189</v>
      </c>
      <c r="C58" s="399"/>
      <c r="D58" s="399"/>
      <c r="E58" s="387">
        <v>0</v>
      </c>
      <c r="F58" s="387">
        <v>0</v>
      </c>
      <c r="G58" s="6"/>
    </row>
    <row r="59" spans="1:7" s="16" customFormat="1">
      <c r="A59" s="385" t="s">
        <v>200</v>
      </c>
      <c r="B59" s="353" t="s">
        <v>189</v>
      </c>
      <c r="C59" s="399"/>
      <c r="D59" s="399"/>
      <c r="E59" s="387">
        <v>0</v>
      </c>
      <c r="F59" s="387">
        <v>0</v>
      </c>
      <c r="G59" s="6"/>
    </row>
    <row r="60" spans="1:7" s="16" customFormat="1">
      <c r="A60" s="385" t="s">
        <v>201</v>
      </c>
      <c r="B60" s="353" t="s">
        <v>189</v>
      </c>
      <c r="C60" s="399"/>
      <c r="D60" s="399"/>
      <c r="E60" s="387">
        <v>0</v>
      </c>
      <c r="F60" s="387">
        <v>0</v>
      </c>
      <c r="G60" s="6"/>
    </row>
    <row r="61" spans="1:7" s="16" customFormat="1">
      <c r="A61" s="385" t="s">
        <v>202</v>
      </c>
      <c r="B61" s="353" t="s">
        <v>189</v>
      </c>
      <c r="C61" s="399"/>
      <c r="D61" s="399"/>
      <c r="E61" s="387">
        <v>0</v>
      </c>
      <c r="F61" s="387">
        <v>0</v>
      </c>
      <c r="G61" s="6"/>
    </row>
    <row r="62" spans="1:7" s="16" customFormat="1">
      <c r="A62" s="385" t="s">
        <v>1518</v>
      </c>
      <c r="B62" s="385" t="s">
        <v>1514</v>
      </c>
      <c r="C62" s="399"/>
      <c r="D62" s="399"/>
      <c r="E62" s="387">
        <v>0</v>
      </c>
      <c r="F62" s="387">
        <v>0</v>
      </c>
      <c r="G62" s="6"/>
    </row>
    <row r="63" spans="1:7" s="16" customFormat="1">
      <c r="A63" s="395"/>
      <c r="B63" s="395"/>
      <c r="C63" s="395"/>
      <c r="D63" s="395"/>
      <c r="E63" s="395"/>
      <c r="F63" s="395"/>
      <c r="G63" s="395"/>
    </row>
    <row r="64" spans="1:7" s="16" customFormat="1">
      <c r="A64" s="6"/>
      <c r="B64" s="6"/>
      <c r="C64" s="6"/>
      <c r="D64" s="6"/>
      <c r="E64" s="6"/>
      <c r="F64" s="6"/>
      <c r="G64" s="6"/>
    </row>
    <row r="65" spans="1:7" s="16" customFormat="1" ht="15.75">
      <c r="A65" s="413" t="s">
        <v>203</v>
      </c>
      <c r="B65" s="414"/>
      <c r="C65" s="414"/>
      <c r="D65" s="414"/>
      <c r="E65" s="414"/>
      <c r="F65" s="417"/>
      <c r="G65" s="6"/>
    </row>
    <row r="66" spans="1:7" s="16" customFormat="1">
      <c r="A66" s="394"/>
      <c r="B66" s="395"/>
      <c r="C66" s="395"/>
      <c r="D66" s="370"/>
      <c r="E66" s="6"/>
      <c r="F66" s="6"/>
      <c r="G66" s="6"/>
    </row>
    <row r="67" spans="1:7">
      <c r="A67" s="382" t="s">
        <v>171</v>
      </c>
      <c r="B67" s="380" t="s">
        <v>172</v>
      </c>
      <c r="C67" s="404"/>
      <c r="D67" s="404"/>
      <c r="E67" s="404"/>
      <c r="F67" s="408" t="s">
        <v>204</v>
      </c>
    </row>
    <row r="68" spans="1:7">
      <c r="A68" s="385" t="s">
        <v>205</v>
      </c>
      <c r="B68" s="409" t="s">
        <v>163</v>
      </c>
      <c r="C68" s="409"/>
      <c r="D68" s="409"/>
      <c r="E68" s="409"/>
      <c r="F68" s="387">
        <v>0</v>
      </c>
      <c r="G68" s="16"/>
    </row>
    <row r="69" spans="1:7">
      <c r="A69" s="385" t="s">
        <v>205</v>
      </c>
      <c r="B69" s="409" t="s">
        <v>164</v>
      </c>
      <c r="C69" s="409"/>
      <c r="D69" s="409"/>
      <c r="E69" s="409"/>
      <c r="F69" s="387">
        <v>0</v>
      </c>
      <c r="G69" s="16"/>
    </row>
    <row r="70" spans="1:7">
      <c r="A70" s="385" t="s">
        <v>205</v>
      </c>
      <c r="B70" s="409" t="s">
        <v>165</v>
      </c>
      <c r="C70" s="409"/>
      <c r="D70" s="409"/>
      <c r="E70" s="409"/>
      <c r="F70" s="387">
        <v>0</v>
      </c>
      <c r="G70" s="16"/>
    </row>
    <row r="71" spans="1:7">
      <c r="A71" s="385" t="s">
        <v>206</v>
      </c>
      <c r="B71" s="409" t="s">
        <v>163</v>
      </c>
      <c r="C71" s="409"/>
      <c r="D71" s="409"/>
      <c r="E71" s="409"/>
      <c r="F71" s="387">
        <v>0</v>
      </c>
      <c r="G71" s="16"/>
    </row>
    <row r="72" spans="1:7">
      <c r="A72" s="395"/>
      <c r="B72" s="370"/>
      <c r="C72" s="370"/>
      <c r="D72" s="395"/>
      <c r="G72" s="16"/>
    </row>
    <row r="73" spans="1:7">
      <c r="A73" s="16"/>
      <c r="B73" s="16"/>
      <c r="C73" s="16"/>
      <c r="D73" s="16"/>
      <c r="E73" s="16"/>
      <c r="F73" s="16"/>
    </row>
    <row r="74" spans="1:7" ht="15.75">
      <c r="A74" s="418" t="s">
        <v>207</v>
      </c>
      <c r="B74" s="417"/>
      <c r="C74" s="16"/>
      <c r="D74" s="16"/>
      <c r="E74" s="16"/>
      <c r="F74" s="16"/>
    </row>
    <row r="75" spans="1:7">
      <c r="A75" s="382" t="s">
        <v>208</v>
      </c>
      <c r="B75" s="410" t="s">
        <v>204</v>
      </c>
      <c r="C75" s="16"/>
      <c r="D75" s="16"/>
      <c r="E75" s="16"/>
      <c r="F75" s="16"/>
    </row>
    <row r="76" spans="1:7">
      <c r="A76" s="385" t="s">
        <v>209</v>
      </c>
      <c r="B76" s="387">
        <v>0</v>
      </c>
      <c r="C76" s="16"/>
      <c r="D76" s="16"/>
      <c r="E76" s="16"/>
      <c r="F76" s="16"/>
    </row>
    <row r="77" spans="1:7">
      <c r="A77" s="385" t="s">
        <v>210</v>
      </c>
      <c r="B77" s="387">
        <v>0</v>
      </c>
      <c r="C77" s="16"/>
      <c r="D77" s="16"/>
      <c r="E77" s="16"/>
      <c r="F77" s="16"/>
    </row>
    <row r="78" spans="1:7">
      <c r="A78" s="395"/>
      <c r="B78" s="395"/>
      <c r="C78" s="16"/>
      <c r="D78" s="16"/>
      <c r="E78" s="16"/>
      <c r="F78" s="16"/>
    </row>
    <row r="79" spans="1:7" ht="15.75">
      <c r="A79" s="411" t="s">
        <v>211</v>
      </c>
      <c r="B79" s="370"/>
      <c r="C79" s="370"/>
      <c r="D79" s="395"/>
    </row>
    <row r="80" spans="1:7">
      <c r="A80" s="395" t="s">
        <v>212</v>
      </c>
    </row>
    <row r="81" spans="1:4">
      <c r="A81" s="395" t="s">
        <v>213</v>
      </c>
      <c r="B81" s="370"/>
      <c r="C81" s="370"/>
      <c r="D81" s="395"/>
    </row>
    <row r="82" spans="1:4">
      <c r="A82" s="395"/>
      <c r="B82" s="370"/>
      <c r="C82" s="370"/>
      <c r="D82" s="395"/>
    </row>
    <row r="83" spans="1:4">
      <c r="A83" s="395"/>
      <c r="B83" s="370"/>
      <c r="C83" s="370"/>
      <c r="D83" s="395"/>
    </row>
    <row r="84" spans="1:4">
      <c r="A84" s="395"/>
      <c r="B84" s="370"/>
      <c r="C84" s="370"/>
      <c r="D84" s="395"/>
    </row>
    <row r="86" spans="1:4">
      <c r="A86" s="412"/>
      <c r="B86" s="370"/>
      <c r="C86" s="370"/>
      <c r="D86" s="370"/>
    </row>
    <row r="87" spans="1:4">
      <c r="A87" s="412"/>
    </row>
    <row r="88" spans="1:4">
      <c r="A88" s="412"/>
    </row>
    <row r="89" spans="1:4">
      <c r="A89" s="412"/>
    </row>
  </sheetData>
  <mergeCells count="3">
    <mergeCell ref="C11:F11"/>
    <mergeCell ref="C31:F31"/>
    <mergeCell ref="E45:F45"/>
  </mergeCells>
  <phoneticPr fontId="13"/>
  <conditionalFormatting sqref="E53:F56">
    <cfRule type="cellIs" dxfId="0" priority="2"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9FD1EEC88A5443926975E1505F82C3" ma:contentTypeVersion="4" ma:contentTypeDescription="Een nieuw document maken." ma:contentTypeScope="" ma:versionID="41bc4cb78d21b509538982a19ea981a4">
  <xsd:schema xmlns:xsd="http://www.w3.org/2001/XMLSchema" xmlns:xs="http://www.w3.org/2001/XMLSchema" xmlns:p="http://schemas.microsoft.com/office/2006/metadata/properties" xmlns:ns2="45271300-11d6-41c5-b3cf-b0c9b17025b1" targetNamespace="http://schemas.microsoft.com/office/2006/metadata/properties" ma:root="true" ma:fieldsID="1b11be6d7b9c10244a94a7e95f3bafa7" ns2:_="">
    <xsd:import namespace="45271300-11d6-41c5-b3cf-b0c9b17025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271300-11d6-41c5-b3cf-b0c9b1702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purl.org/dc/elements/1.1/"/>
    <ds:schemaRef ds:uri="45271300-11d6-41c5-b3cf-b0c9b17025b1"/>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DDEE419B-5A1F-4EAA-804A-13EEBDCBC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271300-11d6-41c5-b3cf-b0c9b1702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vt:lpstr>
      <vt:lpstr>12-Vloeronderhoud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'11-Sanitair'!Afdruktitels</vt:lpstr>
      <vt:lpstr>'12-Vloeronderhoud'!Afdruktitels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Ilse Donkervoort</cp:lastModifiedBy>
  <cp:revision/>
  <cp:lastPrinted>2024-08-22T07:54:41Z</cp:lastPrinted>
  <dcterms:created xsi:type="dcterms:W3CDTF">1999-10-05T12:28:40Z</dcterms:created>
  <dcterms:modified xsi:type="dcterms:W3CDTF">2024-11-14T17:18:11Z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0x010100509FD1EEC88A5443926975E1505F82C3</vt:lpwstr>
  </property>
  <property fmtid="{D5CDD505-2E9C-101B-9397-08002B2CF9AE}" pid="3" name="MediaServiceImageTags">
    <vt:lpwstr/>
  </property>
</Properties>
</file>