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Projectinrichting (exp. 30-06-2025)/Offerte aanvraag/"/>
    </mc:Choice>
  </mc:AlternateContent>
  <xr:revisionPtr revIDLastSave="0" documentId="8_{6DCC69FC-56C8-4287-AD0E-936F42493390}" xr6:coauthVersionLast="47" xr6:coauthVersionMax="47" xr10:uidLastSave="{00000000-0000-0000-0000-000000000000}"/>
  <bookViews>
    <workbookView xWindow="41158" yWindow="-107" windowWidth="20848" windowHeight="11111" xr2:uid="{FED05CDA-5D9F-4B97-B2FA-A39B68F40483}"/>
  </bookViews>
  <sheets>
    <sheet name="Totale beoordeling" sheetId="1" r:id="rId1"/>
  </sheets>
  <definedNames>
    <definedName name="_xlnm.Print_Area" localSheetId="0">'Totale beoordeling'!$A$1:$I$21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K16" i="1"/>
  <c r="I17" i="1" s="1"/>
  <c r="L14" i="1"/>
  <c r="K14" i="1"/>
  <c r="K18" i="1"/>
  <c r="F19" i="1" s="1"/>
  <c r="F13" i="1"/>
  <c r="G13" i="1"/>
  <c r="H13" i="1"/>
  <c r="I13" i="1"/>
  <c r="E17" i="1" l="1"/>
  <c r="F17" i="1"/>
  <c r="G17" i="1"/>
  <c r="H17" i="1"/>
  <c r="E15" i="1"/>
  <c r="I15" i="1"/>
  <c r="F15" i="1"/>
  <c r="G15" i="1"/>
  <c r="H15" i="1"/>
  <c r="E19" i="1"/>
  <c r="I19" i="1"/>
  <c r="H19" i="1"/>
  <c r="G19" i="1"/>
  <c r="J38" i="1"/>
  <c r="K38" i="1" s="1"/>
  <c r="I39" i="1"/>
  <c r="I41" i="1" s="1"/>
  <c r="I29" i="1"/>
  <c r="I31" i="1" s="1"/>
  <c r="D39" i="1"/>
  <c r="E29" i="1"/>
  <c r="E31" i="1" s="1"/>
  <c r="G29" i="1"/>
  <c r="G31" i="1" s="1"/>
  <c r="F29" i="1"/>
  <c r="F31" i="1" s="1"/>
  <c r="H29" i="1"/>
  <c r="H31" i="1" s="1"/>
  <c r="H39" i="1"/>
  <c r="H41" i="1" s="1"/>
  <c r="G39" i="1"/>
  <c r="G41" i="1" s="1"/>
  <c r="F39" i="1"/>
  <c r="F41" i="1" s="1"/>
  <c r="E39" i="1"/>
  <c r="E41" i="1" s="1"/>
  <c r="K27" i="1"/>
  <c r="L27" i="1"/>
  <c r="L29" i="1" s="1"/>
  <c r="D29" i="1"/>
  <c r="F20" i="1" l="1"/>
  <c r="F21" i="1" s="1"/>
  <c r="G20" i="1"/>
  <c r="G21" i="1" s="1"/>
  <c r="H20" i="1"/>
  <c r="H21" i="1" s="1"/>
  <c r="E20" i="1"/>
  <c r="E21" i="1" s="1"/>
  <c r="I20" i="1"/>
  <c r="I21" i="1" s="1"/>
</calcChain>
</file>

<file path=xl/sharedStrings.xml><?xml version="1.0" encoding="utf-8"?>
<sst xmlns="http://schemas.openxmlformats.org/spreadsheetml/2006/main" count="73" uniqueCount="57">
  <si>
    <t>Prijs</t>
  </si>
  <si>
    <t>Kwaliteit</t>
  </si>
  <si>
    <t>Totaalscore Prijs</t>
  </si>
  <si>
    <t>Totaalscore Kwaliteit</t>
  </si>
  <si>
    <t>Hoogste score</t>
  </si>
  <si>
    <t>Totaal normbedrag</t>
  </si>
  <si>
    <t>Totaalscore kwaliteit</t>
  </si>
  <si>
    <t>Hoogste score wint perceel 4</t>
  </si>
  <si>
    <t>Index/score  (men kan hier niet meer scoren dan een 10)</t>
  </si>
  <si>
    <t>Keuze perceel 1 en perceel 2 of perceel 3</t>
  </si>
  <si>
    <r>
      <t xml:space="preserve">Als hoogste score perceel 3 </t>
    </r>
    <r>
      <rPr>
        <b/>
        <sz val="11"/>
        <color indexed="8"/>
        <rFont val="Calibri"/>
        <family val="2"/>
      </rPr>
      <t>≥</t>
    </r>
    <r>
      <rPr>
        <b/>
        <sz val="8.8000000000000007"/>
        <color indexed="8"/>
        <rFont val="Calibri"/>
        <family val="2"/>
      </rPr>
      <t xml:space="preserve"> (hoogste score perceel 1*58%) + (hoogste score perceel 2*42%) + 0,36 --&gt; gunning perceel 3 (één landelijk opererende beveilgingspartij)</t>
    </r>
  </si>
  <si>
    <r>
      <t>Als hoogste score perceel 3 &lt;</t>
    </r>
    <r>
      <rPr>
        <b/>
        <sz val="8.8000000000000007"/>
        <color indexed="8"/>
        <rFont val="Calibri"/>
        <family val="2"/>
      </rPr>
      <t xml:space="preserve"> (hoogste score perceel 1*58%) + (hoogste score perceel 2*42%) + 0,36 --&gt; gunning perceel 1 en perceel 2 (twee geografisch verdeeld opererende beveilgingspartijen)</t>
    </r>
  </si>
  <si>
    <t>Totaalscore perceel 3 Geheel Nederland</t>
  </si>
  <si>
    <t>Totaalscore perceel  4 Camera observatie ruimte</t>
  </si>
  <si>
    <t>Keuze perceel 4</t>
  </si>
  <si>
    <t>Perceel 4 wordt gegund aan de hoogst scorende Inschrijver.</t>
  </si>
  <si>
    <t>G4S</t>
  </si>
  <si>
    <t>Securitas</t>
  </si>
  <si>
    <t>Trigion</t>
  </si>
  <si>
    <t>ISS</t>
  </si>
  <si>
    <t>NSA</t>
  </si>
  <si>
    <t>drempel voor perceel 3</t>
  </si>
  <si>
    <t>Gunning percelen 1 en 2</t>
  </si>
  <si>
    <t>Inschrijver 1</t>
  </si>
  <si>
    <t>Inschrijver 2</t>
  </si>
  <si>
    <t>Inschrijver 3</t>
  </si>
  <si>
    <t>Inschrijver 4</t>
  </si>
  <si>
    <t>Inschrijver 5</t>
  </si>
  <si>
    <t>Gunningscriterium</t>
  </si>
  <si>
    <t>Beoordelingssheet EA Projectinrichting</t>
  </si>
  <si>
    <t>Kansendossier: Toegevoegde waarde voor Aventus, de medewerker, de docent en/of de student.</t>
  </si>
  <si>
    <t>Score gunningscriterium Prijs</t>
  </si>
  <si>
    <t>Maximaal 30 punten</t>
  </si>
  <si>
    <t>Garantie, nazorg, service</t>
  </si>
  <si>
    <t>Marktconformiteit</t>
  </si>
  <si>
    <t>Partnership</t>
  </si>
  <si>
    <t>Circulariteit: oude meubilair</t>
  </si>
  <si>
    <r>
      <t xml:space="preserve">Presentaties
</t>
    </r>
    <r>
      <rPr>
        <sz val="11"/>
        <color theme="1"/>
        <rFont val="Calibri"/>
        <family val="2"/>
        <scheme val="minor"/>
      </rPr>
      <t>Maximaal 30 punten</t>
    </r>
  </si>
  <si>
    <r>
      <t xml:space="preserve">Open vragen
</t>
    </r>
    <r>
      <rPr>
        <sz val="11"/>
        <color theme="1"/>
        <rFont val="Calibri"/>
        <family val="2"/>
        <scheme val="minor"/>
      </rPr>
      <t>Maximaal 40 punten</t>
    </r>
  </si>
  <si>
    <t>10 punten</t>
  </si>
  <si>
    <t>Maximaal aantal punten</t>
  </si>
  <si>
    <t>Subgunningscriterium</t>
  </si>
  <si>
    <t>3 punten</t>
  </si>
  <si>
    <t>2 punten</t>
  </si>
  <si>
    <t>7 punten</t>
  </si>
  <si>
    <t>5 punten</t>
  </si>
  <si>
    <t>30 punten</t>
  </si>
  <si>
    <t>Van behoefte naar ontwerp</t>
  </si>
  <si>
    <t>Van ontwerp naar realisatie</t>
  </si>
  <si>
    <t>School- en kantoormeubilair</t>
  </si>
  <si>
    <t>15 punten</t>
  </si>
  <si>
    <t>Presentatie Case inspiratie-/brainstormruimte</t>
  </si>
  <si>
    <r>
      <t xml:space="preserve">Uitwerking Case inspiratie-/brainstormruimte
</t>
    </r>
    <r>
      <rPr>
        <i/>
        <sz val="11"/>
        <color rgb="FF000000"/>
        <rFont val="Calibri"/>
        <family val="2"/>
      </rPr>
      <t>let op plafondbedrag van € 95.000 excl. btw)</t>
    </r>
  </si>
  <si>
    <r>
      <t xml:space="preserve">handlings- en/of administratie kosten die u per opdracht doorberekend
</t>
    </r>
    <r>
      <rPr>
        <i/>
        <sz val="11"/>
        <color rgb="FF000000"/>
        <rFont val="Calibri"/>
        <family val="2"/>
      </rPr>
      <t>Inschrijvingen lager dan €1,00 worden gecorrigeerd naar €1,00</t>
    </r>
  </si>
  <si>
    <t>Score gunningscriterium Kwaliteit</t>
  </si>
  <si>
    <t>Totaalscore</t>
  </si>
  <si>
    <t>Inschrijver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</si>
</sst>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8.8000000000000007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0"/>
      <name val="Calibri"/>
      <family val="2"/>
    </font>
    <font>
      <b/>
      <sz val="14"/>
      <color theme="0"/>
      <name val="Calibri"/>
      <family val="2"/>
    </font>
    <font>
      <i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3" fillId="5" borderId="11" xfId="1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10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/>
    </xf>
    <xf numFmtId="4" fontId="3" fillId="6" borderId="1" xfId="0" applyNumberFormat="1" applyFont="1" applyFill="1" applyBorder="1" applyAlignment="1">
      <alignment horizontal="center" vertical="center"/>
    </xf>
    <xf numFmtId="4" fontId="3" fillId="6" borderId="1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164" fontId="3" fillId="7" borderId="17" xfId="0" applyNumberFormat="1" applyFont="1" applyFill="1" applyBorder="1" applyAlignment="1">
      <alignment horizontal="center" vertical="center"/>
    </xf>
    <xf numFmtId="4" fontId="3" fillId="7" borderId="17" xfId="0" applyNumberFormat="1" applyFont="1" applyFill="1" applyBorder="1" applyAlignment="1">
      <alignment horizontal="center"/>
    </xf>
    <xf numFmtId="4" fontId="3" fillId="2" borderId="10" xfId="0" applyNumberFormat="1" applyFont="1" applyFill="1" applyBorder="1" applyAlignment="1">
      <alignment horizontal="center"/>
    </xf>
    <xf numFmtId="4" fontId="3" fillId="7" borderId="17" xfId="0" applyNumberFormat="1" applyFont="1" applyFill="1" applyBorder="1" applyAlignment="1">
      <alignment horizontal="center" vertical="center"/>
    </xf>
    <xf numFmtId="2" fontId="9" fillId="7" borderId="18" xfId="0" applyNumberFormat="1" applyFont="1" applyFill="1" applyBorder="1" applyAlignment="1">
      <alignment horizontal="center" vertical="center"/>
    </xf>
    <xf numFmtId="164" fontId="3" fillId="6" borderId="17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/>
    </xf>
    <xf numFmtId="4" fontId="3" fillId="6" borderId="10" xfId="0" applyNumberFormat="1" applyFont="1" applyFill="1" applyBorder="1" applyAlignment="1">
      <alignment horizontal="center"/>
    </xf>
    <xf numFmtId="4" fontId="3" fillId="6" borderId="17" xfId="0" applyNumberFormat="1" applyFont="1" applyFill="1" applyBorder="1" applyAlignment="1">
      <alignment horizontal="center" vertical="center"/>
    </xf>
    <xf numFmtId="2" fontId="9" fillId="6" borderId="18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165" fontId="3" fillId="3" borderId="26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vertical="center" wrapText="1"/>
    </xf>
    <xf numFmtId="166" fontId="3" fillId="2" borderId="8" xfId="0" applyNumberFormat="1" applyFont="1" applyFill="1" applyBorder="1" applyAlignment="1">
      <alignment horizontal="center"/>
    </xf>
    <xf numFmtId="44" fontId="1" fillId="4" borderId="8" xfId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 wrapText="1"/>
    </xf>
    <xf numFmtId="44" fontId="1" fillId="4" borderId="26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166" fontId="3" fillId="2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right"/>
    </xf>
    <xf numFmtId="0" fontId="0" fillId="0" borderId="23" xfId="0" applyBorder="1"/>
    <xf numFmtId="0" fontId="7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left" vertical="center"/>
    </xf>
    <xf numFmtId="9" fontId="7" fillId="2" borderId="22" xfId="0" applyNumberFormat="1" applyFont="1" applyFill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9" fontId="0" fillId="2" borderId="7" xfId="0" applyNumberFormat="1" applyFill="1" applyBorder="1" applyAlignment="1">
      <alignment horizontal="center" vertical="center"/>
    </xf>
    <xf numFmtId="9" fontId="0" fillId="2" borderId="28" xfId="0" applyNumberFormat="1" applyFill="1" applyBorder="1" applyAlignment="1">
      <alignment horizontal="center" vertical="center"/>
    </xf>
    <xf numFmtId="9" fontId="0" fillId="2" borderId="14" xfId="0" applyNumberForma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7" fillId="8" borderId="1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 wrapText="1"/>
    </xf>
    <xf numFmtId="9" fontId="7" fillId="2" borderId="22" xfId="0" applyNumberFormat="1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8493-0688-4172-93C6-2739C64FC56D}">
  <sheetPr>
    <pageSetUpPr fitToPage="1"/>
  </sheetPr>
  <dimension ref="A1:M53"/>
  <sheetViews>
    <sheetView tabSelected="1" zoomScale="90" zoomScaleNormal="90" workbookViewId="0">
      <selection sqref="A1:I1"/>
    </sheetView>
  </sheetViews>
  <sheetFormatPr defaultRowHeight="14" x14ac:dyDescent="0.3"/>
  <cols>
    <col min="1" max="1" width="21.19921875" bestFit="1" customWidth="1"/>
    <col min="2" max="2" width="20.796875" customWidth="1"/>
    <col min="3" max="3" width="62.09765625" customWidth="1"/>
    <col min="4" max="4" width="22.09765625" customWidth="1"/>
    <col min="5" max="5" width="22" customWidth="1"/>
    <col min="6" max="6" width="23.796875" bestFit="1" customWidth="1"/>
    <col min="7" max="9" width="17.69921875" customWidth="1"/>
    <col min="10" max="10" width="20.19921875" bestFit="1" customWidth="1"/>
    <col min="11" max="11" width="13" bestFit="1" customWidth="1"/>
    <col min="12" max="12" width="14.296875" customWidth="1"/>
    <col min="13" max="13" width="15.296875" bestFit="1" customWidth="1"/>
  </cols>
  <sheetData>
    <row r="1" spans="1:12" ht="44.2" customHeight="1" thickBot="1" x14ac:dyDescent="0.35">
      <c r="A1" s="99" t="s">
        <v>29</v>
      </c>
      <c r="B1" s="99"/>
      <c r="C1" s="99"/>
      <c r="D1" s="99"/>
      <c r="E1" s="99"/>
      <c r="F1" s="99"/>
      <c r="G1" s="99"/>
      <c r="H1" s="99"/>
      <c r="I1" s="100"/>
    </row>
    <row r="3" spans="1:12" ht="14.55" thickBot="1" x14ac:dyDescent="0.35">
      <c r="D3" s="24"/>
      <c r="E3" s="24"/>
      <c r="F3" s="34"/>
      <c r="H3" s="35"/>
      <c r="K3" s="24"/>
    </row>
    <row r="4" spans="1:12" s="1" customFormat="1" ht="47.95" customHeight="1" x14ac:dyDescent="0.3">
      <c r="A4" s="64" t="s">
        <v>28</v>
      </c>
      <c r="B4" s="65" t="s">
        <v>40</v>
      </c>
      <c r="C4" s="66" t="s">
        <v>41</v>
      </c>
      <c r="D4" s="65" t="s">
        <v>40</v>
      </c>
      <c r="E4" s="67" t="s">
        <v>23</v>
      </c>
      <c r="F4" s="68" t="s">
        <v>24</v>
      </c>
      <c r="G4" s="68" t="s">
        <v>25</v>
      </c>
      <c r="H4" s="68" t="s">
        <v>26</v>
      </c>
      <c r="I4" s="68" t="s">
        <v>56</v>
      </c>
    </row>
    <row r="5" spans="1:12" s="1" customFormat="1" ht="29.95" customHeight="1" x14ac:dyDescent="0.3">
      <c r="A5" s="83" t="s">
        <v>1</v>
      </c>
      <c r="B5" s="102" t="s">
        <v>38</v>
      </c>
      <c r="C5" s="59" t="s">
        <v>47</v>
      </c>
      <c r="D5" s="63" t="s">
        <v>39</v>
      </c>
      <c r="E5" s="57"/>
      <c r="F5" s="57"/>
      <c r="G5" s="57"/>
      <c r="H5" s="57"/>
      <c r="I5" s="57"/>
    </row>
    <row r="6" spans="1:12" s="1" customFormat="1" ht="29.95" customHeight="1" x14ac:dyDescent="0.3">
      <c r="A6" s="84"/>
      <c r="B6" s="103"/>
      <c r="C6" s="59" t="s">
        <v>48</v>
      </c>
      <c r="D6" s="63" t="s">
        <v>39</v>
      </c>
      <c r="E6" s="57"/>
      <c r="F6" s="57"/>
      <c r="G6" s="57"/>
      <c r="H6" s="57"/>
      <c r="I6" s="57"/>
    </row>
    <row r="7" spans="1:12" s="1" customFormat="1" ht="29.95" customHeight="1" x14ac:dyDescent="0.3">
      <c r="A7" s="84"/>
      <c r="B7" s="103"/>
      <c r="C7" s="59" t="s">
        <v>33</v>
      </c>
      <c r="D7" s="63" t="s">
        <v>42</v>
      </c>
      <c r="E7" s="57"/>
      <c r="F7" s="57"/>
      <c r="G7" s="57"/>
      <c r="H7" s="57"/>
      <c r="I7" s="57"/>
    </row>
    <row r="8" spans="1:12" s="1" customFormat="1" ht="29.95" customHeight="1" x14ac:dyDescent="0.3">
      <c r="A8" s="84"/>
      <c r="B8" s="103"/>
      <c r="C8" s="59" t="s">
        <v>36</v>
      </c>
      <c r="D8" s="63" t="s">
        <v>43</v>
      </c>
      <c r="E8" s="57"/>
      <c r="F8" s="57"/>
      <c r="G8" s="57"/>
      <c r="H8" s="57"/>
      <c r="I8" s="57"/>
    </row>
    <row r="9" spans="1:12" s="1" customFormat="1" ht="29.95" customHeight="1" x14ac:dyDescent="0.3">
      <c r="A9" s="84"/>
      <c r="B9" s="103"/>
      <c r="C9" s="59" t="s">
        <v>34</v>
      </c>
      <c r="D9" s="63" t="s">
        <v>44</v>
      </c>
      <c r="E9" s="57"/>
      <c r="F9" s="57"/>
      <c r="G9" s="57"/>
      <c r="H9" s="57"/>
      <c r="I9" s="57"/>
    </row>
    <row r="10" spans="1:12" s="1" customFormat="1" ht="29.95" customHeight="1" x14ac:dyDescent="0.3">
      <c r="A10" s="84"/>
      <c r="B10" s="103"/>
      <c r="C10" s="59" t="s">
        <v>35</v>
      </c>
      <c r="D10" s="63" t="s">
        <v>42</v>
      </c>
      <c r="E10" s="57"/>
      <c r="F10" s="57"/>
      <c r="G10" s="57"/>
      <c r="H10" s="57"/>
      <c r="I10" s="57"/>
    </row>
    <row r="11" spans="1:12" ht="29.95" customHeight="1" x14ac:dyDescent="0.3">
      <c r="A11" s="84"/>
      <c r="B11" s="104"/>
      <c r="C11" s="59" t="s">
        <v>30</v>
      </c>
      <c r="D11" s="63" t="s">
        <v>45</v>
      </c>
      <c r="E11" s="57"/>
      <c r="F11" s="57"/>
      <c r="G11" s="57"/>
      <c r="H11" s="57"/>
      <c r="I11" s="57"/>
    </row>
    <row r="12" spans="1:12" ht="27.95" x14ac:dyDescent="0.3">
      <c r="A12" s="84"/>
      <c r="B12" s="69" t="s">
        <v>37</v>
      </c>
      <c r="C12" s="59" t="s">
        <v>51</v>
      </c>
      <c r="D12" s="63" t="s">
        <v>46</v>
      </c>
      <c r="E12" s="57"/>
      <c r="F12" s="57"/>
      <c r="G12" s="57"/>
      <c r="H12" s="57"/>
      <c r="I12" s="57"/>
    </row>
    <row r="13" spans="1:12" ht="18.8" thickBot="1" x14ac:dyDescent="0.35">
      <c r="A13" s="85"/>
      <c r="B13" s="18"/>
      <c r="C13" s="92" t="s">
        <v>54</v>
      </c>
      <c r="D13" s="92"/>
      <c r="E13" s="55">
        <f>SUM(E5:E12)</f>
        <v>0</v>
      </c>
      <c r="F13" s="55">
        <f>SUM(F5:F12)</f>
        <v>0</v>
      </c>
      <c r="G13" s="55">
        <f>SUM(G5:G12)</f>
        <v>0</v>
      </c>
      <c r="H13" s="55">
        <f>SUM(H5:H12)</f>
        <v>0</v>
      </c>
      <c r="I13" s="55">
        <f>SUM(I5:I12)</f>
        <v>0</v>
      </c>
    </row>
    <row r="14" spans="1:12" ht="34.950000000000003" customHeight="1" x14ac:dyDescent="0.3">
      <c r="A14" s="83" t="s">
        <v>0</v>
      </c>
      <c r="B14" s="86" t="s">
        <v>32</v>
      </c>
      <c r="C14" s="89" t="s">
        <v>53</v>
      </c>
      <c r="D14" s="71" t="s">
        <v>45</v>
      </c>
      <c r="E14" s="61"/>
      <c r="F14" s="61"/>
      <c r="G14" s="61"/>
      <c r="H14" s="61"/>
      <c r="I14" s="61"/>
      <c r="J14" s="24"/>
      <c r="K14" s="56">
        <f>+MAX(E14:I14)</f>
        <v>0</v>
      </c>
      <c r="L14" s="56">
        <f>MIN(E14:I14)</f>
        <v>0</v>
      </c>
    </row>
    <row r="15" spans="1:12" ht="34.950000000000003" customHeight="1" x14ac:dyDescent="0.3">
      <c r="A15" s="84"/>
      <c r="B15" s="87"/>
      <c r="C15" s="90"/>
      <c r="D15" s="72"/>
      <c r="E15" s="58" t="e">
        <f>((LOG10($K$14)-LOG10(E14))/(LOG10($K$14)-LOG10($L$14)))*5</f>
        <v>#NUM!</v>
      </c>
      <c r="F15" s="58" t="e">
        <f t="shared" ref="F15:I15" si="0">((LOG10($K$14)-LOG10(F14))/(LOG10($K$14)-LOG10($L$14))*5)</f>
        <v>#NUM!</v>
      </c>
      <c r="G15" s="58" t="e">
        <f t="shared" si="0"/>
        <v>#NUM!</v>
      </c>
      <c r="H15" s="58" t="e">
        <f t="shared" si="0"/>
        <v>#NUM!</v>
      </c>
      <c r="I15" s="58" t="e">
        <f t="shared" si="0"/>
        <v>#NUM!</v>
      </c>
      <c r="K15" s="56"/>
    </row>
    <row r="16" spans="1:12" ht="34.950000000000003" customHeight="1" x14ac:dyDescent="0.3">
      <c r="A16" s="84"/>
      <c r="B16" s="87"/>
      <c r="C16" s="89" t="s">
        <v>52</v>
      </c>
      <c r="D16" s="72" t="s">
        <v>50</v>
      </c>
      <c r="E16" s="70"/>
      <c r="F16" s="70"/>
      <c r="G16" s="70"/>
      <c r="H16" s="70"/>
      <c r="I16" s="70"/>
      <c r="K16" s="56">
        <f>MIN(D16:H16)</f>
        <v>0</v>
      </c>
    </row>
    <row r="17" spans="1:13" ht="34.950000000000003" customHeight="1" x14ac:dyDescent="0.3">
      <c r="A17" s="84"/>
      <c r="B17" s="87"/>
      <c r="C17" s="90"/>
      <c r="D17" s="72"/>
      <c r="E17" s="58" t="e">
        <f>+($K16/E16)*15</f>
        <v>#DIV/0!</v>
      </c>
      <c r="F17" s="58" t="e">
        <f t="shared" ref="F17:I17" si="1">+($K16/F16)*15</f>
        <v>#DIV/0!</v>
      </c>
      <c r="G17" s="58" t="e">
        <f t="shared" si="1"/>
        <v>#DIV/0!</v>
      </c>
      <c r="H17" s="58" t="e">
        <f t="shared" si="1"/>
        <v>#DIV/0!</v>
      </c>
      <c r="I17" s="58" t="e">
        <f t="shared" si="1"/>
        <v>#DIV/0!</v>
      </c>
      <c r="K17" s="56"/>
    </row>
    <row r="18" spans="1:13" ht="34.950000000000003" customHeight="1" x14ac:dyDescent="0.3">
      <c r="A18" s="84"/>
      <c r="B18" s="87"/>
      <c r="C18" s="91" t="s">
        <v>49</v>
      </c>
      <c r="D18" s="72" t="s">
        <v>39</v>
      </c>
      <c r="E18" s="70"/>
      <c r="F18" s="70"/>
      <c r="G18" s="70"/>
      <c r="H18" s="70"/>
      <c r="I18" s="70"/>
      <c r="K18" s="56">
        <f>+MIN(E18:I18)</f>
        <v>0</v>
      </c>
    </row>
    <row r="19" spans="1:13" s="1" customFormat="1" ht="35.200000000000003" customHeight="1" x14ac:dyDescent="0.3">
      <c r="A19" s="84"/>
      <c r="B19" s="88"/>
      <c r="C19" s="91"/>
      <c r="D19" s="73"/>
      <c r="E19" s="58" t="e">
        <f>+($K18/E18)*10</f>
        <v>#DIV/0!</v>
      </c>
      <c r="F19" s="58" t="e">
        <f t="shared" ref="F19:I19" si="2">+($K18/F18)*10</f>
        <v>#DIV/0!</v>
      </c>
      <c r="G19" s="58" t="e">
        <f t="shared" si="2"/>
        <v>#DIV/0!</v>
      </c>
      <c r="H19" s="58" t="e">
        <f t="shared" si="2"/>
        <v>#DIV/0!</v>
      </c>
      <c r="I19" s="58" t="e">
        <f t="shared" si="2"/>
        <v>#DIV/0!</v>
      </c>
    </row>
    <row r="20" spans="1:13" s="1" customFormat="1" ht="18.3" x14ac:dyDescent="0.3">
      <c r="A20" s="85"/>
      <c r="B20" s="62"/>
      <c r="C20" s="92" t="s">
        <v>31</v>
      </c>
      <c r="D20" s="92"/>
      <c r="E20" s="60" t="e">
        <f>+E15+E17+E19</f>
        <v>#NUM!</v>
      </c>
      <c r="F20" s="60" t="e">
        <f t="shared" ref="F20:H20" si="3">+F15+F17+F19</f>
        <v>#NUM!</v>
      </c>
      <c r="G20" s="60" t="e">
        <f t="shared" si="3"/>
        <v>#NUM!</v>
      </c>
      <c r="H20" s="60" t="e">
        <f t="shared" si="3"/>
        <v>#NUM!</v>
      </c>
      <c r="I20" s="60" t="e">
        <f>+I13+I19</f>
        <v>#DIV/0!</v>
      </c>
    </row>
    <row r="21" spans="1:13" ht="31.2" customHeight="1" x14ac:dyDescent="0.3">
      <c r="A21" s="92" t="s">
        <v>55</v>
      </c>
      <c r="B21" s="92"/>
      <c r="C21" s="92"/>
      <c r="D21" s="92"/>
      <c r="E21" s="74" t="e">
        <f>+E20+E13</f>
        <v>#NUM!</v>
      </c>
      <c r="F21" s="74" t="e">
        <f t="shared" ref="F21:I21" si="4">+F20+F13</f>
        <v>#NUM!</v>
      </c>
      <c r="G21" s="74" t="e">
        <f t="shared" si="4"/>
        <v>#NUM!</v>
      </c>
      <c r="H21" s="74" t="e">
        <f t="shared" si="4"/>
        <v>#NUM!</v>
      </c>
      <c r="I21" s="74" t="e">
        <f t="shared" si="4"/>
        <v>#DIV/0!</v>
      </c>
    </row>
    <row r="27" spans="1:13" s="1" customFormat="1" ht="35.200000000000003" hidden="1" customHeight="1" x14ac:dyDescent="0.3">
      <c r="A27" s="7"/>
      <c r="B27" s="7"/>
      <c r="C27" s="7"/>
      <c r="D27" s="36" t="s">
        <v>5</v>
      </c>
      <c r="E27" s="39" t="s">
        <v>23</v>
      </c>
      <c r="F27" s="39" t="s">
        <v>24</v>
      </c>
      <c r="G27" s="39" t="s">
        <v>25</v>
      </c>
      <c r="H27" s="39" t="s">
        <v>26</v>
      </c>
      <c r="I27" s="39" t="s">
        <v>27</v>
      </c>
      <c r="K27" s="1" t="e">
        <f>#REF!*42%</f>
        <v>#REF!</v>
      </c>
      <c r="L27" s="25" t="e">
        <f>SUM(K27,#REF!)</f>
        <v>#REF!</v>
      </c>
    </row>
    <row r="28" spans="1:13" ht="25" hidden="1" customHeight="1" x14ac:dyDescent="0.3">
      <c r="A28" s="101" t="s">
        <v>0</v>
      </c>
      <c r="B28" s="101">
        <v>0.4</v>
      </c>
      <c r="C28" s="2" t="s">
        <v>2</v>
      </c>
      <c r="D28" s="40">
        <v>6250000</v>
      </c>
      <c r="E28" s="47">
        <v>6193471.5325039998</v>
      </c>
      <c r="F28" s="28">
        <v>6170440.7050000001</v>
      </c>
      <c r="G28" s="28">
        <v>6231624.0134105766</v>
      </c>
      <c r="H28" s="28">
        <v>6419751.1028000005</v>
      </c>
      <c r="I28" s="29">
        <v>5973752.205000001</v>
      </c>
      <c r="L28" s="27">
        <v>0.36</v>
      </c>
      <c r="M28" t="s">
        <v>21</v>
      </c>
    </row>
    <row r="29" spans="1:13" ht="25" hidden="1" customHeight="1" x14ac:dyDescent="0.3">
      <c r="A29" s="101"/>
      <c r="B29" s="101"/>
      <c r="C29" s="2" t="s">
        <v>8</v>
      </c>
      <c r="D29" s="38">
        <f>(1+(($D$28-D$28)/$D$28))*9</f>
        <v>9</v>
      </c>
      <c r="E29" s="48">
        <f>IF(((1+(($D$28-E$28)/$D$28))*9)&gt;10,10,(1+(($D$28-E$28)/$D$28))*9)</f>
        <v>9.0814009931942401</v>
      </c>
      <c r="F29" s="30">
        <f>IF(((1+(($D$28-F$28)/$D$28))*9)&gt;10,10,(1+(($D$28-F$28)/$D$28))*9)</f>
        <v>9.1145653847999988</v>
      </c>
      <c r="G29" s="30">
        <f>IF(((1+(($D$28-G$28)/$D$28))*9)&gt;10,10,(1+(($D$28-G$28)/$D$28))*9)</f>
        <v>9.0264614206887703</v>
      </c>
      <c r="H29" s="30">
        <f>IF(((1+(($D$28-H$28)/$D$28))*9)&gt;10,10,(1+(($D$28-H$28)/$D$28))*9)</f>
        <v>8.7555584119679999</v>
      </c>
      <c r="I29" s="49">
        <f>IF(((1+(($D$28-I$28)/$D$28))*9)&gt;10,10,(1+(($D$28-I$28)/$D$28))*9)</f>
        <v>9.3977968247999986</v>
      </c>
      <c r="L29" s="26" t="e">
        <f>L27+L28</f>
        <v>#REF!</v>
      </c>
    </row>
    <row r="30" spans="1:13" ht="25" hidden="1" customHeight="1" x14ac:dyDescent="0.3">
      <c r="A30" s="18" t="s">
        <v>1</v>
      </c>
      <c r="B30" s="18">
        <v>0.6</v>
      </c>
      <c r="C30" s="96" t="s">
        <v>6</v>
      </c>
      <c r="D30" s="97"/>
      <c r="E30" s="50">
        <v>7.28</v>
      </c>
      <c r="F30" s="31">
        <v>5.35</v>
      </c>
      <c r="G30" s="31">
        <v>6.81</v>
      </c>
      <c r="H30" s="31">
        <v>5.24</v>
      </c>
      <c r="I30" s="32">
        <v>6.45</v>
      </c>
      <c r="J30" s="95"/>
      <c r="K30" s="95"/>
      <c r="M30" t="s">
        <v>22</v>
      </c>
    </row>
    <row r="31" spans="1:13" ht="25" hidden="1" customHeight="1" x14ac:dyDescent="0.3">
      <c r="A31" s="5"/>
      <c r="B31" s="5"/>
      <c r="C31" s="14" t="s">
        <v>12</v>
      </c>
      <c r="D31" s="15"/>
      <c r="E31" s="51">
        <f>+(E$29*$B$28)+(E$30*$B$30)</f>
        <v>8.0005603972776971</v>
      </c>
      <c r="F31" s="52">
        <f>+(F$29*$B$28)+(F$30*$B$30)</f>
        <v>6.8558261539199989</v>
      </c>
      <c r="G31" s="52">
        <f>+(G$29*$B$28)+(G$30*$B$30)</f>
        <v>7.6965845682755081</v>
      </c>
      <c r="H31" s="52">
        <f>+(H$29*$B$28)+(H$30*$B$30)</f>
        <v>6.6462233647872004</v>
      </c>
      <c r="I31" s="53">
        <f>+(I$29*$B$28)+(I$30*$B$30)</f>
        <v>7.6291187299200001</v>
      </c>
      <c r="J31" s="12" t="s">
        <v>4</v>
      </c>
      <c r="K31" s="13">
        <v>1</v>
      </c>
      <c r="L31" s="26">
        <v>8</v>
      </c>
    </row>
    <row r="32" spans="1:13" hidden="1" x14ac:dyDescent="0.3"/>
    <row r="33" spans="1:13" hidden="1" x14ac:dyDescent="0.3"/>
    <row r="34" spans="1:13" ht="45" hidden="1" customHeight="1" x14ac:dyDescent="0.3">
      <c r="A34" s="79" t="s">
        <v>9</v>
      </c>
      <c r="B34" s="79"/>
      <c r="C34" s="98" t="s">
        <v>10</v>
      </c>
      <c r="D34" s="98"/>
      <c r="E34" s="98"/>
      <c r="F34" s="98"/>
      <c r="G34" s="98"/>
      <c r="H34" s="98"/>
    </row>
    <row r="35" spans="1:13" ht="45" hidden="1" customHeight="1" x14ac:dyDescent="0.3">
      <c r="A35" s="79"/>
      <c r="B35" s="79"/>
      <c r="C35" s="98" t="s">
        <v>11</v>
      </c>
      <c r="D35" s="98"/>
      <c r="E35" s="98"/>
      <c r="F35" s="98"/>
      <c r="G35" s="98"/>
      <c r="H35" s="98"/>
    </row>
    <row r="36" spans="1:13" hidden="1" x14ac:dyDescent="0.3"/>
    <row r="37" spans="1:13" s="1" customFormat="1" ht="35.200000000000003" hidden="1" customHeight="1" x14ac:dyDescent="0.3">
      <c r="A37" s="7"/>
      <c r="B37" s="7"/>
      <c r="C37" s="7"/>
      <c r="D37" s="36" t="s">
        <v>5</v>
      </c>
      <c r="E37" s="41" t="s">
        <v>16</v>
      </c>
      <c r="F37" s="8" t="s">
        <v>17</v>
      </c>
      <c r="G37" s="8" t="s">
        <v>18</v>
      </c>
      <c r="H37" s="8" t="s">
        <v>19</v>
      </c>
      <c r="I37" s="9" t="s">
        <v>20</v>
      </c>
    </row>
    <row r="38" spans="1:13" ht="25" hidden="1" customHeight="1" x14ac:dyDescent="0.3">
      <c r="A38" s="81" t="s">
        <v>0</v>
      </c>
      <c r="B38" s="81">
        <v>0.4</v>
      </c>
      <c r="C38" s="4" t="s">
        <v>2</v>
      </c>
      <c r="D38" s="37">
        <v>980000</v>
      </c>
      <c r="E38" s="42">
        <v>979575.75</v>
      </c>
      <c r="F38" s="19">
        <v>993446.1</v>
      </c>
      <c r="G38" s="19">
        <v>1078333.680984</v>
      </c>
      <c r="H38" s="19">
        <v>964039.29120000009</v>
      </c>
      <c r="I38" s="20">
        <v>915322.09499999997</v>
      </c>
      <c r="J38" s="24">
        <f>+D38-E38</f>
        <v>424.25</v>
      </c>
      <c r="K38" s="33">
        <f>+J38*7</f>
        <v>2969.75</v>
      </c>
      <c r="M38" s="24"/>
    </row>
    <row r="39" spans="1:13" ht="25" hidden="1" customHeight="1" x14ac:dyDescent="0.3">
      <c r="A39" s="82"/>
      <c r="B39" s="82"/>
      <c r="C39" s="2" t="s">
        <v>8</v>
      </c>
      <c r="D39" s="38">
        <f>(1+(($D$38-D$38)/$D$38))*9</f>
        <v>9</v>
      </c>
      <c r="E39" s="43">
        <f>IF(((1+(($D$38-E$38)/$D$38))*9)&gt;10,10,(1+(($D$38-E$38)/$D$38))*9)</f>
        <v>9.0038961734693874</v>
      </c>
      <c r="F39" s="3">
        <f>IF(((1+(($D$38-F$38)/$D$38))*9)&gt;10,10,(1+(($D$38-F$38)/$D$38))*9)</f>
        <v>8.8765154081632662</v>
      </c>
      <c r="G39" s="3">
        <f>IF(((1+(($D$38-G$38)/$D$38))*9)&gt;10,10,(1+(($D$38-G$38)/$D$38))*9)</f>
        <v>8.0969355828000005</v>
      </c>
      <c r="H39" s="3">
        <f>IF(((1+(($D$38-H$38)/$D$38))*9)&gt;10,10,(1+(($D$38-H$38)/$D$38))*9)</f>
        <v>9.1465779379591829</v>
      </c>
      <c r="I39" s="44">
        <f>IF(((1+(($D$38-I$38)/$D$38))*9)&gt;10,10,(1+(($D$38-I$38)/$D$38))*9)</f>
        <v>9.593980760204083</v>
      </c>
    </row>
    <row r="40" spans="1:13" ht="25" hidden="1" customHeight="1" x14ac:dyDescent="0.3">
      <c r="A40" s="17" t="s">
        <v>1</v>
      </c>
      <c r="B40" s="17">
        <v>0.6</v>
      </c>
      <c r="C40" s="77" t="s">
        <v>3</v>
      </c>
      <c r="D40" s="78"/>
      <c r="E40" s="45">
        <v>7.24</v>
      </c>
      <c r="F40" s="21">
        <v>5.73</v>
      </c>
      <c r="G40" s="21">
        <v>6.54</v>
      </c>
      <c r="H40" s="21">
        <v>5.3</v>
      </c>
      <c r="I40" s="22">
        <v>6.46</v>
      </c>
    </row>
    <row r="41" spans="1:13" ht="25" hidden="1" customHeight="1" x14ac:dyDescent="0.3">
      <c r="A41" s="6"/>
      <c r="B41" s="6"/>
      <c r="C41" s="10" t="s">
        <v>13</v>
      </c>
      <c r="D41" s="11"/>
      <c r="E41" s="46">
        <f>+(E$39*$B$38)+(E$40*$B$40)</f>
        <v>7.9455584693877555</v>
      </c>
      <c r="F41" s="16">
        <f>+(F$39*$B$38)+(F$40*$B$40)</f>
        <v>6.9886061632653069</v>
      </c>
      <c r="G41" s="16">
        <f>+(G$39*$B$38)+(G$40*$B$40)</f>
        <v>7.1627742331200004</v>
      </c>
      <c r="H41" s="16">
        <f>+(H$39*$B$38)+(H$40*$B$40)</f>
        <v>6.8386311751836732</v>
      </c>
      <c r="I41" s="54">
        <f>+(I$39*$B$38)+(I$40*$B$40)</f>
        <v>7.713592304081633</v>
      </c>
      <c r="J41" s="93" t="s">
        <v>7</v>
      </c>
      <c r="K41" s="94"/>
    </row>
    <row r="42" spans="1:13" hidden="1" x14ac:dyDescent="0.3"/>
    <row r="43" spans="1:13" ht="60.05" hidden="1" customHeight="1" x14ac:dyDescent="0.3">
      <c r="A43" s="79" t="s">
        <v>14</v>
      </c>
      <c r="B43" s="79"/>
      <c r="C43" s="80" t="s">
        <v>15</v>
      </c>
      <c r="D43" s="80"/>
      <c r="E43" s="80"/>
      <c r="F43" s="80"/>
    </row>
    <row r="46" spans="1:13" x14ac:dyDescent="0.3">
      <c r="A46" s="76"/>
      <c r="B46" s="76"/>
      <c r="C46" s="76"/>
      <c r="D46" s="76"/>
      <c r="E46" s="76"/>
      <c r="F46" s="76"/>
      <c r="G46" s="76"/>
      <c r="H46" s="76"/>
      <c r="I46" s="23"/>
    </row>
    <row r="47" spans="1:13" x14ac:dyDescent="0.3">
      <c r="A47" s="76"/>
      <c r="B47" s="76"/>
      <c r="C47" s="76"/>
      <c r="D47" s="76"/>
      <c r="E47" s="76"/>
      <c r="F47" s="76"/>
      <c r="G47" s="76"/>
      <c r="H47" s="76"/>
      <c r="I47" s="23"/>
    </row>
    <row r="48" spans="1:13" x14ac:dyDescent="0.3">
      <c r="A48" s="76"/>
      <c r="B48" s="76"/>
      <c r="C48" s="76"/>
      <c r="D48" s="76"/>
      <c r="E48" s="76"/>
      <c r="F48" s="76"/>
      <c r="G48" s="76"/>
      <c r="H48" s="76"/>
      <c r="I48" s="23"/>
    </row>
    <row r="49" spans="1:9" x14ac:dyDescent="0.3">
      <c r="A49" s="76"/>
      <c r="B49" s="76"/>
      <c r="C49" s="76"/>
      <c r="D49" s="76"/>
      <c r="E49" s="76"/>
      <c r="F49" s="76"/>
      <c r="G49" s="76"/>
      <c r="H49" s="76"/>
      <c r="I49" s="23"/>
    </row>
    <row r="50" spans="1:9" x14ac:dyDescent="0.3">
      <c r="A50" s="76"/>
      <c r="B50" s="76"/>
      <c r="C50" s="76"/>
      <c r="D50" s="76"/>
      <c r="E50" s="76"/>
      <c r="F50" s="76"/>
      <c r="G50" s="76"/>
      <c r="H50" s="76"/>
      <c r="I50" s="23"/>
    </row>
    <row r="51" spans="1:9" ht="31.6" customHeight="1" x14ac:dyDescent="0.3">
      <c r="A51" s="76"/>
      <c r="B51" s="76"/>
      <c r="C51" s="76"/>
      <c r="D51" s="76"/>
      <c r="E51" s="76"/>
      <c r="F51" s="76"/>
      <c r="G51" s="76"/>
      <c r="H51" s="76"/>
      <c r="I51" s="23"/>
    </row>
    <row r="52" spans="1:9" x14ac:dyDescent="0.3">
      <c r="A52" s="76"/>
      <c r="B52" s="76"/>
      <c r="C52" s="76"/>
      <c r="D52" s="76"/>
      <c r="E52" s="76"/>
      <c r="F52" s="76"/>
      <c r="G52" s="76"/>
      <c r="H52" s="76"/>
      <c r="I52" s="23"/>
    </row>
    <row r="53" spans="1:9" ht="48.8" customHeight="1" x14ac:dyDescent="0.3">
      <c r="A53" s="75"/>
      <c r="B53" s="75"/>
      <c r="C53" s="75"/>
      <c r="D53" s="75"/>
      <c r="E53" s="75"/>
      <c r="F53" s="75"/>
      <c r="G53" s="75"/>
      <c r="H53" s="75"/>
    </row>
  </sheetData>
  <mergeCells count="32">
    <mergeCell ref="A1:I1"/>
    <mergeCell ref="A28:A29"/>
    <mergeCell ref="B28:B29"/>
    <mergeCell ref="C20:D20"/>
    <mergeCell ref="B5:B11"/>
    <mergeCell ref="A5:A13"/>
    <mergeCell ref="C13:D13"/>
    <mergeCell ref="C14:C15"/>
    <mergeCell ref="C16:C17"/>
    <mergeCell ref="C18:C19"/>
    <mergeCell ref="A21:D21"/>
    <mergeCell ref="J41:K41"/>
    <mergeCell ref="J30:K30"/>
    <mergeCell ref="C30:D30"/>
    <mergeCell ref="C35:H35"/>
    <mergeCell ref="C34:H34"/>
    <mergeCell ref="A38:A39"/>
    <mergeCell ref="B38:B39"/>
    <mergeCell ref="A34:B35"/>
    <mergeCell ref="A14:A20"/>
    <mergeCell ref="B14:B19"/>
    <mergeCell ref="A53:H53"/>
    <mergeCell ref="A51:H51"/>
    <mergeCell ref="C40:D40"/>
    <mergeCell ref="A46:H46"/>
    <mergeCell ref="A47:H47"/>
    <mergeCell ref="A48:H48"/>
    <mergeCell ref="A52:H52"/>
    <mergeCell ref="A50:H50"/>
    <mergeCell ref="A49:H49"/>
    <mergeCell ref="A43:B43"/>
    <mergeCell ref="C43:F43"/>
  </mergeCells>
  <phoneticPr fontId="4" type="noConversion"/>
  <conditionalFormatting sqref="E15:I15">
    <cfRule type="cellIs" dxfId="5" priority="9" stopIfTrue="1" operator="equal">
      <formula>40</formula>
    </cfRule>
  </conditionalFormatting>
  <conditionalFormatting sqref="E16:I16">
    <cfRule type="cellIs" dxfId="4" priority="5" operator="greaterThan">
      <formula>95000</formula>
    </cfRule>
  </conditionalFormatting>
  <conditionalFormatting sqref="E17:I17">
    <cfRule type="cellIs" dxfId="3" priority="1" stopIfTrue="1" operator="equal">
      <formula>40</formula>
    </cfRule>
  </conditionalFormatting>
  <conditionalFormatting sqref="E19:I19">
    <cfRule type="cellIs" dxfId="2" priority="6" stopIfTrue="1" operator="equal">
      <formula>40</formula>
    </cfRule>
  </conditionalFormatting>
  <conditionalFormatting sqref="E20:I20">
    <cfRule type="top10" dxfId="1" priority="10" stopIfTrue="1" rank="1"/>
  </conditionalFormatting>
  <conditionalFormatting sqref="E21:I21">
    <cfRule type="top10" dxfId="0" priority="4" stopIfTrue="1" rank="1"/>
  </conditionalFormatting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Totale beoordeling</vt:lpstr>
      <vt:lpstr>'Totale beoordeling'!Afdrukbereik</vt:lpstr>
    </vt:vector>
  </TitlesOfParts>
  <Company>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Bastianen, Sander SACM (NSC)</dc:creator>
  <cp:lastModifiedBy>Sander Bastianen - HIP</cp:lastModifiedBy>
  <cp:lastPrinted>2012-10-19T09:35:11Z</cp:lastPrinted>
  <dcterms:created xsi:type="dcterms:W3CDTF">2011-12-14T08:07:06Z</dcterms:created>
  <dcterms:modified xsi:type="dcterms:W3CDTF">2025-09-04T13:56:03Z</dcterms:modified>
</cp:coreProperties>
</file>